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7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8.xml" ContentType="application/vnd.openxmlformats-officedocument.spreadsheetml.comments+xml"/>
  <Override PartName="/xl/drawings/drawing21.xml" ContentType="application/vnd.openxmlformats-officedocument.drawing+xml"/>
  <Override PartName="/xl/comments9.xml" ContentType="application/vnd.openxmlformats-officedocument.spreadsheetml.comments+xml"/>
  <Override PartName="/xl/drawings/drawing22.xml" ContentType="application/vnd.openxmlformats-officedocument.drawing+xml"/>
  <Override PartName="/xl/comments10.xml" ContentType="application/vnd.openxmlformats-officedocument.spreadsheetml.comments+xml"/>
  <Override PartName="/xl/drawings/drawing23.xml" ContentType="application/vnd.openxmlformats-officedocument.drawing+xml"/>
  <Override PartName="/xl/comments11.xml" ContentType="application/vnd.openxmlformats-officedocument.spreadsheetml.comments+xml"/>
  <Override PartName="/xl/drawings/drawing24.xml" ContentType="application/vnd.openxmlformats-officedocument.drawing+xml"/>
  <Override PartName="/xl/comments12.xml" ContentType="application/vnd.openxmlformats-officedocument.spreadsheetml.comments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aledonia MOWE (Edu Momesso)\04. Custo\03.6 Custo - Determinação de orçamento\"/>
    </mc:Choice>
  </mc:AlternateContent>
  <xr:revisionPtr revIDLastSave="0" documentId="13_ncr:1_{8BCB0E01-2196-49B6-9DE3-C5440AF75358}" xr6:coauthVersionLast="47" xr6:coauthVersionMax="47" xr10:uidLastSave="{00000000-0000-0000-0000-000000000000}"/>
  <bookViews>
    <workbookView xWindow="-23148" yWindow="-48" windowWidth="23256" windowHeight="12456" tabRatio="781" xr2:uid="{00000000-000D-0000-FFFF-FFFF00000000}"/>
  </bookViews>
  <sheets>
    <sheet name="Obra " sheetId="432" r:id="rId1"/>
    <sheet name="EAP Análise" sheetId="447" r:id="rId2"/>
    <sheet name="Ensaios " sheetId="440" r:id="rId3"/>
    <sheet name="CANTEIRO" sheetId="434" r:id="rId4"/>
    <sheet name="Ger_Tec e Adm" sheetId="429" r:id="rId5"/>
    <sheet name="Ger_Executivo" sheetId="436" r:id="rId6"/>
    <sheet name="ARQUITETURA" sheetId="427" r:id="rId7"/>
    <sheet name="CPU" sheetId="442" r:id="rId8"/>
    <sheet name="Insumos" sheetId="443" r:id="rId9"/>
    <sheet name="Fundação Rasa" sheetId="438" r:id="rId10"/>
    <sheet name="Aço_Infraestrutura" sheetId="211" r:id="rId11"/>
    <sheet name="Supraestrutura" sheetId="401" r:id="rId12"/>
    <sheet name="LAJE_TRELIÇADA" sheetId="444" r:id="rId13"/>
    <sheet name="Tijolos refratários" sheetId="404" r:id="rId14"/>
    <sheet name="COMUNICAÇÃO" sheetId="448" r:id="rId15"/>
    <sheet name="INSTALAÇÕES" sheetId="424" r:id="rId16"/>
    <sheet name="Louças e metais" sheetId="412" r:id="rId17"/>
    <sheet name="MO Infra" sheetId="393" state="hidden" r:id="rId18"/>
    <sheet name="Cotações" sheetId="359" state="hidden" r:id="rId19"/>
    <sheet name="Estacas" sheetId="344" state="hidden" r:id="rId20"/>
    <sheet name="Arm. Cortina" sheetId="363" state="hidden" r:id="rId21"/>
    <sheet name="Cortina" sheetId="364" state="hidden" r:id="rId22"/>
    <sheet name="Tabela de Aço" sheetId="361" state="hidden" r:id="rId23"/>
    <sheet name="Piso Arm.Térreo" sheetId="144" state="hidden" r:id="rId24"/>
    <sheet name="Pilares" sheetId="212" state="hidden" r:id="rId25"/>
    <sheet name="Vigas - T1 " sheetId="143" state="hidden" r:id="rId26"/>
    <sheet name="Lajes - T1 " sheetId="137" state="hidden" r:id="rId27"/>
    <sheet name="Escada - T1" sheetId="147" state="hidden" r:id="rId28"/>
    <sheet name="Indices de Bloco" sheetId="215" state="hidden" r:id="rId29"/>
    <sheet name="Resumo Esquadrias - T1" sheetId="320" state="hidden" r:id="rId30"/>
  </sheets>
  <definedNames>
    <definedName name="\0" localSheetId="14">#REF!</definedName>
    <definedName name="\0" localSheetId="2">#REF!</definedName>
    <definedName name="\0" localSheetId="5">#REF!</definedName>
    <definedName name="\0" localSheetId="15">#REF!</definedName>
    <definedName name="\0" localSheetId="12">#REF!</definedName>
    <definedName name="\0" localSheetId="0">#REF!</definedName>
    <definedName name="\0" localSheetId="24">#REF!</definedName>
    <definedName name="\0" localSheetId="23">#REF!</definedName>
    <definedName name="\0">#REF!</definedName>
    <definedName name="\1" localSheetId="2">#REF!</definedName>
    <definedName name="\1" localSheetId="5">#REF!</definedName>
    <definedName name="\1" localSheetId="24">#REF!</definedName>
    <definedName name="\1" localSheetId="23">#REF!</definedName>
    <definedName name="\1">#REF!</definedName>
    <definedName name="\a" localSheetId="14">#REF!</definedName>
    <definedName name="\a" localSheetId="2">#REF!</definedName>
    <definedName name="\a" localSheetId="5">#REF!</definedName>
    <definedName name="\a" localSheetId="15">#REF!</definedName>
    <definedName name="\a" localSheetId="12">#REF!</definedName>
    <definedName name="\a" localSheetId="0">#REF!</definedName>
    <definedName name="\a" localSheetId="24">#REF!</definedName>
    <definedName name="\a" localSheetId="23">#REF!</definedName>
    <definedName name="\a">#REF!</definedName>
    <definedName name="\b" localSheetId="2">#REF!</definedName>
    <definedName name="\b" localSheetId="5">#REF!</definedName>
    <definedName name="\b">#REF!</definedName>
    <definedName name="\c" localSheetId="2">#REF!</definedName>
    <definedName name="\c" localSheetId="5">#REF!</definedName>
    <definedName name="\c">#REF!</definedName>
    <definedName name="\d" localSheetId="2">#REF!</definedName>
    <definedName name="\d" localSheetId="5">#REF!</definedName>
    <definedName name="\d">#REF!</definedName>
    <definedName name="\e" localSheetId="2">#REF!</definedName>
    <definedName name="\e" localSheetId="5">#REF!</definedName>
    <definedName name="\e">#REF!</definedName>
    <definedName name="\i" localSheetId="2">#REF!</definedName>
    <definedName name="\i" localSheetId="5">#REF!</definedName>
    <definedName name="\i">#REF!</definedName>
    <definedName name="\J" localSheetId="2">#REF!</definedName>
    <definedName name="\J" localSheetId="5">#REF!</definedName>
    <definedName name="\J">#REF!</definedName>
    <definedName name="\k" localSheetId="2">#REF!</definedName>
    <definedName name="\k" localSheetId="5">#REF!</definedName>
    <definedName name="\k" localSheetId="24">#REF!</definedName>
    <definedName name="\k">#REF!</definedName>
    <definedName name="\l">#N/A</definedName>
    <definedName name="\m" localSheetId="14">#REF!</definedName>
    <definedName name="\m" localSheetId="2">#REF!</definedName>
    <definedName name="\m" localSheetId="5">#REF!</definedName>
    <definedName name="\m" localSheetId="15">#REF!</definedName>
    <definedName name="\m" localSheetId="12">#REF!</definedName>
    <definedName name="\m" localSheetId="0">#REF!</definedName>
    <definedName name="\m" localSheetId="24">#REF!</definedName>
    <definedName name="\m" localSheetId="23">#REF!</definedName>
    <definedName name="\m">#REF!</definedName>
    <definedName name="\o" localSheetId="2">#REF!</definedName>
    <definedName name="\o" localSheetId="5">#REF!</definedName>
    <definedName name="\o">#REF!</definedName>
    <definedName name="\p" localSheetId="2">#REF!</definedName>
    <definedName name="\p" localSheetId="5">#REF!</definedName>
    <definedName name="\p">#REF!</definedName>
    <definedName name="\r" localSheetId="2">#REF!</definedName>
    <definedName name="\r" localSheetId="5">#REF!</definedName>
    <definedName name="\r">#REF!</definedName>
    <definedName name="\T" localSheetId="2">#REF!</definedName>
    <definedName name="\T" localSheetId="5">#REF!</definedName>
    <definedName name="\T">#REF!</definedName>
    <definedName name="\xasd" localSheetId="14" hidden="1">{#N/A,#N/A,FALSE,"Plan1";#N/A,#N/A,FALSE,"Plan2"}</definedName>
    <definedName name="\xasd" localSheetId="7" hidden="1">{#N/A,#N/A,FALSE,"Plan1";#N/A,#N/A,FALSE,"Plan2"}</definedName>
    <definedName name="\xasd" localSheetId="1" hidden="1">{#N/A,#N/A,FALSE,"Plan1";#N/A,#N/A,FALSE,"Plan2"}</definedName>
    <definedName name="\xasd" localSheetId="2" hidden="1">{#N/A,#N/A,FALSE,"Plan1";#N/A,#N/A,FALSE,"Plan2"}</definedName>
    <definedName name="\xasd" localSheetId="9" hidden="1">{#N/A,#N/A,FALSE,"Plan1";#N/A,#N/A,FALSE,"Plan2"}</definedName>
    <definedName name="\xasd" localSheetId="5" hidden="1">{#N/A,#N/A,FALSE,"Plan1";#N/A,#N/A,FALSE,"Plan2"}</definedName>
    <definedName name="\xasd" localSheetId="4" hidden="1">{#N/A,#N/A,FALSE,"Plan1";#N/A,#N/A,FALSE,"Plan2"}</definedName>
    <definedName name="\xasd" localSheetId="8" hidden="1">{#N/A,#N/A,FALSE,"Plan1";#N/A,#N/A,FALSE,"Plan2"}</definedName>
    <definedName name="\xasd" localSheetId="12" hidden="1">{#N/A,#N/A,FALSE,"Plan1";#N/A,#N/A,FALSE,"Plan2"}</definedName>
    <definedName name="\xasd" localSheetId="16" hidden="1">{#N/A,#N/A,FALSE,"Plan1";#N/A,#N/A,FALSE,"Plan2"}</definedName>
    <definedName name="\xasd" localSheetId="0" hidden="1">{#N/A,#N/A,FALSE,"Plan1";#N/A,#N/A,FALSE,"Plan2"}</definedName>
    <definedName name="\xasd" localSheetId="11" hidden="1">{#N/A,#N/A,FALSE,"Plan1";#N/A,#N/A,FALSE,"Plan2"}</definedName>
    <definedName name="\xasd" localSheetId="13" hidden="1">{#N/A,#N/A,FALSE,"Plan1";#N/A,#N/A,FALSE,"Plan2"}</definedName>
    <definedName name="\xasd" hidden="1">{#N/A,#N/A,FALSE,"Plan1";#N/A,#N/A,FALSE,"Plan2"}</definedName>
    <definedName name="\z" localSheetId="2">#REF!</definedName>
    <definedName name="\z" localSheetId="9">#REF!</definedName>
    <definedName name="\z" localSheetId="5">#REF!</definedName>
    <definedName name="\z" localSheetId="24">#REF!</definedName>
    <definedName name="\z">#REF!</definedName>
    <definedName name="_" localSheetId="2" hidden="1">#REF!</definedName>
    <definedName name="_" localSheetId="0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localSheetId="14" hidden="1">{#N/A,#N/A,FALSE,"Plan1";#N/A,#N/A,FALSE,"Plan2"}</definedName>
    <definedName name="_\xasd" localSheetId="7" hidden="1">{#N/A,#N/A,FALSE,"Plan1";#N/A,#N/A,FALSE,"Plan2"}</definedName>
    <definedName name="_\xasd" localSheetId="1" hidden="1">{#N/A,#N/A,FALSE,"Plan1";#N/A,#N/A,FALSE,"Plan2"}</definedName>
    <definedName name="_\xasd" localSheetId="8" hidden="1">{#N/A,#N/A,FALSE,"Plan1";#N/A,#N/A,FALSE,"Plan2"}</definedName>
    <definedName name="_\xasd" localSheetId="12" hidden="1">{#N/A,#N/A,FALSE,"Plan1";#N/A,#N/A,FALSE,"Plan2"}</definedName>
    <definedName name="_\xasd" hidden="1">{#N/A,#N/A,FALSE,"Plan1";#N/A,#N/A,FALSE,"Plan2"}</definedName>
    <definedName name="_\z">#REF!</definedName>
    <definedName name="__" localSheetId="0" hidden="1">#REF!</definedName>
    <definedName name="__" hidden="1">#REF!</definedName>
    <definedName name="___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2">#REF!</definedName>
    <definedName name="______ACR10" localSheetId="5">#REF!</definedName>
    <definedName name="______ACR10">#REF!</definedName>
    <definedName name="______ACR15" localSheetId="2">#REF!</definedName>
    <definedName name="______ACR15" localSheetId="5">#REF!</definedName>
    <definedName name="______ACR15">#REF!</definedName>
    <definedName name="______acr20" localSheetId="2">#REF!</definedName>
    <definedName name="______acr20" localSheetId="5">#REF!</definedName>
    <definedName name="______acr20">#REF!</definedName>
    <definedName name="______acr5" localSheetId="2">#REF!</definedName>
    <definedName name="______acr5" localSheetId="5">#REF!</definedName>
    <definedName name="______acr5">#REF!</definedName>
    <definedName name="______ARQ1" localSheetId="2">#REF!</definedName>
    <definedName name="______ARQ1" localSheetId="5">#REF!</definedName>
    <definedName name="______ARQ1">#REF!</definedName>
    <definedName name="______QT100" localSheetId="2">#REF!</definedName>
    <definedName name="______QT100" localSheetId="5">#REF!</definedName>
    <definedName name="______QT100">#REF!</definedName>
    <definedName name="______QT2" localSheetId="2">#REF!</definedName>
    <definedName name="______QT2" localSheetId="5">#REF!</definedName>
    <definedName name="______QT2">#REF!</definedName>
    <definedName name="______QT3" localSheetId="2">#REF!</definedName>
    <definedName name="______QT3" localSheetId="5">#REF!</definedName>
    <definedName name="______QT3">#REF!</definedName>
    <definedName name="______QT4" localSheetId="2">#REF!</definedName>
    <definedName name="______QT4" localSheetId="5">#REF!</definedName>
    <definedName name="______QT4">#REF!</definedName>
    <definedName name="______QT50" localSheetId="2">#REF!</definedName>
    <definedName name="______QT50" localSheetId="5">#REF!</definedName>
    <definedName name="______QT50">#REF!</definedName>
    <definedName name="______QT75" localSheetId="2">#REF!</definedName>
    <definedName name="______QT75" localSheetId="5">#REF!</definedName>
    <definedName name="______QT75">#REF!</definedName>
    <definedName name="_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2">#REF!</definedName>
    <definedName name="_____ACR10" localSheetId="5">#REF!</definedName>
    <definedName name="_____ACR10">#REF!</definedName>
    <definedName name="_____ACR15" localSheetId="2">#REF!</definedName>
    <definedName name="_____ACR15" localSheetId="5">#REF!</definedName>
    <definedName name="_____ACR15">#REF!</definedName>
    <definedName name="_____acr20" localSheetId="2">#REF!</definedName>
    <definedName name="_____acr20" localSheetId="5">#REF!</definedName>
    <definedName name="_____acr20">#REF!</definedName>
    <definedName name="_____acr5" localSheetId="2">#REF!</definedName>
    <definedName name="_____acr5" localSheetId="5">#REF!</definedName>
    <definedName name="_____acr5">#REF!</definedName>
    <definedName name="_____ARQ1" localSheetId="2">#REF!</definedName>
    <definedName name="_____ARQ1" localSheetId="5">#REF!</definedName>
    <definedName name="_____ARQ1">#REF!</definedName>
    <definedName name="_____key2" localSheetId="2" hidden="1">#REF!</definedName>
    <definedName name="_____key2" localSheetId="0" hidden="1">#REF!</definedName>
    <definedName name="_____key2" hidden="1">#REF!</definedName>
    <definedName name="_____QT100" localSheetId="2">#REF!</definedName>
    <definedName name="_____QT100" localSheetId="5">#REF!</definedName>
    <definedName name="_____QT100">#REF!</definedName>
    <definedName name="_____QT2" localSheetId="2">#REF!</definedName>
    <definedName name="_____QT2" localSheetId="5">#REF!</definedName>
    <definedName name="_____QT2">#REF!</definedName>
    <definedName name="_____QT3" localSheetId="2">#REF!</definedName>
    <definedName name="_____QT3" localSheetId="5">#REF!</definedName>
    <definedName name="_____QT3">#REF!</definedName>
    <definedName name="_____QT4" localSheetId="2">#REF!</definedName>
    <definedName name="_____QT4" localSheetId="5">#REF!</definedName>
    <definedName name="_____QT4">#REF!</definedName>
    <definedName name="_____QT50" localSheetId="2">#REF!</definedName>
    <definedName name="_____QT50" localSheetId="5">#REF!</definedName>
    <definedName name="_____QT50">#REF!</definedName>
    <definedName name="_____QT75" localSheetId="2">#REF!</definedName>
    <definedName name="_____QT75" localSheetId="5">#REF!</definedName>
    <definedName name="_____QT75">#REF!</definedName>
    <definedName name="_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2" hidden="1">#REF!</definedName>
    <definedName name="____key2" localSheetId="5" hidden="1">#REF!</definedName>
    <definedName name="____key2" localSheetId="0" hidden="1">#REF!</definedName>
    <definedName name="____key2" hidden="1">#REF!</definedName>
    <definedName name="____la29" localSheetId="0" hidden="1">#REF!</definedName>
    <definedName name="____la29" hidden="1">#REF!</definedName>
    <definedName name="____la3" localSheetId="0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14" hidden="1">{"'장비'!$A$3:$M$12"}</definedName>
    <definedName name="____PK2" localSheetId="7" hidden="1">{"'장비'!$A$3:$M$12"}</definedName>
    <definedName name="____PK2" localSheetId="1" hidden="1">{"'장비'!$A$3:$M$12"}</definedName>
    <definedName name="____PK2" localSheetId="2" hidden="1">{"'장비'!$A$3:$M$12"}</definedName>
    <definedName name="____PK2" localSheetId="9" hidden="1">{"'장비'!$A$3:$M$12"}</definedName>
    <definedName name="____PK2" localSheetId="5" hidden="1">{"'장비'!$A$3:$M$12"}</definedName>
    <definedName name="____PK2" localSheetId="4" hidden="1">{"'장비'!$A$3:$M$12"}</definedName>
    <definedName name="____PK2" localSheetId="8" hidden="1">{"'장비'!$A$3:$M$12"}</definedName>
    <definedName name="____PK2" localSheetId="12" hidden="1">{"'장비'!$A$3:$M$12"}</definedName>
    <definedName name="____PK2" localSheetId="16" hidden="1">{"'장비'!$A$3:$M$12"}</definedName>
    <definedName name="____PK2" localSheetId="0" hidden="1">{"'장비'!$A$3:$M$12"}</definedName>
    <definedName name="____PK2" localSheetId="11" hidden="1">{"'장비'!$A$3:$M$12"}</definedName>
    <definedName name="____PK2" localSheetId="13" hidden="1">{"'장비'!$A$3:$M$12"}</definedName>
    <definedName name="____PK2" hidden="1">{"'장비'!$A$3:$M$12"}</definedName>
    <definedName name="____PKG3" localSheetId="14" hidden="1">{"'장비'!$A$3:$M$12"}</definedName>
    <definedName name="____PKG3" localSheetId="7" hidden="1">{"'장비'!$A$3:$M$12"}</definedName>
    <definedName name="____PKG3" localSheetId="1" hidden="1">{"'장비'!$A$3:$M$12"}</definedName>
    <definedName name="____PKG3" localSheetId="2" hidden="1">{"'장비'!$A$3:$M$12"}</definedName>
    <definedName name="____PKG3" localSheetId="9" hidden="1">{"'장비'!$A$3:$M$12"}</definedName>
    <definedName name="____PKG3" localSheetId="5" hidden="1">{"'장비'!$A$3:$M$12"}</definedName>
    <definedName name="____PKG3" localSheetId="4" hidden="1">{"'장비'!$A$3:$M$12"}</definedName>
    <definedName name="____PKG3" localSheetId="8" hidden="1">{"'장비'!$A$3:$M$12"}</definedName>
    <definedName name="____PKG3" localSheetId="12" hidden="1">{"'장비'!$A$3:$M$12"}</definedName>
    <definedName name="____PKG3" localSheetId="16" hidden="1">{"'장비'!$A$3:$M$12"}</definedName>
    <definedName name="____PKG3" localSheetId="0" hidden="1">{"'장비'!$A$3:$M$12"}</definedName>
    <definedName name="____PKG3" localSheetId="11" hidden="1">{"'장비'!$A$3:$M$12"}</definedName>
    <definedName name="____PKG3" localSheetId="13" hidden="1">{"'장비'!$A$3:$M$12"}</definedName>
    <definedName name="____PKG3" hidden="1">{"'장비'!$A$3:$M$12"}</definedName>
    <definedName name="____qqq222" localSheetId="14" hidden="1">{"'장비'!$A$3:$M$12"}</definedName>
    <definedName name="____qqq222" localSheetId="7" hidden="1">{"'장비'!$A$3:$M$12"}</definedName>
    <definedName name="____qqq222" localSheetId="1" hidden="1">{"'장비'!$A$3:$M$12"}</definedName>
    <definedName name="____qqq222" localSheetId="2" hidden="1">{"'장비'!$A$3:$M$12"}</definedName>
    <definedName name="____qqq222" localSheetId="9" hidden="1">{"'장비'!$A$3:$M$12"}</definedName>
    <definedName name="____qqq222" localSheetId="5" hidden="1">{"'장비'!$A$3:$M$12"}</definedName>
    <definedName name="____qqq222" localSheetId="4" hidden="1">{"'장비'!$A$3:$M$12"}</definedName>
    <definedName name="____qqq222" localSheetId="8" hidden="1">{"'장비'!$A$3:$M$12"}</definedName>
    <definedName name="____qqq222" localSheetId="12" hidden="1">{"'장비'!$A$3:$M$12"}</definedName>
    <definedName name="____qqq222" localSheetId="16" hidden="1">{"'장비'!$A$3:$M$12"}</definedName>
    <definedName name="____qqq222" localSheetId="0" hidden="1">{"'장비'!$A$3:$M$12"}</definedName>
    <definedName name="____qqq222" localSheetId="11" hidden="1">{"'장비'!$A$3:$M$12"}</definedName>
    <definedName name="____qqq222" localSheetId="13" hidden="1">{"'장비'!$A$3:$M$12"}</definedName>
    <definedName name="____qqq222" hidden="1">{"'장비'!$A$3:$M$12"}</definedName>
    <definedName name="_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2" hidden="1">#REF!</definedName>
    <definedName name="____x10" localSheetId="9" hidden="1">#REF!</definedName>
    <definedName name="____x10" hidden="1">#REF!</definedName>
    <definedName name="____x11" localSheetId="2" hidden="1">#REF!</definedName>
    <definedName name="____x11" localSheetId="9" hidden="1">#REF!</definedName>
    <definedName name="____x11" hidden="1">#REF!</definedName>
    <definedName name="____x12" localSheetId="2" hidden="1">#REF!</definedName>
    <definedName name="____x12" localSheetId="9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 localSheetId="2">#REF!</definedName>
    <definedName name="___ACR10" localSheetId="5">#REF!</definedName>
    <definedName name="___ACR10">#REF!</definedName>
    <definedName name="___ACR15" localSheetId="2">#REF!</definedName>
    <definedName name="___ACR15" localSheetId="5">#REF!</definedName>
    <definedName name="___ACR15">#REF!</definedName>
    <definedName name="___acr20" localSheetId="2">#REF!</definedName>
    <definedName name="___acr20" localSheetId="5">#REF!</definedName>
    <definedName name="___acr20">#REF!</definedName>
    <definedName name="___acr5" localSheetId="2">#REF!</definedName>
    <definedName name="___acr5" localSheetId="5">#REF!</definedName>
    <definedName name="___acr5">#REF!</definedName>
    <definedName name="___ARQ1" localSheetId="2">#REF!</definedName>
    <definedName name="___ARQ1" localSheetId="5">#REF!</definedName>
    <definedName name="___ARQ1">#REF!</definedName>
    <definedName name="__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2" hidden="1">#REF!</definedName>
    <definedName name="___key2" localSheetId="5" hidden="1">#REF!</definedName>
    <definedName name="___key2" localSheetId="0" hidden="1">#REF!</definedName>
    <definedName name="___key2" hidden="1">#REF!</definedName>
    <definedName name="___la29" localSheetId="0" hidden="1">#REF!</definedName>
    <definedName name="___la29" hidden="1">#REF!</definedName>
    <definedName name="___la3" localSheetId="0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14" hidden="1">{"'장비'!$A$3:$M$12"}</definedName>
    <definedName name="___PK2" localSheetId="7" hidden="1">{"'장비'!$A$3:$M$12"}</definedName>
    <definedName name="___PK2" localSheetId="1" hidden="1">{"'장비'!$A$3:$M$12"}</definedName>
    <definedName name="___PK2" localSheetId="2" hidden="1">{"'장비'!$A$3:$M$12"}</definedName>
    <definedName name="___PK2" localSheetId="9" hidden="1">{"'장비'!$A$3:$M$12"}</definedName>
    <definedName name="___PK2" localSheetId="5" hidden="1">{"'장비'!$A$3:$M$12"}</definedName>
    <definedName name="___PK2" localSheetId="4" hidden="1">{"'장비'!$A$3:$M$12"}</definedName>
    <definedName name="___PK2" localSheetId="8" hidden="1">{"'장비'!$A$3:$M$12"}</definedName>
    <definedName name="___PK2" localSheetId="12" hidden="1">{"'장비'!$A$3:$M$12"}</definedName>
    <definedName name="___PK2" localSheetId="16" hidden="1">{"'장비'!$A$3:$M$12"}</definedName>
    <definedName name="___PK2" localSheetId="0" hidden="1">{"'장비'!$A$3:$M$12"}</definedName>
    <definedName name="___PK2" localSheetId="11" hidden="1">{"'장비'!$A$3:$M$12"}</definedName>
    <definedName name="___PK2" localSheetId="13" hidden="1">{"'장비'!$A$3:$M$12"}</definedName>
    <definedName name="___PK2" hidden="1">{"'장비'!$A$3:$M$12"}</definedName>
    <definedName name="___PKG3" localSheetId="14" hidden="1">{"'장비'!$A$3:$M$12"}</definedName>
    <definedName name="___PKG3" localSheetId="7" hidden="1">{"'장비'!$A$3:$M$12"}</definedName>
    <definedName name="___PKG3" localSheetId="1" hidden="1">{"'장비'!$A$3:$M$12"}</definedName>
    <definedName name="___PKG3" localSheetId="2" hidden="1">{"'장비'!$A$3:$M$12"}</definedName>
    <definedName name="___PKG3" localSheetId="9" hidden="1">{"'장비'!$A$3:$M$12"}</definedName>
    <definedName name="___PKG3" localSheetId="5" hidden="1">{"'장비'!$A$3:$M$12"}</definedName>
    <definedName name="___PKG3" localSheetId="4" hidden="1">{"'장비'!$A$3:$M$12"}</definedName>
    <definedName name="___PKG3" localSheetId="8" hidden="1">{"'장비'!$A$3:$M$12"}</definedName>
    <definedName name="___PKG3" localSheetId="12" hidden="1">{"'장비'!$A$3:$M$12"}</definedName>
    <definedName name="___PKG3" localSheetId="16" hidden="1">{"'장비'!$A$3:$M$12"}</definedName>
    <definedName name="___PKG3" localSheetId="0" hidden="1">{"'장비'!$A$3:$M$12"}</definedName>
    <definedName name="___PKG3" localSheetId="11" hidden="1">{"'장비'!$A$3:$M$12"}</definedName>
    <definedName name="___PKG3" localSheetId="13" hidden="1">{"'장비'!$A$3:$M$12"}</definedName>
    <definedName name="___PKG3" hidden="1">{"'장비'!$A$3:$M$12"}</definedName>
    <definedName name="___qqq222" localSheetId="14" hidden="1">{"'장비'!$A$3:$M$12"}</definedName>
    <definedName name="___qqq222" localSheetId="7" hidden="1">{"'장비'!$A$3:$M$12"}</definedName>
    <definedName name="___qqq222" localSheetId="1" hidden="1">{"'장비'!$A$3:$M$12"}</definedName>
    <definedName name="___qqq222" localSheetId="2" hidden="1">{"'장비'!$A$3:$M$12"}</definedName>
    <definedName name="___qqq222" localSheetId="9" hidden="1">{"'장비'!$A$3:$M$12"}</definedName>
    <definedName name="___qqq222" localSheetId="5" hidden="1">{"'장비'!$A$3:$M$12"}</definedName>
    <definedName name="___qqq222" localSheetId="4" hidden="1">{"'장비'!$A$3:$M$12"}</definedName>
    <definedName name="___qqq222" localSheetId="8" hidden="1">{"'장비'!$A$3:$M$12"}</definedName>
    <definedName name="___qqq222" localSheetId="12" hidden="1">{"'장비'!$A$3:$M$12"}</definedName>
    <definedName name="___qqq222" localSheetId="16" hidden="1">{"'장비'!$A$3:$M$12"}</definedName>
    <definedName name="___qqq222" localSheetId="0" hidden="1">{"'장비'!$A$3:$M$12"}</definedName>
    <definedName name="___qqq222" localSheetId="11" hidden="1">{"'장비'!$A$3:$M$12"}</definedName>
    <definedName name="___qqq222" localSheetId="13" hidden="1">{"'장비'!$A$3:$M$12"}</definedName>
    <definedName name="___qqq222" hidden="1">{"'장비'!$A$3:$M$12"}</definedName>
    <definedName name="___QT100" localSheetId="2">#REF!</definedName>
    <definedName name="___QT100" localSheetId="5">#REF!</definedName>
    <definedName name="___QT100">#REF!</definedName>
    <definedName name="___QT2" localSheetId="2">#REF!</definedName>
    <definedName name="___QT2" localSheetId="5">#REF!</definedName>
    <definedName name="___QT2">#REF!</definedName>
    <definedName name="___QT3" localSheetId="2">#REF!</definedName>
    <definedName name="___QT3" localSheetId="5">#REF!</definedName>
    <definedName name="___QT3">#REF!</definedName>
    <definedName name="___QT4" localSheetId="2">#REF!</definedName>
    <definedName name="___QT4" localSheetId="5">#REF!</definedName>
    <definedName name="___QT4">#REF!</definedName>
    <definedName name="___QT50" localSheetId="2">#REF!</definedName>
    <definedName name="___QT50" localSheetId="5">#REF!</definedName>
    <definedName name="___QT50">#REF!</definedName>
    <definedName name="___QT75" localSheetId="2">#REF!</definedName>
    <definedName name="___QT75" localSheetId="5">#REF!</definedName>
    <definedName name="___QT75">#REF!</definedName>
    <definedName name="_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2" hidden="1">#REF!</definedName>
    <definedName name="___x10" localSheetId="9" hidden="1">#REF!</definedName>
    <definedName name="___x10" hidden="1">#REF!</definedName>
    <definedName name="___x11" localSheetId="2" hidden="1">#REF!</definedName>
    <definedName name="___x11" localSheetId="9" hidden="1">#REF!</definedName>
    <definedName name="___x11" hidden="1">#REF!</definedName>
    <definedName name="___x12" localSheetId="2" hidden="1">#REF!</definedName>
    <definedName name="___x12" localSheetId="9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localSheetId="2" hidden="1">#REF!</definedName>
    <definedName name="__123Graph_AChart1" localSheetId="5" hidden="1">#REF!</definedName>
    <definedName name="__123Graph_AChart1" localSheetId="0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localSheetId="2" hidden="1">#REF!</definedName>
    <definedName name="__123Graph_AGRA1" localSheetId="5" hidden="1">#REF!</definedName>
    <definedName name="__123Graph_AGRA1" localSheetId="0" hidden="1">#REF!</definedName>
    <definedName name="__123Graph_AGRA1" hidden="1">#REF!</definedName>
    <definedName name="__123Graph_ARES" localSheetId="2" hidden="1">#REF!</definedName>
    <definedName name="__123Graph_ARES" localSheetId="5" hidden="1">#REF!</definedName>
    <definedName name="__123Graph_ARES" localSheetId="0" hidden="1">#REF!</definedName>
    <definedName name="__123Graph_ARES" hidden="1">#REF!</definedName>
    <definedName name="__123Graph_B" localSheetId="2" hidden="1">#REF!</definedName>
    <definedName name="__123Graph_B" localSheetId="5" hidden="1">#REF!</definedName>
    <definedName name="__123Graph_B" localSheetId="0" hidden="1">#REF!</definedName>
    <definedName name="__123Graph_B" hidden="1">#REF!</definedName>
    <definedName name="__123Graph_BChart1" localSheetId="2" hidden="1">#REF!</definedName>
    <definedName name="__123Graph_BChart1" localSheetId="5" hidden="1">#REF!</definedName>
    <definedName name="__123Graph_BChart1" localSheetId="0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localSheetId="2" hidden="1">#REF!</definedName>
    <definedName name="__123Graph_C" localSheetId="5" hidden="1">#REF!</definedName>
    <definedName name="__123Graph_C" localSheetId="0" hidden="1">#REF!</definedName>
    <definedName name="__123Graph_C" hidden="1">#REF!</definedName>
    <definedName name="__123Graph_D" localSheetId="2" hidden="1">#REF!</definedName>
    <definedName name="__123Graph_D" localSheetId="5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2" hidden="1">#REF!</definedName>
    <definedName name="__123Graph_X" localSheetId="5" hidden="1">#REF!</definedName>
    <definedName name="__123Graph_X" localSheetId="0" hidden="1">#REF!</definedName>
    <definedName name="__123Graph_X" hidden="1">#REF!</definedName>
    <definedName name="__123Graph_XChart1" localSheetId="2" hidden="1">#REF!</definedName>
    <definedName name="__123Graph_XChart1" localSheetId="5" hidden="1">#REF!</definedName>
    <definedName name="__123Graph_XChart1" localSheetId="0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localSheetId="2" hidden="1">#REF!</definedName>
    <definedName name="__123Graph_XGRA1" localSheetId="5" hidden="1">#REF!</definedName>
    <definedName name="__123Graph_XGRA1" localSheetId="0" hidden="1">#REF!</definedName>
    <definedName name="__123Graph_XGRA1" hidden="1">#REF!</definedName>
    <definedName name="__123Graph_XRES" localSheetId="2" hidden="1">#REF!</definedName>
    <definedName name="__123Graph_XRES" localSheetId="5" hidden="1">#REF!</definedName>
    <definedName name="__123Graph_XRES" localSheetId="0" hidden="1">#REF!</definedName>
    <definedName name="__123Graph_XRES" hidden="1">#REF!</definedName>
    <definedName name="__ACR10" localSheetId="2">#REF!</definedName>
    <definedName name="__ACR10" localSheetId="5">#REF!</definedName>
    <definedName name="__ACR10">#REF!</definedName>
    <definedName name="__ACR15" localSheetId="2">#REF!</definedName>
    <definedName name="__ACR15" localSheetId="5">#REF!</definedName>
    <definedName name="__ACR15">#REF!</definedName>
    <definedName name="__acr20" localSheetId="2">#REF!</definedName>
    <definedName name="__acr20" localSheetId="5">#REF!</definedName>
    <definedName name="__acr20">#REF!</definedName>
    <definedName name="__acr5" localSheetId="2">#REF!</definedName>
    <definedName name="__acr5" localSheetId="5">#REF!</definedName>
    <definedName name="__acr5">#REF!</definedName>
    <definedName name="__ARQ1" localSheetId="2">#REF!</definedName>
    <definedName name="__ARQ1" localSheetId="5">#REF!</definedName>
    <definedName name="__ARQ1">#REF!</definedName>
    <definedName name="__Axe3" localSheetId="2">#REF!</definedName>
    <definedName name="__Axe3" localSheetId="5">#REF!</definedName>
    <definedName name="__Axe3">#REF!</definedName>
    <definedName name="__Axe4" localSheetId="2">#REF!</definedName>
    <definedName name="__Axe4" localSheetId="5">#REF!</definedName>
    <definedName name="__Axe4">#REF!</definedName>
    <definedName name="_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2">#REF!</definedName>
    <definedName name="__htm2" localSheetId="5">#REF!</definedName>
    <definedName name="__htm2">#REF!</definedName>
    <definedName name="__htn2" localSheetId="2">#REF!</definedName>
    <definedName name="__htn2" localSheetId="5">#REF!</definedName>
    <definedName name="__htn2">#REF!</definedName>
    <definedName name="__iss2" localSheetId="2">#REF!</definedName>
    <definedName name="__iss2" localSheetId="5">#REF!</definedName>
    <definedName name="__iss2">#REF!</definedName>
    <definedName name="__key2" localSheetId="2" hidden="1">#REF!</definedName>
    <definedName name="__key2" localSheetId="0" hidden="1">#REF!</definedName>
    <definedName name="__key2" hidden="1">#REF!</definedName>
    <definedName name="__la29" localSheetId="0" hidden="1">#REF!</definedName>
    <definedName name="__la29" hidden="1">#REF!</definedName>
    <definedName name="__la3" localSheetId="0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14" hidden="1">{"'장비'!$A$3:$M$12"}</definedName>
    <definedName name="__PK2" localSheetId="7" hidden="1">{"'장비'!$A$3:$M$12"}</definedName>
    <definedName name="__PK2" localSheetId="1" hidden="1">{"'장비'!$A$3:$M$12"}</definedName>
    <definedName name="__PK2" localSheetId="2" hidden="1">{"'장비'!$A$3:$M$12"}</definedName>
    <definedName name="__PK2" localSheetId="9" hidden="1">{"'장비'!$A$3:$M$12"}</definedName>
    <definedName name="__PK2" localSheetId="5" hidden="1">{"'장비'!$A$3:$M$12"}</definedName>
    <definedName name="__PK2" localSheetId="4" hidden="1">{"'장비'!$A$3:$M$12"}</definedName>
    <definedName name="__PK2" localSheetId="8" hidden="1">{"'장비'!$A$3:$M$12"}</definedName>
    <definedName name="__PK2" localSheetId="12" hidden="1">{"'장비'!$A$3:$M$12"}</definedName>
    <definedName name="__PK2" localSheetId="16" hidden="1">{"'장비'!$A$3:$M$12"}</definedName>
    <definedName name="__PK2" localSheetId="0" hidden="1">{"'장비'!$A$3:$M$12"}</definedName>
    <definedName name="__PK2" localSheetId="11" hidden="1">{"'장비'!$A$3:$M$12"}</definedName>
    <definedName name="__PK2" localSheetId="13" hidden="1">{"'장비'!$A$3:$M$12"}</definedName>
    <definedName name="__PK2" hidden="1">{"'장비'!$A$3:$M$12"}</definedName>
    <definedName name="__PKG3" localSheetId="14" hidden="1">{"'장비'!$A$3:$M$12"}</definedName>
    <definedName name="__PKG3" localSheetId="7" hidden="1">{"'장비'!$A$3:$M$12"}</definedName>
    <definedName name="__PKG3" localSheetId="1" hidden="1">{"'장비'!$A$3:$M$12"}</definedName>
    <definedName name="__PKG3" localSheetId="2" hidden="1">{"'장비'!$A$3:$M$12"}</definedName>
    <definedName name="__PKG3" localSheetId="9" hidden="1">{"'장비'!$A$3:$M$12"}</definedName>
    <definedName name="__PKG3" localSheetId="5" hidden="1">{"'장비'!$A$3:$M$12"}</definedName>
    <definedName name="__PKG3" localSheetId="4" hidden="1">{"'장비'!$A$3:$M$12"}</definedName>
    <definedName name="__PKG3" localSheetId="8" hidden="1">{"'장비'!$A$3:$M$12"}</definedName>
    <definedName name="__PKG3" localSheetId="12" hidden="1">{"'장비'!$A$3:$M$12"}</definedName>
    <definedName name="__PKG3" localSheetId="16" hidden="1">{"'장비'!$A$3:$M$12"}</definedName>
    <definedName name="__PKG3" localSheetId="0" hidden="1">{"'장비'!$A$3:$M$12"}</definedName>
    <definedName name="__PKG3" localSheetId="11" hidden="1">{"'장비'!$A$3:$M$12"}</definedName>
    <definedName name="__PKG3" localSheetId="13" hidden="1">{"'장비'!$A$3:$M$12"}</definedName>
    <definedName name="__PKG3" hidden="1">{"'장비'!$A$3:$M$12"}</definedName>
    <definedName name="__qqq222" localSheetId="14" hidden="1">{"'장비'!$A$3:$M$12"}</definedName>
    <definedName name="__qqq222" localSheetId="7" hidden="1">{"'장비'!$A$3:$M$12"}</definedName>
    <definedName name="__qqq222" localSheetId="1" hidden="1">{"'장비'!$A$3:$M$12"}</definedName>
    <definedName name="__qqq222" localSheetId="2" hidden="1">{"'장비'!$A$3:$M$12"}</definedName>
    <definedName name="__qqq222" localSheetId="9" hidden="1">{"'장비'!$A$3:$M$12"}</definedName>
    <definedName name="__qqq222" localSheetId="5" hidden="1">{"'장비'!$A$3:$M$12"}</definedName>
    <definedName name="__qqq222" localSheetId="4" hidden="1">{"'장비'!$A$3:$M$12"}</definedName>
    <definedName name="__qqq222" localSheetId="8" hidden="1">{"'장비'!$A$3:$M$12"}</definedName>
    <definedName name="__qqq222" localSheetId="12" hidden="1">{"'장비'!$A$3:$M$12"}</definedName>
    <definedName name="__qqq222" localSheetId="16" hidden="1">{"'장비'!$A$3:$M$12"}</definedName>
    <definedName name="__qqq222" localSheetId="0" hidden="1">{"'장비'!$A$3:$M$12"}</definedName>
    <definedName name="__qqq222" localSheetId="11" hidden="1">{"'장비'!$A$3:$M$12"}</definedName>
    <definedName name="__qqq222" localSheetId="13" hidden="1">{"'장비'!$A$3:$M$12"}</definedName>
    <definedName name="__qqq222" hidden="1">{"'장비'!$A$3:$M$12"}</definedName>
    <definedName name="__QT100" localSheetId="2">#REF!</definedName>
    <definedName name="__QT100" localSheetId="5">#REF!</definedName>
    <definedName name="__QT100">#REF!</definedName>
    <definedName name="__QT2" localSheetId="2">#REF!</definedName>
    <definedName name="__QT2" localSheetId="5">#REF!</definedName>
    <definedName name="__QT2">#REF!</definedName>
    <definedName name="__QT3" localSheetId="2">#REF!</definedName>
    <definedName name="__QT3" localSheetId="5">#REF!</definedName>
    <definedName name="__QT3">#REF!</definedName>
    <definedName name="__QT4" localSheetId="2">#REF!</definedName>
    <definedName name="__QT4" localSheetId="5">#REF!</definedName>
    <definedName name="__QT4">#REF!</definedName>
    <definedName name="__QT50" localSheetId="2">#REF!</definedName>
    <definedName name="__QT50" localSheetId="5">#REF!</definedName>
    <definedName name="__QT50">#REF!</definedName>
    <definedName name="__QT75" localSheetId="2">#REF!</definedName>
    <definedName name="__QT75" localSheetId="5">#REF!</definedName>
    <definedName name="__QT75">#REF!</definedName>
    <definedName name="_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2" hidden="1">#REF!</definedName>
    <definedName name="__x10" localSheetId="9" hidden="1">#REF!</definedName>
    <definedName name="__x10" hidden="1">#REF!</definedName>
    <definedName name="__x11" localSheetId="2" hidden="1">#REF!</definedName>
    <definedName name="__x11" localSheetId="9" hidden="1">#REF!</definedName>
    <definedName name="__x11" hidden="1">#REF!</definedName>
    <definedName name="__x12" localSheetId="2" hidden="1">#REF!</definedName>
    <definedName name="__x12" localSheetId="9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 localSheetId="2">#REF!</definedName>
    <definedName name="_0.CURVA_OBRA" localSheetId="5">#REF!</definedName>
    <definedName name="_0.CURVA_OBRA">#REF!</definedName>
    <definedName name="_00.VAR._GASTO" localSheetId="2">#REF!</definedName>
    <definedName name="_00.VAR._GASTO" localSheetId="5">#REF!</definedName>
    <definedName name="_00.VAR._GASTO">#REF!</definedName>
    <definedName name="_000.CURVA_FINA" localSheetId="2">#REF!</definedName>
    <definedName name="_000.CURVA_FINA" localSheetId="5">#REF!</definedName>
    <definedName name="_000.CURVA_FINA">#REF!</definedName>
    <definedName name="_1" localSheetId="2">#REF!</definedName>
    <definedName name="_1" localSheetId="5">#REF!</definedName>
    <definedName name="_1" localSheetId="24">#REF!</definedName>
    <definedName name="_1">#REF!</definedName>
    <definedName name="_1__123Graph_ACHART_1" localSheetId="2" hidden="1">#REF!</definedName>
    <definedName name="_1__123Graph_ACHART_1" localSheetId="5" hidden="1">#REF!</definedName>
    <definedName name="_1__123Graph_ACHART_1" localSheetId="0" hidden="1">#REF!</definedName>
    <definedName name="_1__123Graph_ACHART_1" hidden="1">#REF!</definedName>
    <definedName name="_10__123Graph_CCHART_1" localSheetId="2" hidden="1">#REF!</definedName>
    <definedName name="_10__123Graph_CCHART_1" localSheetId="5" hidden="1">#REF!</definedName>
    <definedName name="_10__123Graph_CCHART_1" localSheetId="0" hidden="1">#REF!</definedName>
    <definedName name="_10__123Graph_CCHART_1" hidden="1">#REF!</definedName>
    <definedName name="_11.SERV.TECNIC" localSheetId="2">#REF!</definedName>
    <definedName name="_11.SERV.TECNIC" localSheetId="5">#REF!</definedName>
    <definedName name="_11.SERV.TECNIC">#REF!</definedName>
    <definedName name="_11__123Graph_DCHART_1" localSheetId="2" hidden="1">#REF!</definedName>
    <definedName name="_11__123Graph_DCHART_1" localSheetId="5" hidden="1">#REF!</definedName>
    <definedName name="_11__123Graph_DCHART_1" localSheetId="0" hidden="1">#REF!</definedName>
    <definedName name="_11__123Graph_DCHART_1" hidden="1">#REF!</definedName>
    <definedName name="_12.GAST_GERAIS" localSheetId="2">#REF!</definedName>
    <definedName name="_12.GAST_GERAIS" localSheetId="5">#REF!</definedName>
    <definedName name="_12.GAST_GERAIS">#REF!</definedName>
    <definedName name="_12__123Graph_XChart_1A" hidden="1">#REF!</definedName>
    <definedName name="_13.P._PERMAN." localSheetId="2">#REF!</definedName>
    <definedName name="_13.P._PERMAN." localSheetId="5">#REF!</definedName>
    <definedName name="_13.P._PERMAN.">#REF!</definedName>
    <definedName name="_15.IMPL._CANT" localSheetId="2">#REF!</definedName>
    <definedName name="_15.IMPL._CANT" localSheetId="5">#REF!</definedName>
    <definedName name="_15.IMPL._CANT">#REF!</definedName>
    <definedName name="_16.EQUIPAM." localSheetId="2">#REF!</definedName>
    <definedName name="_16.EQUIPAM." localSheetId="5">#REF!</definedName>
    <definedName name="_16.EQUIPAM.">#REF!</definedName>
    <definedName name="_17.OPER._CANT." localSheetId="2">#REF!</definedName>
    <definedName name="_17.OPER._CANT." localSheetId="5">#REF!</definedName>
    <definedName name="_17.OPER._CANT.">#REF!</definedName>
    <definedName name="_19.TRANC_LIMP." localSheetId="2">#REF!</definedName>
    <definedName name="_19.TRANC_LIMP." localSheetId="5">#REF!</definedName>
    <definedName name="_19.TRANC_LIMP.">#REF!</definedName>
    <definedName name="_1Dist_Val" hidden="1">#REF!</definedName>
    <definedName name="_2" localSheetId="2">#REF!</definedName>
    <definedName name="_2" localSheetId="5">#REF!</definedName>
    <definedName name="_2" localSheetId="24">#REF!</definedName>
    <definedName name="_2">#REF!</definedName>
    <definedName name="_2__123Graph_BCHART_1" localSheetId="2" hidden="1">#REF!</definedName>
    <definedName name="_2__123Graph_BCHART_1" localSheetId="5" hidden="1">#REF!</definedName>
    <definedName name="_2__123Graph_BCHART_1" localSheetId="0" hidden="1">#REF!</definedName>
    <definedName name="_2__123Graph_BCHART_1" hidden="1">#REF!</definedName>
    <definedName name="_25.PREP.TERREN" localSheetId="2">#REF!</definedName>
    <definedName name="_25.PREP.TERREN" localSheetId="5">#REF!</definedName>
    <definedName name="_25.PREP.TERREN">#REF!</definedName>
    <definedName name="_27.FUND._ESCOR" localSheetId="2">#REF!</definedName>
    <definedName name="_27.FUND._ESCOR" localSheetId="5">#REF!</definedName>
    <definedName name="_27.FUND._ESCOR">#REF!</definedName>
    <definedName name="_2F" hidden="1">#REF!</definedName>
    <definedName name="_3__123Graph_XCHART_1" localSheetId="2" hidden="1">#REF!</definedName>
    <definedName name="_3__123Graph_XCHART_1" localSheetId="5" hidden="1">#REF!</definedName>
    <definedName name="_3__123Graph_XCHART_1" localSheetId="0" hidden="1">#REF!</definedName>
    <definedName name="_3__123Graph_XCHART_1" hidden="1">#REF!</definedName>
    <definedName name="_31_32_33.C_A" localSheetId="2">#REF!</definedName>
    <definedName name="_31_32_33.C_A" localSheetId="5">#REF!</definedName>
    <definedName name="_31_32_33.C_A">#REF!</definedName>
    <definedName name="_41.ALVENARIA" localSheetId="2">#REF!</definedName>
    <definedName name="_41.ALVENARIA" localSheetId="5">#REF!</definedName>
    <definedName name="_41.ALVENARIA">#REF!</definedName>
    <definedName name="_47.IMP._ISOLA." localSheetId="2">#REF!</definedName>
    <definedName name="_47.IMP._ISOLA." localSheetId="5">#REF!</definedName>
    <definedName name="_47.IMP._ISOLA.">#REF!</definedName>
    <definedName name="_5__123Graph_ACHART_1" localSheetId="2" hidden="1">#REF!</definedName>
    <definedName name="_5__123Graph_ACHART_1" localSheetId="5" hidden="1">#REF!</definedName>
    <definedName name="_5__123Graph_ACHART_1" localSheetId="0" hidden="1">#REF!</definedName>
    <definedName name="_5__123Graph_ACHART_1" hidden="1">#REF!</definedName>
    <definedName name="_51.REV.ARGAMAS" localSheetId="2">#REF!</definedName>
    <definedName name="_51.REV.ARGAMAS" localSheetId="5">#REF!</definedName>
    <definedName name="_51.REV.ARGAMAS">#REF!</definedName>
    <definedName name="_52.REV.CERAM.I" localSheetId="2">#REF!</definedName>
    <definedName name="_52.REV.CERAM.I" localSheetId="5">#REF!</definedName>
    <definedName name="_52.REV.CERAM.I">#REF!</definedName>
    <definedName name="_53.REV.CERAM.E" localSheetId="2">#REF!</definedName>
    <definedName name="_53.REV.CERAM.E" localSheetId="5">#REF!</definedName>
    <definedName name="_53.REV.CERAM.E">#REF!</definedName>
    <definedName name="_54.TACOS_E_ASS" localSheetId="2">#REF!</definedName>
    <definedName name="_54.TACOS_E_ASS" localSheetId="5">#REF!</definedName>
    <definedName name="_54.TACOS_E_ASS">#REF!</definedName>
    <definedName name="_55.MARM._E_GRA" localSheetId="2">#REF!</definedName>
    <definedName name="_55.MARM._E_GRA" localSheetId="5">#REF!</definedName>
    <definedName name="_55.MARM._E_GRA">#REF!</definedName>
    <definedName name="_56.MARMORITE" localSheetId="2">#REF!</definedName>
    <definedName name="_56.MARMORITE" localSheetId="5">#REF!</definedName>
    <definedName name="_56.MARMORITE">#REF!</definedName>
    <definedName name="_59.OUTRS_REVES" localSheetId="2">#REF!</definedName>
    <definedName name="_59.OUTRS_REVES" localSheetId="5">#REF!</definedName>
    <definedName name="_59.OUTRS_REVES">#REF!</definedName>
    <definedName name="_6__123Graph_AChart_1A" hidden="1">#REF!</definedName>
    <definedName name="_61.ESQUAD._MAD" localSheetId="2">#REF!</definedName>
    <definedName name="_61.ESQUAD._MAD" localSheetId="5">#REF!</definedName>
    <definedName name="_61.ESQUAD._MAD">#REF!</definedName>
    <definedName name="_63.ESQUAD._ALU" localSheetId="2">#REF!</definedName>
    <definedName name="_63.ESQUAD._ALU" localSheetId="5">#REF!</definedName>
    <definedName name="_63.ESQUAD._ALU">#REF!</definedName>
    <definedName name="_65.ESQUAD._FER" localSheetId="2">#REF!</definedName>
    <definedName name="_65.ESQUAD._FER" localSheetId="5">#REF!</definedName>
    <definedName name="_65.ESQUAD._FER">#REF!</definedName>
    <definedName name="_67.VIDROS" localSheetId="2">#REF!</definedName>
    <definedName name="_67.VIDROS" localSheetId="5">#REF!</definedName>
    <definedName name="_67.VIDROS">#REF!</definedName>
    <definedName name="_7__123Graph_ACHART_2" localSheetId="2" hidden="1">#REF!</definedName>
    <definedName name="_7__123Graph_ACHART_2" localSheetId="5" hidden="1">#REF!</definedName>
    <definedName name="_7__123Graph_ACHART_2" localSheetId="0" hidden="1">#REF!</definedName>
    <definedName name="_7__123Graph_ACHART_2" hidden="1">#REF!</definedName>
    <definedName name="_71_73.I.ELET_H" localSheetId="2">#REF!</definedName>
    <definedName name="_71_73.I.ELET_H" localSheetId="5">#REF!</definedName>
    <definedName name="_71_73.I.ELET_H">#REF!</definedName>
    <definedName name="_77.OUTRAS_INST." localSheetId="2">#REF!</definedName>
    <definedName name="_77.OUTRAS_INST." localSheetId="5">#REF!</definedName>
    <definedName name="_77.OUTRAS_INST.">#REF!</definedName>
    <definedName name="_78.ELEVADORES" localSheetId="2">#REF!</definedName>
    <definedName name="_78.ELEVADORES" localSheetId="5">#REF!</definedName>
    <definedName name="_78.ELEVADORES">#REF!</definedName>
    <definedName name="_8__123Graph_BChart_1A" hidden="1">#REF!</definedName>
    <definedName name="_81.APAR._SANIT" localSheetId="2">#REF!</definedName>
    <definedName name="_81.APAR._SANIT" localSheetId="5">#REF!</definedName>
    <definedName name="_81.APAR._SANIT">#REF!</definedName>
    <definedName name="_83_85.PINT_LIM" localSheetId="2">#REF!</definedName>
    <definedName name="_83_85.PINT_LIM" localSheetId="5">#REF!</definedName>
    <definedName name="_83_85.PINT_LIM">#REF!</definedName>
    <definedName name="_9__123Graph_BCHART_2" localSheetId="2" hidden="1">#REF!</definedName>
    <definedName name="_9__123Graph_BCHART_2" localSheetId="5" hidden="1">#REF!</definedName>
    <definedName name="_9__123Graph_BCHART_2" localSheetId="0" hidden="1">#REF!</definedName>
    <definedName name="_9__123Graph_BCHART_2" hidden="1">#REF!</definedName>
    <definedName name="_ACR10" localSheetId="2">#REF!</definedName>
    <definedName name="_ACR10" localSheetId="5">#REF!</definedName>
    <definedName name="_ACR10">#REF!</definedName>
    <definedName name="_ACR15" localSheetId="2">#REF!</definedName>
    <definedName name="_ACR15" localSheetId="5">#REF!</definedName>
    <definedName name="_ACR15">#REF!</definedName>
    <definedName name="_acr20" localSheetId="2">#REF!</definedName>
    <definedName name="_acr20" localSheetId="5">#REF!</definedName>
    <definedName name="_acr20">#REF!</definedName>
    <definedName name="_acr5" localSheetId="2">#REF!</definedName>
    <definedName name="_acr5" localSheetId="5">#REF!</definedName>
    <definedName name="_acr5">#REF!</definedName>
    <definedName name="_akhnsdkjsdb" localSheetId="2">#REF!</definedName>
    <definedName name="_akhnsdkjsdb" localSheetId="5">#REF!</definedName>
    <definedName name="_akhnsdkjsdb" localSheetId="12">#REF!</definedName>
    <definedName name="_akhnsdkjsdb">#REF!</definedName>
    <definedName name="_AMO_UniqueIdentifier" hidden="1">"'54256040-62ff-475a-9348-dbdfce08df30'"</definedName>
    <definedName name="_ARQ1" localSheetId="2">#REF!</definedName>
    <definedName name="_ARQ1" localSheetId="5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2">#REF!</definedName>
    <definedName name="_Axe3" localSheetId="5">#REF!</definedName>
    <definedName name="_Axe3">#REF!</definedName>
    <definedName name="_Axe4" localSheetId="2">#REF!</definedName>
    <definedName name="_Axe4" localSheetId="5">#REF!</definedName>
    <definedName name="_Axe4">#REF!</definedName>
    <definedName name="_Builtin13" localSheetId="2" hidden="1">#REF!</definedName>
    <definedName name="_Builtin13" localSheetId="5" hidden="1">#REF!</definedName>
    <definedName name="_Builtin13" localSheetId="0" hidden="1">#REF!</definedName>
    <definedName name="_Builtin13" hidden="1">#REF!</definedName>
    <definedName name="_CAB1" localSheetId="2">#REF!</definedName>
    <definedName name="_CAB1" localSheetId="5">#REF!</definedName>
    <definedName name="_CAB1">#REF!</definedName>
    <definedName name="_CAB2" localSheetId="2">#REF!</definedName>
    <definedName name="_CAB2" localSheetId="5">#REF!</definedName>
    <definedName name="_CAB2">#REF!</definedName>
    <definedName name="_CO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2" hidden="1">#REF!</definedName>
    <definedName name="_Dist_Bin" localSheetId="5" hidden="1">#REF!</definedName>
    <definedName name="_Dist_Bin" localSheetId="0" hidden="1">#REF!</definedName>
    <definedName name="_Dist_Bin" hidden="1">#REF!</definedName>
    <definedName name="_Dist_Values" localSheetId="2" hidden="1">#REF!</definedName>
    <definedName name="_Dist_Values" localSheetId="5" hidden="1">#REF!</definedName>
    <definedName name="_Dist_Values" localSheetId="0" hidden="1">#REF!</definedName>
    <definedName name="_Dist_Values" hidden="1">#REF!</definedName>
    <definedName name="_ECS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0" hidden="1">#REF!</definedName>
    <definedName name="_Fill" localSheetId="20" hidden="1">#REF!</definedName>
    <definedName name="_Fill" localSheetId="2" hidden="1">#REF!</definedName>
    <definedName name="_Fill" localSheetId="0" hidden="1">#REF!</definedName>
    <definedName name="_Fill" localSheetId="24" hidden="1">#REF!</definedName>
    <definedName name="_Fill" localSheetId="22" hidden="1">#REF!</definedName>
    <definedName name="_Fill" hidden="1">#REF!</definedName>
    <definedName name="_fill1" localSheetId="0" hidden="1">#REF!</definedName>
    <definedName name="_fill1" hidden="1">#REF!</definedName>
    <definedName name="_FiltrarBancoDados2" localSheetId="9" hidden="1">#REF!</definedName>
    <definedName name="_FiltrarBancoDados2" hidden="1">#REF!</definedName>
    <definedName name="_xlnm._FilterDatabase" localSheetId="10" hidden="1">Aço_Infraestrutura!$A$13:$Q$15</definedName>
    <definedName name="_xlnm._FilterDatabase" localSheetId="20" hidden="1">'Arm. Cortina'!$A$7:$P$16</definedName>
    <definedName name="_xlnm._FilterDatabase" localSheetId="14" hidden="1">#REF!</definedName>
    <definedName name="_xlnm._FilterDatabase" localSheetId="7" hidden="1">CPU!$B$1:$I$2465</definedName>
    <definedName name="_xlnm._FilterDatabase" localSheetId="2" hidden="1">'Ensaios '!$A$5:$G$11</definedName>
    <definedName name="_xlnm._FilterDatabase" localSheetId="9" hidden="1">'Fundação Rasa'!$A$8:$Y$91</definedName>
    <definedName name="_xlnm._FilterDatabase" localSheetId="5" hidden="1">Ger_Executivo!$G$7:$P$257</definedName>
    <definedName name="_xlnm._FilterDatabase" localSheetId="4" hidden="1">'Ger_Tec e Adm'!$G$7:$P$77</definedName>
    <definedName name="_xlnm._FilterDatabase" localSheetId="8" hidden="1">Insumos!$A$1:$G$670</definedName>
    <definedName name="_xlnm._FilterDatabase" localSheetId="0" hidden="1">#REF!</definedName>
    <definedName name="_xlnm._FilterDatabase" localSheetId="29" hidden="1">'Resumo Esquadrias - T1'!$A$5:$J$147</definedName>
    <definedName name="_xlnm._FilterDatabase" localSheetId="22" hidden="1">'Tabela de Aço'!$A$19:$A$29</definedName>
    <definedName name="_xlnm._FilterDatabase" hidden="1">#REF!</definedName>
    <definedName name="_htm2" localSheetId="2">#REF!</definedName>
    <definedName name="_htm2" localSheetId="5">#REF!</definedName>
    <definedName name="_htm2">#REF!</definedName>
    <definedName name="_htn2" localSheetId="2">#REF!</definedName>
    <definedName name="_htn2" localSheetId="5">#REF!</definedName>
    <definedName name="_htn2">#REF!</definedName>
    <definedName name="_IA0542" localSheetId="14" hidden="1">{#N/A,#N/A,FALSE,"Plan1";#N/A,#N/A,FALSE,"Plan2"}</definedName>
    <definedName name="_IA0542" localSheetId="7" hidden="1">{#N/A,#N/A,FALSE,"Plan1";#N/A,#N/A,FALSE,"Plan2"}</definedName>
    <definedName name="_IA0542" localSheetId="1" hidden="1">{#N/A,#N/A,FALSE,"Plan1";#N/A,#N/A,FALSE,"Plan2"}</definedName>
    <definedName name="_IA0542" localSheetId="2" hidden="1">{#N/A,#N/A,FALSE,"Plan1";#N/A,#N/A,FALSE,"Plan2"}</definedName>
    <definedName name="_IA0542" localSheetId="9" hidden="1">{#N/A,#N/A,FALSE,"Plan1";#N/A,#N/A,FALSE,"Plan2"}</definedName>
    <definedName name="_IA0542" localSheetId="5" hidden="1">{#N/A,#N/A,FALSE,"Plan1";#N/A,#N/A,FALSE,"Plan2"}</definedName>
    <definedName name="_IA0542" localSheetId="4" hidden="1">{#N/A,#N/A,FALSE,"Plan1";#N/A,#N/A,FALSE,"Plan2"}</definedName>
    <definedName name="_IA0542" localSheetId="8" hidden="1">{#N/A,#N/A,FALSE,"Plan1";#N/A,#N/A,FALSE,"Plan2"}</definedName>
    <definedName name="_IA0542" localSheetId="12" hidden="1">{#N/A,#N/A,FALSE,"Plan1";#N/A,#N/A,FALSE,"Plan2"}</definedName>
    <definedName name="_IA0542" localSheetId="16" hidden="1">{#N/A,#N/A,FALSE,"Plan1";#N/A,#N/A,FALSE,"Plan2"}</definedName>
    <definedName name="_IA0542" localSheetId="0" hidden="1">{#N/A,#N/A,FALSE,"Plan1";#N/A,#N/A,FALSE,"Plan2"}</definedName>
    <definedName name="_IA0542" localSheetId="11" hidden="1">{#N/A,#N/A,FALSE,"Plan1";#N/A,#N/A,FALSE,"Plan2"}</definedName>
    <definedName name="_IA0542" localSheetId="13" hidden="1">{#N/A,#N/A,FALSE,"Plan1";#N/A,#N/A,FALSE,"Plan2"}</definedName>
    <definedName name="_IA0542" hidden="1">{#N/A,#N/A,FALSE,"Plan1";#N/A,#N/A,FALSE,"Plan2"}</definedName>
    <definedName name="_iss2" localSheetId="2">#REF!</definedName>
    <definedName name="_iss2" localSheetId="5">#REF!</definedName>
    <definedName name="_iss2">#REF!</definedName>
    <definedName name="_IV65617" localSheetId="2">#REF!</definedName>
    <definedName name="_IV65617" localSheetId="5">#REF!</definedName>
    <definedName name="_IV65617">#REF!</definedName>
    <definedName name="_IV65999" localSheetId="2">#REF!</definedName>
    <definedName name="_IV65999" localSheetId="5">#REF!</definedName>
    <definedName name="_IV65999">#REF!</definedName>
    <definedName name="_IV66000" localSheetId="2">#REF!</definedName>
    <definedName name="_IV66000" localSheetId="5">#REF!</definedName>
    <definedName name="_IV66000">#REF!</definedName>
    <definedName name="_IV67021" localSheetId="2">#REF!</definedName>
    <definedName name="_IV67021" localSheetId="5">#REF!</definedName>
    <definedName name="_IV67021">#REF!</definedName>
    <definedName name="_IV67022" localSheetId="2">#REF!</definedName>
    <definedName name="_IV67022" localSheetId="5">#REF!</definedName>
    <definedName name="_IV67022">#REF!</definedName>
    <definedName name="_Key1" localSheetId="2" hidden="1">#REF!</definedName>
    <definedName name="_Key1" localSheetId="5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key4" hidden="1">#REF!</definedName>
    <definedName name="_l" localSheetId="2">#REF!</definedName>
    <definedName name="_l" localSheetId="5">#REF!</definedName>
    <definedName name="_l">#REF!</definedName>
    <definedName name="_la29" localSheetId="2" hidden="1">#REF!</definedName>
    <definedName name="_la29" localSheetId="5" hidden="1">#REF!</definedName>
    <definedName name="_la29" localSheetId="0" hidden="1">#REF!</definedName>
    <definedName name="_la29" hidden="1">#REF!</definedName>
    <definedName name="_la3" localSheetId="2" hidden="1">#REF!</definedName>
    <definedName name="_la3" localSheetId="5" hidden="1">#REF!</definedName>
    <definedName name="_la3" localSheetId="0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localSheetId="2" hidden="1">#REF!</definedName>
    <definedName name="_MatMult_A" localSheetId="5" hidden="1">#REF!</definedName>
    <definedName name="_MatMult_A" localSheetId="0" hidden="1">#REF!</definedName>
    <definedName name="_MatMult_A" hidden="1">#REF!</definedName>
    <definedName name="_MatMult_AxB" hidden="1">#REF!</definedName>
    <definedName name="_MatMult_B" hidden="1">#REF!</definedName>
    <definedName name="_new11" localSheetId="14" hidden="1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1" hidden="1">{#N/A,#N/A,FALSE,"Global by BU";#N/A,#N/A,FALSE,"U.S. by BU";#N/A,#N/A,FALSE,"Canada by BU";#N/A,#N/A,FALSE,"Europe by BU";#N/A,#N/A,FALSE,"Asia by BU";#N/A,#N/A,FALSE,"Cala by BU"}</definedName>
    <definedName name="_new11" localSheetId="2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5" hidden="1">{#N/A,#N/A,FALSE,"Global by BU";#N/A,#N/A,FALSE,"U.S. by BU";#N/A,#N/A,FALSE,"Canada by BU";#N/A,#N/A,FALSE,"Europe by BU";#N/A,#N/A,FALSE,"Asia by BU";#N/A,#N/A,FALSE,"Cala by BU"}</definedName>
    <definedName name="_new11" localSheetId="4" hidden="1">{#N/A,#N/A,FALSE,"Global by BU";#N/A,#N/A,FALSE,"U.S. by BU";#N/A,#N/A,FALSE,"Canada by BU";#N/A,#N/A,FALSE,"Europe by BU";#N/A,#N/A,FALSE,"Asia by BU";#N/A,#N/A,FALSE,"Cala by BU"}</definedName>
    <definedName name="_new11" localSheetId="8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localSheetId="16" hidden="1">{#N/A,#N/A,FALSE,"Global by BU";#N/A,#N/A,FALSE,"U.S. by BU";#N/A,#N/A,FALSE,"Canada by BU";#N/A,#N/A,FALSE,"Europe by BU";#N/A,#N/A,FALSE,"Asia by BU";#N/A,#N/A,FALSE,"Cala by BU"}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localSheetId="13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7" hidden="1">0</definedName>
    <definedName name="_Order2" localSheetId="2" hidden="1">0</definedName>
    <definedName name="_Order2" localSheetId="9" hidden="1">0</definedName>
    <definedName name="_Order2" localSheetId="5" hidden="1">255</definedName>
    <definedName name="_Order2" localSheetId="8" hidden="1">0</definedName>
    <definedName name="_Order2" localSheetId="0" hidden="1">255</definedName>
    <definedName name="_Order2" hidden="1">255</definedName>
    <definedName name="_Parse_Out" localSheetId="2" hidden="1">#REF!</definedName>
    <definedName name="_Parse_Out" localSheetId="0" hidden="1">#REF!</definedName>
    <definedName name="_Parse_Out" hidden="1">#REF!</definedName>
    <definedName name="_PAV01" localSheetId="2">#REF!</definedName>
    <definedName name="_PAV01" localSheetId="5">#REF!</definedName>
    <definedName name="_PAV01">#REF!</definedName>
    <definedName name="_PAV02" localSheetId="2">#REF!</definedName>
    <definedName name="_PAV02" localSheetId="5">#REF!</definedName>
    <definedName name="_PAV02">#REF!</definedName>
    <definedName name="_PAV03" localSheetId="2">#REF!</definedName>
    <definedName name="_PAV03" localSheetId="5">#REF!</definedName>
    <definedName name="_PAV03">#REF!</definedName>
    <definedName name="_PAV04" localSheetId="2">#REF!</definedName>
    <definedName name="_PAV04" localSheetId="5">#REF!</definedName>
    <definedName name="_PAV04">#REF!</definedName>
    <definedName name="_PAV05" localSheetId="2">#REF!</definedName>
    <definedName name="_PAV05" localSheetId="5">#REF!</definedName>
    <definedName name="_PAV05">#REF!</definedName>
    <definedName name="_PAV06" localSheetId="2">#REF!</definedName>
    <definedName name="_PAV06" localSheetId="5">#REF!</definedName>
    <definedName name="_PAV06">#REF!</definedName>
    <definedName name="_PAV07" localSheetId="2">#REF!</definedName>
    <definedName name="_PAV07" localSheetId="5">#REF!</definedName>
    <definedName name="_PAV07">#REF!</definedName>
    <definedName name="_PAV08" localSheetId="2">#REF!</definedName>
    <definedName name="_PAV08" localSheetId="5">#REF!</definedName>
    <definedName name="_PAV08">#REF!</definedName>
    <definedName name="_PAV09" localSheetId="2">#REF!</definedName>
    <definedName name="_PAV09" localSheetId="5">#REF!</definedName>
    <definedName name="_PAV09">#REF!</definedName>
    <definedName name="_PAV10" localSheetId="2">#REF!</definedName>
    <definedName name="_PAV10" localSheetId="5">#REF!</definedName>
    <definedName name="_PAV10">#REF!</definedName>
    <definedName name="_PAV11" localSheetId="2">#REF!</definedName>
    <definedName name="_PAV11" localSheetId="5">#REF!</definedName>
    <definedName name="_PAV11">#REF!</definedName>
    <definedName name="_PK2" localSheetId="14" hidden="1">{"'장비'!$A$3:$M$12"}</definedName>
    <definedName name="_PK2" localSheetId="7" hidden="1">{"'장비'!$A$3:$M$12"}</definedName>
    <definedName name="_PK2" localSheetId="1" hidden="1">{"'장비'!$A$3:$M$12"}</definedName>
    <definedName name="_PK2" localSheetId="2" hidden="1">{"'장비'!$A$3:$M$12"}</definedName>
    <definedName name="_PK2" localSheetId="9" hidden="1">{"'장비'!$A$3:$M$12"}</definedName>
    <definedName name="_PK2" localSheetId="5" hidden="1">{"'장비'!$A$3:$M$12"}</definedName>
    <definedName name="_PK2" localSheetId="4" hidden="1">{"'장비'!$A$3:$M$12"}</definedName>
    <definedName name="_PK2" localSheetId="8" hidden="1">{"'장비'!$A$3:$M$12"}</definedName>
    <definedName name="_PK2" localSheetId="12" hidden="1">{"'장비'!$A$3:$M$12"}</definedName>
    <definedName name="_PK2" localSheetId="16" hidden="1">{"'장비'!$A$3:$M$12"}</definedName>
    <definedName name="_PK2" localSheetId="0" hidden="1">{"'장비'!$A$3:$M$12"}</definedName>
    <definedName name="_PK2" localSheetId="11" hidden="1">{"'장비'!$A$3:$M$12"}</definedName>
    <definedName name="_PK2" localSheetId="13" hidden="1">{"'장비'!$A$3:$M$12"}</definedName>
    <definedName name="_PK2" hidden="1">{"'장비'!$A$3:$M$12"}</definedName>
    <definedName name="_PKG3" localSheetId="14" hidden="1">{"'장비'!$A$3:$M$12"}</definedName>
    <definedName name="_PKG3" localSheetId="7" hidden="1">{"'장비'!$A$3:$M$12"}</definedName>
    <definedName name="_PKG3" localSheetId="1" hidden="1">{"'장비'!$A$3:$M$12"}</definedName>
    <definedName name="_PKG3" localSheetId="2" hidden="1">{"'장비'!$A$3:$M$12"}</definedName>
    <definedName name="_PKG3" localSheetId="9" hidden="1">{"'장비'!$A$3:$M$12"}</definedName>
    <definedName name="_PKG3" localSheetId="5" hidden="1">{"'장비'!$A$3:$M$12"}</definedName>
    <definedName name="_PKG3" localSheetId="4" hidden="1">{"'장비'!$A$3:$M$12"}</definedName>
    <definedName name="_PKG3" localSheetId="8" hidden="1">{"'장비'!$A$3:$M$12"}</definedName>
    <definedName name="_PKG3" localSheetId="12" hidden="1">{"'장비'!$A$3:$M$12"}</definedName>
    <definedName name="_PKG3" localSheetId="16" hidden="1">{"'장비'!$A$3:$M$12"}</definedName>
    <definedName name="_PKG3" localSheetId="0" hidden="1">{"'장비'!$A$3:$M$12"}</definedName>
    <definedName name="_PKG3" localSheetId="11" hidden="1">{"'장비'!$A$3:$M$12"}</definedName>
    <definedName name="_PKG3" localSheetId="13" hidden="1">{"'장비'!$A$3:$M$12"}</definedName>
    <definedName name="_PKG3" hidden="1">{"'장비'!$A$3:$M$12"}</definedName>
    <definedName name="_qqq222" localSheetId="14" hidden="1">{"'장비'!$A$3:$M$12"}</definedName>
    <definedName name="_qqq222" localSheetId="7" hidden="1">{"'장비'!$A$3:$M$12"}</definedName>
    <definedName name="_qqq222" localSheetId="1" hidden="1">{"'장비'!$A$3:$M$12"}</definedName>
    <definedName name="_qqq222" localSheetId="2" hidden="1">{"'장비'!$A$3:$M$12"}</definedName>
    <definedName name="_qqq222" localSheetId="9" hidden="1">{"'장비'!$A$3:$M$12"}</definedName>
    <definedName name="_qqq222" localSheetId="5" hidden="1">{"'장비'!$A$3:$M$12"}</definedName>
    <definedName name="_qqq222" localSheetId="4" hidden="1">{"'장비'!$A$3:$M$12"}</definedName>
    <definedName name="_qqq222" localSheetId="8" hidden="1">{"'장비'!$A$3:$M$12"}</definedName>
    <definedName name="_qqq222" localSheetId="12" hidden="1">{"'장비'!$A$3:$M$12"}</definedName>
    <definedName name="_qqq222" localSheetId="16" hidden="1">{"'장비'!$A$3:$M$12"}</definedName>
    <definedName name="_qqq222" localSheetId="0" hidden="1">{"'장비'!$A$3:$M$12"}</definedName>
    <definedName name="_qqq222" localSheetId="11" hidden="1">{"'장비'!$A$3:$M$12"}</definedName>
    <definedName name="_qqq222" localSheetId="13" hidden="1">{"'장비'!$A$3:$M$12"}</definedName>
    <definedName name="_qqq222" hidden="1">{"'장비'!$A$3:$M$12"}</definedName>
    <definedName name="_QT100" localSheetId="2">#REF!</definedName>
    <definedName name="_QT100" localSheetId="5">#REF!</definedName>
    <definedName name="_QT100">#REF!</definedName>
    <definedName name="_QT2" localSheetId="2">#REF!</definedName>
    <definedName name="_QT2" localSheetId="5">#REF!</definedName>
    <definedName name="_QT2">#REF!</definedName>
    <definedName name="_QT3" localSheetId="2">#REF!</definedName>
    <definedName name="_QT3" localSheetId="5">#REF!</definedName>
    <definedName name="_QT3">#REF!</definedName>
    <definedName name="_QT4" localSheetId="2">#REF!</definedName>
    <definedName name="_QT4" localSheetId="5">#REF!</definedName>
    <definedName name="_QT4">#REF!</definedName>
    <definedName name="_QT50" localSheetId="2">#REF!</definedName>
    <definedName name="_QT50" localSheetId="5">#REF!</definedName>
    <definedName name="_QT50">#REF!</definedName>
    <definedName name="_QT75" localSheetId="2">#REF!</definedName>
    <definedName name="_QT75" localSheetId="5">#REF!</definedName>
    <definedName name="_QT75">#REF!</definedName>
    <definedName name="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2" hidden="1">#REF!</definedName>
    <definedName name="_Regression_Out" localSheetId="5" hidden="1">#REF!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fe5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2" hidden="1">#REF!</definedName>
    <definedName name="_Sort" localSheetId="5" hidden="1">#REF!</definedName>
    <definedName name="_Sort" localSheetId="0" hidden="1">#REF!</definedName>
    <definedName name="_Sort" hidden="1">#REF!</definedName>
    <definedName name="_T" localSheetId="2">#REF!</definedName>
    <definedName name="_T" localSheetId="5">#REF!</definedName>
    <definedName name="_T">#REF!</definedName>
    <definedName name="_Table1_In1" localSheetId="0" hidden="1">#REF!</definedName>
    <definedName name="_Table1_In1" hidden="1">#REF!</definedName>
    <definedName name="_Table1_Out" hidden="1">#REF!</definedName>
    <definedName name="_wer3" localSheetId="14" hidden="1">{#N/A,#N/A,FALSE,"Plan1";#N/A,#N/A,FALSE,"Plan2"}</definedName>
    <definedName name="_wer3" localSheetId="7" hidden="1">{#N/A,#N/A,FALSE,"Plan1";#N/A,#N/A,FALSE,"Plan2"}</definedName>
    <definedName name="_wer3" localSheetId="1" hidden="1">{#N/A,#N/A,FALSE,"Plan1";#N/A,#N/A,FALSE,"Plan2"}</definedName>
    <definedName name="_wer3" localSheetId="2" hidden="1">{#N/A,#N/A,FALSE,"Plan1";#N/A,#N/A,FALSE,"Plan2"}</definedName>
    <definedName name="_wer3" localSheetId="9" hidden="1">{#N/A,#N/A,FALSE,"Plan1";#N/A,#N/A,FALSE,"Plan2"}</definedName>
    <definedName name="_wer3" localSheetId="5" hidden="1">{#N/A,#N/A,FALSE,"Plan1";#N/A,#N/A,FALSE,"Plan2"}</definedName>
    <definedName name="_wer3" localSheetId="4" hidden="1">{#N/A,#N/A,FALSE,"Plan1";#N/A,#N/A,FALSE,"Plan2"}</definedName>
    <definedName name="_wer3" localSheetId="8" hidden="1">{#N/A,#N/A,FALSE,"Plan1";#N/A,#N/A,FALSE,"Plan2"}</definedName>
    <definedName name="_wer3" localSheetId="12" hidden="1">{#N/A,#N/A,FALSE,"Plan1";#N/A,#N/A,FALSE,"Plan2"}</definedName>
    <definedName name="_wer3" localSheetId="16" hidden="1">{#N/A,#N/A,FALSE,"Plan1";#N/A,#N/A,FALSE,"Plan2"}</definedName>
    <definedName name="_wer3" localSheetId="0" hidden="1">{#N/A,#N/A,FALSE,"Plan1";#N/A,#N/A,FALSE,"Plan2"}</definedName>
    <definedName name="_wer3" localSheetId="11" hidden="1">{#N/A,#N/A,FALSE,"Plan1";#N/A,#N/A,FALSE,"Plan2"}</definedName>
    <definedName name="_wer3" localSheetId="13" hidden="1">{#N/A,#N/A,FALSE,"Plan1";#N/A,#N/A,FALSE,"Plan2"}</definedName>
    <definedName name="_wer3" hidden="1">{#N/A,#N/A,FALSE,"Plan1";#N/A,#N/A,FALSE,"Plan2"}</definedName>
    <definedName name="_wrn.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2" hidden="1">#REF!</definedName>
    <definedName name="_x10" localSheetId="5" hidden="1">#REF!</definedName>
    <definedName name="_x10" localSheetId="0" hidden="1">#REF!</definedName>
    <definedName name="_x10" hidden="1">#REF!</definedName>
    <definedName name="_x11" localSheetId="2" hidden="1">#REF!</definedName>
    <definedName name="_x11" localSheetId="5" hidden="1">#REF!</definedName>
    <definedName name="_x11" localSheetId="0" hidden="1">#REF!</definedName>
    <definedName name="_x11" hidden="1">#REF!</definedName>
    <definedName name="_x12" localSheetId="2" hidden="1">#REF!</definedName>
    <definedName name="_x12" localSheetId="5" hidden="1">#REF!</definedName>
    <definedName name="_x12" localSheetId="0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localSheetId="2" hidden="1">#REF!</definedName>
    <definedName name="_xlcn.WorksheetConnection_2018_03ResumoRGOObrasRJ.xlsbTabela1" localSheetId="5" hidden="1">#REF!</definedName>
    <definedName name="_xlcn.WorksheetConnection_2018_03ResumoRGOObrasRJ.xlsbTabela1" localSheetId="0" hidden="1">#REF!</definedName>
    <definedName name="_xlcn.WorksheetConnection_2018_03ResumoRGOObrasRJ.xlsbTabela1" hidden="1">#REF!</definedName>
    <definedName name="_xlcn.WorksheetConnection_ProjetocontrolefisicoefinanceiroRJ.xlsxTabela31" localSheetId="2" hidden="1">#REF!</definedName>
    <definedName name="_xlcn.WorksheetConnection_ProjetocontrolefisicoefinanceiroRJ.xlsxTabela31" localSheetId="5" hidden="1">#REF!</definedName>
    <definedName name="_xlcn.WorksheetConnection_ProjetocontrolefisicoefinanceiroRJ.xlsxTabela31" localSheetId="0" hidden="1">#REF!</definedName>
    <definedName name="_xlcn.WorksheetConnection_ProjetocontrolefisicoefinanceiroRJ.xlsxTabela31" hidden="1">#REF!</definedName>
    <definedName name="´cAE°eE¹" localSheetId="2" hidden="1">#REF!</definedName>
    <definedName name="´cAE°eE¹" localSheetId="5" hidden="1">#REF!</definedName>
    <definedName name="´cAE°eE¹" localSheetId="0" hidden="1">#REF!</definedName>
    <definedName name="´cAE°eE¹" hidden="1">#REF!</definedName>
    <definedName name="￠￥cAE¡ÆeEⓒo" hidden="1">#REF!</definedName>
    <definedName name="a" localSheetId="2" hidden="1">#REF!</definedName>
    <definedName name="a" localSheetId="5">#REF!</definedName>
    <definedName name="a" localSheetId="0" hidden="1">#REF!</definedName>
    <definedName name="a">#REF!</definedName>
    <definedName name="a\sgt" localSheetId="14" hidden="1">{#N/A,#N/A,FALSE,"Plan1";#N/A,#N/A,FALSE,"Plan2"}</definedName>
    <definedName name="a\sgt" localSheetId="7" hidden="1">{#N/A,#N/A,FALSE,"Plan1";#N/A,#N/A,FALSE,"Plan2"}</definedName>
    <definedName name="a\sgt" localSheetId="1" hidden="1">{#N/A,#N/A,FALSE,"Plan1";#N/A,#N/A,FALSE,"Plan2"}</definedName>
    <definedName name="a\sgt" localSheetId="2" hidden="1">{#N/A,#N/A,FALSE,"Plan1";#N/A,#N/A,FALSE,"Plan2"}</definedName>
    <definedName name="a\sgt" localSheetId="9" hidden="1">{#N/A,#N/A,FALSE,"Plan1";#N/A,#N/A,FALSE,"Plan2"}</definedName>
    <definedName name="a\sgt" localSheetId="5" hidden="1">{#N/A,#N/A,FALSE,"Plan1";#N/A,#N/A,FALSE,"Plan2"}</definedName>
    <definedName name="a\sgt" localSheetId="4" hidden="1">{#N/A,#N/A,FALSE,"Plan1";#N/A,#N/A,FALSE,"Plan2"}</definedName>
    <definedName name="a\sgt" localSheetId="8" hidden="1">{#N/A,#N/A,FALSE,"Plan1";#N/A,#N/A,FALSE,"Plan2"}</definedName>
    <definedName name="a\sgt" localSheetId="12" hidden="1">{#N/A,#N/A,FALSE,"Plan1";#N/A,#N/A,FALSE,"Plan2"}</definedName>
    <definedName name="a\sgt" localSheetId="16" hidden="1">{#N/A,#N/A,FALSE,"Plan1";#N/A,#N/A,FALSE,"Plan2"}</definedName>
    <definedName name="a\sgt" localSheetId="0" hidden="1">{#N/A,#N/A,FALSE,"Plan1";#N/A,#N/A,FALSE,"Plan2"}</definedName>
    <definedName name="a\sgt" localSheetId="11" hidden="1">{#N/A,#N/A,FALSE,"Plan1";#N/A,#N/A,FALSE,"Plan2"}</definedName>
    <definedName name="a\sgt" localSheetId="13" hidden="1">{#N/A,#N/A,FALSE,"Plan1";#N/A,#N/A,FALSE,"Plan2"}</definedName>
    <definedName name="a\sgt" hidden="1">{#N/A,#N/A,FALSE,"Plan1";#N/A,#N/A,FALSE,"Plan2"}</definedName>
    <definedName name="aa" localSheetId="3">#REF!</definedName>
    <definedName name="aa" localSheetId="14">#REF!</definedName>
    <definedName name="aa" localSheetId="2">#REF!</definedName>
    <definedName name="aa" localSheetId="5">#REF!</definedName>
    <definedName name="aa" localSheetId="15">#REF!</definedName>
    <definedName name="aa" localSheetId="12">#REF!</definedName>
    <definedName name="aa" localSheetId="0">#REF!</definedName>
    <definedName name="aa">#REF!</definedName>
    <definedName name="aaa" localSheetId="2">#REF!</definedName>
    <definedName name="aaa" localSheetId="5">#REF!</definedName>
    <definedName name="aaa">#REF!</definedName>
    <definedName name="aaaa" localSheetId="3">#REF!</definedName>
    <definedName name="aaaa" localSheetId="14">#REF!</definedName>
    <definedName name="aaaa" localSheetId="7">#REF!</definedName>
    <definedName name="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9">#REF!</definedName>
    <definedName name="AAAA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5">#REF!</definedName>
    <definedName name="aaaa" localSheetId="8">#REF!</definedName>
    <definedName name="aaaa" localSheetId="12">#REF!</definedName>
    <definedName name="AAAA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2">#REF!</definedName>
    <definedName name="aaaadc" localSheetId="5">#REF!</definedName>
    <definedName name="aaaadc">#REF!</definedName>
    <definedName name="aaacccc" localSheetId="14" hidden="1">{#N/A,#N/A,FALSE,"Plan1";#N/A,#N/A,FALSE,"Plan2"}</definedName>
    <definedName name="aaacccc" localSheetId="7" hidden="1">{#N/A,#N/A,FALSE,"Plan1";#N/A,#N/A,FALSE,"Plan2"}</definedName>
    <definedName name="aaacccc" localSheetId="1" hidden="1">{#N/A,#N/A,FALSE,"Plan1";#N/A,#N/A,FALSE,"Plan2"}</definedName>
    <definedName name="aaacccc" localSheetId="2" hidden="1">{#N/A,#N/A,FALSE,"Plan1";#N/A,#N/A,FALSE,"Plan2"}</definedName>
    <definedName name="aaacccc" localSheetId="9" hidden="1">{#N/A,#N/A,FALSE,"Plan1";#N/A,#N/A,FALSE,"Plan2"}</definedName>
    <definedName name="aaacccc" localSheetId="5" hidden="1">{#N/A,#N/A,FALSE,"Plan1";#N/A,#N/A,FALSE,"Plan2"}</definedName>
    <definedName name="aaacccc" localSheetId="4" hidden="1">{#N/A,#N/A,FALSE,"Plan1";#N/A,#N/A,FALSE,"Plan2"}</definedName>
    <definedName name="aaacccc" localSheetId="8" hidden="1">{#N/A,#N/A,FALSE,"Plan1";#N/A,#N/A,FALSE,"Plan2"}</definedName>
    <definedName name="aaacccc" localSheetId="12" hidden="1">{#N/A,#N/A,FALSE,"Plan1";#N/A,#N/A,FALSE,"Plan2"}</definedName>
    <definedName name="aaacccc" localSheetId="16" hidden="1">{#N/A,#N/A,FALSE,"Plan1";#N/A,#N/A,FALSE,"Plan2"}</definedName>
    <definedName name="aaacccc" localSheetId="0" hidden="1">{#N/A,#N/A,FALSE,"Plan1";#N/A,#N/A,FALSE,"Plan2"}</definedName>
    <definedName name="aaacccc" localSheetId="11" hidden="1">{#N/A,#N/A,FALSE,"Plan1";#N/A,#N/A,FALSE,"Plan2"}</definedName>
    <definedName name="aaacccc" localSheetId="13" hidden="1">{#N/A,#N/A,FALSE,"Plan1";#N/A,#N/A,FALSE,"Plan2"}</definedName>
    <definedName name="aaacccc" hidden="1">{#N/A,#N/A,FALSE,"Plan1";#N/A,#N/A,FALSE,"Plan2"}</definedName>
    <definedName name="aaas" localSheetId="2">#REF!</definedName>
    <definedName name="aaas" localSheetId="5">#REF!</definedName>
    <definedName name="aaas">#REF!</definedName>
    <definedName name="AB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5">#REF!</definedName>
    <definedName name="AB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24">#REF!</definedName>
    <definedName name="AB" localSheetId="23">#REF!</definedName>
    <definedName name="AB">#REF!</definedName>
    <definedName name="Abat_ISS" localSheetId="2">#REF!</definedName>
    <definedName name="Abat_ISS" localSheetId="9">#REF!</definedName>
    <definedName name="Abat_ISS" localSheetId="5">#REF!</definedName>
    <definedName name="Abat_ISS">#REF!</definedName>
    <definedName name="ab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2" hidden="1">#REF!</definedName>
    <definedName name="ABCD" localSheetId="0" hidden="1">#REF!</definedName>
    <definedName name="ABCD" hidden="1">#REF!</definedName>
    <definedName name="abebqt" localSheetId="2">#REF!</definedName>
    <definedName name="abebqt" localSheetId="5">#REF!</definedName>
    <definedName name="abebqt">#REF!</definedName>
    <definedName name="abr17RJ" localSheetId="2">#REF!</definedName>
    <definedName name="abr17RJ" localSheetId="5">#REF!</definedName>
    <definedName name="abr17RJ">#REF!</definedName>
    <definedName name="ABRIL" localSheetId="2">#REF!</definedName>
    <definedName name="ABRIL" localSheetId="5">#REF!</definedName>
    <definedName name="ABRIL">#REF!</definedName>
    <definedName name="ABRIL2001" localSheetId="2">#REF!</definedName>
    <definedName name="ABRIL2001" localSheetId="5">#REF!</definedName>
    <definedName name="ABRIL2001">#REF!</definedName>
    <definedName name="ac" localSheetId="0" hidden="1">#REF!</definedName>
    <definedName name="ac" hidden="1">#REF!</definedName>
    <definedName name="Acabam." localSheetId="2">#REF!</definedName>
    <definedName name="Acabam." localSheetId="5">#REF!</definedName>
    <definedName name="Acabam.">#REF!</definedName>
    <definedName name="ACADUC" localSheetId="2">#REF!</definedName>
    <definedName name="ACADUC" localSheetId="5">#REF!</definedName>
    <definedName name="ACADUC">#REF!</definedName>
    <definedName name="ACBEB" localSheetId="2">#REF!</definedName>
    <definedName name="ACBEB" localSheetId="5">#REF!</definedName>
    <definedName name="ACBEB">#REF!</definedName>
    <definedName name="ACBOMB" localSheetId="2">#REF!</definedName>
    <definedName name="ACBOMB" localSheetId="5">#REF!</definedName>
    <definedName name="ACBOMB">#REF!</definedName>
    <definedName name="AccessDatabase" hidden="1">"C:\posec\DATABASE\vlv_list\vlvlist1.mdb"</definedName>
    <definedName name="ACCHAF" localSheetId="2">#REF!</definedName>
    <definedName name="ACCHAF" localSheetId="5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2" hidden="1">#REF!</definedName>
    <definedName name="acdb" localSheetId="5" hidden="1">#REF!</definedName>
    <definedName name="acdb" localSheetId="0" hidden="1">#REF!</definedName>
    <definedName name="acdb" hidden="1">#REF!</definedName>
    <definedName name="ACDER" localSheetId="2">#REF!</definedName>
    <definedName name="ACDER" localSheetId="5">#REF!</definedName>
    <definedName name="ACDER">#REF!</definedName>
    <definedName name="ACDIV" localSheetId="2">#REF!</definedName>
    <definedName name="ACDIV" localSheetId="5">#REF!</definedName>
    <definedName name="ACDIV">#REF!</definedName>
    <definedName name="ACDS" localSheetId="0" hidden="1">#REF!</definedName>
    <definedName name="ACDS" hidden="1">#REF!</definedName>
    <definedName name="ACEQP" localSheetId="2">#REF!</definedName>
    <definedName name="ACEQP" localSheetId="5">#REF!</definedName>
    <definedName name="ACEQP">#REF!</definedName>
    <definedName name="ACHAFQT" localSheetId="2">#REF!</definedName>
    <definedName name="ACHAFQT" localSheetId="5">#REF!</definedName>
    <definedName name="ACHAFQT">#REF!</definedName>
    <definedName name="achar18" localSheetId="0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 localSheetId="2">#REF!</definedName>
    <definedName name="ACMUR" localSheetId="5">#REF!</definedName>
    <definedName name="ACMUR">#REF!</definedName>
    <definedName name="açoeeer" localSheetId="14" hidden="1">{#N/A,#N/A,FALSE,"Plan1";#N/A,#N/A,FALSE,"Plan2"}</definedName>
    <definedName name="açoeeer" localSheetId="7" hidden="1">{#N/A,#N/A,FALSE,"Plan1";#N/A,#N/A,FALSE,"Plan2"}</definedName>
    <definedName name="açoeeer" localSheetId="1" hidden="1">{#N/A,#N/A,FALSE,"Plan1";#N/A,#N/A,FALSE,"Plan2"}</definedName>
    <definedName name="açoeeer" localSheetId="2" hidden="1">{#N/A,#N/A,FALSE,"Plan1";#N/A,#N/A,FALSE,"Plan2"}</definedName>
    <definedName name="açoeeer" localSheetId="9" hidden="1">{#N/A,#N/A,FALSE,"Plan1";#N/A,#N/A,FALSE,"Plan2"}</definedName>
    <definedName name="açoeeer" localSheetId="5" hidden="1">{#N/A,#N/A,FALSE,"Plan1";#N/A,#N/A,FALSE,"Plan2"}</definedName>
    <definedName name="açoeeer" localSheetId="4" hidden="1">{#N/A,#N/A,FALSE,"Plan1";#N/A,#N/A,FALSE,"Plan2"}</definedName>
    <definedName name="açoeeer" localSheetId="8" hidden="1">{#N/A,#N/A,FALSE,"Plan1";#N/A,#N/A,FALSE,"Plan2"}</definedName>
    <definedName name="açoeeer" localSheetId="12" hidden="1">{#N/A,#N/A,FALSE,"Plan1";#N/A,#N/A,FALSE,"Plan2"}</definedName>
    <definedName name="açoeeer" localSheetId="16" hidden="1">{#N/A,#N/A,FALSE,"Plan1";#N/A,#N/A,FALSE,"Plan2"}</definedName>
    <definedName name="açoeeer" localSheetId="0" hidden="1">{#N/A,#N/A,FALSE,"Plan1";#N/A,#N/A,FALSE,"Plan2"}</definedName>
    <definedName name="açoeeer" localSheetId="11" hidden="1">{#N/A,#N/A,FALSE,"Plan1";#N/A,#N/A,FALSE,"Plan2"}</definedName>
    <definedName name="açoeeer" localSheetId="13" hidden="1">{#N/A,#N/A,FALSE,"Plan1";#N/A,#N/A,FALSE,"Plan2"}</definedName>
    <definedName name="açoeeer" hidden="1">{#N/A,#N/A,FALSE,"Plan1";#N/A,#N/A,FALSE,"Plan2"}</definedName>
    <definedName name="ACOMP" localSheetId="2">#REF!</definedName>
    <definedName name="ACOMP" localSheetId="5">#REF!</definedName>
    <definedName name="ACOMP">#REF!</definedName>
    <definedName name="ACONT2" localSheetId="2">#REF!</definedName>
    <definedName name="ACONT2" localSheetId="5">#REF!</definedName>
    <definedName name="ACONT2">#REF!</definedName>
    <definedName name="ACPIPA" localSheetId="2">#REF!</definedName>
    <definedName name="ACPIPA" localSheetId="5">#REF!</definedName>
    <definedName name="ACPIPA">#REF!</definedName>
    <definedName name="ACTRANSP" localSheetId="2">#REF!</definedName>
    <definedName name="ACTRANSP" localSheetId="5">#REF!</definedName>
    <definedName name="ACTRANSP">#REF!</definedName>
    <definedName name="ACwvu.Características." localSheetId="2" hidden="1">#REF!</definedName>
    <definedName name="ACwvu.Características." localSheetId="0" hidden="1">#REF!</definedName>
    <definedName name="ACwvu.Características." hidden="1">#REF!</definedName>
    <definedName name="ACwvu.Ciclos." localSheetId="0" hidden="1">#REF!</definedName>
    <definedName name="ACwvu.Ciclos." hidden="1">#REF!</definedName>
    <definedName name="ACwvu.Custos." localSheetId="0" hidden="1">#REF!</definedName>
    <definedName name="ACwvu.Custos." hidden="1">#REF!</definedName>
    <definedName name="ACwvu.PLANILHA2." localSheetId="2" hidden="1">#REF!</definedName>
    <definedName name="ACwvu.PLANILHA2." localSheetId="5" hidden="1">#REF!</definedName>
    <definedName name="ACwvu.PLANILHA2." localSheetId="0" hidden="1">#REF!</definedName>
    <definedName name="ACwvu.PLANILHA2." hidden="1">#REF!</definedName>
    <definedName name="ACwvu.Recursos." hidden="1">#REF!</definedName>
    <definedName name="ad" localSheetId="14" hidden="1">{#N/A,#N/A,FALSE,"Plan1";#N/A,#N/A,FALSE,"Plan2"}</definedName>
    <definedName name="ad" localSheetId="7" hidden="1">{#N/A,#N/A,FALSE,"Plan1";#N/A,#N/A,FALSE,"Plan2"}</definedName>
    <definedName name="ad" localSheetId="1" hidden="1">{#N/A,#N/A,FALSE,"Plan1";#N/A,#N/A,FALSE,"Plan2"}</definedName>
    <definedName name="ad" localSheetId="2" hidden="1">{#N/A,#N/A,FALSE,"Plan1";#N/A,#N/A,FALSE,"Plan2"}</definedName>
    <definedName name="ad" localSheetId="9" hidden="1">{#N/A,#N/A,FALSE,"Plan1";#N/A,#N/A,FALSE,"Plan2"}</definedName>
    <definedName name="ad" localSheetId="5" hidden="1">{#N/A,#N/A,FALSE,"Plan1";#N/A,#N/A,FALSE,"Plan2"}</definedName>
    <definedName name="ad" localSheetId="4" hidden="1">{#N/A,#N/A,FALSE,"Plan1";#N/A,#N/A,FALSE,"Plan2"}</definedName>
    <definedName name="ad" localSheetId="8" hidden="1">{#N/A,#N/A,FALSE,"Plan1";#N/A,#N/A,FALSE,"Plan2"}</definedName>
    <definedName name="ad" localSheetId="12" hidden="1">{#N/A,#N/A,FALSE,"Plan1";#N/A,#N/A,FALSE,"Plan2"}</definedName>
    <definedName name="ad" localSheetId="16" hidden="1">{#N/A,#N/A,FALSE,"Plan1";#N/A,#N/A,FALSE,"Plan2"}</definedName>
    <definedName name="ad" localSheetId="0" hidden="1">{#N/A,#N/A,FALSE,"Plan1";#N/A,#N/A,FALSE,"Plan2"}</definedName>
    <definedName name="ad" localSheetId="11" hidden="1">{#N/A,#N/A,FALSE,"Plan1";#N/A,#N/A,FALSE,"Plan2"}</definedName>
    <definedName name="ad" localSheetId="13" hidden="1">{#N/A,#N/A,FALSE,"Plan1";#N/A,#N/A,FALSE,"Plan2"}</definedName>
    <definedName name="ad" hidden="1">{#N/A,#N/A,FALSE,"Plan1";#N/A,#N/A,FALSE,"Plan2"}</definedName>
    <definedName name="adads" localSheetId="14" hidden="1">{#N/A,#N/A,FALSE,"Plan1";#N/A,#N/A,FALSE,"Plan2"}</definedName>
    <definedName name="adads" localSheetId="7" hidden="1">{#N/A,#N/A,FALSE,"Plan1";#N/A,#N/A,FALSE,"Plan2"}</definedName>
    <definedName name="adads" localSheetId="1" hidden="1">{#N/A,#N/A,FALSE,"Plan1";#N/A,#N/A,FALSE,"Plan2"}</definedName>
    <definedName name="adads" localSheetId="2" hidden="1">{#N/A,#N/A,FALSE,"Plan1";#N/A,#N/A,FALSE,"Plan2"}</definedName>
    <definedName name="adads" localSheetId="9" hidden="1">{#N/A,#N/A,FALSE,"Plan1";#N/A,#N/A,FALSE,"Plan2"}</definedName>
    <definedName name="adads" localSheetId="5" hidden="1">{#N/A,#N/A,FALSE,"Plan1";#N/A,#N/A,FALSE,"Plan2"}</definedName>
    <definedName name="adads" localSheetId="4" hidden="1">{#N/A,#N/A,FALSE,"Plan1";#N/A,#N/A,FALSE,"Plan2"}</definedName>
    <definedName name="adads" localSheetId="8" hidden="1">{#N/A,#N/A,FALSE,"Plan1";#N/A,#N/A,FALSE,"Plan2"}</definedName>
    <definedName name="adads" localSheetId="12" hidden="1">{#N/A,#N/A,FALSE,"Plan1";#N/A,#N/A,FALSE,"Plan2"}</definedName>
    <definedName name="adads" localSheetId="16" hidden="1">{#N/A,#N/A,FALSE,"Plan1";#N/A,#N/A,FALSE,"Plan2"}</definedName>
    <definedName name="adads" localSheetId="0" hidden="1">{#N/A,#N/A,FALSE,"Plan1";#N/A,#N/A,FALSE,"Plan2"}</definedName>
    <definedName name="adads" localSheetId="11" hidden="1">{#N/A,#N/A,FALSE,"Plan1";#N/A,#N/A,FALSE,"Plan2"}</definedName>
    <definedName name="adads" localSheetId="13" hidden="1">{#N/A,#N/A,FALSE,"Plan1";#N/A,#N/A,FALSE,"Plan2"}</definedName>
    <definedName name="adads" hidden="1">{#N/A,#N/A,FALSE,"Plan1";#N/A,#N/A,FALSE,"Plan2"}</definedName>
    <definedName name="adads2" localSheetId="14" hidden="1">{#N/A,#N/A,FALSE,"Plan1";#N/A,#N/A,FALSE,"Plan2"}</definedName>
    <definedName name="adads2" localSheetId="7" hidden="1">{#N/A,#N/A,FALSE,"Plan1";#N/A,#N/A,FALSE,"Plan2"}</definedName>
    <definedName name="adads2" localSheetId="1" hidden="1">{#N/A,#N/A,FALSE,"Plan1";#N/A,#N/A,FALSE,"Plan2"}</definedName>
    <definedName name="adads2" localSheetId="2" hidden="1">{#N/A,#N/A,FALSE,"Plan1";#N/A,#N/A,FALSE,"Plan2"}</definedName>
    <definedName name="adads2" localSheetId="9" hidden="1">{#N/A,#N/A,FALSE,"Plan1";#N/A,#N/A,FALSE,"Plan2"}</definedName>
    <definedName name="adads2" localSheetId="5" hidden="1">{#N/A,#N/A,FALSE,"Plan1";#N/A,#N/A,FALSE,"Plan2"}</definedName>
    <definedName name="adads2" localSheetId="4" hidden="1">{#N/A,#N/A,FALSE,"Plan1";#N/A,#N/A,FALSE,"Plan2"}</definedName>
    <definedName name="adads2" localSheetId="8" hidden="1">{#N/A,#N/A,FALSE,"Plan1";#N/A,#N/A,FALSE,"Plan2"}</definedName>
    <definedName name="adads2" localSheetId="12" hidden="1">{#N/A,#N/A,FALSE,"Plan1";#N/A,#N/A,FALSE,"Plan2"}</definedName>
    <definedName name="adads2" localSheetId="16" hidden="1">{#N/A,#N/A,FALSE,"Plan1";#N/A,#N/A,FALSE,"Plan2"}</definedName>
    <definedName name="adads2" localSheetId="0" hidden="1">{#N/A,#N/A,FALSE,"Plan1";#N/A,#N/A,FALSE,"Plan2"}</definedName>
    <definedName name="adads2" localSheetId="11" hidden="1">{#N/A,#N/A,FALSE,"Plan1";#N/A,#N/A,FALSE,"Plan2"}</definedName>
    <definedName name="adads2" localSheetId="13" hidden="1">{#N/A,#N/A,FALSE,"Plan1";#N/A,#N/A,FALSE,"Plan2"}</definedName>
    <definedName name="adads2" hidden="1">{#N/A,#N/A,FALSE,"Plan1";#N/A,#N/A,FALSE,"Plan2"}</definedName>
    <definedName name="adced" localSheetId="14" hidden="1">{#N/A,#N/A,FALSE,"Plan1";#N/A,#N/A,FALSE,"Plan2"}</definedName>
    <definedName name="adced" localSheetId="7" hidden="1">{#N/A,#N/A,FALSE,"Plan1";#N/A,#N/A,FALSE,"Plan2"}</definedName>
    <definedName name="adced" localSheetId="1" hidden="1">{#N/A,#N/A,FALSE,"Plan1";#N/A,#N/A,FALSE,"Plan2"}</definedName>
    <definedName name="adced" localSheetId="2" hidden="1">{#N/A,#N/A,FALSE,"Plan1";#N/A,#N/A,FALSE,"Plan2"}</definedName>
    <definedName name="adced" localSheetId="9" hidden="1">{#N/A,#N/A,FALSE,"Plan1";#N/A,#N/A,FALSE,"Plan2"}</definedName>
    <definedName name="adced" localSheetId="5" hidden="1">{#N/A,#N/A,FALSE,"Plan1";#N/A,#N/A,FALSE,"Plan2"}</definedName>
    <definedName name="adced" localSheetId="4" hidden="1">{#N/A,#N/A,FALSE,"Plan1";#N/A,#N/A,FALSE,"Plan2"}</definedName>
    <definedName name="adced" localSheetId="8" hidden="1">{#N/A,#N/A,FALSE,"Plan1";#N/A,#N/A,FALSE,"Plan2"}</definedName>
    <definedName name="adced" localSheetId="12" hidden="1">{#N/A,#N/A,FALSE,"Plan1";#N/A,#N/A,FALSE,"Plan2"}</definedName>
    <definedName name="adced" localSheetId="16" hidden="1">{#N/A,#N/A,FALSE,"Plan1";#N/A,#N/A,FALSE,"Plan2"}</definedName>
    <definedName name="adced" localSheetId="0" hidden="1">{#N/A,#N/A,FALSE,"Plan1";#N/A,#N/A,FALSE,"Plan2"}</definedName>
    <definedName name="adced" localSheetId="11" hidden="1">{#N/A,#N/A,FALSE,"Plan1";#N/A,#N/A,FALSE,"Plan2"}</definedName>
    <definedName name="adced" localSheetId="13" hidden="1">{#N/A,#N/A,FALSE,"Plan1";#N/A,#N/A,FALSE,"Plan2"}</definedName>
    <definedName name="adced" hidden="1">{#N/A,#N/A,FALSE,"Plan1";#N/A,#N/A,FALSE,"Plan2"}</definedName>
    <definedName name="adced2" localSheetId="14" hidden="1">{#N/A,#N/A,FALSE,"Plan1";#N/A,#N/A,FALSE,"Plan2"}</definedName>
    <definedName name="adced2" localSheetId="7" hidden="1">{#N/A,#N/A,FALSE,"Plan1";#N/A,#N/A,FALSE,"Plan2"}</definedName>
    <definedName name="adced2" localSheetId="1" hidden="1">{#N/A,#N/A,FALSE,"Plan1";#N/A,#N/A,FALSE,"Plan2"}</definedName>
    <definedName name="adced2" localSheetId="2" hidden="1">{#N/A,#N/A,FALSE,"Plan1";#N/A,#N/A,FALSE,"Plan2"}</definedName>
    <definedName name="adced2" localSheetId="9" hidden="1">{#N/A,#N/A,FALSE,"Plan1";#N/A,#N/A,FALSE,"Plan2"}</definedName>
    <definedName name="adced2" localSheetId="5" hidden="1">{#N/A,#N/A,FALSE,"Plan1";#N/A,#N/A,FALSE,"Plan2"}</definedName>
    <definedName name="adced2" localSheetId="4" hidden="1">{#N/A,#N/A,FALSE,"Plan1";#N/A,#N/A,FALSE,"Plan2"}</definedName>
    <definedName name="adced2" localSheetId="8" hidden="1">{#N/A,#N/A,FALSE,"Plan1";#N/A,#N/A,FALSE,"Plan2"}</definedName>
    <definedName name="adced2" localSheetId="12" hidden="1">{#N/A,#N/A,FALSE,"Plan1";#N/A,#N/A,FALSE,"Plan2"}</definedName>
    <definedName name="adced2" localSheetId="16" hidden="1">{#N/A,#N/A,FALSE,"Plan1";#N/A,#N/A,FALSE,"Plan2"}</definedName>
    <definedName name="adced2" localSheetId="0" hidden="1">{#N/A,#N/A,FALSE,"Plan1";#N/A,#N/A,FALSE,"Plan2"}</definedName>
    <definedName name="adced2" localSheetId="11" hidden="1">{#N/A,#N/A,FALSE,"Plan1";#N/A,#N/A,FALSE,"Plan2"}</definedName>
    <definedName name="adced2" localSheetId="13" hidden="1">{#N/A,#N/A,FALSE,"Plan1";#N/A,#N/A,FALSE,"Plan2"}</definedName>
    <definedName name="adced2" hidden="1">{#N/A,#N/A,FALSE,"Plan1";#N/A,#N/A,FALSE,"Plan2"}</definedName>
    <definedName name="ader" localSheetId="14" hidden="1">{#N/A,#N/A,FALSE,"Plan1";#N/A,#N/A,FALSE,"Plan2"}</definedName>
    <definedName name="ader" localSheetId="7" hidden="1">{#N/A,#N/A,FALSE,"Plan1";#N/A,#N/A,FALSE,"Plan2"}</definedName>
    <definedName name="ader" localSheetId="1" hidden="1">{#N/A,#N/A,FALSE,"Plan1";#N/A,#N/A,FALSE,"Plan2"}</definedName>
    <definedName name="ader" localSheetId="2" hidden="1">{#N/A,#N/A,FALSE,"Plan1";#N/A,#N/A,FALSE,"Plan2"}</definedName>
    <definedName name="ader" localSheetId="9" hidden="1">{#N/A,#N/A,FALSE,"Plan1";#N/A,#N/A,FALSE,"Plan2"}</definedName>
    <definedName name="ader" localSheetId="5" hidden="1">{#N/A,#N/A,FALSE,"Plan1";#N/A,#N/A,FALSE,"Plan2"}</definedName>
    <definedName name="ader" localSheetId="4" hidden="1">{#N/A,#N/A,FALSE,"Plan1";#N/A,#N/A,FALSE,"Plan2"}</definedName>
    <definedName name="ader" localSheetId="8" hidden="1">{#N/A,#N/A,FALSE,"Plan1";#N/A,#N/A,FALSE,"Plan2"}</definedName>
    <definedName name="ader" localSheetId="12" hidden="1">{#N/A,#N/A,FALSE,"Plan1";#N/A,#N/A,FALSE,"Plan2"}</definedName>
    <definedName name="ader" localSheetId="16" hidden="1">{#N/A,#N/A,FALSE,"Plan1";#N/A,#N/A,FALSE,"Plan2"}</definedName>
    <definedName name="ader" localSheetId="0" hidden="1">{#N/A,#N/A,FALSE,"Plan1";#N/A,#N/A,FALSE,"Plan2"}</definedName>
    <definedName name="ader" localSheetId="11" hidden="1">{#N/A,#N/A,FALSE,"Plan1";#N/A,#N/A,FALSE,"Plan2"}</definedName>
    <definedName name="ader" localSheetId="13" hidden="1">{#N/A,#N/A,FALSE,"Plan1";#N/A,#N/A,FALSE,"Plan2"}</definedName>
    <definedName name="ader" hidden="1">{#N/A,#N/A,FALSE,"Plan1";#N/A,#N/A,FALSE,"Plan2"}</definedName>
    <definedName name="ader2" localSheetId="14" hidden="1">{#N/A,#N/A,FALSE,"Plan1";#N/A,#N/A,FALSE,"Plan2"}</definedName>
    <definedName name="ader2" localSheetId="7" hidden="1">{#N/A,#N/A,FALSE,"Plan1";#N/A,#N/A,FALSE,"Plan2"}</definedName>
    <definedName name="ader2" localSheetId="1" hidden="1">{#N/A,#N/A,FALSE,"Plan1";#N/A,#N/A,FALSE,"Plan2"}</definedName>
    <definedName name="ader2" localSheetId="2" hidden="1">{#N/A,#N/A,FALSE,"Plan1";#N/A,#N/A,FALSE,"Plan2"}</definedName>
    <definedName name="ader2" localSheetId="9" hidden="1">{#N/A,#N/A,FALSE,"Plan1";#N/A,#N/A,FALSE,"Plan2"}</definedName>
    <definedName name="ader2" localSheetId="5" hidden="1">{#N/A,#N/A,FALSE,"Plan1";#N/A,#N/A,FALSE,"Plan2"}</definedName>
    <definedName name="ader2" localSheetId="4" hidden="1">{#N/A,#N/A,FALSE,"Plan1";#N/A,#N/A,FALSE,"Plan2"}</definedName>
    <definedName name="ader2" localSheetId="8" hidden="1">{#N/A,#N/A,FALSE,"Plan1";#N/A,#N/A,FALSE,"Plan2"}</definedName>
    <definedName name="ader2" localSheetId="12" hidden="1">{#N/A,#N/A,FALSE,"Plan1";#N/A,#N/A,FALSE,"Plan2"}</definedName>
    <definedName name="ader2" localSheetId="16" hidden="1">{#N/A,#N/A,FALSE,"Plan1";#N/A,#N/A,FALSE,"Plan2"}</definedName>
    <definedName name="ader2" localSheetId="0" hidden="1">{#N/A,#N/A,FALSE,"Plan1";#N/A,#N/A,FALSE,"Plan2"}</definedName>
    <definedName name="ader2" localSheetId="11" hidden="1">{#N/A,#N/A,FALSE,"Plan1";#N/A,#N/A,FALSE,"Plan2"}</definedName>
    <definedName name="ader2" localSheetId="13" hidden="1">{#N/A,#N/A,FALSE,"Plan1";#N/A,#N/A,FALSE,"Plan2"}</definedName>
    <definedName name="ader2" hidden="1">{#N/A,#N/A,FALSE,"Plan1";#N/A,#N/A,FALSE,"Plan2"}</definedName>
    <definedName name="adesr" localSheetId="14" hidden="1">{#N/A,#N/A,FALSE,"Plan1";#N/A,#N/A,FALSE,"Plan2"}</definedName>
    <definedName name="adesr" localSheetId="7" hidden="1">{#N/A,#N/A,FALSE,"Plan1";#N/A,#N/A,FALSE,"Plan2"}</definedName>
    <definedName name="adesr" localSheetId="1" hidden="1">{#N/A,#N/A,FALSE,"Plan1";#N/A,#N/A,FALSE,"Plan2"}</definedName>
    <definedName name="adesr" localSheetId="2" hidden="1">{#N/A,#N/A,FALSE,"Plan1";#N/A,#N/A,FALSE,"Plan2"}</definedName>
    <definedName name="adesr" localSheetId="9" hidden="1">{#N/A,#N/A,FALSE,"Plan1";#N/A,#N/A,FALSE,"Plan2"}</definedName>
    <definedName name="adesr" localSheetId="5" hidden="1">{#N/A,#N/A,FALSE,"Plan1";#N/A,#N/A,FALSE,"Plan2"}</definedName>
    <definedName name="adesr" localSheetId="4" hidden="1">{#N/A,#N/A,FALSE,"Plan1";#N/A,#N/A,FALSE,"Plan2"}</definedName>
    <definedName name="adesr" localSheetId="8" hidden="1">{#N/A,#N/A,FALSE,"Plan1";#N/A,#N/A,FALSE,"Plan2"}</definedName>
    <definedName name="adesr" localSheetId="12" hidden="1">{#N/A,#N/A,FALSE,"Plan1";#N/A,#N/A,FALSE,"Plan2"}</definedName>
    <definedName name="adesr" localSheetId="16" hidden="1">{#N/A,#N/A,FALSE,"Plan1";#N/A,#N/A,FALSE,"Plan2"}</definedName>
    <definedName name="adesr" localSheetId="0" hidden="1">{#N/A,#N/A,FALSE,"Plan1";#N/A,#N/A,FALSE,"Plan2"}</definedName>
    <definedName name="adesr" localSheetId="11" hidden="1">{#N/A,#N/A,FALSE,"Plan1";#N/A,#N/A,FALSE,"Plan2"}</definedName>
    <definedName name="adesr" localSheetId="13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14" hidden="1">{#N/A,#N/A,FALSE,"Plan1";#N/A,#N/A,FALSE,"Plan2"}</definedName>
    <definedName name="adewr" localSheetId="7" hidden="1">{#N/A,#N/A,FALSE,"Plan1";#N/A,#N/A,FALSE,"Plan2"}</definedName>
    <definedName name="adewr" localSheetId="1" hidden="1">{#N/A,#N/A,FALSE,"Plan1";#N/A,#N/A,FALSE,"Plan2"}</definedName>
    <definedName name="adewr" localSheetId="2" hidden="1">{#N/A,#N/A,FALSE,"Plan1";#N/A,#N/A,FALSE,"Plan2"}</definedName>
    <definedName name="adewr" localSheetId="9" hidden="1">{#N/A,#N/A,FALSE,"Plan1";#N/A,#N/A,FALSE,"Plan2"}</definedName>
    <definedName name="adewr" localSheetId="5" hidden="1">{#N/A,#N/A,FALSE,"Plan1";#N/A,#N/A,FALSE,"Plan2"}</definedName>
    <definedName name="adewr" localSheetId="4" hidden="1">{#N/A,#N/A,FALSE,"Plan1";#N/A,#N/A,FALSE,"Plan2"}</definedName>
    <definedName name="adewr" localSheetId="8" hidden="1">{#N/A,#N/A,FALSE,"Plan1";#N/A,#N/A,FALSE,"Plan2"}</definedName>
    <definedName name="adewr" localSheetId="12" hidden="1">{#N/A,#N/A,FALSE,"Plan1";#N/A,#N/A,FALSE,"Plan2"}</definedName>
    <definedName name="adewr" localSheetId="16" hidden="1">{#N/A,#N/A,FALSE,"Plan1";#N/A,#N/A,FALSE,"Plan2"}</definedName>
    <definedName name="adewr" localSheetId="0" hidden="1">{#N/A,#N/A,FALSE,"Plan1";#N/A,#N/A,FALSE,"Plan2"}</definedName>
    <definedName name="adewr" localSheetId="11" hidden="1">{#N/A,#N/A,FALSE,"Plan1";#N/A,#N/A,FALSE,"Plan2"}</definedName>
    <definedName name="adewr" localSheetId="13" hidden="1">{#N/A,#N/A,FALSE,"Plan1";#N/A,#N/A,FALSE,"Plan2"}</definedName>
    <definedName name="adewr" hidden="1">{#N/A,#N/A,FALSE,"Plan1";#N/A,#N/A,FALSE,"Plan2"}</definedName>
    <definedName name="adf" localSheetId="14" hidden="1">{#N/A,#N/A,FALSE,"Plan1";#N/A,#N/A,FALSE,"Plan2"}</definedName>
    <definedName name="adf" localSheetId="7" hidden="1">{#N/A,#N/A,FALSE,"Plan1";#N/A,#N/A,FALSE,"Plan2"}</definedName>
    <definedName name="adf" localSheetId="1" hidden="1">{#N/A,#N/A,FALSE,"Plan1";#N/A,#N/A,FALSE,"Plan2"}</definedName>
    <definedName name="adf" localSheetId="2" hidden="1">{#N/A,#N/A,FALSE,"Plan1";#N/A,#N/A,FALSE,"Plan2"}</definedName>
    <definedName name="adf" localSheetId="9" hidden="1">{#N/A,#N/A,FALSE,"Plan1";#N/A,#N/A,FALSE,"Plan2"}</definedName>
    <definedName name="adf" localSheetId="5" hidden="1">{#N/A,#N/A,FALSE,"Plan1";#N/A,#N/A,FALSE,"Plan2"}</definedName>
    <definedName name="adf" localSheetId="4" hidden="1">{#N/A,#N/A,FALSE,"Plan1";#N/A,#N/A,FALSE,"Plan2"}</definedName>
    <definedName name="adf" localSheetId="8" hidden="1">{#N/A,#N/A,FALSE,"Plan1";#N/A,#N/A,FALSE,"Plan2"}</definedName>
    <definedName name="adf" localSheetId="12" hidden="1">{#N/A,#N/A,FALSE,"Plan1";#N/A,#N/A,FALSE,"Plan2"}</definedName>
    <definedName name="adf" localSheetId="16" hidden="1">{#N/A,#N/A,FALSE,"Plan1";#N/A,#N/A,FALSE,"Plan2"}</definedName>
    <definedName name="adf" localSheetId="0" hidden="1">{#N/A,#N/A,FALSE,"Plan1";#N/A,#N/A,FALSE,"Plan2"}</definedName>
    <definedName name="adf" localSheetId="11" hidden="1">{#N/A,#N/A,FALSE,"Plan1";#N/A,#N/A,FALSE,"Plan2"}</definedName>
    <definedName name="adf" localSheetId="13" hidden="1">{#N/A,#N/A,FALSE,"Plan1";#N/A,#N/A,FALSE,"Plan2"}</definedName>
    <definedName name="adf" hidden="1">{#N/A,#N/A,FALSE,"Plan1";#N/A,#N/A,FALSE,"Plan2"}</definedName>
    <definedName name="ADITIVO_BRUTO" localSheetId="2">#REF!</definedName>
    <definedName name="ADITIVO_BRUTO" localSheetId="5">#REF!</definedName>
    <definedName name="ADITIVO_BRUTO">#REF!</definedName>
    <definedName name="ADITIVO_LIQUIDO" localSheetId="2">#REF!</definedName>
    <definedName name="ADITIVO_LIQUIDO" localSheetId="5">#REF!</definedName>
    <definedName name="ADITIVO_LIQUIDO">#REF!</definedName>
    <definedName name="ADM.EXTERNA" localSheetId="2">#REF!</definedName>
    <definedName name="ADM.EXTERNA" localSheetId="5">#REF!</definedName>
    <definedName name="ADM.EXTERNA">#REF!</definedName>
    <definedName name="adsfr" localSheetId="14" hidden="1">{#N/A,#N/A,FALSE,"Plan1";#N/A,#N/A,FALSE,"Plan2"}</definedName>
    <definedName name="adsfr" localSheetId="7" hidden="1">{#N/A,#N/A,FALSE,"Plan1";#N/A,#N/A,FALSE,"Plan2"}</definedName>
    <definedName name="adsfr" localSheetId="1" hidden="1">{#N/A,#N/A,FALSE,"Plan1";#N/A,#N/A,FALSE,"Plan2"}</definedName>
    <definedName name="adsfr" localSheetId="2" hidden="1">{#N/A,#N/A,FALSE,"Plan1";#N/A,#N/A,FALSE,"Plan2"}</definedName>
    <definedName name="adsfr" localSheetId="9" hidden="1">{#N/A,#N/A,FALSE,"Plan1";#N/A,#N/A,FALSE,"Plan2"}</definedName>
    <definedName name="adsfr" localSheetId="5" hidden="1">{#N/A,#N/A,FALSE,"Plan1";#N/A,#N/A,FALSE,"Plan2"}</definedName>
    <definedName name="adsfr" localSheetId="4" hidden="1">{#N/A,#N/A,FALSE,"Plan1";#N/A,#N/A,FALSE,"Plan2"}</definedName>
    <definedName name="adsfr" localSheetId="8" hidden="1">{#N/A,#N/A,FALSE,"Plan1";#N/A,#N/A,FALSE,"Plan2"}</definedName>
    <definedName name="adsfr" localSheetId="12" hidden="1">{#N/A,#N/A,FALSE,"Plan1";#N/A,#N/A,FALSE,"Plan2"}</definedName>
    <definedName name="adsfr" localSheetId="16" hidden="1">{#N/A,#N/A,FALSE,"Plan1";#N/A,#N/A,FALSE,"Plan2"}</definedName>
    <definedName name="adsfr" localSheetId="0" hidden="1">{#N/A,#N/A,FALSE,"Plan1";#N/A,#N/A,FALSE,"Plan2"}</definedName>
    <definedName name="adsfr" localSheetId="11" hidden="1">{#N/A,#N/A,FALSE,"Plan1";#N/A,#N/A,FALSE,"Plan2"}</definedName>
    <definedName name="adsfr" localSheetId="13" hidden="1">{#N/A,#N/A,FALSE,"Plan1";#N/A,#N/A,FALSE,"Plan2"}</definedName>
    <definedName name="adsfr" hidden="1">{#N/A,#N/A,FALSE,"Plan1";#N/A,#N/A,FALSE,"Plan2"}</definedName>
    <definedName name="adssrgtg" localSheetId="14" hidden="1">{#N/A,#N/A,FALSE,"Plan1";#N/A,#N/A,FALSE,"Plan2"}</definedName>
    <definedName name="adssrgtg" localSheetId="7" hidden="1">{#N/A,#N/A,FALSE,"Plan1";#N/A,#N/A,FALSE,"Plan2"}</definedName>
    <definedName name="adssrgtg" localSheetId="1" hidden="1">{#N/A,#N/A,FALSE,"Plan1";#N/A,#N/A,FALSE,"Plan2"}</definedName>
    <definedName name="adssrgtg" localSheetId="2" hidden="1">{#N/A,#N/A,FALSE,"Plan1";#N/A,#N/A,FALSE,"Plan2"}</definedName>
    <definedName name="adssrgtg" localSheetId="9" hidden="1">{#N/A,#N/A,FALSE,"Plan1";#N/A,#N/A,FALSE,"Plan2"}</definedName>
    <definedName name="adssrgtg" localSheetId="5" hidden="1">{#N/A,#N/A,FALSE,"Plan1";#N/A,#N/A,FALSE,"Plan2"}</definedName>
    <definedName name="adssrgtg" localSheetId="4" hidden="1">{#N/A,#N/A,FALSE,"Plan1";#N/A,#N/A,FALSE,"Plan2"}</definedName>
    <definedName name="adssrgtg" localSheetId="8" hidden="1">{#N/A,#N/A,FALSE,"Plan1";#N/A,#N/A,FALSE,"Plan2"}</definedName>
    <definedName name="adssrgtg" localSheetId="12" hidden="1">{#N/A,#N/A,FALSE,"Plan1";#N/A,#N/A,FALSE,"Plan2"}</definedName>
    <definedName name="adssrgtg" localSheetId="16" hidden="1">{#N/A,#N/A,FALSE,"Plan1";#N/A,#N/A,FALSE,"Plan2"}</definedName>
    <definedName name="adssrgtg" localSheetId="0" hidden="1">{#N/A,#N/A,FALSE,"Plan1";#N/A,#N/A,FALSE,"Plan2"}</definedName>
    <definedName name="adssrgtg" localSheetId="11" hidden="1">{#N/A,#N/A,FALSE,"Plan1";#N/A,#N/A,FALSE,"Plan2"}</definedName>
    <definedName name="adssrgtg" localSheetId="13" hidden="1">{#N/A,#N/A,FALSE,"Plan1";#N/A,#N/A,FALSE,"Plan2"}</definedName>
    <definedName name="adssrgtg" hidden="1">{#N/A,#N/A,FALSE,"Plan1";#N/A,#N/A,FALSE,"Plan2"}</definedName>
    <definedName name="adtsetrr6t" localSheetId="14" hidden="1">{#N/A,#N/A,FALSE,"Plan1";#N/A,#N/A,FALSE,"Plan2"}</definedName>
    <definedName name="adtsetrr6t" localSheetId="7" hidden="1">{#N/A,#N/A,FALSE,"Plan1";#N/A,#N/A,FALSE,"Plan2"}</definedName>
    <definedName name="adtsetrr6t" localSheetId="1" hidden="1">{#N/A,#N/A,FALSE,"Plan1";#N/A,#N/A,FALSE,"Plan2"}</definedName>
    <definedName name="adtsetrr6t" localSheetId="2" hidden="1">{#N/A,#N/A,FALSE,"Plan1";#N/A,#N/A,FALSE,"Plan2"}</definedName>
    <definedName name="adtsetrr6t" localSheetId="9" hidden="1">{#N/A,#N/A,FALSE,"Plan1";#N/A,#N/A,FALSE,"Plan2"}</definedName>
    <definedName name="adtsetrr6t" localSheetId="5" hidden="1">{#N/A,#N/A,FALSE,"Plan1";#N/A,#N/A,FALSE,"Plan2"}</definedName>
    <definedName name="adtsetrr6t" localSheetId="4" hidden="1">{#N/A,#N/A,FALSE,"Plan1";#N/A,#N/A,FALSE,"Plan2"}</definedName>
    <definedName name="adtsetrr6t" localSheetId="8" hidden="1">{#N/A,#N/A,FALSE,"Plan1";#N/A,#N/A,FALSE,"Plan2"}</definedName>
    <definedName name="adtsetrr6t" localSheetId="12" hidden="1">{#N/A,#N/A,FALSE,"Plan1";#N/A,#N/A,FALSE,"Plan2"}</definedName>
    <definedName name="adtsetrr6t" localSheetId="16" hidden="1">{#N/A,#N/A,FALSE,"Plan1";#N/A,#N/A,FALSE,"Plan2"}</definedName>
    <definedName name="adtsetrr6t" localSheetId="0" hidden="1">{#N/A,#N/A,FALSE,"Plan1";#N/A,#N/A,FALSE,"Plan2"}</definedName>
    <definedName name="adtsetrr6t" localSheetId="11" hidden="1">{#N/A,#N/A,FALSE,"Plan1";#N/A,#N/A,FALSE,"Plan2"}</definedName>
    <definedName name="adtsetrr6t" localSheetId="13" hidden="1">{#N/A,#N/A,FALSE,"Plan1";#N/A,#N/A,FALSE,"Plan2"}</definedName>
    <definedName name="adtsetrr6t" hidden="1">{#N/A,#N/A,FALSE,"Plan1";#N/A,#N/A,FALSE,"Plan2"}</definedName>
    <definedName name="ADUCQT" localSheetId="2">#REF!</definedName>
    <definedName name="ADUCQT" localSheetId="5">#REF!</definedName>
    <definedName name="ADUCQT">#REF!</definedName>
    <definedName name="adwr" localSheetId="14" hidden="1">{#N/A,#N/A,FALSE,"Plan1";#N/A,#N/A,FALSE,"Plan2"}</definedName>
    <definedName name="adwr" localSheetId="7" hidden="1">{#N/A,#N/A,FALSE,"Plan1";#N/A,#N/A,FALSE,"Plan2"}</definedName>
    <definedName name="adwr" localSheetId="1" hidden="1">{#N/A,#N/A,FALSE,"Plan1";#N/A,#N/A,FALSE,"Plan2"}</definedName>
    <definedName name="adwr" localSheetId="2" hidden="1">{#N/A,#N/A,FALSE,"Plan1";#N/A,#N/A,FALSE,"Plan2"}</definedName>
    <definedName name="adwr" localSheetId="9" hidden="1">{#N/A,#N/A,FALSE,"Plan1";#N/A,#N/A,FALSE,"Plan2"}</definedName>
    <definedName name="adwr" localSheetId="5" hidden="1">{#N/A,#N/A,FALSE,"Plan1";#N/A,#N/A,FALSE,"Plan2"}</definedName>
    <definedName name="adwr" localSheetId="4" hidden="1">{#N/A,#N/A,FALSE,"Plan1";#N/A,#N/A,FALSE,"Plan2"}</definedName>
    <definedName name="adwr" localSheetId="8" hidden="1">{#N/A,#N/A,FALSE,"Plan1";#N/A,#N/A,FALSE,"Plan2"}</definedName>
    <definedName name="adwr" localSheetId="12" hidden="1">{#N/A,#N/A,FALSE,"Plan1";#N/A,#N/A,FALSE,"Plan2"}</definedName>
    <definedName name="adwr" localSheetId="16" hidden="1">{#N/A,#N/A,FALSE,"Plan1";#N/A,#N/A,FALSE,"Plan2"}</definedName>
    <definedName name="adwr" localSheetId="0" hidden="1">{#N/A,#N/A,FALSE,"Plan1";#N/A,#N/A,FALSE,"Plan2"}</definedName>
    <definedName name="adwr" localSheetId="11" hidden="1">{#N/A,#N/A,FALSE,"Plan1";#N/A,#N/A,FALSE,"Plan2"}</definedName>
    <definedName name="adwr" localSheetId="13" hidden="1">{#N/A,#N/A,FALSE,"Plan1";#N/A,#N/A,FALSE,"Plan2"}</definedName>
    <definedName name="adwr" hidden="1">{#N/A,#N/A,FALSE,"Plan1";#N/A,#N/A,FALSE,"Plan2"}</definedName>
    <definedName name="aeiresft" localSheetId="14" hidden="1">{#N/A,#N/A,FALSE,"Plan1";#N/A,#N/A,FALSE,"Plan2"}</definedName>
    <definedName name="aeiresft" localSheetId="7" hidden="1">{#N/A,#N/A,FALSE,"Plan1";#N/A,#N/A,FALSE,"Plan2"}</definedName>
    <definedName name="aeiresft" localSheetId="1" hidden="1">{#N/A,#N/A,FALSE,"Plan1";#N/A,#N/A,FALSE,"Plan2"}</definedName>
    <definedName name="aeiresft" localSheetId="2" hidden="1">{#N/A,#N/A,FALSE,"Plan1";#N/A,#N/A,FALSE,"Plan2"}</definedName>
    <definedName name="aeiresft" localSheetId="9" hidden="1">{#N/A,#N/A,FALSE,"Plan1";#N/A,#N/A,FALSE,"Plan2"}</definedName>
    <definedName name="aeiresft" localSheetId="5" hidden="1">{#N/A,#N/A,FALSE,"Plan1";#N/A,#N/A,FALSE,"Plan2"}</definedName>
    <definedName name="aeiresft" localSheetId="4" hidden="1">{#N/A,#N/A,FALSE,"Plan1";#N/A,#N/A,FALSE,"Plan2"}</definedName>
    <definedName name="aeiresft" localSheetId="8" hidden="1">{#N/A,#N/A,FALSE,"Plan1";#N/A,#N/A,FALSE,"Plan2"}</definedName>
    <definedName name="aeiresft" localSheetId="12" hidden="1">{#N/A,#N/A,FALSE,"Plan1";#N/A,#N/A,FALSE,"Plan2"}</definedName>
    <definedName name="aeiresft" localSheetId="16" hidden="1">{#N/A,#N/A,FALSE,"Plan1";#N/A,#N/A,FALSE,"Plan2"}</definedName>
    <definedName name="aeiresft" localSheetId="0" hidden="1">{#N/A,#N/A,FALSE,"Plan1";#N/A,#N/A,FALSE,"Plan2"}</definedName>
    <definedName name="aeiresft" localSheetId="11" hidden="1">{#N/A,#N/A,FALSE,"Plan1";#N/A,#N/A,FALSE,"Plan2"}</definedName>
    <definedName name="aeiresft" localSheetId="13" hidden="1">{#N/A,#N/A,FALSE,"Plan1";#N/A,#N/A,FALSE,"Plan2"}</definedName>
    <definedName name="aeiresft" hidden="1">{#N/A,#N/A,FALSE,"Plan1";#N/A,#N/A,FALSE,"Plan2"}</definedName>
    <definedName name="aEL3QE" localSheetId="14" hidden="1">{#N/A,#N/A,FALSE,"Plan1";#N/A,#N/A,FALSE,"Plan2"}</definedName>
    <definedName name="aEL3QE" localSheetId="7" hidden="1">{#N/A,#N/A,FALSE,"Plan1";#N/A,#N/A,FALSE,"Plan2"}</definedName>
    <definedName name="aEL3QE" localSheetId="1" hidden="1">{#N/A,#N/A,FALSE,"Plan1";#N/A,#N/A,FALSE,"Plan2"}</definedName>
    <definedName name="aEL3QE" localSheetId="2" hidden="1">{#N/A,#N/A,FALSE,"Plan1";#N/A,#N/A,FALSE,"Plan2"}</definedName>
    <definedName name="aEL3QE" localSheetId="9" hidden="1">{#N/A,#N/A,FALSE,"Plan1";#N/A,#N/A,FALSE,"Plan2"}</definedName>
    <definedName name="aEL3QE" localSheetId="5" hidden="1">{#N/A,#N/A,FALSE,"Plan1";#N/A,#N/A,FALSE,"Plan2"}</definedName>
    <definedName name="aEL3QE" localSheetId="4" hidden="1">{#N/A,#N/A,FALSE,"Plan1";#N/A,#N/A,FALSE,"Plan2"}</definedName>
    <definedName name="aEL3QE" localSheetId="8" hidden="1">{#N/A,#N/A,FALSE,"Plan1";#N/A,#N/A,FALSE,"Plan2"}</definedName>
    <definedName name="aEL3QE" localSheetId="12" hidden="1">{#N/A,#N/A,FALSE,"Plan1";#N/A,#N/A,FALSE,"Plan2"}</definedName>
    <definedName name="aEL3QE" localSheetId="16" hidden="1">{#N/A,#N/A,FALSE,"Plan1";#N/A,#N/A,FALSE,"Plan2"}</definedName>
    <definedName name="aEL3QE" localSheetId="0" hidden="1">{#N/A,#N/A,FALSE,"Plan1";#N/A,#N/A,FALSE,"Plan2"}</definedName>
    <definedName name="aEL3QE" localSheetId="11" hidden="1">{#N/A,#N/A,FALSE,"Plan1";#N/A,#N/A,FALSE,"Plan2"}</definedName>
    <definedName name="aEL3QE" localSheetId="13" hidden="1">{#N/A,#N/A,FALSE,"Plan1";#N/A,#N/A,FALSE,"Plan2"}</definedName>
    <definedName name="aEL3QE" hidden="1">{#N/A,#N/A,FALSE,"Plan1";#N/A,#N/A,FALSE,"Plan2"}</definedName>
    <definedName name="afeasfre" localSheetId="14" hidden="1">{#N/A,#N/A,FALSE,"Plan1";#N/A,#N/A,FALSE,"Plan2"}</definedName>
    <definedName name="afeasfre" localSheetId="7" hidden="1">{#N/A,#N/A,FALSE,"Plan1";#N/A,#N/A,FALSE,"Plan2"}</definedName>
    <definedName name="afeasfre" localSheetId="1" hidden="1">{#N/A,#N/A,FALSE,"Plan1";#N/A,#N/A,FALSE,"Plan2"}</definedName>
    <definedName name="afeasfre" localSheetId="2" hidden="1">{#N/A,#N/A,FALSE,"Plan1";#N/A,#N/A,FALSE,"Plan2"}</definedName>
    <definedName name="afeasfre" localSheetId="9" hidden="1">{#N/A,#N/A,FALSE,"Plan1";#N/A,#N/A,FALSE,"Plan2"}</definedName>
    <definedName name="afeasfre" localSheetId="5" hidden="1">{#N/A,#N/A,FALSE,"Plan1";#N/A,#N/A,FALSE,"Plan2"}</definedName>
    <definedName name="afeasfre" localSheetId="4" hidden="1">{#N/A,#N/A,FALSE,"Plan1";#N/A,#N/A,FALSE,"Plan2"}</definedName>
    <definedName name="afeasfre" localSheetId="8" hidden="1">{#N/A,#N/A,FALSE,"Plan1";#N/A,#N/A,FALSE,"Plan2"}</definedName>
    <definedName name="afeasfre" localSheetId="12" hidden="1">{#N/A,#N/A,FALSE,"Plan1";#N/A,#N/A,FALSE,"Plan2"}</definedName>
    <definedName name="afeasfre" localSheetId="16" hidden="1">{#N/A,#N/A,FALSE,"Plan1";#N/A,#N/A,FALSE,"Plan2"}</definedName>
    <definedName name="afeasfre" localSheetId="0" hidden="1">{#N/A,#N/A,FALSE,"Plan1";#N/A,#N/A,FALSE,"Plan2"}</definedName>
    <definedName name="afeasfre" localSheetId="11" hidden="1">{#N/A,#N/A,FALSE,"Plan1";#N/A,#N/A,FALSE,"Plan2"}</definedName>
    <definedName name="afeasfre" localSheetId="13" hidden="1">{#N/A,#N/A,FALSE,"Plan1";#N/A,#N/A,FALSE,"Plan2"}</definedName>
    <definedName name="afeasfre" hidden="1">{#N/A,#N/A,FALSE,"Plan1";#N/A,#N/A,FALSE,"Plan2"}</definedName>
    <definedName name="agdsf" localSheetId="2" hidden="1">#REF!</definedName>
    <definedName name="agdsf" localSheetId="5" hidden="1">#REF!</definedName>
    <definedName name="agdsf" localSheetId="0" hidden="1">#REF!</definedName>
    <definedName name="agdsf" hidden="1">#REF!</definedName>
    <definedName name="ago17RJ" localSheetId="2">#REF!</definedName>
    <definedName name="ago17RJ" localSheetId="5">#REF!</definedName>
    <definedName name="ago17RJ">#REF!</definedName>
    <definedName name="AGOSTO" localSheetId="2">#REF!</definedName>
    <definedName name="AGOSTO" localSheetId="5">#REF!</definedName>
    <definedName name="AGOSTO">#REF!</definedName>
    <definedName name="agu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4" hidden="1">{#N/A,#N/A,FALSE,"CCTV"}</definedName>
    <definedName name="AH" localSheetId="7" hidden="1">{#N/A,#N/A,FALSE,"CCTV"}</definedName>
    <definedName name="AH" localSheetId="1" hidden="1">{#N/A,#N/A,FALSE,"CCTV"}</definedName>
    <definedName name="AH" localSheetId="2" hidden="1">{#N/A,#N/A,FALSE,"CCTV"}</definedName>
    <definedName name="AH" localSheetId="9" hidden="1">{#N/A,#N/A,FALSE,"CCTV"}</definedName>
    <definedName name="AH" localSheetId="5" hidden="1">{#N/A,#N/A,FALSE,"CCTV"}</definedName>
    <definedName name="AH" localSheetId="4" hidden="1">{#N/A,#N/A,FALSE,"CCTV"}</definedName>
    <definedName name="AH" localSheetId="8" hidden="1">{#N/A,#N/A,FALSE,"CCTV"}</definedName>
    <definedName name="AH" localSheetId="12" hidden="1">{#N/A,#N/A,FALSE,"CCTV"}</definedName>
    <definedName name="AH" localSheetId="16" hidden="1">{#N/A,#N/A,FALSE,"CCTV"}</definedName>
    <definedName name="AH" localSheetId="0" hidden="1">{#N/A,#N/A,FALSE,"CCTV"}</definedName>
    <definedName name="AH" localSheetId="11" hidden="1">{#N/A,#N/A,FALSE,"CCTV"}</definedName>
    <definedName name="AH" localSheetId="13" hidden="1">{#N/A,#N/A,FALSE,"CCTV"}</definedName>
    <definedName name="AH" hidden="1">{#N/A,#N/A,FALSE,"CCTV"}</definedName>
    <definedName name="AITEM" localSheetId="2">#REF!</definedName>
    <definedName name="AITEM" localSheetId="5">#REF!</definedName>
    <definedName name="AITEM">#REF!</definedName>
    <definedName name="Ajudante_Geral" localSheetId="2">#REF!</definedName>
    <definedName name="Ajudante_Geral" localSheetId="5">#REF!</definedName>
    <definedName name="Ajudante_Geral">#REF!</definedName>
    <definedName name="ajudante_mes" localSheetId="2">#REF!</definedName>
    <definedName name="ajudante_mes" localSheetId="5">#REF!</definedName>
    <definedName name="ajudante_mes">#REF!</definedName>
    <definedName name="AL" localSheetId="2">#REF!</definedName>
    <definedName name="AL" localSheetId="5">#REF!</definedName>
    <definedName name="AL">#REF!</definedName>
    <definedName name="ALTADUC" localSheetId="2">#REF!</definedName>
    <definedName name="ALTADUC" localSheetId="5">#REF!</definedName>
    <definedName name="ALTADUC">#REF!</definedName>
    <definedName name="ALTBOMB" localSheetId="2">#REF!</definedName>
    <definedName name="ALTBOMB" localSheetId="5">#REF!</definedName>
    <definedName name="ALTBOMB">#REF!</definedName>
    <definedName name="ALTCAP" localSheetId="2">#REF!</definedName>
    <definedName name="ALTCAP" localSheetId="5">#REF!</definedName>
    <definedName name="ALTCAP">#REF!</definedName>
    <definedName name="ALTDER" localSheetId="2">#REF!</definedName>
    <definedName name="ALTDER" localSheetId="5">#REF!</definedName>
    <definedName name="ALTDER">#REF!</definedName>
    <definedName name="ALTEQUIP" localSheetId="2">#REF!</definedName>
    <definedName name="ALTEQUIP" localSheetId="5">#REF!</definedName>
    <definedName name="ALTEQUIP">#REF!</definedName>
    <definedName name="ALTIEQP" localSheetId="2">#REF!</definedName>
    <definedName name="ALTIEQP" localSheetId="5">#REF!</definedName>
    <definedName name="ALTIEQP">#REF!</definedName>
    <definedName name="ALTMUR" localSheetId="2">#REF!</definedName>
    <definedName name="ALTMUR" localSheetId="5">#REF!</definedName>
    <definedName name="ALTMUR">#REF!</definedName>
    <definedName name="ALTRES10" localSheetId="2">#REF!</definedName>
    <definedName name="ALTRES10" localSheetId="5">#REF!</definedName>
    <definedName name="ALTRES10">#REF!</definedName>
    <definedName name="ALTRES15" localSheetId="2">#REF!</definedName>
    <definedName name="ALTRES15" localSheetId="5">#REF!</definedName>
    <definedName name="ALTRES15">#REF!</definedName>
    <definedName name="ALTRES20" localSheetId="2">#REF!</definedName>
    <definedName name="ALTRES20" localSheetId="5">#REF!</definedName>
    <definedName name="ALTRES20">#REF!</definedName>
    <definedName name="ALTTRANS" localSheetId="2">#REF!</definedName>
    <definedName name="ALTTRANS" localSheetId="5">#REF!</definedName>
    <definedName name="ALTTRANS">#REF!</definedName>
    <definedName name="ALUMÍNIO_2" localSheetId="2">#REF!</definedName>
    <definedName name="ALUMÍNIO_2" localSheetId="5">#REF!</definedName>
    <definedName name="ALUMÍNIO_2" localSheetId="24">#REF!</definedName>
    <definedName name="ALUMÍNIO_2" localSheetId="23">#REF!</definedName>
    <definedName name="ALUMÍNIO_2">#REF!</definedName>
    <definedName name="angelo" localSheetId="14">#REF!</definedName>
    <definedName name="angelo" localSheetId="2">#REF!</definedName>
    <definedName name="angelo" localSheetId="5">#REF!</definedName>
    <definedName name="angelo" localSheetId="15">#REF!</definedName>
    <definedName name="angelo" localSheetId="0">#REF!</definedName>
    <definedName name="angelo">#REF!</definedName>
    <definedName name="anscount" localSheetId="7" hidden="1">1</definedName>
    <definedName name="anscount" localSheetId="2" hidden="1">1</definedName>
    <definedName name="anscount" localSheetId="9" hidden="1">1</definedName>
    <definedName name="anscount" localSheetId="5" hidden="1">3</definedName>
    <definedName name="anscount" localSheetId="8" hidden="1">1</definedName>
    <definedName name="anscount" localSheetId="0" hidden="1">3</definedName>
    <definedName name="anscount" hidden="1">3</definedName>
    <definedName name="AQE" localSheetId="14" hidden="1">{"'장비'!$A$3:$M$12"}</definedName>
    <definedName name="AQE" localSheetId="7" hidden="1">{"'장비'!$A$3:$M$12"}</definedName>
    <definedName name="AQE" localSheetId="1" hidden="1">{"'장비'!$A$3:$M$12"}</definedName>
    <definedName name="AQE" localSheetId="2" hidden="1">{"'장비'!$A$3:$M$12"}</definedName>
    <definedName name="AQE" localSheetId="9" hidden="1">{"'장비'!$A$3:$M$12"}</definedName>
    <definedName name="AQE" localSheetId="5" hidden="1">{"'장비'!$A$3:$M$12"}</definedName>
    <definedName name="AQE" localSheetId="4" hidden="1">{"'장비'!$A$3:$M$12"}</definedName>
    <definedName name="AQE" localSheetId="8" hidden="1">{"'장비'!$A$3:$M$12"}</definedName>
    <definedName name="AQE" localSheetId="12" hidden="1">{"'장비'!$A$3:$M$12"}</definedName>
    <definedName name="AQE" localSheetId="16" hidden="1">{"'장비'!$A$3:$M$12"}</definedName>
    <definedName name="AQE" localSheetId="0" hidden="1">{"'장비'!$A$3:$M$12"}</definedName>
    <definedName name="AQE" localSheetId="11" hidden="1">{"'장비'!$A$3:$M$12"}</definedName>
    <definedName name="AQE" localSheetId="13" hidden="1">{"'장비'!$A$3:$M$12"}</definedName>
    <definedName name="AQE" hidden="1">{"'장비'!$A$3:$M$12"}</definedName>
    <definedName name="AQTEMP1" localSheetId="2">#REF!</definedName>
    <definedName name="AQTEMP1" localSheetId="5">#REF!</definedName>
    <definedName name="AQTEMP1">#REF!</definedName>
    <definedName name="AQTEMP2" localSheetId="2">#REF!</definedName>
    <definedName name="AQTEMP2" localSheetId="5">#REF!</definedName>
    <definedName name="AQTEMP2">#REF!</definedName>
    <definedName name="ArComprimido" localSheetId="14" hidden="1">{"'Estimativa de Lançamento-JAN'!$A$1:$AI$85"}</definedName>
    <definedName name="ArComprimido" localSheetId="7" hidden="1">{"'Estimativa de Lançamento-JAN'!$A$1:$AI$85"}</definedName>
    <definedName name="ArComprimido" localSheetId="1" hidden="1">{"'Estimativa de Lançamento-JAN'!$A$1:$AI$85"}</definedName>
    <definedName name="ArComprimido" localSheetId="2" hidden="1">{"'Estimativa de Lançamento-JAN'!$A$1:$AI$85"}</definedName>
    <definedName name="ArComprimido" localSheetId="9" hidden="1">{"'Estimativa de Lançamento-JAN'!$A$1:$AI$85"}</definedName>
    <definedName name="ArComprimido" localSheetId="5" hidden="1">{"'Estimativa de Lançamento-JAN'!$A$1:$AI$85"}</definedName>
    <definedName name="ArComprimido" localSheetId="4" hidden="1">{"'Estimativa de Lançamento-JAN'!$A$1:$AI$85"}</definedName>
    <definedName name="ArComprimido" localSheetId="8" hidden="1">{"'Estimativa de Lançamento-JAN'!$A$1:$AI$85"}</definedName>
    <definedName name="ArComprimido" localSheetId="12" hidden="1">{"'Estimativa de Lançamento-JAN'!$A$1:$AI$85"}</definedName>
    <definedName name="ArComprimido" localSheetId="16" hidden="1">{"'Estimativa de Lançamento-JAN'!$A$1:$AI$85"}</definedName>
    <definedName name="ArComprimido" localSheetId="0" hidden="1">{"'Estimativa de Lançamento-JAN'!$A$1:$AI$85"}</definedName>
    <definedName name="ArComprimido" localSheetId="11" hidden="1">{"'Estimativa de Lançamento-JAN'!$A$1:$AI$85"}</definedName>
    <definedName name="ArComprimido" localSheetId="13" hidden="1">{"'Estimativa de Lançamento-JAN'!$A$1:$AI$85"}</definedName>
    <definedName name="ArComprimido" hidden="1">{"'Estimativa de Lançamento-JAN'!$A$1:$AI$85"}</definedName>
    <definedName name="area" localSheetId="14">#REF!</definedName>
    <definedName name="area" localSheetId="7">#REF!</definedName>
    <definedName name="area" localSheetId="1" hidden="1">{#N/A,#N/A,FALSE,"Plan1";#N/A,#N/A,FALSE,"Plan2"}</definedName>
    <definedName name="area" localSheetId="2" hidden="1">{#N/A,#N/A,FALSE,"Plan1";#N/A,#N/A,FALSE,"Plan2"}</definedName>
    <definedName name="area" localSheetId="9">#REF!</definedName>
    <definedName name="area" localSheetId="5" hidden="1">{#N/A,#N/A,FALSE,"Plan1";#N/A,#N/A,FALSE,"Plan2"}</definedName>
    <definedName name="area" localSheetId="4" hidden="1">{#N/A,#N/A,FALSE,"Plan1";#N/A,#N/A,FALSE,"Plan2"}</definedName>
    <definedName name="area" localSheetId="15">#REF!</definedName>
    <definedName name="area" localSheetId="8">#REF!</definedName>
    <definedName name="area" localSheetId="12">#REF!</definedName>
    <definedName name="area" localSheetId="16" hidden="1">{#N/A,#N/A,FALSE,"Plan1";#N/A,#N/A,FALSE,"Plan2"}</definedName>
    <definedName name="area" localSheetId="0" hidden="1">{#N/A,#N/A,FALSE,"Plan1";#N/A,#N/A,FALSE,"Plan2"}</definedName>
    <definedName name="area" localSheetId="11" hidden="1">{#N/A,#N/A,FALSE,"Plan1";#N/A,#N/A,FALSE,"Plan2"}</definedName>
    <definedName name="area" localSheetId="13" hidden="1">{#N/A,#N/A,FALSE,"Plan1";#N/A,#N/A,FALSE,"Plan2"}</definedName>
    <definedName name="area" hidden="1">{#N/A,#N/A,FALSE,"Plan1";#N/A,#N/A,FALSE,"Plan2"}</definedName>
    <definedName name="área" localSheetId="2">#REF!</definedName>
    <definedName name="área" localSheetId="9">#REF!</definedName>
    <definedName name="área" localSheetId="5">#REF!</definedName>
    <definedName name="área">#REF!</definedName>
    <definedName name="Área_Construída" localSheetId="2">#REF!</definedName>
    <definedName name="Área_Construída" localSheetId="5">#REF!</definedName>
    <definedName name="Área_Construída" localSheetId="0">#REF!</definedName>
    <definedName name="Área_Construída">#REF!</definedName>
    <definedName name="_xlnm.Print_Area" localSheetId="3">CANTEIRO!$A$1:$H$17</definedName>
    <definedName name="_xlnm.Print_Area" localSheetId="14">#REF!</definedName>
    <definedName name="_xlnm.Print_Area" localSheetId="2">#REF!</definedName>
    <definedName name="_xlnm.Print_Area" localSheetId="27">'Escada - T1'!$A$1:$U$40</definedName>
    <definedName name="_xlnm.Print_Area" localSheetId="9">'Fundação Rasa'!$A$1:$AC$96</definedName>
    <definedName name="_xlnm.Print_Area" localSheetId="5">#REF!</definedName>
    <definedName name="_xlnm.Print_Area" localSheetId="15">#REF!</definedName>
    <definedName name="_xlnm.Print_Area" localSheetId="12">#REF!</definedName>
    <definedName name="_xlnm.Print_Area" localSheetId="26">'Lajes - T1 '!$A$1:$U$26</definedName>
    <definedName name="_xlnm.Print_Area" localSheetId="0">'Obra '!$A$1:$K$74</definedName>
    <definedName name="_xlnm.Print_Area" localSheetId="24">Pilares!$A$1:$N$63</definedName>
    <definedName name="_xlnm.Print_Area" localSheetId="23">'Piso Arm.Térreo'!$A$1:$T$15</definedName>
    <definedName name="_xlnm.Print_Area" localSheetId="29">'Resumo Esquadrias - T1'!$B:$J</definedName>
    <definedName name="_xlnm.Print_Area" localSheetId="25">'Vigas - T1 '!$A$1:$O$36</definedName>
    <definedName name="_xlnm.Print_Area">#REF!</definedName>
    <definedName name="Área_impressão_IM" localSheetId="2">#REF!</definedName>
    <definedName name="Área_impressão_IM" localSheetId="5">#REF!</definedName>
    <definedName name="Área_impressão_IM" localSheetId="24">#REF!</definedName>
    <definedName name="Área_impressão_IM">#REF!</definedName>
    <definedName name="Área_Privativa" localSheetId="2">#REF!</definedName>
    <definedName name="Área_Privativa" localSheetId="5">#REF!</definedName>
    <definedName name="Área_Privativa" localSheetId="0">#REF!</definedName>
    <definedName name="Área_Privativa">#REF!</definedName>
    <definedName name="Área_Terreno" localSheetId="2">#REF!</definedName>
    <definedName name="Área_Terreno" localSheetId="5">#REF!</definedName>
    <definedName name="Área_Terreno" localSheetId="0">#REF!</definedName>
    <definedName name="Área_Terreno">#REF!</definedName>
    <definedName name="area1" localSheetId="2">#REF!</definedName>
    <definedName name="area1" localSheetId="5">#REF!</definedName>
    <definedName name="area1">#REF!</definedName>
    <definedName name="Areaimpresso" localSheetId="14">#REF!</definedName>
    <definedName name="Areaimpresso" localSheetId="2">#REF!</definedName>
    <definedName name="Areaimpresso" localSheetId="5">#REF!</definedName>
    <definedName name="Areaimpresso" localSheetId="15">#REF!</definedName>
    <definedName name="Areaimpresso" localSheetId="12">#REF!</definedName>
    <definedName name="Areaimpresso" localSheetId="0">#REF!</definedName>
    <definedName name="Areaimpresso">#REF!</definedName>
    <definedName name="ARM" localSheetId="2">#REF!</definedName>
    <definedName name="ARM" localSheetId="5">#REF!</definedName>
    <definedName name="ARM">#REF!</definedName>
    <definedName name="ARMABLOCOS" localSheetId="2">#REF!</definedName>
    <definedName name="ARMABLOCOS" localSheetId="5">#REF!</definedName>
    <definedName name="ARMABLOCOS">#REF!</definedName>
    <definedName name="ARMAÇÃO" localSheetId="2">#REF!</definedName>
    <definedName name="ARMAÇÃO" localSheetId="5">#REF!</definedName>
    <definedName name="ARMAÇÃO" localSheetId="24">#REF!</definedName>
    <definedName name="ARMAÇÃO">#REF!</definedName>
    <definedName name="ARQ" localSheetId="2">#REF!</definedName>
    <definedName name="ARQ" localSheetId="5">#REF!</definedName>
    <definedName name="ARQ">#REF!</definedName>
    <definedName name="ARQERR" localSheetId="2">#REF!</definedName>
    <definedName name="ARQERR" localSheetId="5">#REF!</definedName>
    <definedName name="ARQERR">#REF!</definedName>
    <definedName name="ARQPLAN" localSheetId="2">#REF!</definedName>
    <definedName name="ARQPLAN" localSheetId="5">#REF!</definedName>
    <definedName name="ARQPLAN">#REF!</definedName>
    <definedName name="ARQT" localSheetId="2">#REF!</definedName>
    <definedName name="ARQT" localSheetId="5">#REF!</definedName>
    <definedName name="ARQT">#REF!</definedName>
    <definedName name="ARQTEMP" localSheetId="2">#REF!</definedName>
    <definedName name="ARQTEMP" localSheetId="5">#REF!</definedName>
    <definedName name="ARQTEMP">#REF!</definedName>
    <definedName name="ARQTXT" localSheetId="2">#REF!</definedName>
    <definedName name="ARQTXT" localSheetId="5">#REF!</definedName>
    <definedName name="ARQTXT">#REF!</definedName>
    <definedName name="ARTEMP" localSheetId="2">#REF!</definedName>
    <definedName name="ARTEMP" localSheetId="5">#REF!</definedName>
    <definedName name="ARTEMP">#REF!</definedName>
    <definedName name="AS" localSheetId="2">#REF!</definedName>
    <definedName name="AS" localSheetId="5">#REF!</definedName>
    <definedName name="AS">#REF!</definedName>
    <definedName name="AS2DocOpenMode" hidden="1">"AS2DocumentBrowse"</definedName>
    <definedName name="asawe3" localSheetId="14" hidden="1">{#N/A,#N/A,FALSE,"Plan1";#N/A,#N/A,FALSE,"Plan2"}</definedName>
    <definedName name="asawe3" localSheetId="7" hidden="1">{#N/A,#N/A,FALSE,"Plan1";#N/A,#N/A,FALSE,"Plan2"}</definedName>
    <definedName name="asawe3" localSheetId="1" hidden="1">{#N/A,#N/A,FALSE,"Plan1";#N/A,#N/A,FALSE,"Plan2"}</definedName>
    <definedName name="asawe3" localSheetId="2" hidden="1">{#N/A,#N/A,FALSE,"Plan1";#N/A,#N/A,FALSE,"Plan2"}</definedName>
    <definedName name="asawe3" localSheetId="9" hidden="1">{#N/A,#N/A,FALSE,"Plan1";#N/A,#N/A,FALSE,"Plan2"}</definedName>
    <definedName name="asawe3" localSheetId="5" hidden="1">{#N/A,#N/A,FALSE,"Plan1";#N/A,#N/A,FALSE,"Plan2"}</definedName>
    <definedName name="asawe3" localSheetId="4" hidden="1">{#N/A,#N/A,FALSE,"Plan1";#N/A,#N/A,FALSE,"Plan2"}</definedName>
    <definedName name="asawe3" localSheetId="8" hidden="1">{#N/A,#N/A,FALSE,"Plan1";#N/A,#N/A,FALSE,"Plan2"}</definedName>
    <definedName name="asawe3" localSheetId="12" hidden="1">{#N/A,#N/A,FALSE,"Plan1";#N/A,#N/A,FALSE,"Plan2"}</definedName>
    <definedName name="asawe3" localSheetId="16" hidden="1">{#N/A,#N/A,FALSE,"Plan1";#N/A,#N/A,FALSE,"Plan2"}</definedName>
    <definedName name="asawe3" localSheetId="0" hidden="1">{#N/A,#N/A,FALSE,"Plan1";#N/A,#N/A,FALSE,"Plan2"}</definedName>
    <definedName name="asawe3" localSheetId="11" hidden="1">{#N/A,#N/A,FALSE,"Plan1";#N/A,#N/A,FALSE,"Plan2"}</definedName>
    <definedName name="asawe3" localSheetId="13" hidden="1">{#N/A,#N/A,FALSE,"Plan1";#N/A,#N/A,FALSE,"Plan2"}</definedName>
    <definedName name="asawe3" hidden="1">{#N/A,#N/A,FALSE,"Plan1";#N/A,#N/A,FALSE,"Plan2"}</definedName>
    <definedName name="as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5" hidden="1">17</definedName>
    <definedName name="as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0" hidden="1">17</definedName>
    <definedName name="ASD" hidden="1">17</definedName>
    <definedName name="ASDA" localSheetId="14" hidden="1">{#N/A,#N/A,FALSE,"Plan1";#N/A,#N/A,FALSE,"Plan2"}</definedName>
    <definedName name="ASDA" localSheetId="7" hidden="1">{#N/A,#N/A,FALSE,"Plan1";#N/A,#N/A,FALSE,"Plan2"}</definedName>
    <definedName name="ASDA" localSheetId="1" hidden="1">{#N/A,#N/A,FALSE,"Plan1";#N/A,#N/A,FALSE,"Plan2"}</definedName>
    <definedName name="ASDA" localSheetId="2" hidden="1">{#N/A,#N/A,FALSE,"Plan1";#N/A,#N/A,FALSE,"Plan2"}</definedName>
    <definedName name="ASDA" localSheetId="9" hidden="1">{#N/A,#N/A,FALSE,"Plan1";#N/A,#N/A,FALSE,"Plan2"}</definedName>
    <definedName name="ASDA" localSheetId="5" hidden="1">{#N/A,#N/A,FALSE,"Plan1";#N/A,#N/A,FALSE,"Plan2"}</definedName>
    <definedName name="ASDA" localSheetId="4" hidden="1">{#N/A,#N/A,FALSE,"Plan1";#N/A,#N/A,FALSE,"Plan2"}</definedName>
    <definedName name="ASDA" localSheetId="8" hidden="1">{#N/A,#N/A,FALSE,"Plan1";#N/A,#N/A,FALSE,"Plan2"}</definedName>
    <definedName name="ASDA" localSheetId="12" hidden="1">{#N/A,#N/A,FALSE,"Plan1";#N/A,#N/A,FALSE,"Plan2"}</definedName>
    <definedName name="ASDA" localSheetId="16" hidden="1">{#N/A,#N/A,FALSE,"Plan1";#N/A,#N/A,FALSE,"Plan2"}</definedName>
    <definedName name="ASDA" localSheetId="0" hidden="1">{#N/A,#N/A,FALSE,"Plan1";#N/A,#N/A,FALSE,"Plan2"}</definedName>
    <definedName name="ASDA" localSheetId="11" hidden="1">{#N/A,#N/A,FALSE,"Plan1";#N/A,#N/A,FALSE,"Plan2"}</definedName>
    <definedName name="ASDA" localSheetId="13" hidden="1">{#N/A,#N/A,FALSE,"Plan1";#N/A,#N/A,FALSE,"Plan2"}</definedName>
    <definedName name="ASDA" hidden="1">{#N/A,#N/A,FALSE,"Plan1";#N/A,#N/A,FALSE,"Plan2"}</definedName>
    <definedName name="asdade" localSheetId="14" hidden="1">{#N/A,#N/A,FALSE,"Plan1";#N/A,#N/A,FALSE,"Plan2"}</definedName>
    <definedName name="asdade" localSheetId="7" hidden="1">{#N/A,#N/A,FALSE,"Plan1";#N/A,#N/A,FALSE,"Plan2"}</definedName>
    <definedName name="asdade" localSheetId="1" hidden="1">{#N/A,#N/A,FALSE,"Plan1";#N/A,#N/A,FALSE,"Plan2"}</definedName>
    <definedName name="asdade" localSheetId="2" hidden="1">{#N/A,#N/A,FALSE,"Plan1";#N/A,#N/A,FALSE,"Plan2"}</definedName>
    <definedName name="asdade" localSheetId="9" hidden="1">{#N/A,#N/A,FALSE,"Plan1";#N/A,#N/A,FALSE,"Plan2"}</definedName>
    <definedName name="asdade" localSheetId="5" hidden="1">{#N/A,#N/A,FALSE,"Plan1";#N/A,#N/A,FALSE,"Plan2"}</definedName>
    <definedName name="asdade" localSheetId="4" hidden="1">{#N/A,#N/A,FALSE,"Plan1";#N/A,#N/A,FALSE,"Plan2"}</definedName>
    <definedName name="asdade" localSheetId="8" hidden="1">{#N/A,#N/A,FALSE,"Plan1";#N/A,#N/A,FALSE,"Plan2"}</definedName>
    <definedName name="asdade" localSheetId="12" hidden="1">{#N/A,#N/A,FALSE,"Plan1";#N/A,#N/A,FALSE,"Plan2"}</definedName>
    <definedName name="asdade" localSheetId="16" hidden="1">{#N/A,#N/A,FALSE,"Plan1";#N/A,#N/A,FALSE,"Plan2"}</definedName>
    <definedName name="asdade" localSheetId="0" hidden="1">{#N/A,#N/A,FALSE,"Plan1";#N/A,#N/A,FALSE,"Plan2"}</definedName>
    <definedName name="asdade" localSheetId="11" hidden="1">{#N/A,#N/A,FALSE,"Plan1";#N/A,#N/A,FALSE,"Plan2"}</definedName>
    <definedName name="asdade" localSheetId="13" hidden="1">{#N/A,#N/A,FALSE,"Plan1";#N/A,#N/A,FALSE,"Plan2"}</definedName>
    <definedName name="asdade" hidden="1">{#N/A,#N/A,FALSE,"Plan1";#N/A,#N/A,FALSE,"Plan2"}</definedName>
    <definedName name="asdas" localSheetId="14" hidden="1">{#N/A,#N/A,FALSE,"Plan1";#N/A,#N/A,FALSE,"Plan2"}</definedName>
    <definedName name="asdas" localSheetId="7" hidden="1">{#N/A,#N/A,FALSE,"Plan1";#N/A,#N/A,FALSE,"Plan2"}</definedName>
    <definedName name="asdas" localSheetId="1" hidden="1">{#N/A,#N/A,FALSE,"Plan1";#N/A,#N/A,FALSE,"Plan2"}</definedName>
    <definedName name="asdas" localSheetId="2" hidden="1">{#N/A,#N/A,FALSE,"Plan1";#N/A,#N/A,FALSE,"Plan2"}</definedName>
    <definedName name="asdas" localSheetId="9" hidden="1">{#N/A,#N/A,FALSE,"Plan1";#N/A,#N/A,FALSE,"Plan2"}</definedName>
    <definedName name="asdas" localSheetId="5" hidden="1">{#N/A,#N/A,FALSE,"Plan1";#N/A,#N/A,FALSE,"Plan2"}</definedName>
    <definedName name="asdas" localSheetId="4" hidden="1">{#N/A,#N/A,FALSE,"Plan1";#N/A,#N/A,FALSE,"Plan2"}</definedName>
    <definedName name="asdas" localSheetId="8" hidden="1">{#N/A,#N/A,FALSE,"Plan1";#N/A,#N/A,FALSE,"Plan2"}</definedName>
    <definedName name="asdas" localSheetId="12" hidden="1">{#N/A,#N/A,FALSE,"Plan1";#N/A,#N/A,FALSE,"Plan2"}</definedName>
    <definedName name="asdas" localSheetId="16" hidden="1">{#N/A,#N/A,FALSE,"Plan1";#N/A,#N/A,FALSE,"Plan2"}</definedName>
    <definedName name="asdas" localSheetId="0" hidden="1">{#N/A,#N/A,FALSE,"Plan1";#N/A,#N/A,FALSE,"Plan2"}</definedName>
    <definedName name="asdas" localSheetId="11" hidden="1">{#N/A,#N/A,FALSE,"Plan1";#N/A,#N/A,FALSE,"Plan2"}</definedName>
    <definedName name="asdas" localSheetId="13" hidden="1">{#N/A,#N/A,FALSE,"Plan1";#N/A,#N/A,FALSE,"Plan2"}</definedName>
    <definedName name="asdas" hidden="1">{#N/A,#N/A,FALSE,"Plan1";#N/A,#N/A,FALSE,"Plan2"}</definedName>
    <definedName name="asdawed" localSheetId="14" hidden="1">{#N/A,#N/A,FALSE,"Plan1";#N/A,#N/A,FALSE,"Plan2"}</definedName>
    <definedName name="asdawed" localSheetId="7" hidden="1">{#N/A,#N/A,FALSE,"Plan1";#N/A,#N/A,FALSE,"Plan2"}</definedName>
    <definedName name="asdawed" localSheetId="1" hidden="1">{#N/A,#N/A,FALSE,"Plan1";#N/A,#N/A,FALSE,"Plan2"}</definedName>
    <definedName name="asdawed" localSheetId="2" hidden="1">{#N/A,#N/A,FALSE,"Plan1";#N/A,#N/A,FALSE,"Plan2"}</definedName>
    <definedName name="asdawed" localSheetId="9" hidden="1">{#N/A,#N/A,FALSE,"Plan1";#N/A,#N/A,FALSE,"Plan2"}</definedName>
    <definedName name="asdawed" localSheetId="5" hidden="1">{#N/A,#N/A,FALSE,"Plan1";#N/A,#N/A,FALSE,"Plan2"}</definedName>
    <definedName name="asdawed" localSheetId="4" hidden="1">{#N/A,#N/A,FALSE,"Plan1";#N/A,#N/A,FALSE,"Plan2"}</definedName>
    <definedName name="asdawed" localSheetId="8" hidden="1">{#N/A,#N/A,FALSE,"Plan1";#N/A,#N/A,FALSE,"Plan2"}</definedName>
    <definedName name="asdawed" localSheetId="12" hidden="1">{#N/A,#N/A,FALSE,"Plan1";#N/A,#N/A,FALSE,"Plan2"}</definedName>
    <definedName name="asdawed" localSheetId="16" hidden="1">{#N/A,#N/A,FALSE,"Plan1";#N/A,#N/A,FALSE,"Plan2"}</definedName>
    <definedName name="asdawed" localSheetId="0" hidden="1">{#N/A,#N/A,FALSE,"Plan1";#N/A,#N/A,FALSE,"Plan2"}</definedName>
    <definedName name="asdawed" localSheetId="11" hidden="1">{#N/A,#N/A,FALSE,"Plan1";#N/A,#N/A,FALSE,"Plan2"}</definedName>
    <definedName name="asdawed" localSheetId="13" hidden="1">{#N/A,#N/A,FALSE,"Plan1";#N/A,#N/A,FALSE,"Plan2"}</definedName>
    <definedName name="asdawed" hidden="1">{#N/A,#N/A,FALSE,"Plan1";#N/A,#N/A,FALSE,"Plan2"}</definedName>
    <definedName name="ASDER" localSheetId="14" hidden="1">{#N/A,#N/A,FALSE,"Plan1";#N/A,#N/A,FALSE,"Plan2"}</definedName>
    <definedName name="ASDER" localSheetId="7" hidden="1">{#N/A,#N/A,FALSE,"Plan1";#N/A,#N/A,FALSE,"Plan2"}</definedName>
    <definedName name="ASDER" localSheetId="1" hidden="1">{#N/A,#N/A,FALSE,"Plan1";#N/A,#N/A,FALSE,"Plan2"}</definedName>
    <definedName name="ASDER" localSheetId="2" hidden="1">{#N/A,#N/A,FALSE,"Plan1";#N/A,#N/A,FALSE,"Plan2"}</definedName>
    <definedName name="ASDER" localSheetId="9" hidden="1">{#N/A,#N/A,FALSE,"Plan1";#N/A,#N/A,FALSE,"Plan2"}</definedName>
    <definedName name="ASDER" localSheetId="5" hidden="1">{#N/A,#N/A,FALSE,"Plan1";#N/A,#N/A,FALSE,"Plan2"}</definedName>
    <definedName name="ASDER" localSheetId="4" hidden="1">{#N/A,#N/A,FALSE,"Plan1";#N/A,#N/A,FALSE,"Plan2"}</definedName>
    <definedName name="ASDER" localSheetId="8" hidden="1">{#N/A,#N/A,FALSE,"Plan1";#N/A,#N/A,FALSE,"Plan2"}</definedName>
    <definedName name="ASDER" localSheetId="12" hidden="1">{#N/A,#N/A,FALSE,"Plan1";#N/A,#N/A,FALSE,"Plan2"}</definedName>
    <definedName name="ASDER" localSheetId="16" hidden="1">{#N/A,#N/A,FALSE,"Plan1";#N/A,#N/A,FALSE,"Plan2"}</definedName>
    <definedName name="ASDER" localSheetId="0" hidden="1">{#N/A,#N/A,FALSE,"Plan1";#N/A,#N/A,FALSE,"Plan2"}</definedName>
    <definedName name="ASDER" localSheetId="11" hidden="1">{#N/A,#N/A,FALSE,"Plan1";#N/A,#N/A,FALSE,"Plan2"}</definedName>
    <definedName name="ASDER" localSheetId="13" hidden="1">{#N/A,#N/A,FALSE,"Plan1";#N/A,#N/A,FALSE,"Plan2"}</definedName>
    <definedName name="ASDER" hidden="1">{#N/A,#N/A,FALSE,"Plan1";#N/A,#N/A,FALSE,"Plan2"}</definedName>
    <definedName name="asderr" localSheetId="14" hidden="1">{#N/A,#N/A,FALSE,"Plan1";#N/A,#N/A,FALSE,"Plan2"}</definedName>
    <definedName name="asderr" localSheetId="7" hidden="1">{#N/A,#N/A,FALSE,"Plan1";#N/A,#N/A,FALSE,"Plan2"}</definedName>
    <definedName name="asderr" localSheetId="1" hidden="1">{#N/A,#N/A,FALSE,"Plan1";#N/A,#N/A,FALSE,"Plan2"}</definedName>
    <definedName name="asderr" localSheetId="2" hidden="1">{#N/A,#N/A,FALSE,"Plan1";#N/A,#N/A,FALSE,"Plan2"}</definedName>
    <definedName name="asderr" localSheetId="9" hidden="1">{#N/A,#N/A,FALSE,"Plan1";#N/A,#N/A,FALSE,"Plan2"}</definedName>
    <definedName name="asderr" localSheetId="5" hidden="1">{#N/A,#N/A,FALSE,"Plan1";#N/A,#N/A,FALSE,"Plan2"}</definedName>
    <definedName name="asderr" localSheetId="4" hidden="1">{#N/A,#N/A,FALSE,"Plan1";#N/A,#N/A,FALSE,"Plan2"}</definedName>
    <definedName name="asderr" localSheetId="8" hidden="1">{#N/A,#N/A,FALSE,"Plan1";#N/A,#N/A,FALSE,"Plan2"}</definedName>
    <definedName name="asderr" localSheetId="12" hidden="1">{#N/A,#N/A,FALSE,"Plan1";#N/A,#N/A,FALSE,"Plan2"}</definedName>
    <definedName name="asderr" localSheetId="16" hidden="1">{#N/A,#N/A,FALSE,"Plan1";#N/A,#N/A,FALSE,"Plan2"}</definedName>
    <definedName name="asderr" localSheetId="0" hidden="1">{#N/A,#N/A,FALSE,"Plan1";#N/A,#N/A,FALSE,"Plan2"}</definedName>
    <definedName name="asderr" localSheetId="11" hidden="1">{#N/A,#N/A,FALSE,"Plan1";#N/A,#N/A,FALSE,"Plan2"}</definedName>
    <definedName name="asderr" localSheetId="13" hidden="1">{#N/A,#N/A,FALSE,"Plan1";#N/A,#N/A,FALSE,"Plan2"}</definedName>
    <definedName name="asderr" hidden="1">{#N/A,#N/A,FALSE,"Plan1";#N/A,#N/A,FALSE,"Plan2"}</definedName>
    <definedName name="asdesre" localSheetId="14" hidden="1">{#N/A,#N/A,FALSE,"Plan1";#N/A,#N/A,FALSE,"Plan2"}</definedName>
    <definedName name="asdesre" localSheetId="7" hidden="1">{#N/A,#N/A,FALSE,"Plan1";#N/A,#N/A,FALSE,"Plan2"}</definedName>
    <definedName name="asdesre" localSheetId="1" hidden="1">{#N/A,#N/A,FALSE,"Plan1";#N/A,#N/A,FALSE,"Plan2"}</definedName>
    <definedName name="asdesre" localSheetId="2" hidden="1">{#N/A,#N/A,FALSE,"Plan1";#N/A,#N/A,FALSE,"Plan2"}</definedName>
    <definedName name="asdesre" localSheetId="9" hidden="1">{#N/A,#N/A,FALSE,"Plan1";#N/A,#N/A,FALSE,"Plan2"}</definedName>
    <definedName name="asdesre" localSheetId="5" hidden="1">{#N/A,#N/A,FALSE,"Plan1";#N/A,#N/A,FALSE,"Plan2"}</definedName>
    <definedName name="asdesre" localSheetId="4" hidden="1">{#N/A,#N/A,FALSE,"Plan1";#N/A,#N/A,FALSE,"Plan2"}</definedName>
    <definedName name="asdesre" localSheetId="8" hidden="1">{#N/A,#N/A,FALSE,"Plan1";#N/A,#N/A,FALSE,"Plan2"}</definedName>
    <definedName name="asdesre" localSheetId="12" hidden="1">{#N/A,#N/A,FALSE,"Plan1";#N/A,#N/A,FALSE,"Plan2"}</definedName>
    <definedName name="asdesre" localSheetId="16" hidden="1">{#N/A,#N/A,FALSE,"Plan1";#N/A,#N/A,FALSE,"Plan2"}</definedName>
    <definedName name="asdesre" localSheetId="0" hidden="1">{#N/A,#N/A,FALSE,"Plan1";#N/A,#N/A,FALSE,"Plan2"}</definedName>
    <definedName name="asdesre" localSheetId="11" hidden="1">{#N/A,#N/A,FALSE,"Plan1";#N/A,#N/A,FALSE,"Plan2"}</definedName>
    <definedName name="asdesre" localSheetId="13" hidden="1">{#N/A,#N/A,FALSE,"Plan1";#N/A,#N/A,FALSE,"Plan2"}</definedName>
    <definedName name="asdesre" hidden="1">{#N/A,#N/A,FALSE,"Plan1";#N/A,#N/A,FALSE,"Plan2"}</definedName>
    <definedName name="asdewr" localSheetId="14" hidden="1">{#N/A,#N/A,FALSE,"Plan1";#N/A,#N/A,FALSE,"Plan2"}</definedName>
    <definedName name="asdewr" localSheetId="7" hidden="1">{#N/A,#N/A,FALSE,"Plan1";#N/A,#N/A,FALSE,"Plan2"}</definedName>
    <definedName name="asdewr" localSheetId="1" hidden="1">{#N/A,#N/A,FALSE,"Plan1";#N/A,#N/A,FALSE,"Plan2"}</definedName>
    <definedName name="asdewr" localSheetId="2" hidden="1">{#N/A,#N/A,FALSE,"Plan1";#N/A,#N/A,FALSE,"Plan2"}</definedName>
    <definedName name="asdewr" localSheetId="9" hidden="1">{#N/A,#N/A,FALSE,"Plan1";#N/A,#N/A,FALSE,"Plan2"}</definedName>
    <definedName name="asdewr" localSheetId="5" hidden="1">{#N/A,#N/A,FALSE,"Plan1";#N/A,#N/A,FALSE,"Plan2"}</definedName>
    <definedName name="asdewr" localSheetId="4" hidden="1">{#N/A,#N/A,FALSE,"Plan1";#N/A,#N/A,FALSE,"Plan2"}</definedName>
    <definedName name="asdewr" localSheetId="8" hidden="1">{#N/A,#N/A,FALSE,"Plan1";#N/A,#N/A,FALSE,"Plan2"}</definedName>
    <definedName name="asdewr" localSheetId="12" hidden="1">{#N/A,#N/A,FALSE,"Plan1";#N/A,#N/A,FALSE,"Plan2"}</definedName>
    <definedName name="asdewr" localSheetId="16" hidden="1">{#N/A,#N/A,FALSE,"Plan1";#N/A,#N/A,FALSE,"Plan2"}</definedName>
    <definedName name="asdewr" localSheetId="0" hidden="1">{#N/A,#N/A,FALSE,"Plan1";#N/A,#N/A,FALSE,"Plan2"}</definedName>
    <definedName name="asdewr" localSheetId="11" hidden="1">{#N/A,#N/A,FALSE,"Plan1";#N/A,#N/A,FALSE,"Plan2"}</definedName>
    <definedName name="asdewr" localSheetId="13" hidden="1">{#N/A,#N/A,FALSE,"Plan1";#N/A,#N/A,FALSE,"Plan2"}</definedName>
    <definedName name="asdewr" hidden="1">{#N/A,#N/A,FALSE,"Plan1";#N/A,#N/A,FALSE,"Plan2"}</definedName>
    <definedName name="ASDFASDFA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4" hidden="1">{#N/A,#N/A,FALSE,"Plan1";#N/A,#N/A,FALSE,"Plan2"}</definedName>
    <definedName name="asdfs" localSheetId="7" hidden="1">{#N/A,#N/A,FALSE,"Plan1";#N/A,#N/A,FALSE,"Plan2"}</definedName>
    <definedName name="asdfs" localSheetId="1" hidden="1">{#N/A,#N/A,FALSE,"Plan1";#N/A,#N/A,FALSE,"Plan2"}</definedName>
    <definedName name="asdfs" localSheetId="2" hidden="1">{#N/A,#N/A,FALSE,"Plan1";#N/A,#N/A,FALSE,"Plan2"}</definedName>
    <definedName name="asdfs" localSheetId="9" hidden="1">{#N/A,#N/A,FALSE,"Plan1";#N/A,#N/A,FALSE,"Plan2"}</definedName>
    <definedName name="asdfs" localSheetId="5" hidden="1">{#N/A,#N/A,FALSE,"Plan1";#N/A,#N/A,FALSE,"Plan2"}</definedName>
    <definedName name="asdfs" localSheetId="4" hidden="1">{#N/A,#N/A,FALSE,"Plan1";#N/A,#N/A,FALSE,"Plan2"}</definedName>
    <definedName name="asdfs" localSheetId="8" hidden="1">{#N/A,#N/A,FALSE,"Plan1";#N/A,#N/A,FALSE,"Plan2"}</definedName>
    <definedName name="asdfs" localSheetId="12" hidden="1">{#N/A,#N/A,FALSE,"Plan1";#N/A,#N/A,FALSE,"Plan2"}</definedName>
    <definedName name="asdfs" localSheetId="16" hidden="1">{#N/A,#N/A,FALSE,"Plan1";#N/A,#N/A,FALSE,"Plan2"}</definedName>
    <definedName name="asdfs" localSheetId="0" hidden="1">{#N/A,#N/A,FALSE,"Plan1";#N/A,#N/A,FALSE,"Plan2"}</definedName>
    <definedName name="asdfs" localSheetId="11" hidden="1">{#N/A,#N/A,FALSE,"Plan1";#N/A,#N/A,FALSE,"Plan2"}</definedName>
    <definedName name="asdfs" localSheetId="13" hidden="1">{#N/A,#N/A,FALSE,"Plan1";#N/A,#N/A,FALSE,"Plan2"}</definedName>
    <definedName name="asdfs" hidden="1">{#N/A,#N/A,FALSE,"Plan1";#N/A,#N/A,FALSE,"Plan2"}</definedName>
    <definedName name="asdg" localSheetId="14" hidden="1">{#N/A,#N/A,FALSE,"Plan1";#N/A,#N/A,FALSE,"Plan2"}</definedName>
    <definedName name="asdg" localSheetId="7" hidden="1">{#N/A,#N/A,FALSE,"Plan1";#N/A,#N/A,FALSE,"Plan2"}</definedName>
    <definedName name="asdg" localSheetId="1" hidden="1">{#N/A,#N/A,FALSE,"Plan1";#N/A,#N/A,FALSE,"Plan2"}</definedName>
    <definedName name="asdg" localSheetId="2" hidden="1">{#N/A,#N/A,FALSE,"Plan1";#N/A,#N/A,FALSE,"Plan2"}</definedName>
    <definedName name="asdg" localSheetId="9" hidden="1">{#N/A,#N/A,FALSE,"Plan1";#N/A,#N/A,FALSE,"Plan2"}</definedName>
    <definedName name="asdg" localSheetId="5" hidden="1">{#N/A,#N/A,FALSE,"Plan1";#N/A,#N/A,FALSE,"Plan2"}</definedName>
    <definedName name="asdg" localSheetId="4" hidden="1">{#N/A,#N/A,FALSE,"Plan1";#N/A,#N/A,FALSE,"Plan2"}</definedName>
    <definedName name="asdg" localSheetId="8" hidden="1">{#N/A,#N/A,FALSE,"Plan1";#N/A,#N/A,FALSE,"Plan2"}</definedName>
    <definedName name="asdg" localSheetId="12" hidden="1">{#N/A,#N/A,FALSE,"Plan1";#N/A,#N/A,FALSE,"Plan2"}</definedName>
    <definedName name="asdg" localSheetId="16" hidden="1">{#N/A,#N/A,FALSE,"Plan1";#N/A,#N/A,FALSE,"Plan2"}</definedName>
    <definedName name="asdg" localSheetId="0" hidden="1">{#N/A,#N/A,FALSE,"Plan1";#N/A,#N/A,FALSE,"Plan2"}</definedName>
    <definedName name="asdg" localSheetId="11" hidden="1">{#N/A,#N/A,FALSE,"Plan1";#N/A,#N/A,FALSE,"Plan2"}</definedName>
    <definedName name="asdg" localSheetId="13" hidden="1">{#N/A,#N/A,FALSE,"Plan1";#N/A,#N/A,FALSE,"Plan2"}</definedName>
    <definedName name="asdg" hidden="1">{#N/A,#N/A,FALSE,"Plan1";#N/A,#N/A,FALSE,"Plan2"}</definedName>
    <definedName name="asdjksej" localSheetId="2" hidden="1">#REF!</definedName>
    <definedName name="asdjksej" localSheetId="5" hidden="1">#REF!</definedName>
    <definedName name="asdjksej" localSheetId="0" hidden="1">#REF!</definedName>
    <definedName name="asdjksej" hidden="1">#REF!</definedName>
    <definedName name="asdk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4" hidden="1">{#N/A,#N/A,FALSE,"Plan1";#N/A,#N/A,FALSE,"Plan2"}</definedName>
    <definedName name="asdlas" localSheetId="7" hidden="1">{#N/A,#N/A,FALSE,"Plan1";#N/A,#N/A,FALSE,"Plan2"}</definedName>
    <definedName name="asdlas" localSheetId="1" hidden="1">{#N/A,#N/A,FALSE,"Plan1";#N/A,#N/A,FALSE,"Plan2"}</definedName>
    <definedName name="asdlas" localSheetId="2" hidden="1">{#N/A,#N/A,FALSE,"Plan1";#N/A,#N/A,FALSE,"Plan2"}</definedName>
    <definedName name="asdlas" localSheetId="9" hidden="1">{#N/A,#N/A,FALSE,"Plan1";#N/A,#N/A,FALSE,"Plan2"}</definedName>
    <definedName name="asdlas" localSheetId="5" hidden="1">{#N/A,#N/A,FALSE,"Plan1";#N/A,#N/A,FALSE,"Plan2"}</definedName>
    <definedName name="asdlas" localSheetId="4" hidden="1">{#N/A,#N/A,FALSE,"Plan1";#N/A,#N/A,FALSE,"Plan2"}</definedName>
    <definedName name="asdlas" localSheetId="8" hidden="1">{#N/A,#N/A,FALSE,"Plan1";#N/A,#N/A,FALSE,"Plan2"}</definedName>
    <definedName name="asdlas" localSheetId="12" hidden="1">{#N/A,#N/A,FALSE,"Plan1";#N/A,#N/A,FALSE,"Plan2"}</definedName>
    <definedName name="asdlas" localSheetId="16" hidden="1">{#N/A,#N/A,FALSE,"Plan1";#N/A,#N/A,FALSE,"Plan2"}</definedName>
    <definedName name="asdlas" localSheetId="0" hidden="1">{#N/A,#N/A,FALSE,"Plan1";#N/A,#N/A,FALSE,"Plan2"}</definedName>
    <definedName name="asdlas" localSheetId="11" hidden="1">{#N/A,#N/A,FALSE,"Plan1";#N/A,#N/A,FALSE,"Plan2"}</definedName>
    <definedName name="asdlas" localSheetId="13" hidden="1">{#N/A,#N/A,FALSE,"Plan1";#N/A,#N/A,FALSE,"Plan2"}</definedName>
    <definedName name="asdlas" hidden="1">{#N/A,#N/A,FALSE,"Plan1";#N/A,#N/A,FALSE,"Plan2"}</definedName>
    <definedName name="asdqwe" localSheetId="14" hidden="1">{#N/A,#N/A,FALSE,"Plan1";#N/A,#N/A,FALSE,"Plan2"}</definedName>
    <definedName name="asdqwe" localSheetId="7" hidden="1">{#N/A,#N/A,FALSE,"Plan1";#N/A,#N/A,FALSE,"Plan2"}</definedName>
    <definedName name="asdqwe" localSheetId="1" hidden="1">{#N/A,#N/A,FALSE,"Plan1";#N/A,#N/A,FALSE,"Plan2"}</definedName>
    <definedName name="asdqwe" localSheetId="2" hidden="1">{#N/A,#N/A,FALSE,"Plan1";#N/A,#N/A,FALSE,"Plan2"}</definedName>
    <definedName name="asdqwe" localSheetId="9" hidden="1">{#N/A,#N/A,FALSE,"Plan1";#N/A,#N/A,FALSE,"Plan2"}</definedName>
    <definedName name="asdqwe" localSheetId="5" hidden="1">{#N/A,#N/A,FALSE,"Plan1";#N/A,#N/A,FALSE,"Plan2"}</definedName>
    <definedName name="asdqwe" localSheetId="4" hidden="1">{#N/A,#N/A,FALSE,"Plan1";#N/A,#N/A,FALSE,"Plan2"}</definedName>
    <definedName name="asdqwe" localSheetId="8" hidden="1">{#N/A,#N/A,FALSE,"Plan1";#N/A,#N/A,FALSE,"Plan2"}</definedName>
    <definedName name="asdqwe" localSheetId="12" hidden="1">{#N/A,#N/A,FALSE,"Plan1";#N/A,#N/A,FALSE,"Plan2"}</definedName>
    <definedName name="asdqwe" localSheetId="16" hidden="1">{#N/A,#N/A,FALSE,"Plan1";#N/A,#N/A,FALSE,"Plan2"}</definedName>
    <definedName name="asdqwe" localSheetId="0" hidden="1">{#N/A,#N/A,FALSE,"Plan1";#N/A,#N/A,FALSE,"Plan2"}</definedName>
    <definedName name="asdqwe" localSheetId="11" hidden="1">{#N/A,#N/A,FALSE,"Plan1";#N/A,#N/A,FALSE,"Plan2"}</definedName>
    <definedName name="asdqwe" localSheetId="13" hidden="1">{#N/A,#N/A,FALSE,"Plan1";#N/A,#N/A,FALSE,"Plan2"}</definedName>
    <definedName name="asdqwe" hidden="1">{#N/A,#N/A,FALSE,"Plan1";#N/A,#N/A,FALSE,"Plan2"}</definedName>
    <definedName name="asdsa" localSheetId="14" hidden="1">{#N/A,#N/A,FALSE,"Plan1";#N/A,#N/A,FALSE,"Plan2"}</definedName>
    <definedName name="asdsa" localSheetId="7" hidden="1">{#N/A,#N/A,FALSE,"Plan1";#N/A,#N/A,FALSE,"Plan2"}</definedName>
    <definedName name="asdsa" localSheetId="1" hidden="1">{#N/A,#N/A,FALSE,"Plan1";#N/A,#N/A,FALSE,"Plan2"}</definedName>
    <definedName name="asdsa" localSheetId="2" hidden="1">{#N/A,#N/A,FALSE,"Plan1";#N/A,#N/A,FALSE,"Plan2"}</definedName>
    <definedName name="asdsa" localSheetId="9" hidden="1">{#N/A,#N/A,FALSE,"Plan1";#N/A,#N/A,FALSE,"Plan2"}</definedName>
    <definedName name="asdsa" localSheetId="5" hidden="1">{#N/A,#N/A,FALSE,"Plan1";#N/A,#N/A,FALSE,"Plan2"}</definedName>
    <definedName name="asdsa" localSheetId="4" hidden="1">{#N/A,#N/A,FALSE,"Plan1";#N/A,#N/A,FALSE,"Plan2"}</definedName>
    <definedName name="asdsa" localSheetId="8" hidden="1">{#N/A,#N/A,FALSE,"Plan1";#N/A,#N/A,FALSE,"Plan2"}</definedName>
    <definedName name="asdsa" localSheetId="12" hidden="1">{#N/A,#N/A,FALSE,"Plan1";#N/A,#N/A,FALSE,"Plan2"}</definedName>
    <definedName name="asdsa" localSheetId="16" hidden="1">{#N/A,#N/A,FALSE,"Plan1";#N/A,#N/A,FALSE,"Plan2"}</definedName>
    <definedName name="asdsa" localSheetId="0" hidden="1">{#N/A,#N/A,FALSE,"Plan1";#N/A,#N/A,FALSE,"Plan2"}</definedName>
    <definedName name="asdsa" localSheetId="11" hidden="1">{#N/A,#N/A,FALSE,"Plan1";#N/A,#N/A,FALSE,"Plan2"}</definedName>
    <definedName name="asdsa" localSheetId="13" hidden="1">{#N/A,#N/A,FALSE,"Plan1";#N/A,#N/A,FALSE,"Plan2"}</definedName>
    <definedName name="asdsa" hidden="1">{#N/A,#N/A,FALSE,"Plan1";#N/A,#N/A,FALSE,"Plan2"}</definedName>
    <definedName name="asdser" localSheetId="14" hidden="1">{#N/A,#N/A,FALSE,"Plan1";#N/A,#N/A,FALSE,"Plan2"}</definedName>
    <definedName name="asdser" localSheetId="7" hidden="1">{#N/A,#N/A,FALSE,"Plan1";#N/A,#N/A,FALSE,"Plan2"}</definedName>
    <definedName name="asdser" localSheetId="1" hidden="1">{#N/A,#N/A,FALSE,"Plan1";#N/A,#N/A,FALSE,"Plan2"}</definedName>
    <definedName name="asdser" localSheetId="2" hidden="1">{#N/A,#N/A,FALSE,"Plan1";#N/A,#N/A,FALSE,"Plan2"}</definedName>
    <definedName name="asdser" localSheetId="9" hidden="1">{#N/A,#N/A,FALSE,"Plan1";#N/A,#N/A,FALSE,"Plan2"}</definedName>
    <definedName name="asdser" localSheetId="5" hidden="1">{#N/A,#N/A,FALSE,"Plan1";#N/A,#N/A,FALSE,"Plan2"}</definedName>
    <definedName name="asdser" localSheetId="4" hidden="1">{#N/A,#N/A,FALSE,"Plan1";#N/A,#N/A,FALSE,"Plan2"}</definedName>
    <definedName name="asdser" localSheetId="8" hidden="1">{#N/A,#N/A,FALSE,"Plan1";#N/A,#N/A,FALSE,"Plan2"}</definedName>
    <definedName name="asdser" localSheetId="12" hidden="1">{#N/A,#N/A,FALSE,"Plan1";#N/A,#N/A,FALSE,"Plan2"}</definedName>
    <definedName name="asdser" localSheetId="16" hidden="1">{#N/A,#N/A,FALSE,"Plan1";#N/A,#N/A,FALSE,"Plan2"}</definedName>
    <definedName name="asdser" localSheetId="0" hidden="1">{#N/A,#N/A,FALSE,"Plan1";#N/A,#N/A,FALSE,"Plan2"}</definedName>
    <definedName name="asdser" localSheetId="11" hidden="1">{#N/A,#N/A,FALSE,"Plan1";#N/A,#N/A,FALSE,"Plan2"}</definedName>
    <definedName name="asdser" localSheetId="13" hidden="1">{#N/A,#N/A,FALSE,"Plan1";#N/A,#N/A,FALSE,"Plan2"}</definedName>
    <definedName name="asdser" hidden="1">{#N/A,#N/A,FALSE,"Plan1";#N/A,#N/A,FALSE,"Plan2"}</definedName>
    <definedName name="asdwef" localSheetId="14" hidden="1">{#N/A,#N/A,FALSE,"Plan1";#N/A,#N/A,FALSE,"Plan2"}</definedName>
    <definedName name="asdwef" localSheetId="7" hidden="1">{#N/A,#N/A,FALSE,"Plan1";#N/A,#N/A,FALSE,"Plan2"}</definedName>
    <definedName name="asdwef" localSheetId="1" hidden="1">{#N/A,#N/A,FALSE,"Plan1";#N/A,#N/A,FALSE,"Plan2"}</definedName>
    <definedName name="asdwef" localSheetId="2" hidden="1">{#N/A,#N/A,FALSE,"Plan1";#N/A,#N/A,FALSE,"Plan2"}</definedName>
    <definedName name="asdwef" localSheetId="9" hidden="1">{#N/A,#N/A,FALSE,"Plan1";#N/A,#N/A,FALSE,"Plan2"}</definedName>
    <definedName name="asdwef" localSheetId="5" hidden="1">{#N/A,#N/A,FALSE,"Plan1";#N/A,#N/A,FALSE,"Plan2"}</definedName>
    <definedName name="asdwef" localSheetId="4" hidden="1">{#N/A,#N/A,FALSE,"Plan1";#N/A,#N/A,FALSE,"Plan2"}</definedName>
    <definedName name="asdwef" localSheetId="8" hidden="1">{#N/A,#N/A,FALSE,"Plan1";#N/A,#N/A,FALSE,"Plan2"}</definedName>
    <definedName name="asdwef" localSheetId="12" hidden="1">{#N/A,#N/A,FALSE,"Plan1";#N/A,#N/A,FALSE,"Plan2"}</definedName>
    <definedName name="asdwef" localSheetId="16" hidden="1">{#N/A,#N/A,FALSE,"Plan1";#N/A,#N/A,FALSE,"Plan2"}</definedName>
    <definedName name="asdwef" localSheetId="0" hidden="1">{#N/A,#N/A,FALSE,"Plan1";#N/A,#N/A,FALSE,"Plan2"}</definedName>
    <definedName name="asdwef" localSheetId="11" hidden="1">{#N/A,#N/A,FALSE,"Plan1";#N/A,#N/A,FALSE,"Plan2"}</definedName>
    <definedName name="asdwef" localSheetId="13" hidden="1">{#N/A,#N/A,FALSE,"Plan1";#N/A,#N/A,FALSE,"Plan2"}</definedName>
    <definedName name="asdwef" hidden="1">{#N/A,#N/A,FALSE,"Plan1";#N/A,#N/A,FALSE,"Plan2"}</definedName>
    <definedName name="aseiuw" localSheetId="2" hidden="1">#REF!</definedName>
    <definedName name="aseiuw" localSheetId="5" hidden="1">#REF!</definedName>
    <definedName name="aseiuw" localSheetId="0" hidden="1">#REF!</definedName>
    <definedName name="aseiuw" hidden="1">#REF!</definedName>
    <definedName name="ASET" localSheetId="14" hidden="1">{#N/A,#N/A,FALSE,"Plan1";#N/A,#N/A,FALSE,"Plan2"}</definedName>
    <definedName name="ASET" localSheetId="7" hidden="1">{#N/A,#N/A,FALSE,"Plan1";#N/A,#N/A,FALSE,"Plan2"}</definedName>
    <definedName name="ASET" localSheetId="1" hidden="1">{#N/A,#N/A,FALSE,"Plan1";#N/A,#N/A,FALSE,"Plan2"}</definedName>
    <definedName name="ASET" localSheetId="2" hidden="1">{#N/A,#N/A,FALSE,"Plan1";#N/A,#N/A,FALSE,"Plan2"}</definedName>
    <definedName name="ASET" localSheetId="9" hidden="1">{#N/A,#N/A,FALSE,"Plan1";#N/A,#N/A,FALSE,"Plan2"}</definedName>
    <definedName name="ASET" localSheetId="5" hidden="1">{#N/A,#N/A,FALSE,"Plan1";#N/A,#N/A,FALSE,"Plan2"}</definedName>
    <definedName name="ASET" localSheetId="4" hidden="1">{#N/A,#N/A,FALSE,"Plan1";#N/A,#N/A,FALSE,"Plan2"}</definedName>
    <definedName name="ASET" localSheetId="8" hidden="1">{#N/A,#N/A,FALSE,"Plan1";#N/A,#N/A,FALSE,"Plan2"}</definedName>
    <definedName name="ASET" localSheetId="12" hidden="1">{#N/A,#N/A,FALSE,"Plan1";#N/A,#N/A,FALSE,"Plan2"}</definedName>
    <definedName name="ASET" localSheetId="16" hidden="1">{#N/A,#N/A,FALSE,"Plan1";#N/A,#N/A,FALSE,"Plan2"}</definedName>
    <definedName name="ASET" localSheetId="0" hidden="1">{#N/A,#N/A,FALSE,"Plan1";#N/A,#N/A,FALSE,"Plan2"}</definedName>
    <definedName name="ASET" localSheetId="11" hidden="1">{#N/A,#N/A,FALSE,"Plan1";#N/A,#N/A,FALSE,"Plan2"}</definedName>
    <definedName name="ASET" localSheetId="13" hidden="1">{#N/A,#N/A,FALSE,"Plan1";#N/A,#N/A,FALSE,"Plan2"}</definedName>
    <definedName name="ASET" hidden="1">{#N/A,#N/A,FALSE,"Plan1";#N/A,#N/A,FALSE,"Plan2"}</definedName>
    <definedName name="asfDSF" localSheetId="14" hidden="1">{#N/A,#N/A,FALSE,"Plan1";#N/A,#N/A,FALSE,"Plan2"}</definedName>
    <definedName name="asfDSF" localSheetId="7" hidden="1">{#N/A,#N/A,FALSE,"Plan1";#N/A,#N/A,FALSE,"Plan2"}</definedName>
    <definedName name="asfDSF" localSheetId="1" hidden="1">{#N/A,#N/A,FALSE,"Plan1";#N/A,#N/A,FALSE,"Plan2"}</definedName>
    <definedName name="asfDSF" localSheetId="2" hidden="1">{#N/A,#N/A,FALSE,"Plan1";#N/A,#N/A,FALSE,"Plan2"}</definedName>
    <definedName name="asfDSF" localSheetId="9" hidden="1">{#N/A,#N/A,FALSE,"Plan1";#N/A,#N/A,FALSE,"Plan2"}</definedName>
    <definedName name="asfDSF" localSheetId="5" hidden="1">{#N/A,#N/A,FALSE,"Plan1";#N/A,#N/A,FALSE,"Plan2"}</definedName>
    <definedName name="asfDSF" localSheetId="4" hidden="1">{#N/A,#N/A,FALSE,"Plan1";#N/A,#N/A,FALSE,"Plan2"}</definedName>
    <definedName name="asfDSF" localSheetId="8" hidden="1">{#N/A,#N/A,FALSE,"Plan1";#N/A,#N/A,FALSE,"Plan2"}</definedName>
    <definedName name="asfDSF" localSheetId="12" hidden="1">{#N/A,#N/A,FALSE,"Plan1";#N/A,#N/A,FALSE,"Plan2"}</definedName>
    <definedName name="asfDSF" localSheetId="16" hidden="1">{#N/A,#N/A,FALSE,"Plan1";#N/A,#N/A,FALSE,"Plan2"}</definedName>
    <definedName name="asfDSF" localSheetId="0" hidden="1">{#N/A,#N/A,FALSE,"Plan1";#N/A,#N/A,FALSE,"Plan2"}</definedName>
    <definedName name="asfDSF" localSheetId="11" hidden="1">{#N/A,#N/A,FALSE,"Plan1";#N/A,#N/A,FALSE,"Plan2"}</definedName>
    <definedName name="asfDSF" localSheetId="13" hidden="1">{#N/A,#N/A,FALSE,"Plan1";#N/A,#N/A,FALSE,"Plan2"}</definedName>
    <definedName name="asfDSF" hidden="1">{#N/A,#N/A,FALSE,"Plan1";#N/A,#N/A,FALSE,"Plan2"}</definedName>
    <definedName name="ASFERTE" localSheetId="14" hidden="1">{#N/A,#N/A,FALSE,"Plan1";#N/A,#N/A,FALSE,"Plan2"}</definedName>
    <definedName name="ASFERTE" localSheetId="7" hidden="1">{#N/A,#N/A,FALSE,"Plan1";#N/A,#N/A,FALSE,"Plan2"}</definedName>
    <definedName name="ASFERTE" localSheetId="1" hidden="1">{#N/A,#N/A,FALSE,"Plan1";#N/A,#N/A,FALSE,"Plan2"}</definedName>
    <definedName name="ASFERTE" localSheetId="2" hidden="1">{#N/A,#N/A,FALSE,"Plan1";#N/A,#N/A,FALSE,"Plan2"}</definedName>
    <definedName name="ASFERTE" localSheetId="9" hidden="1">{#N/A,#N/A,FALSE,"Plan1";#N/A,#N/A,FALSE,"Plan2"}</definedName>
    <definedName name="ASFERTE" localSheetId="5" hidden="1">{#N/A,#N/A,FALSE,"Plan1";#N/A,#N/A,FALSE,"Plan2"}</definedName>
    <definedName name="ASFERTE" localSheetId="4" hidden="1">{#N/A,#N/A,FALSE,"Plan1";#N/A,#N/A,FALSE,"Plan2"}</definedName>
    <definedName name="ASFERTE" localSheetId="8" hidden="1">{#N/A,#N/A,FALSE,"Plan1";#N/A,#N/A,FALSE,"Plan2"}</definedName>
    <definedName name="ASFERTE" localSheetId="12" hidden="1">{#N/A,#N/A,FALSE,"Plan1";#N/A,#N/A,FALSE,"Plan2"}</definedName>
    <definedName name="ASFERTE" localSheetId="16" hidden="1">{#N/A,#N/A,FALSE,"Plan1";#N/A,#N/A,FALSE,"Plan2"}</definedName>
    <definedName name="ASFERTE" localSheetId="0" hidden="1">{#N/A,#N/A,FALSE,"Plan1";#N/A,#N/A,FALSE,"Plan2"}</definedName>
    <definedName name="ASFERTE" localSheetId="11" hidden="1">{#N/A,#N/A,FALSE,"Plan1";#N/A,#N/A,FALSE,"Plan2"}</definedName>
    <definedName name="ASFERTE" localSheetId="13" hidden="1">{#N/A,#N/A,FALSE,"Plan1";#N/A,#N/A,FALSE,"Plan2"}</definedName>
    <definedName name="ASFERTE" hidden="1">{#N/A,#N/A,FALSE,"Plan1";#N/A,#N/A,FALSE,"Plan2"}</definedName>
    <definedName name="asfl" localSheetId="14" hidden="1">{#N/A,#N/A,FALSE,"Plan1";#N/A,#N/A,FALSE,"Plan2"}</definedName>
    <definedName name="asfl" localSheetId="7" hidden="1">{#N/A,#N/A,FALSE,"Plan1";#N/A,#N/A,FALSE,"Plan2"}</definedName>
    <definedName name="asfl" localSheetId="1" hidden="1">{#N/A,#N/A,FALSE,"Plan1";#N/A,#N/A,FALSE,"Plan2"}</definedName>
    <definedName name="asfl" localSheetId="2" hidden="1">{#N/A,#N/A,FALSE,"Plan1";#N/A,#N/A,FALSE,"Plan2"}</definedName>
    <definedName name="asfl" localSheetId="9" hidden="1">{#N/A,#N/A,FALSE,"Plan1";#N/A,#N/A,FALSE,"Plan2"}</definedName>
    <definedName name="asfl" localSheetId="5" hidden="1">{#N/A,#N/A,FALSE,"Plan1";#N/A,#N/A,FALSE,"Plan2"}</definedName>
    <definedName name="asfl" localSheetId="4" hidden="1">{#N/A,#N/A,FALSE,"Plan1";#N/A,#N/A,FALSE,"Plan2"}</definedName>
    <definedName name="asfl" localSheetId="8" hidden="1">{#N/A,#N/A,FALSE,"Plan1";#N/A,#N/A,FALSE,"Plan2"}</definedName>
    <definedName name="asfl" localSheetId="12" hidden="1">{#N/A,#N/A,FALSE,"Plan1";#N/A,#N/A,FALSE,"Plan2"}</definedName>
    <definedName name="asfl" localSheetId="16" hidden="1">{#N/A,#N/A,FALSE,"Plan1";#N/A,#N/A,FALSE,"Plan2"}</definedName>
    <definedName name="asfl" localSheetId="0" hidden="1">{#N/A,#N/A,FALSE,"Plan1";#N/A,#N/A,FALSE,"Plan2"}</definedName>
    <definedName name="asfl" localSheetId="11" hidden="1">{#N/A,#N/A,FALSE,"Plan1";#N/A,#N/A,FALSE,"Plan2"}</definedName>
    <definedName name="asfl" localSheetId="13" hidden="1">{#N/A,#N/A,FALSE,"Plan1";#N/A,#N/A,FALSE,"Plan2"}</definedName>
    <definedName name="asfl" hidden="1">{#N/A,#N/A,FALSE,"Plan1";#N/A,#N/A,FALSE,"Plan2"}</definedName>
    <definedName name="asfsz" localSheetId="14" hidden="1">{#N/A,#N/A,FALSE,"Plan1";#N/A,#N/A,FALSE,"Plan2"}</definedName>
    <definedName name="asfsz" localSheetId="7" hidden="1">{#N/A,#N/A,FALSE,"Plan1";#N/A,#N/A,FALSE,"Plan2"}</definedName>
    <definedName name="asfsz" localSheetId="1" hidden="1">{#N/A,#N/A,FALSE,"Plan1";#N/A,#N/A,FALSE,"Plan2"}</definedName>
    <definedName name="asfsz" localSheetId="2" hidden="1">{#N/A,#N/A,FALSE,"Plan1";#N/A,#N/A,FALSE,"Plan2"}</definedName>
    <definedName name="asfsz" localSheetId="9" hidden="1">{#N/A,#N/A,FALSE,"Plan1";#N/A,#N/A,FALSE,"Plan2"}</definedName>
    <definedName name="asfsz" localSheetId="5" hidden="1">{#N/A,#N/A,FALSE,"Plan1";#N/A,#N/A,FALSE,"Plan2"}</definedName>
    <definedName name="asfsz" localSheetId="4" hidden="1">{#N/A,#N/A,FALSE,"Plan1";#N/A,#N/A,FALSE,"Plan2"}</definedName>
    <definedName name="asfsz" localSheetId="8" hidden="1">{#N/A,#N/A,FALSE,"Plan1";#N/A,#N/A,FALSE,"Plan2"}</definedName>
    <definedName name="asfsz" localSheetId="12" hidden="1">{#N/A,#N/A,FALSE,"Plan1";#N/A,#N/A,FALSE,"Plan2"}</definedName>
    <definedName name="asfsz" localSheetId="16" hidden="1">{#N/A,#N/A,FALSE,"Plan1";#N/A,#N/A,FALSE,"Plan2"}</definedName>
    <definedName name="asfsz" localSheetId="0" hidden="1">{#N/A,#N/A,FALSE,"Plan1";#N/A,#N/A,FALSE,"Plan2"}</definedName>
    <definedName name="asfsz" localSheetId="11" hidden="1">{#N/A,#N/A,FALSE,"Plan1";#N/A,#N/A,FALSE,"Plan2"}</definedName>
    <definedName name="asfsz" localSheetId="13" hidden="1">{#N/A,#N/A,FALSE,"Plan1";#N/A,#N/A,FALSE,"Plan2"}</definedName>
    <definedName name="asfsz" hidden="1">{#N/A,#N/A,FALSE,"Plan1";#N/A,#N/A,FALSE,"Plan2"}</definedName>
    <definedName name="askserf" localSheetId="14" hidden="1">{#N/A,#N/A,FALSE,"Plan1";#N/A,#N/A,FALSE,"Plan2"}</definedName>
    <definedName name="askserf" localSheetId="7" hidden="1">{#N/A,#N/A,FALSE,"Plan1";#N/A,#N/A,FALSE,"Plan2"}</definedName>
    <definedName name="askserf" localSheetId="1" hidden="1">{#N/A,#N/A,FALSE,"Plan1";#N/A,#N/A,FALSE,"Plan2"}</definedName>
    <definedName name="askserf" localSheetId="2" hidden="1">{#N/A,#N/A,FALSE,"Plan1";#N/A,#N/A,FALSE,"Plan2"}</definedName>
    <definedName name="askserf" localSheetId="9" hidden="1">{#N/A,#N/A,FALSE,"Plan1";#N/A,#N/A,FALSE,"Plan2"}</definedName>
    <definedName name="askserf" localSheetId="5" hidden="1">{#N/A,#N/A,FALSE,"Plan1";#N/A,#N/A,FALSE,"Plan2"}</definedName>
    <definedName name="askserf" localSheetId="4" hidden="1">{#N/A,#N/A,FALSE,"Plan1";#N/A,#N/A,FALSE,"Plan2"}</definedName>
    <definedName name="askserf" localSheetId="8" hidden="1">{#N/A,#N/A,FALSE,"Plan1";#N/A,#N/A,FALSE,"Plan2"}</definedName>
    <definedName name="askserf" localSheetId="12" hidden="1">{#N/A,#N/A,FALSE,"Plan1";#N/A,#N/A,FALSE,"Plan2"}</definedName>
    <definedName name="askserf" localSheetId="16" hidden="1">{#N/A,#N/A,FALSE,"Plan1";#N/A,#N/A,FALSE,"Plan2"}</definedName>
    <definedName name="askserf" localSheetId="0" hidden="1">{#N/A,#N/A,FALSE,"Plan1";#N/A,#N/A,FALSE,"Plan2"}</definedName>
    <definedName name="askserf" localSheetId="11" hidden="1">{#N/A,#N/A,FALSE,"Plan1";#N/A,#N/A,FALSE,"Plan2"}</definedName>
    <definedName name="askserf" localSheetId="13" hidden="1">{#N/A,#N/A,FALSE,"Plan1";#N/A,#N/A,FALSE,"Plan2"}</definedName>
    <definedName name="askserf" hidden="1">{#N/A,#N/A,FALSE,"Plan1";#N/A,#N/A,FALSE,"Plan2"}</definedName>
    <definedName name="ASSFSDF" localSheetId="14" hidden="1">{#N/A,#N/A,FALSE,"Plan1";#N/A,#N/A,FALSE,"Plan2"}</definedName>
    <definedName name="ASSFSDF" localSheetId="7" hidden="1">{#N/A,#N/A,FALSE,"Plan1";#N/A,#N/A,FALSE,"Plan2"}</definedName>
    <definedName name="ASSFSDF" localSheetId="1" hidden="1">{#N/A,#N/A,FALSE,"Plan1";#N/A,#N/A,FALSE,"Plan2"}</definedName>
    <definedName name="ASSFSDF" localSheetId="2" hidden="1">{#N/A,#N/A,FALSE,"Plan1";#N/A,#N/A,FALSE,"Plan2"}</definedName>
    <definedName name="ASSFSDF" localSheetId="9" hidden="1">{#N/A,#N/A,FALSE,"Plan1";#N/A,#N/A,FALSE,"Plan2"}</definedName>
    <definedName name="ASSFSDF" localSheetId="5" hidden="1">{#N/A,#N/A,FALSE,"Plan1";#N/A,#N/A,FALSE,"Plan2"}</definedName>
    <definedName name="ASSFSDF" localSheetId="4" hidden="1">{#N/A,#N/A,FALSE,"Plan1";#N/A,#N/A,FALSE,"Plan2"}</definedName>
    <definedName name="ASSFSDF" localSheetId="8" hidden="1">{#N/A,#N/A,FALSE,"Plan1";#N/A,#N/A,FALSE,"Plan2"}</definedName>
    <definedName name="ASSFSDF" localSheetId="12" hidden="1">{#N/A,#N/A,FALSE,"Plan1";#N/A,#N/A,FALSE,"Plan2"}</definedName>
    <definedName name="ASSFSDF" localSheetId="16" hidden="1">{#N/A,#N/A,FALSE,"Plan1";#N/A,#N/A,FALSE,"Plan2"}</definedName>
    <definedName name="ASSFSDF" localSheetId="0" hidden="1">{#N/A,#N/A,FALSE,"Plan1";#N/A,#N/A,FALSE,"Plan2"}</definedName>
    <definedName name="ASSFSDF" localSheetId="11" hidden="1">{#N/A,#N/A,FALSE,"Plan1";#N/A,#N/A,FALSE,"Plan2"}</definedName>
    <definedName name="ASSFSDF" localSheetId="13" hidden="1">{#N/A,#N/A,FALSE,"Plan1";#N/A,#N/A,FALSE,"Plan2"}</definedName>
    <definedName name="ASSFSDF" hidden="1">{#N/A,#N/A,FALSE,"Plan1";#N/A,#N/A,FALSE,"Plan2"}</definedName>
    <definedName name="asw" localSheetId="14" hidden="1">{#N/A,#N/A,FALSE,"Plan1";#N/A,#N/A,FALSE,"Plan2"}</definedName>
    <definedName name="asw" localSheetId="7" hidden="1">{#N/A,#N/A,FALSE,"Plan1";#N/A,#N/A,FALSE,"Plan2"}</definedName>
    <definedName name="asw" localSheetId="1" hidden="1">{#N/A,#N/A,FALSE,"Plan1";#N/A,#N/A,FALSE,"Plan2"}</definedName>
    <definedName name="asw" localSheetId="2" hidden="1">{#N/A,#N/A,FALSE,"Plan1";#N/A,#N/A,FALSE,"Plan2"}</definedName>
    <definedName name="asw" localSheetId="9" hidden="1">{#N/A,#N/A,FALSE,"Plan1";#N/A,#N/A,FALSE,"Plan2"}</definedName>
    <definedName name="asw" localSheetId="5" hidden="1">{#N/A,#N/A,FALSE,"Plan1";#N/A,#N/A,FALSE,"Plan2"}</definedName>
    <definedName name="asw" localSheetId="4" hidden="1">{#N/A,#N/A,FALSE,"Plan1";#N/A,#N/A,FALSE,"Plan2"}</definedName>
    <definedName name="asw" localSheetId="8" hidden="1">{#N/A,#N/A,FALSE,"Plan1";#N/A,#N/A,FALSE,"Plan2"}</definedName>
    <definedName name="asw" localSheetId="12" hidden="1">{#N/A,#N/A,FALSE,"Plan1";#N/A,#N/A,FALSE,"Plan2"}</definedName>
    <definedName name="asw" localSheetId="16" hidden="1">{#N/A,#N/A,FALSE,"Plan1";#N/A,#N/A,FALSE,"Plan2"}</definedName>
    <definedName name="asw" localSheetId="0" hidden="1">{#N/A,#N/A,FALSE,"Plan1";#N/A,#N/A,FALSE,"Plan2"}</definedName>
    <definedName name="asw" localSheetId="11" hidden="1">{#N/A,#N/A,FALSE,"Plan1";#N/A,#N/A,FALSE,"Plan2"}</definedName>
    <definedName name="asw" localSheetId="13" hidden="1">{#N/A,#N/A,FALSE,"Plan1";#N/A,#N/A,FALSE,"Plan2"}</definedName>
    <definedName name="asw" hidden="1">{#N/A,#N/A,FALSE,"Plan1";#N/A,#N/A,FALSE,"Plan2"}</definedName>
    <definedName name="Até_Chaves" localSheetId="2">#REF!</definedName>
    <definedName name="Até_Chaves" localSheetId="5">#REF!</definedName>
    <definedName name="Até_Chaves">#REF!</definedName>
    <definedName name="ATIVOS" localSheetId="14" hidden="1">{#N/A,#N/A,FALSE,"F-01"}</definedName>
    <definedName name="ATIVOS" localSheetId="7" hidden="1">{#N/A,#N/A,FALSE,"F-01"}</definedName>
    <definedName name="ATIVOS" localSheetId="1" hidden="1">{#N/A,#N/A,FALSE,"F-01"}</definedName>
    <definedName name="ATIVOS" localSheetId="2" hidden="1">{#N/A,#N/A,FALSE,"F-01"}</definedName>
    <definedName name="ATIVOS" localSheetId="9" hidden="1">{#N/A,#N/A,FALSE,"F-01"}</definedName>
    <definedName name="ATIVOS" localSheetId="5" hidden="1">{#N/A,#N/A,FALSE,"F-01"}</definedName>
    <definedName name="ATIVOS" localSheetId="4" hidden="1">{#N/A,#N/A,FALSE,"F-01"}</definedName>
    <definedName name="ATIVOS" localSheetId="8" hidden="1">{#N/A,#N/A,FALSE,"F-01"}</definedName>
    <definedName name="ATIVOS" localSheetId="12" hidden="1">{#N/A,#N/A,FALSE,"F-01"}</definedName>
    <definedName name="ATIVOS" localSheetId="16" hidden="1">{#N/A,#N/A,FALSE,"F-01"}</definedName>
    <definedName name="ATIVOS" localSheetId="0" hidden="1">{#N/A,#N/A,FALSE,"F-01"}</definedName>
    <definedName name="ATIVOS" localSheetId="11" hidden="1">{#N/A,#N/A,FALSE,"F-01"}</definedName>
    <definedName name="ATIVOS" localSheetId="13" hidden="1">{#N/A,#N/A,FALSE,"F-01"}</definedName>
    <definedName name="ATIVOS" hidden="1">{#N/A,#N/A,FALSE,"F-01"}</definedName>
    <definedName name="Ato" localSheetId="2">#REF!</definedName>
    <definedName name="Ato" localSheetId="5">#REF!</definedName>
    <definedName name="Ato">#REF!</definedName>
    <definedName name="ATUAL" localSheetId="2">#REF!</definedName>
    <definedName name="ATUAL" localSheetId="5">#REF!</definedName>
    <definedName name="ATUAL">#REF!</definedName>
    <definedName name="aux" localSheetId="14">#REF!</definedName>
    <definedName name="aux" localSheetId="2">#REF!</definedName>
    <definedName name="aux" localSheetId="5">#REF!</definedName>
    <definedName name="aux" localSheetId="15">#REF!</definedName>
    <definedName name="aux" localSheetId="12">#REF!</definedName>
    <definedName name="aux" localSheetId="0">#REF!</definedName>
    <definedName name="aux">#REF!</definedName>
    <definedName name="AUXILIO" localSheetId="2">#REF!</definedName>
    <definedName name="AUXILIO" localSheetId="5">#REF!</definedName>
    <definedName name="AUXILIO">#REF!</definedName>
    <definedName name="avulsos" localSheetId="2">#REF!</definedName>
    <definedName name="avulsos" localSheetId="5">#REF!</definedName>
    <definedName name="avulsos">#REF!</definedName>
    <definedName name="awdjw" localSheetId="14" hidden="1">{#N/A,#N/A,FALSE,"Plan1";#N/A,#N/A,FALSE,"Plan2"}</definedName>
    <definedName name="awdjw" localSheetId="7" hidden="1">{#N/A,#N/A,FALSE,"Plan1";#N/A,#N/A,FALSE,"Plan2"}</definedName>
    <definedName name="awdjw" localSheetId="1" hidden="1">{#N/A,#N/A,FALSE,"Plan1";#N/A,#N/A,FALSE,"Plan2"}</definedName>
    <definedName name="awdjw" localSheetId="2" hidden="1">{#N/A,#N/A,FALSE,"Plan1";#N/A,#N/A,FALSE,"Plan2"}</definedName>
    <definedName name="awdjw" localSheetId="9" hidden="1">{#N/A,#N/A,FALSE,"Plan1";#N/A,#N/A,FALSE,"Plan2"}</definedName>
    <definedName name="awdjw" localSheetId="5" hidden="1">{#N/A,#N/A,FALSE,"Plan1";#N/A,#N/A,FALSE,"Plan2"}</definedName>
    <definedName name="awdjw" localSheetId="4" hidden="1">{#N/A,#N/A,FALSE,"Plan1";#N/A,#N/A,FALSE,"Plan2"}</definedName>
    <definedName name="awdjw" localSheetId="8" hidden="1">{#N/A,#N/A,FALSE,"Plan1";#N/A,#N/A,FALSE,"Plan2"}</definedName>
    <definedName name="awdjw" localSheetId="12" hidden="1">{#N/A,#N/A,FALSE,"Plan1";#N/A,#N/A,FALSE,"Plan2"}</definedName>
    <definedName name="awdjw" localSheetId="16" hidden="1">{#N/A,#N/A,FALSE,"Plan1";#N/A,#N/A,FALSE,"Plan2"}</definedName>
    <definedName name="awdjw" localSheetId="0" hidden="1">{#N/A,#N/A,FALSE,"Plan1";#N/A,#N/A,FALSE,"Plan2"}</definedName>
    <definedName name="awdjw" localSheetId="11" hidden="1">{#N/A,#N/A,FALSE,"Plan1";#N/A,#N/A,FALSE,"Plan2"}</definedName>
    <definedName name="awdjw" localSheetId="13" hidden="1">{#N/A,#N/A,FALSE,"Plan1";#N/A,#N/A,FALSE,"Plan2"}</definedName>
    <definedName name="awdjw" hidden="1">{#N/A,#N/A,FALSE,"Plan1";#N/A,#N/A,FALSE,"Plan2"}</definedName>
    <definedName name="aweqw4" localSheetId="14" hidden="1">{#N/A,#N/A,FALSE,"Plan1";#N/A,#N/A,FALSE,"Plan2"}</definedName>
    <definedName name="aweqw4" localSheetId="7" hidden="1">{#N/A,#N/A,FALSE,"Plan1";#N/A,#N/A,FALSE,"Plan2"}</definedName>
    <definedName name="aweqw4" localSheetId="1" hidden="1">{#N/A,#N/A,FALSE,"Plan1";#N/A,#N/A,FALSE,"Plan2"}</definedName>
    <definedName name="aweqw4" localSheetId="2" hidden="1">{#N/A,#N/A,FALSE,"Plan1";#N/A,#N/A,FALSE,"Plan2"}</definedName>
    <definedName name="aweqw4" localSheetId="9" hidden="1">{#N/A,#N/A,FALSE,"Plan1";#N/A,#N/A,FALSE,"Plan2"}</definedName>
    <definedName name="aweqw4" localSheetId="5" hidden="1">{#N/A,#N/A,FALSE,"Plan1";#N/A,#N/A,FALSE,"Plan2"}</definedName>
    <definedName name="aweqw4" localSheetId="4" hidden="1">{#N/A,#N/A,FALSE,"Plan1";#N/A,#N/A,FALSE,"Plan2"}</definedName>
    <definedName name="aweqw4" localSheetId="8" hidden="1">{#N/A,#N/A,FALSE,"Plan1";#N/A,#N/A,FALSE,"Plan2"}</definedName>
    <definedName name="aweqw4" localSheetId="12" hidden="1">{#N/A,#N/A,FALSE,"Plan1";#N/A,#N/A,FALSE,"Plan2"}</definedName>
    <definedName name="aweqw4" localSheetId="16" hidden="1">{#N/A,#N/A,FALSE,"Plan1";#N/A,#N/A,FALSE,"Plan2"}</definedName>
    <definedName name="aweqw4" localSheetId="0" hidden="1">{#N/A,#N/A,FALSE,"Plan1";#N/A,#N/A,FALSE,"Plan2"}</definedName>
    <definedName name="aweqw4" localSheetId="11" hidden="1">{#N/A,#N/A,FALSE,"Plan1";#N/A,#N/A,FALSE,"Plan2"}</definedName>
    <definedName name="aweqw4" localSheetId="13" hidden="1">{#N/A,#N/A,FALSE,"Plan1";#N/A,#N/A,FALSE,"Plan2"}</definedName>
    <definedName name="aweqw4" hidden="1">{#N/A,#N/A,FALSE,"Plan1";#N/A,#N/A,FALSE,"Plan2"}</definedName>
    <definedName name="awssdwaer" localSheetId="14" hidden="1">{#N/A,#N/A,FALSE,"Plan1";#N/A,#N/A,FALSE,"Plan2"}</definedName>
    <definedName name="awssdwaer" localSheetId="7" hidden="1">{#N/A,#N/A,FALSE,"Plan1";#N/A,#N/A,FALSE,"Plan2"}</definedName>
    <definedName name="awssdwaer" localSheetId="1" hidden="1">{#N/A,#N/A,FALSE,"Plan1";#N/A,#N/A,FALSE,"Plan2"}</definedName>
    <definedName name="awssdwaer" localSheetId="2" hidden="1">{#N/A,#N/A,FALSE,"Plan1";#N/A,#N/A,FALSE,"Plan2"}</definedName>
    <definedName name="awssdwaer" localSheetId="9" hidden="1">{#N/A,#N/A,FALSE,"Plan1";#N/A,#N/A,FALSE,"Plan2"}</definedName>
    <definedName name="awssdwaer" localSheetId="5" hidden="1">{#N/A,#N/A,FALSE,"Plan1";#N/A,#N/A,FALSE,"Plan2"}</definedName>
    <definedName name="awssdwaer" localSheetId="4" hidden="1">{#N/A,#N/A,FALSE,"Plan1";#N/A,#N/A,FALSE,"Plan2"}</definedName>
    <definedName name="awssdwaer" localSheetId="8" hidden="1">{#N/A,#N/A,FALSE,"Plan1";#N/A,#N/A,FALSE,"Plan2"}</definedName>
    <definedName name="awssdwaer" localSheetId="12" hidden="1">{#N/A,#N/A,FALSE,"Plan1";#N/A,#N/A,FALSE,"Plan2"}</definedName>
    <definedName name="awssdwaer" localSheetId="16" hidden="1">{#N/A,#N/A,FALSE,"Plan1";#N/A,#N/A,FALSE,"Plan2"}</definedName>
    <definedName name="awssdwaer" localSheetId="0" hidden="1">{#N/A,#N/A,FALSE,"Plan1";#N/A,#N/A,FALSE,"Plan2"}</definedName>
    <definedName name="awssdwaer" localSheetId="11" hidden="1">{#N/A,#N/A,FALSE,"Plan1";#N/A,#N/A,FALSE,"Plan2"}</definedName>
    <definedName name="awssdwaer" localSheetId="13" hidden="1">{#N/A,#N/A,FALSE,"Plan1";#N/A,#N/A,FALSE,"Plan2"}</definedName>
    <definedName name="awssdwaer" hidden="1">{#N/A,#N/A,FALSE,"Plan1";#N/A,#N/A,FALSE,"Plan2"}</definedName>
    <definedName name="AZ" localSheetId="2" hidden="1">#REF!</definedName>
    <definedName name="AZ" localSheetId="5" hidden="1">#REF!</definedName>
    <definedName name="AZ" localSheetId="0" hidden="1">#REF!</definedName>
    <definedName name="AZ" hidden="1">#REF!</definedName>
    <definedName name="b" localSheetId="7" hidden="1">{#N/A,#N/A,FALSE,"Plan1";#N/A,#N/A,FALSE,"Plan2"}</definedName>
    <definedName name="b" localSheetId="2" hidden="1">{#N/A,#N/A,FALSE,"Plan1";#N/A,#N/A,FALSE,"Plan2"}</definedName>
    <definedName name="b" localSheetId="9" hidden="1">{#N/A,#N/A,FALSE,"Plan1";#N/A,#N/A,FALSE,"Plan2"}</definedName>
    <definedName name="B" localSheetId="5">#REF!</definedName>
    <definedName name="b" localSheetId="8" hidden="1">{#N/A,#N/A,FALSE,"Plan1";#N/A,#N/A,FALSE,"Plan2"}</definedName>
    <definedName name="b" localSheetId="0" hidden="1">{#N/A,#N/A,FALSE,"Plan1";#N/A,#N/A,FALSE,"Plan2"}</definedName>
    <definedName name="B">#REF!</definedName>
    <definedName name="BA" localSheetId="2">#REF!</definedName>
    <definedName name="BA" localSheetId="9">#REF!</definedName>
    <definedName name="BA" localSheetId="5">#REF!</definedName>
    <definedName name="BA">#REF!</definedName>
    <definedName name="balão1">"AutoForma 17"</definedName>
    <definedName name="BANCO" localSheetId="2">#REF!</definedName>
    <definedName name="BANCO" localSheetId="5">#REF!</definedName>
    <definedName name="BANCO">#REF!</definedName>
    <definedName name="Banco_dados_IM" localSheetId="2">#REF!</definedName>
    <definedName name="Banco_dados_IM" localSheetId="5">#REF!</definedName>
    <definedName name="Banco_dados_IM" localSheetId="24">#REF!</definedName>
    <definedName name="Banco_dados_IM" localSheetId="23">#REF!</definedName>
    <definedName name="Banco_dados_IM">#REF!</definedName>
    <definedName name="_xlnm.Database" localSheetId="5">#REF!</definedName>
    <definedName name="_xlnm.Database" localSheetId="24">#REF!</definedName>
    <definedName name="_xlnm.Database" localSheetId="23">#REF!</definedName>
    <definedName name="_xlnm.Database">#REF!</definedName>
    <definedName name="BANCO1" localSheetId="2">#REF!</definedName>
    <definedName name="BANCO1" localSheetId="5">#REF!</definedName>
    <definedName name="BANCO1">#REF!</definedName>
    <definedName name="BANCO2" localSheetId="2">#REF!</definedName>
    <definedName name="BANCO2" localSheetId="5">#REF!</definedName>
    <definedName name="BANCO2">#REF!</definedName>
    <definedName name="BANCO3" localSheetId="2">#REF!</definedName>
    <definedName name="BANCO3" localSheetId="5">#REF!</definedName>
    <definedName name="BANCO3">#REF!</definedName>
    <definedName name="BANCO4" localSheetId="2">#REF!</definedName>
    <definedName name="BANCO4" localSheetId="5">#REF!</definedName>
    <definedName name="BANCO4">#REF!</definedName>
    <definedName name="BASE" localSheetId="2">OFFSET(#REF!,0,0,COUNTA(#REF!)+1,5)</definedName>
    <definedName name="BASE" localSheetId="5">OFFSET(#REF!,0,0,COUNTA(#REF!)+1,5)</definedName>
    <definedName name="BASE">OFFSET(#REF!,0,0,COUNTA(#REF!)+1,5)</definedName>
    <definedName name="BASE_DE_DADOS_FLUXO_DE_CAIXA" localSheetId="2">OFFSET(#REF!,0,0,COUNTA(#REF!),COUNTA(#REF!))</definedName>
    <definedName name="BASE_DE_DADOS_FLUXO_DE_CAIXA" localSheetId="5">OFFSET(#REF!,0,0,COUNTA(#REF!),COUNTA(#REF!))</definedName>
    <definedName name="BASE_DE_DADOS_FLUXO_DE_CAIXA">OFFSET(#REF!,0,0,COUNTA(#REF!),COUNTA(#REF!))</definedName>
    <definedName name="BASE_FL_CX_3S" localSheetId="2">OFFSET(#REF!,0,0,COUNTA(#REF!),COUNTA(#REF!))</definedName>
    <definedName name="BASE_FL_CX_3S" localSheetId="5">OFFSET(#REF!,0,0,COUNTA(#REF!),COUNTA(#REF!))</definedName>
    <definedName name="BASE_FL_CX_3S">OFFSET(#REF!,0,0,COUNTA(#REF!),COUNTA(#REF!))</definedName>
    <definedName name="BASE_FLUXO_CAIXA_2017" localSheetId="2">OFFSET(#REF!,0,0,COUNTA(#REF!),COUNTA(#REF!))</definedName>
    <definedName name="BASE_FLUXO_CAIXA_2017" localSheetId="5">OFFSET(#REF!,0,0,COUNTA(#REF!),COUNTA(#REF!))</definedName>
    <definedName name="BASE_FLUXO_CAIXA_2017">OFFSET(#REF!,0,0,COUNTA(#REF!),COUNTA(#REF!))</definedName>
    <definedName name="bb" localSheetId="2">#REF!</definedName>
    <definedName name="bb" localSheetId="5">#REF!</definedName>
    <definedName name="bb">#REF!</definedName>
    <definedName name="bbb" localSheetId="2">#REF!</definedName>
    <definedName name="bbb" localSheetId="5">#REF!</definedName>
    <definedName name="bbb">#REF!</definedName>
    <definedName name="bbbbbbbbbbbbbbb" localSheetId="14" hidden="1">{"'Edit'!$A$1:$V$2277"}</definedName>
    <definedName name="bbbbbbbbbbbbbbb" localSheetId="7" hidden="1">{"'Edit'!$A$1:$V$2277"}</definedName>
    <definedName name="bbbbbbbbbbbbbbb" localSheetId="1" hidden="1">{"'Edit'!$A$1:$V$2277"}</definedName>
    <definedName name="bbbbbbbbbbbbbbb" localSheetId="2" hidden="1">{"'Edit'!$A$1:$V$2277"}</definedName>
    <definedName name="bbbbbbbbbbbbbbb" localSheetId="9" hidden="1">{"'Edit'!$A$1:$V$2277"}</definedName>
    <definedName name="bbbbbbbbbbbbbbb" localSheetId="5" hidden="1">{"'Edit'!$A$1:$V$2277"}</definedName>
    <definedName name="bbbbbbbbbbbbbbb" localSheetId="4" hidden="1">{"'Edit'!$A$1:$V$2277"}</definedName>
    <definedName name="bbbbbbbbbbbbbbb" localSheetId="8" hidden="1">{"'Edit'!$A$1:$V$2277"}</definedName>
    <definedName name="bbbbbbbbbbbbbbb" localSheetId="12" hidden="1">{"'Edit'!$A$1:$V$2277"}</definedName>
    <definedName name="bbbbbbbbbbbbbbb" localSheetId="16" hidden="1">{"'Edit'!$A$1:$V$2277"}</definedName>
    <definedName name="bbbbbbbbbbbbbbb" localSheetId="0" hidden="1">{"'Edit'!$A$1:$V$2277"}</definedName>
    <definedName name="bbbbbbbbbbbbbbb" localSheetId="11" hidden="1">{"'Edit'!$A$1:$V$2277"}</definedName>
    <definedName name="bbbbbbbbbbbbbbb" localSheetId="13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 localSheetId="2">#REF!</definedName>
    <definedName name="BD" localSheetId="5">#REF!</definedName>
    <definedName name="BD">#REF!</definedName>
    <definedName name="BDA" localSheetId="14">#REF!</definedName>
    <definedName name="BDA" localSheetId="2">#REF!</definedName>
    <definedName name="BDA" localSheetId="5">#REF!</definedName>
    <definedName name="BDA" localSheetId="15">#REF!</definedName>
    <definedName name="BDA" localSheetId="12">#REF!</definedName>
    <definedName name="BDA" localSheetId="0">#REF!</definedName>
    <definedName name="BDA">#REF!</definedName>
    <definedName name="bdfjghf" localSheetId="14" hidden="1">{#N/A,#N/A,FALSE,"Plan1";#N/A,#N/A,FALSE,"Plan2"}</definedName>
    <definedName name="bdfjghf" localSheetId="7" hidden="1">{#N/A,#N/A,FALSE,"Plan1";#N/A,#N/A,FALSE,"Plan2"}</definedName>
    <definedName name="bdfjghf" localSheetId="1" hidden="1">{#N/A,#N/A,FALSE,"Plan1";#N/A,#N/A,FALSE,"Plan2"}</definedName>
    <definedName name="bdfjghf" localSheetId="2" hidden="1">{#N/A,#N/A,FALSE,"Plan1";#N/A,#N/A,FALSE,"Plan2"}</definedName>
    <definedName name="bdfjghf" localSheetId="9" hidden="1">{#N/A,#N/A,FALSE,"Plan1";#N/A,#N/A,FALSE,"Plan2"}</definedName>
    <definedName name="bdfjghf" localSheetId="5" hidden="1">{#N/A,#N/A,FALSE,"Plan1";#N/A,#N/A,FALSE,"Plan2"}</definedName>
    <definedName name="bdfjghf" localSheetId="4" hidden="1">{#N/A,#N/A,FALSE,"Plan1";#N/A,#N/A,FALSE,"Plan2"}</definedName>
    <definedName name="bdfjghf" localSheetId="8" hidden="1">{#N/A,#N/A,FALSE,"Plan1";#N/A,#N/A,FALSE,"Plan2"}</definedName>
    <definedName name="bdfjghf" localSheetId="12" hidden="1">{#N/A,#N/A,FALSE,"Plan1";#N/A,#N/A,FALSE,"Plan2"}</definedName>
    <definedName name="bdfjghf" localSheetId="16" hidden="1">{#N/A,#N/A,FALSE,"Plan1";#N/A,#N/A,FALSE,"Plan2"}</definedName>
    <definedName name="bdfjghf" localSheetId="0" hidden="1">{#N/A,#N/A,FALSE,"Plan1";#N/A,#N/A,FALSE,"Plan2"}</definedName>
    <definedName name="bdfjghf" localSheetId="11" hidden="1">{#N/A,#N/A,FALSE,"Plan1";#N/A,#N/A,FALSE,"Plan2"}</definedName>
    <definedName name="bdfjghf" localSheetId="13" hidden="1">{#N/A,#N/A,FALSE,"Plan1";#N/A,#N/A,FALSE,"Plan2"}</definedName>
    <definedName name="bdfjghf" hidden="1">{#N/A,#N/A,FALSE,"Plan1";#N/A,#N/A,FALSE,"Plan2"}</definedName>
    <definedName name="BDI" localSheetId="14">#REF!</definedName>
    <definedName name="BDI" localSheetId="2">#REF!</definedName>
    <definedName name="BDI" localSheetId="5">#REF!</definedName>
    <definedName name="BDI" localSheetId="15">#REF!</definedName>
    <definedName name="BDI" localSheetId="12">#REF!</definedName>
    <definedName name="BDI" localSheetId="0">#REF!</definedName>
    <definedName name="BDI">#REF!</definedName>
    <definedName name="bdzbfbdr" localSheetId="14" hidden="1">{#N/A,#N/A,FALSE,"Plan1";#N/A,#N/A,FALSE,"Plan2"}</definedName>
    <definedName name="bdzbfbdr" localSheetId="7" hidden="1">{#N/A,#N/A,FALSE,"Plan1";#N/A,#N/A,FALSE,"Plan2"}</definedName>
    <definedName name="bdzbfbdr" localSheetId="1" hidden="1">{#N/A,#N/A,FALSE,"Plan1";#N/A,#N/A,FALSE,"Plan2"}</definedName>
    <definedName name="bdzbfbdr" localSheetId="2" hidden="1">{#N/A,#N/A,FALSE,"Plan1";#N/A,#N/A,FALSE,"Plan2"}</definedName>
    <definedName name="bdzbfbdr" localSheetId="9" hidden="1">{#N/A,#N/A,FALSE,"Plan1";#N/A,#N/A,FALSE,"Plan2"}</definedName>
    <definedName name="bdzbfbdr" localSheetId="5" hidden="1">{#N/A,#N/A,FALSE,"Plan1";#N/A,#N/A,FALSE,"Plan2"}</definedName>
    <definedName name="bdzbfbdr" localSheetId="4" hidden="1">{#N/A,#N/A,FALSE,"Plan1";#N/A,#N/A,FALSE,"Plan2"}</definedName>
    <definedName name="bdzbfbdr" localSheetId="8" hidden="1">{#N/A,#N/A,FALSE,"Plan1";#N/A,#N/A,FALSE,"Plan2"}</definedName>
    <definedName name="bdzbfbdr" localSheetId="12" hidden="1">{#N/A,#N/A,FALSE,"Plan1";#N/A,#N/A,FALSE,"Plan2"}</definedName>
    <definedName name="bdzbfbdr" localSheetId="16" hidden="1">{#N/A,#N/A,FALSE,"Plan1";#N/A,#N/A,FALSE,"Plan2"}</definedName>
    <definedName name="bdzbfbdr" localSheetId="0" hidden="1">{#N/A,#N/A,FALSE,"Plan1";#N/A,#N/A,FALSE,"Plan2"}</definedName>
    <definedName name="bdzbfbdr" localSheetId="11" hidden="1">{#N/A,#N/A,FALSE,"Plan1";#N/A,#N/A,FALSE,"Plan2"}</definedName>
    <definedName name="bdzbfbdr" localSheetId="13" hidden="1">{#N/A,#N/A,FALSE,"Plan1";#N/A,#N/A,FALSE,"Plan2"}</definedName>
    <definedName name="bdzbfbdr" hidden="1">{#N/A,#N/A,FALSE,"Plan1";#N/A,#N/A,FALSE,"Plan2"}</definedName>
    <definedName name="be" localSheetId="2">#REF!</definedName>
    <definedName name="be" localSheetId="5">#REF!</definedName>
    <definedName name="be">#REF!</definedName>
    <definedName name="bebqt" localSheetId="2">#REF!</definedName>
    <definedName name="bebqt" localSheetId="5">#REF!</definedName>
    <definedName name="bebqt">#REF!</definedName>
    <definedName name="bela_cdi" localSheetId="2">#REF!</definedName>
    <definedName name="bela_cdi" localSheetId="5">#REF!</definedName>
    <definedName name="bela_cdi">#REF!</definedName>
    <definedName name="bela_hist" localSheetId="2">#REF!</definedName>
    <definedName name="bela_hist" localSheetId="5">#REF!</definedName>
    <definedName name="bela_hist">#REF!</definedName>
    <definedName name="bela_uss" localSheetId="2">#REF!</definedName>
    <definedName name="bela_uss" localSheetId="5">#REF!</definedName>
    <definedName name="bela_uss">#REF!</definedName>
    <definedName name="bg" localSheetId="2" hidden="1">#REF!</definedName>
    <definedName name="bg" localSheetId="0" hidden="1">#REF!</definedName>
    <definedName name="bg" hidden="1">#REF!</definedName>
    <definedName name="BGG" localSheetId="14" hidden="1">{#N/A,#N/A,FALSE,"Plan1";#N/A,#N/A,FALSE,"Plan2"}</definedName>
    <definedName name="BGG" localSheetId="7" hidden="1">{#N/A,#N/A,FALSE,"Plan1";#N/A,#N/A,FALSE,"Plan2"}</definedName>
    <definedName name="BGG" localSheetId="1" hidden="1">{#N/A,#N/A,FALSE,"Plan1";#N/A,#N/A,FALSE,"Plan2"}</definedName>
    <definedName name="BGG" localSheetId="2" hidden="1">{#N/A,#N/A,FALSE,"Plan1";#N/A,#N/A,FALSE,"Plan2"}</definedName>
    <definedName name="BGG" localSheetId="9" hidden="1">{#N/A,#N/A,FALSE,"Plan1";#N/A,#N/A,FALSE,"Plan2"}</definedName>
    <definedName name="BGG" localSheetId="5" hidden="1">{#N/A,#N/A,FALSE,"Plan1";#N/A,#N/A,FALSE,"Plan2"}</definedName>
    <definedName name="BGG" localSheetId="4" hidden="1">{#N/A,#N/A,FALSE,"Plan1";#N/A,#N/A,FALSE,"Plan2"}</definedName>
    <definedName name="BGG" localSheetId="8" hidden="1">{#N/A,#N/A,FALSE,"Plan1";#N/A,#N/A,FALSE,"Plan2"}</definedName>
    <definedName name="BGG" localSheetId="12" hidden="1">{#N/A,#N/A,FALSE,"Plan1";#N/A,#N/A,FALSE,"Plan2"}</definedName>
    <definedName name="BGG" localSheetId="16" hidden="1">{#N/A,#N/A,FALSE,"Plan1";#N/A,#N/A,FALSE,"Plan2"}</definedName>
    <definedName name="BGG" localSheetId="0" hidden="1">{#N/A,#N/A,FALSE,"Plan1";#N/A,#N/A,FALSE,"Plan2"}</definedName>
    <definedName name="BGG" localSheetId="11" hidden="1">{#N/A,#N/A,FALSE,"Plan1";#N/A,#N/A,FALSE,"Plan2"}</definedName>
    <definedName name="BGG" localSheetId="13" hidden="1">{#N/A,#N/A,FALSE,"Plan1";#N/A,#N/A,FALSE,"Plan2"}</definedName>
    <definedName name="BGG" hidden="1">{#N/A,#N/A,FALSE,"Plan1";#N/A,#N/A,FALSE,"Plan2"}</definedName>
    <definedName name="bhjgfhfh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4" hidden="1">{#N/A,#N/A,FALSE,"Plan1";#N/A,#N/A,FALSE,"Plan2"}</definedName>
    <definedName name="BJSDKHFE" localSheetId="7" hidden="1">{#N/A,#N/A,FALSE,"Plan1";#N/A,#N/A,FALSE,"Plan2"}</definedName>
    <definedName name="BJSDKHFE" localSheetId="1" hidden="1">{#N/A,#N/A,FALSE,"Plan1";#N/A,#N/A,FALSE,"Plan2"}</definedName>
    <definedName name="BJSDKHFE" localSheetId="2" hidden="1">{#N/A,#N/A,FALSE,"Plan1";#N/A,#N/A,FALSE,"Plan2"}</definedName>
    <definedName name="BJSDKHFE" localSheetId="9" hidden="1">{#N/A,#N/A,FALSE,"Plan1";#N/A,#N/A,FALSE,"Plan2"}</definedName>
    <definedName name="BJSDKHFE" localSheetId="5" hidden="1">{#N/A,#N/A,FALSE,"Plan1";#N/A,#N/A,FALSE,"Plan2"}</definedName>
    <definedName name="BJSDKHFE" localSheetId="4" hidden="1">{#N/A,#N/A,FALSE,"Plan1";#N/A,#N/A,FALSE,"Plan2"}</definedName>
    <definedName name="BJSDKHFE" localSheetId="8" hidden="1">{#N/A,#N/A,FALSE,"Plan1";#N/A,#N/A,FALSE,"Plan2"}</definedName>
    <definedName name="BJSDKHFE" localSheetId="12" hidden="1">{#N/A,#N/A,FALSE,"Plan1";#N/A,#N/A,FALSE,"Plan2"}</definedName>
    <definedName name="BJSDKHFE" localSheetId="16" hidden="1">{#N/A,#N/A,FALSE,"Plan1";#N/A,#N/A,FALSE,"Plan2"}</definedName>
    <definedName name="BJSDKHFE" localSheetId="0" hidden="1">{#N/A,#N/A,FALSE,"Plan1";#N/A,#N/A,FALSE,"Plan2"}</definedName>
    <definedName name="BJSDKHFE" localSheetId="11" hidden="1">{#N/A,#N/A,FALSE,"Plan1";#N/A,#N/A,FALSE,"Plan2"}</definedName>
    <definedName name="BJSDKHFE" localSheetId="13" hidden="1">{#N/A,#N/A,FALSE,"Plan1";#N/A,#N/A,FALSE,"Plan2"}</definedName>
    <definedName name="BJSDKHFE" hidden="1">{#N/A,#N/A,FALSE,"Plan1";#N/A,#N/A,FALSE,"Plan2"}</definedName>
    <definedName name="bloco" localSheetId="2">#REF!</definedName>
    <definedName name="bloco" localSheetId="5">#REF!</definedName>
    <definedName name="bloco">#REF!</definedName>
    <definedName name="BLPH1" localSheetId="2" hidden="1">#REF!</definedName>
    <definedName name="BLPH1" localSheetId="5" hidden="1">#REF!</definedName>
    <definedName name="BLPH1" localSheetId="0" hidden="1">#REF!</definedName>
    <definedName name="BLPH1" hidden="1">#REF!</definedName>
    <definedName name="BLPH100" localSheetId="2" hidden="1">#REF!</definedName>
    <definedName name="BLPH100" localSheetId="5" hidden="1">#REF!</definedName>
    <definedName name="BLPH100" localSheetId="0" hidden="1">#REF!</definedName>
    <definedName name="BLPH100" hidden="1">#REF!</definedName>
    <definedName name="BLPH101" localSheetId="2" hidden="1">#REF!</definedName>
    <definedName name="BLPH101" localSheetId="5" hidden="1">#REF!</definedName>
    <definedName name="BLPH101" localSheetId="0" hidden="1">#REF!</definedName>
    <definedName name="BLPH101" hidden="1">#REF!</definedName>
    <definedName name="BLPH102" localSheetId="2" hidden="1">#REF!</definedName>
    <definedName name="BLPH102" localSheetId="5" hidden="1">#REF!</definedName>
    <definedName name="BLPH102" localSheetId="0" hidden="1">#REF!</definedName>
    <definedName name="BLPH102" hidden="1">#REF!</definedName>
    <definedName name="BLPH103" localSheetId="2" hidden="1">#REF!</definedName>
    <definedName name="BLPH103" localSheetId="5" hidden="1">#REF!</definedName>
    <definedName name="BLPH103" localSheetId="0" hidden="1">#REF!</definedName>
    <definedName name="BLPH103" hidden="1">#REF!</definedName>
    <definedName name="BLPH104" localSheetId="2" hidden="1">#REF!</definedName>
    <definedName name="BLPH104" localSheetId="5" hidden="1">#REF!</definedName>
    <definedName name="BLPH104" localSheetId="0" hidden="1">#REF!</definedName>
    <definedName name="BLPH104" hidden="1">#REF!</definedName>
    <definedName name="BLPH107" hidden="1">#REF!</definedName>
    <definedName name="BLPH2" localSheetId="2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2" hidden="1">#REF!</definedName>
    <definedName name="BLPH96" localSheetId="5" hidden="1">#REF!</definedName>
    <definedName name="BLPH96" localSheetId="0" hidden="1">#REF!</definedName>
    <definedName name="BLPH96" hidden="1">#REF!</definedName>
    <definedName name="BLPH97" localSheetId="2" hidden="1">#REF!</definedName>
    <definedName name="BLPH97" localSheetId="5" hidden="1">#REF!</definedName>
    <definedName name="BLPH97" localSheetId="0" hidden="1">#REF!</definedName>
    <definedName name="BLPH97" hidden="1">#REF!</definedName>
    <definedName name="BLPH98" localSheetId="2" hidden="1">#REF!</definedName>
    <definedName name="BLPH98" localSheetId="5" hidden="1">#REF!</definedName>
    <definedName name="BLPH98" localSheetId="0" hidden="1">#REF!</definedName>
    <definedName name="BLPH98" hidden="1">#REF!</definedName>
    <definedName name="BLPH99" localSheetId="2" hidden="1">#REF!</definedName>
    <definedName name="BLPH99" localSheetId="5" hidden="1">#REF!</definedName>
    <definedName name="BLPH99" localSheetId="0" hidden="1">#REF!</definedName>
    <definedName name="BLPH99" hidden="1">#REF!</definedName>
    <definedName name="bmdgghrtfde" localSheetId="14" hidden="1">{#N/A,#N/A,FALSE,"Plan1";#N/A,#N/A,FALSE,"Plan2"}</definedName>
    <definedName name="bmdgghrtfde" localSheetId="7" hidden="1">{#N/A,#N/A,FALSE,"Plan1";#N/A,#N/A,FALSE,"Plan2"}</definedName>
    <definedName name="bmdgghrtfde" localSheetId="1" hidden="1">{#N/A,#N/A,FALSE,"Plan1";#N/A,#N/A,FALSE,"Plan2"}</definedName>
    <definedName name="bmdgghrtfde" localSheetId="2" hidden="1">{#N/A,#N/A,FALSE,"Plan1";#N/A,#N/A,FALSE,"Plan2"}</definedName>
    <definedName name="bmdgghrtfde" localSheetId="9" hidden="1">{#N/A,#N/A,FALSE,"Plan1";#N/A,#N/A,FALSE,"Plan2"}</definedName>
    <definedName name="bmdgghrtfde" localSheetId="5" hidden="1">{#N/A,#N/A,FALSE,"Plan1";#N/A,#N/A,FALSE,"Plan2"}</definedName>
    <definedName name="bmdgghrtfde" localSheetId="4" hidden="1">{#N/A,#N/A,FALSE,"Plan1";#N/A,#N/A,FALSE,"Plan2"}</definedName>
    <definedName name="bmdgghrtfde" localSheetId="8" hidden="1">{#N/A,#N/A,FALSE,"Plan1";#N/A,#N/A,FALSE,"Plan2"}</definedName>
    <definedName name="bmdgghrtfde" localSheetId="12" hidden="1">{#N/A,#N/A,FALSE,"Plan1";#N/A,#N/A,FALSE,"Plan2"}</definedName>
    <definedName name="bmdgghrtfde" localSheetId="16" hidden="1">{#N/A,#N/A,FALSE,"Plan1";#N/A,#N/A,FALSE,"Plan2"}</definedName>
    <definedName name="bmdgghrtfde" localSheetId="0" hidden="1">{#N/A,#N/A,FALSE,"Plan1";#N/A,#N/A,FALSE,"Plan2"}</definedName>
    <definedName name="bmdgghrtfde" localSheetId="11" hidden="1">{#N/A,#N/A,FALSE,"Plan1";#N/A,#N/A,FALSE,"Plan2"}</definedName>
    <definedName name="bmdgghrtfde" localSheetId="13" hidden="1">{#N/A,#N/A,FALSE,"Plan1";#N/A,#N/A,FALSE,"Plan2"}</definedName>
    <definedName name="bmdgghrtfde" hidden="1">{#N/A,#N/A,FALSE,"Plan1";#N/A,#N/A,FALSE,"Plan2"}</definedName>
    <definedName name="bnkjhjhdfxgt" localSheetId="14" hidden="1">{#N/A,#N/A,FALSE,"Plan1";#N/A,#N/A,FALSE,"Plan2"}</definedName>
    <definedName name="bnkjhjhdfxgt" localSheetId="7" hidden="1">{#N/A,#N/A,FALSE,"Plan1";#N/A,#N/A,FALSE,"Plan2"}</definedName>
    <definedName name="bnkjhjhdfxgt" localSheetId="1" hidden="1">{#N/A,#N/A,FALSE,"Plan1";#N/A,#N/A,FALSE,"Plan2"}</definedName>
    <definedName name="bnkjhjhdfxgt" localSheetId="2" hidden="1">{#N/A,#N/A,FALSE,"Plan1";#N/A,#N/A,FALSE,"Plan2"}</definedName>
    <definedName name="bnkjhjhdfxgt" localSheetId="9" hidden="1">{#N/A,#N/A,FALSE,"Plan1";#N/A,#N/A,FALSE,"Plan2"}</definedName>
    <definedName name="bnkjhjhdfxgt" localSheetId="5" hidden="1">{#N/A,#N/A,FALSE,"Plan1";#N/A,#N/A,FALSE,"Plan2"}</definedName>
    <definedName name="bnkjhjhdfxgt" localSheetId="4" hidden="1">{#N/A,#N/A,FALSE,"Plan1";#N/A,#N/A,FALSE,"Plan2"}</definedName>
    <definedName name="bnkjhjhdfxgt" localSheetId="8" hidden="1">{#N/A,#N/A,FALSE,"Plan1";#N/A,#N/A,FALSE,"Plan2"}</definedName>
    <definedName name="bnkjhjhdfxgt" localSheetId="12" hidden="1">{#N/A,#N/A,FALSE,"Plan1";#N/A,#N/A,FALSE,"Plan2"}</definedName>
    <definedName name="bnkjhjhdfxgt" localSheetId="16" hidden="1">{#N/A,#N/A,FALSE,"Plan1";#N/A,#N/A,FALSE,"Plan2"}</definedName>
    <definedName name="bnkjhjhdfxgt" localSheetId="0" hidden="1">{#N/A,#N/A,FALSE,"Plan1";#N/A,#N/A,FALSE,"Plan2"}</definedName>
    <definedName name="bnkjhjhdfxgt" localSheetId="11" hidden="1">{#N/A,#N/A,FALSE,"Plan1";#N/A,#N/A,FALSE,"Plan2"}</definedName>
    <definedName name="bnkjhjhdfxgt" localSheetId="13" hidden="1">{#N/A,#N/A,FALSE,"Plan1";#N/A,#N/A,FALSE,"Plan2"}</definedName>
    <definedName name="bnkjhjhdfxgt" hidden="1">{#N/A,#N/A,FALSE,"Plan1";#N/A,#N/A,FALSE,"Plan2"}</definedName>
    <definedName name="BORBA2" localSheetId="2">#REF!</definedName>
    <definedName name="BORBA2" localSheetId="5">#REF!</definedName>
    <definedName name="BORBA2">#REF!</definedName>
    <definedName name="BORDA1">#N/A</definedName>
    <definedName name="BuiltIn_Print_Area" localSheetId="2">#REF!</definedName>
    <definedName name="BuiltIn_Print_Area" localSheetId="5">#REF!</definedName>
    <definedName name="BuiltIn_Print_Area">#REF!</definedName>
    <definedName name="BuiltIn_Print_Area___0" localSheetId="2">#REF!</definedName>
    <definedName name="BuiltIn_Print_Area___0" localSheetId="5">#REF!</definedName>
    <definedName name="BuiltIn_Print_Area___0">#REF!</definedName>
    <definedName name="BuiltIn_Print_Titles" localSheetId="2">#REF!</definedName>
    <definedName name="BuiltIn_Print_Titles" localSheetId="5">#REF!</definedName>
    <definedName name="BuiltIn_Print_Titles">#REF!</definedName>
    <definedName name="BuiltIn_Print_Titles___0" localSheetId="2">#REF!</definedName>
    <definedName name="BuiltIn_Print_Titles___0" localSheetId="5">#REF!</definedName>
    <definedName name="BuiltIn_Print_Titles___0">#REF!</definedName>
    <definedName name="BV" localSheetId="2" hidden="1">#REF!</definedName>
    <definedName name="BV" localSheetId="0" hidden="1">#REF!</definedName>
    <definedName name="BV" hidden="1">#REF!</definedName>
    <definedName name="bxnzfmkzxbhdf" localSheetId="14" hidden="1">{#N/A,#N/A,FALSE,"Plan1";#N/A,#N/A,FALSE,"Plan2"}</definedName>
    <definedName name="bxnzfmkzxbhdf" localSheetId="7" hidden="1">{#N/A,#N/A,FALSE,"Plan1";#N/A,#N/A,FALSE,"Plan2"}</definedName>
    <definedName name="bxnzfmkzxbhdf" localSheetId="1" hidden="1">{#N/A,#N/A,FALSE,"Plan1";#N/A,#N/A,FALSE,"Plan2"}</definedName>
    <definedName name="bxnzfmkzxbhdf" localSheetId="2" hidden="1">{#N/A,#N/A,FALSE,"Plan1";#N/A,#N/A,FALSE,"Plan2"}</definedName>
    <definedName name="bxnzfmkzxbhdf" localSheetId="9" hidden="1">{#N/A,#N/A,FALSE,"Plan1";#N/A,#N/A,FALSE,"Plan2"}</definedName>
    <definedName name="bxnzfmkzxbhdf" localSheetId="5" hidden="1">{#N/A,#N/A,FALSE,"Plan1";#N/A,#N/A,FALSE,"Plan2"}</definedName>
    <definedName name="bxnzfmkzxbhdf" localSheetId="4" hidden="1">{#N/A,#N/A,FALSE,"Plan1";#N/A,#N/A,FALSE,"Plan2"}</definedName>
    <definedName name="bxnzfmkzxbhdf" localSheetId="8" hidden="1">{#N/A,#N/A,FALSE,"Plan1";#N/A,#N/A,FALSE,"Plan2"}</definedName>
    <definedName name="bxnzfmkzxbhdf" localSheetId="12" hidden="1">{#N/A,#N/A,FALSE,"Plan1";#N/A,#N/A,FALSE,"Plan2"}</definedName>
    <definedName name="bxnzfmkzxbhdf" localSheetId="16" hidden="1">{#N/A,#N/A,FALSE,"Plan1";#N/A,#N/A,FALSE,"Plan2"}</definedName>
    <definedName name="bxnzfmkzxbhdf" localSheetId="0" hidden="1">{#N/A,#N/A,FALSE,"Plan1";#N/A,#N/A,FALSE,"Plan2"}</definedName>
    <definedName name="bxnzfmkzxbhdf" localSheetId="11" hidden="1">{#N/A,#N/A,FALSE,"Plan1";#N/A,#N/A,FALSE,"Plan2"}</definedName>
    <definedName name="bxnzfmkzxbhdf" localSheetId="13" hidden="1">{#N/A,#N/A,FALSE,"Plan1";#N/A,#N/A,FALSE,"Plan2"}</definedName>
    <definedName name="bxnzfmkzxbhdf" hidden="1">{#N/A,#N/A,FALSE,"Plan1";#N/A,#N/A,FALSE,"Plan2"}</definedName>
    <definedName name="ca" localSheetId="14">#REF!</definedName>
    <definedName name="ca" localSheetId="2">#REF!</definedName>
    <definedName name="ca" localSheetId="5">#REF!</definedName>
    <definedName name="ca" localSheetId="15">#REF!</definedName>
    <definedName name="ca" localSheetId="12">#REF!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 localSheetId="2">#REF!</definedName>
    <definedName name="CAGR" localSheetId="5">#REF!</definedName>
    <definedName name="CAGR">#REF!</definedName>
    <definedName name="caixa" localSheetId="2">#REF!</definedName>
    <definedName name="caixa" localSheetId="5">#REF!</definedName>
    <definedName name="caixa">#REF!</definedName>
    <definedName name="caix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2">#REF!</definedName>
    <definedName name="Cambio" localSheetId="5">#REF!</definedName>
    <definedName name="Cambio">#REF!</definedName>
    <definedName name="CAMP" localSheetId="2">#REF!</definedName>
    <definedName name="CAMP" localSheetId="5">#REF!</definedName>
    <definedName name="CAMP">#REF!</definedName>
    <definedName name="CAMPOS" localSheetId="2">#REF!</definedName>
    <definedName name="CAMPOS" localSheetId="5">#REF!</definedName>
    <definedName name="CAMPOS">#REF!</definedName>
    <definedName name="çaos\ewapo" localSheetId="14" hidden="1">{#N/A,#N/A,FALSE,"Plan1";#N/A,#N/A,FALSE,"Plan2"}</definedName>
    <definedName name="çaos\ewapo" localSheetId="7" hidden="1">{#N/A,#N/A,FALSE,"Plan1";#N/A,#N/A,FALSE,"Plan2"}</definedName>
    <definedName name="çaos\ewapo" localSheetId="1" hidden="1">{#N/A,#N/A,FALSE,"Plan1";#N/A,#N/A,FALSE,"Plan2"}</definedName>
    <definedName name="çaos\ewapo" localSheetId="2" hidden="1">{#N/A,#N/A,FALSE,"Plan1";#N/A,#N/A,FALSE,"Plan2"}</definedName>
    <definedName name="çaos\ewapo" localSheetId="9" hidden="1">{#N/A,#N/A,FALSE,"Plan1";#N/A,#N/A,FALSE,"Plan2"}</definedName>
    <definedName name="çaos\ewapo" localSheetId="5" hidden="1">{#N/A,#N/A,FALSE,"Plan1";#N/A,#N/A,FALSE,"Plan2"}</definedName>
    <definedName name="çaos\ewapo" localSheetId="4" hidden="1">{#N/A,#N/A,FALSE,"Plan1";#N/A,#N/A,FALSE,"Plan2"}</definedName>
    <definedName name="çaos\ewapo" localSheetId="8" hidden="1">{#N/A,#N/A,FALSE,"Plan1";#N/A,#N/A,FALSE,"Plan2"}</definedName>
    <definedName name="çaos\ewapo" localSheetId="12" hidden="1">{#N/A,#N/A,FALSE,"Plan1";#N/A,#N/A,FALSE,"Plan2"}</definedName>
    <definedName name="çaos\ewapo" localSheetId="16" hidden="1">{#N/A,#N/A,FALSE,"Plan1";#N/A,#N/A,FALSE,"Plan2"}</definedName>
    <definedName name="çaos\ewapo" localSheetId="0" hidden="1">{#N/A,#N/A,FALSE,"Plan1";#N/A,#N/A,FALSE,"Plan2"}</definedName>
    <definedName name="çaos\ewapo" localSheetId="11" hidden="1">{#N/A,#N/A,FALSE,"Plan1";#N/A,#N/A,FALSE,"Plan2"}</definedName>
    <definedName name="çaos\ewapo" localSheetId="13" hidden="1">{#N/A,#N/A,FALSE,"Plan1";#N/A,#N/A,FALSE,"Plan2"}</definedName>
    <definedName name="çaos\ewapo" hidden="1">{#N/A,#N/A,FALSE,"Plan1";#N/A,#N/A,FALSE,"Plan2"}</definedName>
    <definedName name="Capa" localSheetId="14">#REF!</definedName>
    <definedName name="Capa" localSheetId="2">#REF!</definedName>
    <definedName name="Capa" localSheetId="5">#REF!</definedName>
    <definedName name="Capa" localSheetId="15">#REF!</definedName>
    <definedName name="Capa" localSheetId="12">#REF!</definedName>
    <definedName name="Capa" localSheetId="0">#REF!</definedName>
    <definedName name="Capa">#REF!</definedName>
    <definedName name="CAPA2" localSheetId="2">#REF!</definedName>
    <definedName name="CAPA2" localSheetId="5">#REF!</definedName>
    <definedName name="CAPA2">#REF!</definedName>
    <definedName name="CAPA55" localSheetId="2">#REF!</definedName>
    <definedName name="CAPA55" localSheetId="5">#REF!</definedName>
    <definedName name="CAPA55">#REF!</definedName>
    <definedName name="CAPA55A" localSheetId="2">#REF!</definedName>
    <definedName name="CAPA55A" localSheetId="5">#REF!</definedName>
    <definedName name="CAPA55A">#REF!</definedName>
    <definedName name="CAPELA" localSheetId="2">#REF!</definedName>
    <definedName name="CAPELA" localSheetId="5">#REF!</definedName>
    <definedName name="CAPELA">#REF!</definedName>
    <definedName name="CARLA" localSheetId="2" hidden="1">#REF!</definedName>
    <definedName name="CARLA" hidden="1">#REF!</definedName>
    <definedName name="CARLOS1" localSheetId="2">#REF!</definedName>
    <definedName name="CARLOS1" localSheetId="5">#REF!</definedName>
    <definedName name="CARLOS1">#REF!</definedName>
    <definedName name="CARTÃO4" localSheetId="2">#REF!</definedName>
    <definedName name="CARTÃO4" localSheetId="5">#REF!</definedName>
    <definedName name="CARTÃO4">#REF!</definedName>
    <definedName name="CAT6_IP" localSheetId="14" hidden="1">{#N/A,#N/A,FALSE,"F-01"}</definedName>
    <definedName name="CAT6_IP" localSheetId="7" hidden="1">{#N/A,#N/A,FALSE,"F-01"}</definedName>
    <definedName name="CAT6_IP" localSheetId="1" hidden="1">{#N/A,#N/A,FALSE,"F-01"}</definedName>
    <definedName name="CAT6_IP" localSheetId="2" hidden="1">{#N/A,#N/A,FALSE,"F-01"}</definedName>
    <definedName name="CAT6_IP" localSheetId="9" hidden="1">{#N/A,#N/A,FALSE,"F-01"}</definedName>
    <definedName name="CAT6_IP" localSheetId="5" hidden="1">{#N/A,#N/A,FALSE,"F-01"}</definedName>
    <definedName name="CAT6_IP" localSheetId="4" hidden="1">{#N/A,#N/A,FALSE,"F-01"}</definedName>
    <definedName name="CAT6_IP" localSheetId="8" hidden="1">{#N/A,#N/A,FALSE,"F-01"}</definedName>
    <definedName name="CAT6_IP" localSheetId="12" hidden="1">{#N/A,#N/A,FALSE,"F-01"}</definedName>
    <definedName name="CAT6_IP" localSheetId="16" hidden="1">{#N/A,#N/A,FALSE,"F-01"}</definedName>
    <definedName name="CAT6_IP" localSheetId="0" hidden="1">{#N/A,#N/A,FALSE,"F-01"}</definedName>
    <definedName name="CAT6_IP" localSheetId="11" hidden="1">{#N/A,#N/A,FALSE,"F-01"}</definedName>
    <definedName name="CAT6_IP" localSheetId="13" hidden="1">{#N/A,#N/A,FALSE,"F-01"}</definedName>
    <definedName name="CAT6_IP" hidden="1">{#N/A,#N/A,FALSE,"F-01"}</definedName>
    <definedName name="categori45" localSheetId="2">#REF!</definedName>
    <definedName name="categori45" localSheetId="5">#REF!</definedName>
    <definedName name="categori45">#REF!</definedName>
    <definedName name="CATEGORIA1" localSheetId="2">#REF!</definedName>
    <definedName name="CATEGORIA1" localSheetId="5">#REF!</definedName>
    <definedName name="CATEGORIA1">#REF!</definedName>
    <definedName name="CATEGORIA10" localSheetId="2">#REF!</definedName>
    <definedName name="CATEGORIA10" localSheetId="5">#REF!</definedName>
    <definedName name="CATEGORIA10">#REF!</definedName>
    <definedName name="CATEGORIA11" localSheetId="2">#REF!</definedName>
    <definedName name="CATEGORIA11" localSheetId="5">#REF!</definedName>
    <definedName name="CATEGORIA11">#REF!</definedName>
    <definedName name="CATEGORIA12" localSheetId="2">#REF!</definedName>
    <definedName name="CATEGORIA12" localSheetId="5">#REF!</definedName>
    <definedName name="CATEGORIA12">#REF!</definedName>
    <definedName name="CATEGORIA13" localSheetId="2">#REF!</definedName>
    <definedName name="CATEGORIA13" localSheetId="5">#REF!</definedName>
    <definedName name="CATEGORIA13">#REF!</definedName>
    <definedName name="CATEGORIA14" localSheetId="2">#REF!</definedName>
    <definedName name="CATEGORIA14" localSheetId="5">#REF!</definedName>
    <definedName name="CATEGORIA14">#REF!</definedName>
    <definedName name="CATEGORIA15" localSheetId="2">#REF!</definedName>
    <definedName name="CATEGORIA15" localSheetId="5">#REF!</definedName>
    <definedName name="CATEGORIA15">#REF!</definedName>
    <definedName name="CATEGORIA16" localSheetId="2">#REF!</definedName>
    <definedName name="CATEGORIA16" localSheetId="5">#REF!</definedName>
    <definedName name="CATEGORIA16">#REF!</definedName>
    <definedName name="CATEGORIA17" localSheetId="2">#REF!</definedName>
    <definedName name="CATEGORIA17" localSheetId="5">#REF!</definedName>
    <definedName name="CATEGORIA17">#REF!</definedName>
    <definedName name="CATEGORIA18" localSheetId="2">#REF!</definedName>
    <definedName name="CATEGORIA18" localSheetId="5">#REF!</definedName>
    <definedName name="CATEGORIA18">#REF!</definedName>
    <definedName name="CATEGORIA19" localSheetId="2">#REF!</definedName>
    <definedName name="CATEGORIA19" localSheetId="5">#REF!</definedName>
    <definedName name="CATEGORIA19">#REF!</definedName>
    <definedName name="CATEGORIA2" localSheetId="2">#REF!</definedName>
    <definedName name="CATEGORIA2" localSheetId="5">#REF!</definedName>
    <definedName name="CATEGORIA2">#REF!</definedName>
    <definedName name="CATEGORIA20" localSheetId="2">#REF!</definedName>
    <definedName name="CATEGORIA20" localSheetId="5">#REF!</definedName>
    <definedName name="CATEGORIA20">#REF!</definedName>
    <definedName name="CATEGORIA21" localSheetId="2">#REF!</definedName>
    <definedName name="CATEGORIA21" localSheetId="5">#REF!</definedName>
    <definedName name="CATEGORIA21">#REF!</definedName>
    <definedName name="CATEGORIA22" localSheetId="2">#REF!</definedName>
    <definedName name="CATEGORIA22" localSheetId="5">#REF!</definedName>
    <definedName name="CATEGORIA22">#REF!</definedName>
    <definedName name="CATEGORIA3" localSheetId="2">#REF!</definedName>
    <definedName name="CATEGORIA3" localSheetId="5">#REF!</definedName>
    <definedName name="CATEGORIA3">#REF!</definedName>
    <definedName name="CATEGORIA4" localSheetId="2">#REF!</definedName>
    <definedName name="CATEGORIA4" localSheetId="5">#REF!</definedName>
    <definedName name="CATEGORIA4">#REF!</definedName>
    <definedName name="CATEGORIA5" localSheetId="2">#REF!</definedName>
    <definedName name="CATEGORIA5" localSheetId="5">#REF!</definedName>
    <definedName name="CATEGORIA5">#REF!</definedName>
    <definedName name="CATEGORIA6" localSheetId="2">#REF!</definedName>
    <definedName name="CATEGORIA6" localSheetId="5">#REF!</definedName>
    <definedName name="CATEGORIA6">#REF!</definedName>
    <definedName name="CATEGORIA7" localSheetId="2">#REF!</definedName>
    <definedName name="CATEGORIA7" localSheetId="5">#REF!</definedName>
    <definedName name="CATEGORIA7">#REF!</definedName>
    <definedName name="CATEGORIA8" localSheetId="2">#REF!</definedName>
    <definedName name="CATEGORIA8" localSheetId="5">#REF!</definedName>
    <definedName name="CATEGORIA8">#REF!</definedName>
    <definedName name="CATEGORIA9" localSheetId="2">#REF!</definedName>
    <definedName name="CATEGORIA9" localSheetId="5">#REF!</definedName>
    <definedName name="CATEGORIA9">#REF!</definedName>
    <definedName name="CATORZE" localSheetId="2">#REF!</definedName>
    <definedName name="CATORZE" localSheetId="5">#REF!</definedName>
    <definedName name="CATORZE" localSheetId="24">#REF!</definedName>
    <definedName name="CATORZE">#REF!</definedName>
    <definedName name="CAUX2" localSheetId="2">OFFSET(#REF!,0,0,COUNTA(#REF!)+1,1)</definedName>
    <definedName name="CAUX2" localSheetId="5">OFFSET(#REF!,0,0,COUNTA(#REF!)+1,1)</definedName>
    <definedName name="CAUX2">OFFSET(#REF!,0,0,COUNTA(#REF!)+1,1)</definedName>
    <definedName name="CAUX3" localSheetId="2">OFFSET(#REF!,0,0,COUNTA(#REF!)+1,1)</definedName>
    <definedName name="CAUX3" localSheetId="5">OFFSET(#REF!,0,0,COUNTA(#REF!)+1,1)</definedName>
    <definedName name="CAUX3">OFFSET(#REF!,0,0,COUNTA(#REF!)+1,1)</definedName>
    <definedName name="CCC" localSheetId="2">#REF!</definedName>
    <definedName name="CCC" localSheetId="5">#REF!</definedName>
    <definedName name="CCC">#REF!</definedName>
    <definedName name="ççç" localSheetId="14" hidden="1">{#N/A,#N/A,FALSE,"Plan1";#N/A,#N/A,FALSE,"Plan2"}</definedName>
    <definedName name="ççç" localSheetId="7" hidden="1">{#N/A,#N/A,FALSE,"Plan1";#N/A,#N/A,FALSE,"Plan2"}</definedName>
    <definedName name="ççç" localSheetId="1" hidden="1">{#N/A,#N/A,FALSE,"Plan1";#N/A,#N/A,FALSE,"Plan2"}</definedName>
    <definedName name="ççç" localSheetId="2" hidden="1">{#N/A,#N/A,FALSE,"Plan1";#N/A,#N/A,FALSE,"Plan2"}</definedName>
    <definedName name="ççç" localSheetId="9" hidden="1">{#N/A,#N/A,FALSE,"Plan1";#N/A,#N/A,FALSE,"Plan2"}</definedName>
    <definedName name="ççç" localSheetId="5" hidden="1">{#N/A,#N/A,FALSE,"Plan1";#N/A,#N/A,FALSE,"Plan2"}</definedName>
    <definedName name="ççç" localSheetId="4" hidden="1">{#N/A,#N/A,FALSE,"Plan1";#N/A,#N/A,FALSE,"Plan2"}</definedName>
    <definedName name="ççç" localSheetId="8" hidden="1">{#N/A,#N/A,FALSE,"Plan1";#N/A,#N/A,FALSE,"Plan2"}</definedName>
    <definedName name="ççç" localSheetId="12" hidden="1">{#N/A,#N/A,FALSE,"Plan1";#N/A,#N/A,FALSE,"Plan2"}</definedName>
    <definedName name="ççç" localSheetId="16" hidden="1">{#N/A,#N/A,FALSE,"Plan1";#N/A,#N/A,FALSE,"Plan2"}</definedName>
    <definedName name="ççç" localSheetId="0" hidden="1">{#N/A,#N/A,FALSE,"Plan1";#N/A,#N/A,FALSE,"Plan2"}</definedName>
    <definedName name="ççç" localSheetId="11" hidden="1">{#N/A,#N/A,FALSE,"Plan1";#N/A,#N/A,FALSE,"Plan2"}</definedName>
    <definedName name="ççç" localSheetId="13" hidden="1">{#N/A,#N/A,FALSE,"Plan1";#N/A,#N/A,FALSE,"Plan2"}</definedName>
    <definedName name="ççç" hidden="1">{#N/A,#N/A,FALSE,"Plan1";#N/A,#N/A,FALSE,"Plan2"}</definedName>
    <definedName name="cccc" localSheetId="14" hidden="1">{#N/A,#N/A,FALSE,"Plan1";#N/A,#N/A,FALSE,"Plan2"}</definedName>
    <definedName name="cccc" localSheetId="7" hidden="1">{#N/A,#N/A,FALSE,"Plan1";#N/A,#N/A,FALSE,"Plan2"}</definedName>
    <definedName name="cccc" localSheetId="1" hidden="1">{#N/A,#N/A,FALSE,"Plan1";#N/A,#N/A,FALSE,"Plan2"}</definedName>
    <definedName name="cccc" localSheetId="2" hidden="1">{#N/A,#N/A,FALSE,"Plan1";#N/A,#N/A,FALSE,"Plan2"}</definedName>
    <definedName name="cccc" localSheetId="9" hidden="1">{#N/A,#N/A,FALSE,"Plan1";#N/A,#N/A,FALSE,"Plan2"}</definedName>
    <definedName name="cccc" localSheetId="5" hidden="1">{#N/A,#N/A,FALSE,"Plan1";#N/A,#N/A,FALSE,"Plan2"}</definedName>
    <definedName name="cccc" localSheetId="4" hidden="1">{#N/A,#N/A,FALSE,"Plan1";#N/A,#N/A,FALSE,"Plan2"}</definedName>
    <definedName name="cccc" localSheetId="8" hidden="1">{#N/A,#N/A,FALSE,"Plan1";#N/A,#N/A,FALSE,"Plan2"}</definedName>
    <definedName name="cccc" localSheetId="12" hidden="1">{#N/A,#N/A,FALSE,"Plan1";#N/A,#N/A,FALSE,"Plan2"}</definedName>
    <definedName name="cccc" localSheetId="16" hidden="1">{#N/A,#N/A,FALSE,"Plan1";#N/A,#N/A,FALSE,"Plan2"}</definedName>
    <definedName name="cccc" localSheetId="0" hidden="1">{#N/A,#N/A,FALSE,"Plan1";#N/A,#N/A,FALSE,"Plan2"}</definedName>
    <definedName name="cccc" localSheetId="11" hidden="1">{#N/A,#N/A,FALSE,"Plan1";#N/A,#N/A,FALSE,"Plan2"}</definedName>
    <definedName name="cccc" localSheetId="13" hidden="1">{#N/A,#N/A,FALSE,"Plan1";#N/A,#N/A,FALSE,"Plan2"}</definedName>
    <definedName name="cccc" hidden="1">{#N/A,#N/A,FALSE,"Plan1";#N/A,#N/A,FALSE,"Plan2"}</definedName>
    <definedName name="ççççççç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4" hidden="1">{"HW",#N/A,FALSE,"1998"}</definedName>
    <definedName name="cccccccccccccccc" localSheetId="7" hidden="1">{"HW",#N/A,FALSE,"1998"}</definedName>
    <definedName name="cccccccccccccccc" localSheetId="1" hidden="1">{"HW",#N/A,FALSE,"1998"}</definedName>
    <definedName name="cccccccccccccccc" localSheetId="2" hidden="1">{"HW",#N/A,FALSE,"1998"}</definedName>
    <definedName name="cccccccccccccccc" localSheetId="9" hidden="1">{"HW",#N/A,FALSE,"1998"}</definedName>
    <definedName name="cccccccccccccccc" localSheetId="5" hidden="1">{"HW",#N/A,FALSE,"1998"}</definedName>
    <definedName name="cccccccccccccccc" localSheetId="4" hidden="1">{"HW",#N/A,FALSE,"1998"}</definedName>
    <definedName name="cccccccccccccccc" localSheetId="8" hidden="1">{"HW",#N/A,FALSE,"1998"}</definedName>
    <definedName name="cccccccccccccccc" localSheetId="12" hidden="1">{"HW",#N/A,FALSE,"1998"}</definedName>
    <definedName name="cccccccccccccccc" localSheetId="16" hidden="1">{"HW",#N/A,FALSE,"1998"}</definedName>
    <definedName name="cccccccccccccccc" localSheetId="0" hidden="1">{"HW",#N/A,FALSE,"1998"}</definedName>
    <definedName name="cccccccccccccccc" localSheetId="11" hidden="1">{"HW",#N/A,FALSE,"1998"}</definedName>
    <definedName name="cccccccccccccccc" localSheetId="13" hidden="1">{"HW",#N/A,FALSE,"1998"}</definedName>
    <definedName name="cccccccccccccccc" hidden="1">{"HW",#N/A,FALSE,"1998"}</definedName>
    <definedName name="cchart1" localSheetId="2" hidden="1">#REF!</definedName>
    <definedName name="cchart1" localSheetId="5" hidden="1">#REF!</definedName>
    <definedName name="cchart1" localSheetId="0" hidden="1">#REF!</definedName>
    <definedName name="cchart1" hidden="1">#REF!</definedName>
    <definedName name="cchart10" localSheetId="2" hidden="1">#REF!</definedName>
    <definedName name="cchart10" localSheetId="5" hidden="1">#REF!</definedName>
    <definedName name="cchart10" localSheetId="0" hidden="1">#REF!</definedName>
    <definedName name="cchart10" hidden="1">#REF!</definedName>
    <definedName name="cchart11" localSheetId="2" hidden="1">#REF!</definedName>
    <definedName name="cchart11" localSheetId="5" hidden="1">#REF!</definedName>
    <definedName name="cchart11" localSheetId="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2">#REF!</definedName>
    <definedName name="CD" localSheetId="5">#REF!</definedName>
    <definedName name="CD">#REF!</definedName>
    <definedName name="çdfmerf" localSheetId="14" hidden="1">{#N/A,#N/A,FALSE,"Plan1";#N/A,#N/A,FALSE,"Plan2"}</definedName>
    <definedName name="çdfmerf" localSheetId="7" hidden="1">{#N/A,#N/A,FALSE,"Plan1";#N/A,#N/A,FALSE,"Plan2"}</definedName>
    <definedName name="çdfmerf" localSheetId="1" hidden="1">{#N/A,#N/A,FALSE,"Plan1";#N/A,#N/A,FALSE,"Plan2"}</definedName>
    <definedName name="çdfmerf" localSheetId="2" hidden="1">{#N/A,#N/A,FALSE,"Plan1";#N/A,#N/A,FALSE,"Plan2"}</definedName>
    <definedName name="çdfmerf" localSheetId="9" hidden="1">{#N/A,#N/A,FALSE,"Plan1";#N/A,#N/A,FALSE,"Plan2"}</definedName>
    <definedName name="çdfmerf" localSheetId="5" hidden="1">{#N/A,#N/A,FALSE,"Plan1";#N/A,#N/A,FALSE,"Plan2"}</definedName>
    <definedName name="çdfmerf" localSheetId="4" hidden="1">{#N/A,#N/A,FALSE,"Plan1";#N/A,#N/A,FALSE,"Plan2"}</definedName>
    <definedName name="çdfmerf" localSheetId="8" hidden="1">{#N/A,#N/A,FALSE,"Plan1";#N/A,#N/A,FALSE,"Plan2"}</definedName>
    <definedName name="çdfmerf" localSheetId="12" hidden="1">{#N/A,#N/A,FALSE,"Plan1";#N/A,#N/A,FALSE,"Plan2"}</definedName>
    <definedName name="çdfmerf" localSheetId="16" hidden="1">{#N/A,#N/A,FALSE,"Plan1";#N/A,#N/A,FALSE,"Plan2"}</definedName>
    <definedName name="çdfmerf" localSheetId="0" hidden="1">{#N/A,#N/A,FALSE,"Plan1";#N/A,#N/A,FALSE,"Plan2"}</definedName>
    <definedName name="çdfmerf" localSheetId="11" hidden="1">{#N/A,#N/A,FALSE,"Plan1";#N/A,#N/A,FALSE,"Plan2"}</definedName>
    <definedName name="çdfmerf" localSheetId="13" hidden="1">{#N/A,#N/A,FALSE,"Plan1";#N/A,#N/A,FALSE,"Plan2"}</definedName>
    <definedName name="çdfmerf" hidden="1">{#N/A,#N/A,FALSE,"Plan1";#N/A,#N/A,FALSE,"Plan2"}</definedName>
    <definedName name="CDSGHE" localSheetId="14" hidden="1">{#N/A,#N/A,FALSE,"Plan1";#N/A,#N/A,FALSE,"Plan2"}</definedName>
    <definedName name="CDSGHE" localSheetId="7" hidden="1">{#N/A,#N/A,FALSE,"Plan1";#N/A,#N/A,FALSE,"Plan2"}</definedName>
    <definedName name="CDSGHE" localSheetId="1" hidden="1">{#N/A,#N/A,FALSE,"Plan1";#N/A,#N/A,FALSE,"Plan2"}</definedName>
    <definedName name="CDSGHE" localSheetId="2" hidden="1">{#N/A,#N/A,FALSE,"Plan1";#N/A,#N/A,FALSE,"Plan2"}</definedName>
    <definedName name="CDSGHE" localSheetId="9" hidden="1">{#N/A,#N/A,FALSE,"Plan1";#N/A,#N/A,FALSE,"Plan2"}</definedName>
    <definedName name="CDSGHE" localSheetId="5" hidden="1">{#N/A,#N/A,FALSE,"Plan1";#N/A,#N/A,FALSE,"Plan2"}</definedName>
    <definedName name="CDSGHE" localSheetId="4" hidden="1">{#N/A,#N/A,FALSE,"Plan1";#N/A,#N/A,FALSE,"Plan2"}</definedName>
    <definedName name="CDSGHE" localSheetId="8" hidden="1">{#N/A,#N/A,FALSE,"Plan1";#N/A,#N/A,FALSE,"Plan2"}</definedName>
    <definedName name="CDSGHE" localSheetId="12" hidden="1">{#N/A,#N/A,FALSE,"Plan1";#N/A,#N/A,FALSE,"Plan2"}</definedName>
    <definedName name="CDSGHE" localSheetId="16" hidden="1">{#N/A,#N/A,FALSE,"Plan1";#N/A,#N/A,FALSE,"Plan2"}</definedName>
    <definedName name="CDSGHE" localSheetId="0" hidden="1">{#N/A,#N/A,FALSE,"Plan1";#N/A,#N/A,FALSE,"Plan2"}</definedName>
    <definedName name="CDSGHE" localSheetId="11" hidden="1">{#N/A,#N/A,FALSE,"Plan1";#N/A,#N/A,FALSE,"Plan2"}</definedName>
    <definedName name="CDSGHE" localSheetId="13" hidden="1">{#N/A,#N/A,FALSE,"Plan1";#N/A,#N/A,FALSE,"Plan2"}</definedName>
    <definedName name="CDSGHE" hidden="1">{#N/A,#N/A,FALSE,"Plan1";#N/A,#N/A,FALSE,"Plan2"}</definedName>
    <definedName name="cdvthd" localSheetId="2">#REF!</definedName>
    <definedName name="cdvthd" localSheetId="5">#REF!</definedName>
    <definedName name="cdvthd">#REF!</definedName>
    <definedName name="Cel_Constr" localSheetId="2">#REF!</definedName>
    <definedName name="Cel_Constr" localSheetId="5">#REF!</definedName>
    <definedName name="Cel_Constr">#REF!</definedName>
    <definedName name="CestaExcel" localSheetId="2">#REF!</definedName>
    <definedName name="CestaExcel" localSheetId="5">#REF!</definedName>
    <definedName name="CestaExcel">#REF!</definedName>
    <definedName name="CevaG" localSheetId="2">#REF!</definedName>
    <definedName name="CevaG" localSheetId="5">#REF!</definedName>
    <definedName name="CevaG">#REF!</definedName>
    <definedName name="CevaGS" localSheetId="2">#REF!</definedName>
    <definedName name="CevaGS" localSheetId="5">#REF!</definedName>
    <definedName name="CevaGS">#REF!</definedName>
    <definedName name="çfhjglkjhkljy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4" hidden="1">{#N/A,#N/A,FALSE,"Plan1";#N/A,#N/A,FALSE,"Plan2"}</definedName>
    <definedName name="çflçf" localSheetId="7" hidden="1">{#N/A,#N/A,FALSE,"Plan1";#N/A,#N/A,FALSE,"Plan2"}</definedName>
    <definedName name="çflçf" localSheetId="1" hidden="1">{#N/A,#N/A,FALSE,"Plan1";#N/A,#N/A,FALSE,"Plan2"}</definedName>
    <definedName name="çflçf" localSheetId="2" hidden="1">{#N/A,#N/A,FALSE,"Plan1";#N/A,#N/A,FALSE,"Plan2"}</definedName>
    <definedName name="çflçf" localSheetId="9" hidden="1">{#N/A,#N/A,FALSE,"Plan1";#N/A,#N/A,FALSE,"Plan2"}</definedName>
    <definedName name="çflçf" localSheetId="5" hidden="1">{#N/A,#N/A,FALSE,"Plan1";#N/A,#N/A,FALSE,"Plan2"}</definedName>
    <definedName name="çflçf" localSheetId="4" hidden="1">{#N/A,#N/A,FALSE,"Plan1";#N/A,#N/A,FALSE,"Plan2"}</definedName>
    <definedName name="çflçf" localSheetId="8" hidden="1">{#N/A,#N/A,FALSE,"Plan1";#N/A,#N/A,FALSE,"Plan2"}</definedName>
    <definedName name="çflçf" localSheetId="12" hidden="1">{#N/A,#N/A,FALSE,"Plan1";#N/A,#N/A,FALSE,"Plan2"}</definedName>
    <definedName name="çflçf" localSheetId="16" hidden="1">{#N/A,#N/A,FALSE,"Plan1";#N/A,#N/A,FALSE,"Plan2"}</definedName>
    <definedName name="çflçf" localSheetId="0" hidden="1">{#N/A,#N/A,FALSE,"Plan1";#N/A,#N/A,FALSE,"Plan2"}</definedName>
    <definedName name="çflçf" localSheetId="11" hidden="1">{#N/A,#N/A,FALSE,"Plan1";#N/A,#N/A,FALSE,"Plan2"}</definedName>
    <definedName name="çflçf" localSheetId="13" hidden="1">{#N/A,#N/A,FALSE,"Plan1";#N/A,#N/A,FALSE,"Plan2"}</definedName>
    <definedName name="çflçf" hidden="1">{#N/A,#N/A,FALSE,"Plan1";#N/A,#N/A,FALSE,"Plan2"}</definedName>
    <definedName name="CHAFQT" localSheetId="2">#REF!</definedName>
    <definedName name="CHAFQT" localSheetId="5">#REF!</definedName>
    <definedName name="CHAFQT">#REF!</definedName>
    <definedName name="Chaves" localSheetId="2">#REF!</definedName>
    <definedName name="Chaves" localSheetId="5">#REF!</definedName>
    <definedName name="Chaves">#REF!</definedName>
    <definedName name="chfch" localSheetId="14" hidden="1">{#N/A,#N/A,FALSE,"Plan1";#N/A,#N/A,FALSE,"Plan2"}</definedName>
    <definedName name="chfch" localSheetId="7" hidden="1">{#N/A,#N/A,FALSE,"Plan1";#N/A,#N/A,FALSE,"Plan2"}</definedName>
    <definedName name="chfch" localSheetId="1" hidden="1">{#N/A,#N/A,FALSE,"Plan1";#N/A,#N/A,FALSE,"Plan2"}</definedName>
    <definedName name="chfch" localSheetId="2" hidden="1">{#N/A,#N/A,FALSE,"Plan1";#N/A,#N/A,FALSE,"Plan2"}</definedName>
    <definedName name="chfch" localSheetId="9" hidden="1">{#N/A,#N/A,FALSE,"Plan1";#N/A,#N/A,FALSE,"Plan2"}</definedName>
    <definedName name="chfch" localSheetId="5" hidden="1">{#N/A,#N/A,FALSE,"Plan1";#N/A,#N/A,FALSE,"Plan2"}</definedName>
    <definedName name="chfch" localSheetId="4" hidden="1">{#N/A,#N/A,FALSE,"Plan1";#N/A,#N/A,FALSE,"Plan2"}</definedName>
    <definedName name="chfch" localSheetId="8" hidden="1">{#N/A,#N/A,FALSE,"Plan1";#N/A,#N/A,FALSE,"Plan2"}</definedName>
    <definedName name="chfch" localSheetId="12" hidden="1">{#N/A,#N/A,FALSE,"Plan1";#N/A,#N/A,FALSE,"Plan2"}</definedName>
    <definedName name="chfch" localSheetId="16" hidden="1">{#N/A,#N/A,FALSE,"Plan1";#N/A,#N/A,FALSE,"Plan2"}</definedName>
    <definedName name="chfch" localSheetId="0" hidden="1">{#N/A,#N/A,FALSE,"Plan1";#N/A,#N/A,FALSE,"Plan2"}</definedName>
    <definedName name="chfch" localSheetId="11" hidden="1">{#N/A,#N/A,FALSE,"Plan1";#N/A,#N/A,FALSE,"Plan2"}</definedName>
    <definedName name="chfch" localSheetId="13" hidden="1">{#N/A,#N/A,FALSE,"Plan1";#N/A,#N/A,FALSE,"Plan2"}</definedName>
    <definedName name="chfch" hidden="1">{#N/A,#N/A,FALSE,"Plan1";#N/A,#N/A,FALSE,"Plan2"}</definedName>
    <definedName name="CI" localSheetId="2">#REF!</definedName>
    <definedName name="CI" localSheetId="5">#REF!</definedName>
    <definedName name="CI">#REF!</definedName>
    <definedName name="cidades" localSheetId="2">#REF!</definedName>
    <definedName name="cidades" localSheetId="5">#REF!</definedName>
    <definedName name="cidades">#REF!</definedName>
    <definedName name="CIFIXA" localSheetId="2">#REF!</definedName>
    <definedName name="CIFIXA" localSheetId="5">#REF!</definedName>
    <definedName name="CIFIXA">#REF!</definedName>
    <definedName name="CINCO" localSheetId="2">#REF!</definedName>
    <definedName name="CINCO" localSheetId="5">#REF!</definedName>
    <definedName name="CINCO" localSheetId="24">#REF!</definedName>
    <definedName name="CINCO">#REF!</definedName>
    <definedName name="CITOTAL" localSheetId="2">#REF!</definedName>
    <definedName name="CITOTAL" localSheetId="5">#REF!</definedName>
    <definedName name="CITOTAL">#REF!</definedName>
    <definedName name="CIVAR" localSheetId="2">#REF!</definedName>
    <definedName name="CIVAR" localSheetId="5">#REF!</definedName>
    <definedName name="CIVAR">#REF!</definedName>
    <definedName name="ÇJKRÇLFS" localSheetId="14" hidden="1">{"Econ Consolidado",#N/A,FALSE,"Econ Consol";"Fluxo de Caixa",#N/A,FALSE,"Fluxo Caixa";"Investimentos",#N/A,FALSE,"Investimentos"}</definedName>
    <definedName name="ÇJKRÇLFS" localSheetId="7" hidden="1">{"Econ Consolidado",#N/A,FALSE,"Econ Consol";"Fluxo de Caixa",#N/A,FALSE,"Fluxo Caixa";"Investimentos",#N/A,FALSE,"Investimentos"}</definedName>
    <definedName name="ÇJKRÇLFS" localSheetId="1" hidden="1">{"Econ Consolidado",#N/A,FALSE,"Econ Consol";"Fluxo de Caixa",#N/A,FALSE,"Fluxo Caixa";"Investimentos",#N/A,FALSE,"Investimentos"}</definedName>
    <definedName name="ÇJKRÇLFS" localSheetId="2" hidden="1">{"Econ Consolidado",#N/A,FALSE,"Econ Consol";"Fluxo de Caixa",#N/A,FALSE,"Fluxo Caixa";"Investimentos",#N/A,FALSE,"Investimentos"}</definedName>
    <definedName name="ÇJKRÇLFS" localSheetId="9" hidden="1">{"Econ Consolidado",#N/A,FALSE,"Econ Consol";"Fluxo de Caixa",#N/A,FALSE,"Fluxo Caixa";"Investimentos",#N/A,FALSE,"Investimentos"}</definedName>
    <definedName name="ÇJKRÇLFS" localSheetId="5" hidden="1">{"Econ Consolidado",#N/A,FALSE,"Econ Consol";"Fluxo de Caixa",#N/A,FALSE,"Fluxo Caixa";"Investimentos",#N/A,FALSE,"Investimentos"}</definedName>
    <definedName name="ÇJKRÇLFS" localSheetId="4" hidden="1">{"Econ Consolidado",#N/A,FALSE,"Econ Consol";"Fluxo de Caixa",#N/A,FALSE,"Fluxo Caixa";"Investimentos",#N/A,FALSE,"Investimentos"}</definedName>
    <definedName name="ÇJKRÇLFS" localSheetId="8" hidden="1">{"Econ Consolidado",#N/A,FALSE,"Econ Consol";"Fluxo de Caixa",#N/A,FALSE,"Fluxo Caixa";"Investimentos",#N/A,FALSE,"Investimentos"}</definedName>
    <definedName name="ÇJKRÇLFS" localSheetId="12" hidden="1">{"Econ Consolidado",#N/A,FALSE,"Econ Consol";"Fluxo de Caixa",#N/A,FALSE,"Fluxo Caixa";"Investimentos",#N/A,FALSE,"Investimentos"}</definedName>
    <definedName name="ÇJKRÇLFS" localSheetId="16" hidden="1">{"Econ Consolidado",#N/A,FALSE,"Econ Consol";"Fluxo de Caixa",#N/A,FALSE,"Fluxo Caixa";"Investimentos",#N/A,FALSE,"Investimentos"}</definedName>
    <definedName name="ÇJKRÇLFS" localSheetId="0" hidden="1">{"Econ Consolidado",#N/A,FALSE,"Econ Consol";"Fluxo de Caixa",#N/A,FALSE,"Fluxo Caixa";"Investimentos",#N/A,FALSE,"Investimentos"}</definedName>
    <definedName name="ÇJKRÇLFS" localSheetId="11" hidden="1">{"Econ Consolidado",#N/A,FALSE,"Econ Consol";"Fluxo de Caixa",#N/A,FALSE,"Fluxo Caixa";"Investimentos",#N/A,FALSE,"Investimentos"}</definedName>
    <definedName name="ÇJKRÇLFS" localSheetId="13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14" hidden="1">{#N/A,#N/A,FALSE,"Plan1";#N/A,#N/A,FALSE,"Plan2"}</definedName>
    <definedName name="ÇJsrejtçe" localSheetId="7" hidden="1">{#N/A,#N/A,FALSE,"Plan1";#N/A,#N/A,FALSE,"Plan2"}</definedName>
    <definedName name="ÇJsrejtçe" localSheetId="1" hidden="1">{#N/A,#N/A,FALSE,"Plan1";#N/A,#N/A,FALSE,"Plan2"}</definedName>
    <definedName name="ÇJsrejtçe" localSheetId="2" hidden="1">{#N/A,#N/A,FALSE,"Plan1";#N/A,#N/A,FALSE,"Plan2"}</definedName>
    <definedName name="ÇJsrejtçe" localSheetId="9" hidden="1">{#N/A,#N/A,FALSE,"Plan1";#N/A,#N/A,FALSE,"Plan2"}</definedName>
    <definedName name="ÇJsrejtçe" localSheetId="5" hidden="1">{#N/A,#N/A,FALSE,"Plan1";#N/A,#N/A,FALSE,"Plan2"}</definedName>
    <definedName name="ÇJsrejtçe" localSheetId="4" hidden="1">{#N/A,#N/A,FALSE,"Plan1";#N/A,#N/A,FALSE,"Plan2"}</definedName>
    <definedName name="ÇJsrejtçe" localSheetId="8" hidden="1">{#N/A,#N/A,FALSE,"Plan1";#N/A,#N/A,FALSE,"Plan2"}</definedName>
    <definedName name="ÇJsrejtçe" localSheetId="12" hidden="1">{#N/A,#N/A,FALSE,"Plan1";#N/A,#N/A,FALSE,"Plan2"}</definedName>
    <definedName name="ÇJsrejtçe" localSheetId="16" hidden="1">{#N/A,#N/A,FALSE,"Plan1";#N/A,#N/A,FALSE,"Plan2"}</definedName>
    <definedName name="ÇJsrejtçe" localSheetId="0" hidden="1">{#N/A,#N/A,FALSE,"Plan1";#N/A,#N/A,FALSE,"Plan2"}</definedName>
    <definedName name="ÇJsrejtçe" localSheetId="11" hidden="1">{#N/A,#N/A,FALSE,"Plan1";#N/A,#N/A,FALSE,"Plan2"}</definedName>
    <definedName name="ÇJsrejtçe" localSheetId="13" hidden="1">{#N/A,#N/A,FALSE,"Plan1";#N/A,#N/A,FALSE,"Plan2"}</definedName>
    <definedName name="ÇJsrejtçe" hidden="1">{#N/A,#N/A,FALSE,"Plan1";#N/A,#N/A,FALSE,"Plan2"}</definedName>
    <definedName name="çkaçekow" localSheetId="14" hidden="1">{#N/A,#N/A,FALSE,"Plan1";#N/A,#N/A,FALSE,"Plan2"}</definedName>
    <definedName name="çkaçekow" localSheetId="7" hidden="1">{#N/A,#N/A,FALSE,"Plan1";#N/A,#N/A,FALSE,"Plan2"}</definedName>
    <definedName name="çkaçekow" localSheetId="1" hidden="1">{#N/A,#N/A,FALSE,"Plan1";#N/A,#N/A,FALSE,"Plan2"}</definedName>
    <definedName name="çkaçekow" localSheetId="2" hidden="1">{#N/A,#N/A,FALSE,"Plan1";#N/A,#N/A,FALSE,"Plan2"}</definedName>
    <definedName name="çkaçekow" localSheetId="9" hidden="1">{#N/A,#N/A,FALSE,"Plan1";#N/A,#N/A,FALSE,"Plan2"}</definedName>
    <definedName name="çkaçekow" localSheetId="5" hidden="1">{#N/A,#N/A,FALSE,"Plan1";#N/A,#N/A,FALSE,"Plan2"}</definedName>
    <definedName name="çkaçekow" localSheetId="4" hidden="1">{#N/A,#N/A,FALSE,"Plan1";#N/A,#N/A,FALSE,"Plan2"}</definedName>
    <definedName name="çkaçekow" localSheetId="8" hidden="1">{#N/A,#N/A,FALSE,"Plan1";#N/A,#N/A,FALSE,"Plan2"}</definedName>
    <definedName name="çkaçekow" localSheetId="12" hidden="1">{#N/A,#N/A,FALSE,"Plan1";#N/A,#N/A,FALSE,"Plan2"}</definedName>
    <definedName name="çkaçekow" localSheetId="16" hidden="1">{#N/A,#N/A,FALSE,"Plan1";#N/A,#N/A,FALSE,"Plan2"}</definedName>
    <definedName name="çkaçekow" localSheetId="0" hidden="1">{#N/A,#N/A,FALSE,"Plan1";#N/A,#N/A,FALSE,"Plan2"}</definedName>
    <definedName name="çkaçekow" localSheetId="11" hidden="1">{#N/A,#N/A,FALSE,"Plan1";#N/A,#N/A,FALSE,"Plan2"}</definedName>
    <definedName name="çkaçekow" localSheetId="13" hidden="1">{#N/A,#N/A,FALSE,"Plan1";#N/A,#N/A,FALSE,"Plan2"}</definedName>
    <definedName name="çkaçekow" hidden="1">{#N/A,#N/A,FALSE,"Plan1";#N/A,#N/A,FALSE,"Plan2"}</definedName>
    <definedName name="ÇKSDOEKR" localSheetId="14" hidden="1">{#N/A,#N/A,FALSE,"Plan1";#N/A,#N/A,FALSE,"Plan2"}</definedName>
    <definedName name="ÇKSDOEKR" localSheetId="7" hidden="1">{#N/A,#N/A,FALSE,"Plan1";#N/A,#N/A,FALSE,"Plan2"}</definedName>
    <definedName name="ÇKSDOEKR" localSheetId="1" hidden="1">{#N/A,#N/A,FALSE,"Plan1";#N/A,#N/A,FALSE,"Plan2"}</definedName>
    <definedName name="ÇKSDOEKR" localSheetId="2" hidden="1">{#N/A,#N/A,FALSE,"Plan1";#N/A,#N/A,FALSE,"Plan2"}</definedName>
    <definedName name="ÇKSDOEKR" localSheetId="9" hidden="1">{#N/A,#N/A,FALSE,"Plan1";#N/A,#N/A,FALSE,"Plan2"}</definedName>
    <definedName name="ÇKSDOEKR" localSheetId="5" hidden="1">{#N/A,#N/A,FALSE,"Plan1";#N/A,#N/A,FALSE,"Plan2"}</definedName>
    <definedName name="ÇKSDOEKR" localSheetId="4" hidden="1">{#N/A,#N/A,FALSE,"Plan1";#N/A,#N/A,FALSE,"Plan2"}</definedName>
    <definedName name="ÇKSDOEKR" localSheetId="8" hidden="1">{#N/A,#N/A,FALSE,"Plan1";#N/A,#N/A,FALSE,"Plan2"}</definedName>
    <definedName name="ÇKSDOEKR" localSheetId="12" hidden="1">{#N/A,#N/A,FALSE,"Plan1";#N/A,#N/A,FALSE,"Plan2"}</definedName>
    <definedName name="ÇKSDOEKR" localSheetId="16" hidden="1">{#N/A,#N/A,FALSE,"Plan1";#N/A,#N/A,FALSE,"Plan2"}</definedName>
    <definedName name="ÇKSDOEKR" localSheetId="0" hidden="1">{#N/A,#N/A,FALSE,"Plan1";#N/A,#N/A,FALSE,"Plan2"}</definedName>
    <definedName name="ÇKSDOEKR" localSheetId="11" hidden="1">{#N/A,#N/A,FALSE,"Plan1";#N/A,#N/A,FALSE,"Plan2"}</definedName>
    <definedName name="ÇKSDOEKR" localSheetId="13" hidden="1">{#N/A,#N/A,FALSE,"Plan1";#N/A,#N/A,FALSE,"Plan2"}</definedName>
    <definedName name="ÇKSDOEKR" hidden="1">{#N/A,#N/A,FALSE,"Plan1";#N/A,#N/A,FALSE,"Plan2"}</definedName>
    <definedName name="çl" localSheetId="14" hidden="1">{#N/A,#N/A,FALSE,"Plan1";#N/A,#N/A,FALSE,"Plan2"}</definedName>
    <definedName name="çl" localSheetId="7" hidden="1">{#N/A,#N/A,FALSE,"Plan1";#N/A,#N/A,FALSE,"Plan2"}</definedName>
    <definedName name="çl" localSheetId="1" hidden="1">{#N/A,#N/A,FALSE,"Plan1";#N/A,#N/A,FALSE,"Plan2"}</definedName>
    <definedName name="çl" localSheetId="2" hidden="1">{#N/A,#N/A,FALSE,"Plan1";#N/A,#N/A,FALSE,"Plan2"}</definedName>
    <definedName name="çl" localSheetId="9" hidden="1">{#N/A,#N/A,FALSE,"Plan1";#N/A,#N/A,FALSE,"Plan2"}</definedName>
    <definedName name="çl" localSheetId="5" hidden="1">{#N/A,#N/A,FALSE,"Plan1";#N/A,#N/A,FALSE,"Plan2"}</definedName>
    <definedName name="çl" localSheetId="4" hidden="1">{#N/A,#N/A,FALSE,"Plan1";#N/A,#N/A,FALSE,"Plan2"}</definedName>
    <definedName name="çl" localSheetId="8" hidden="1">{#N/A,#N/A,FALSE,"Plan1";#N/A,#N/A,FALSE,"Plan2"}</definedName>
    <definedName name="çl" localSheetId="12" hidden="1">{#N/A,#N/A,FALSE,"Plan1";#N/A,#N/A,FALSE,"Plan2"}</definedName>
    <definedName name="çl" localSheetId="16" hidden="1">{#N/A,#N/A,FALSE,"Plan1";#N/A,#N/A,FALSE,"Plan2"}</definedName>
    <definedName name="çl" localSheetId="0" hidden="1">{#N/A,#N/A,FALSE,"Plan1";#N/A,#N/A,FALSE,"Plan2"}</definedName>
    <definedName name="çl" localSheetId="11" hidden="1">{#N/A,#N/A,FALSE,"Plan1";#N/A,#N/A,FALSE,"Plan2"}</definedName>
    <definedName name="çl" localSheetId="13" hidden="1">{#N/A,#N/A,FALSE,"Plan1";#N/A,#N/A,FALSE,"Plan2"}</definedName>
    <definedName name="çl" hidden="1">{#N/A,#N/A,FALSE,"Plan1";#N/A,#N/A,FALSE,"Plan2"}</definedName>
    <definedName name="çlassde" localSheetId="14" hidden="1">{#N/A,#N/A,FALSE,"Plan1";#N/A,#N/A,FALSE,"Plan2"}</definedName>
    <definedName name="çlassde" localSheetId="7" hidden="1">{#N/A,#N/A,FALSE,"Plan1";#N/A,#N/A,FALSE,"Plan2"}</definedName>
    <definedName name="çlassde" localSheetId="1" hidden="1">{#N/A,#N/A,FALSE,"Plan1";#N/A,#N/A,FALSE,"Plan2"}</definedName>
    <definedName name="çlassde" localSheetId="2" hidden="1">{#N/A,#N/A,FALSE,"Plan1";#N/A,#N/A,FALSE,"Plan2"}</definedName>
    <definedName name="çlassde" localSheetId="9" hidden="1">{#N/A,#N/A,FALSE,"Plan1";#N/A,#N/A,FALSE,"Plan2"}</definedName>
    <definedName name="çlassde" localSheetId="5" hidden="1">{#N/A,#N/A,FALSE,"Plan1";#N/A,#N/A,FALSE,"Plan2"}</definedName>
    <definedName name="çlassde" localSheetId="4" hidden="1">{#N/A,#N/A,FALSE,"Plan1";#N/A,#N/A,FALSE,"Plan2"}</definedName>
    <definedName name="çlassde" localSheetId="8" hidden="1">{#N/A,#N/A,FALSE,"Plan1";#N/A,#N/A,FALSE,"Plan2"}</definedName>
    <definedName name="çlassde" localSheetId="12" hidden="1">{#N/A,#N/A,FALSE,"Plan1";#N/A,#N/A,FALSE,"Plan2"}</definedName>
    <definedName name="çlassde" localSheetId="16" hidden="1">{#N/A,#N/A,FALSE,"Plan1";#N/A,#N/A,FALSE,"Plan2"}</definedName>
    <definedName name="çlassde" localSheetId="0" hidden="1">{#N/A,#N/A,FALSE,"Plan1";#N/A,#N/A,FALSE,"Plan2"}</definedName>
    <definedName name="çlassde" localSheetId="11" hidden="1">{#N/A,#N/A,FALSE,"Plan1";#N/A,#N/A,FALSE,"Plan2"}</definedName>
    <definedName name="çlassde" localSheetId="13" hidden="1">{#N/A,#N/A,FALSE,"Plan1";#N/A,#N/A,FALSE,"Plan2"}</definedName>
    <definedName name="çlassde" hidden="1">{#N/A,#N/A,FALSE,"Plan1";#N/A,#N/A,FALSE,"Plan2"}</definedName>
    <definedName name="Classificação" localSheetId="2">#REF!</definedName>
    <definedName name="Classificação" localSheetId="5">#REF!</definedName>
    <definedName name="Classificação">#REF!</definedName>
    <definedName name="çlçlç" localSheetId="14" hidden="1">{#N/A,#N/A,FALSE,"Plan1";#N/A,#N/A,FALSE,"Plan2"}</definedName>
    <definedName name="çlçlç" localSheetId="7" hidden="1">{#N/A,#N/A,FALSE,"Plan1";#N/A,#N/A,FALSE,"Plan2"}</definedName>
    <definedName name="çlçlç" localSheetId="1" hidden="1">{#N/A,#N/A,FALSE,"Plan1";#N/A,#N/A,FALSE,"Plan2"}</definedName>
    <definedName name="çlçlç" localSheetId="2" hidden="1">{#N/A,#N/A,FALSE,"Plan1";#N/A,#N/A,FALSE,"Plan2"}</definedName>
    <definedName name="çlçlç" localSheetId="9" hidden="1">{#N/A,#N/A,FALSE,"Plan1";#N/A,#N/A,FALSE,"Plan2"}</definedName>
    <definedName name="çlçlç" localSheetId="5" hidden="1">{#N/A,#N/A,FALSE,"Plan1";#N/A,#N/A,FALSE,"Plan2"}</definedName>
    <definedName name="çlçlç" localSheetId="4" hidden="1">{#N/A,#N/A,FALSE,"Plan1";#N/A,#N/A,FALSE,"Plan2"}</definedName>
    <definedName name="çlçlç" localSheetId="8" hidden="1">{#N/A,#N/A,FALSE,"Plan1";#N/A,#N/A,FALSE,"Plan2"}</definedName>
    <definedName name="çlçlç" localSheetId="12" hidden="1">{#N/A,#N/A,FALSE,"Plan1";#N/A,#N/A,FALSE,"Plan2"}</definedName>
    <definedName name="çlçlç" localSheetId="16" hidden="1">{#N/A,#N/A,FALSE,"Plan1";#N/A,#N/A,FALSE,"Plan2"}</definedName>
    <definedName name="çlçlç" localSheetId="0" hidden="1">{#N/A,#N/A,FALSE,"Plan1";#N/A,#N/A,FALSE,"Plan2"}</definedName>
    <definedName name="çlçlç" localSheetId="11" hidden="1">{#N/A,#N/A,FALSE,"Plan1";#N/A,#N/A,FALSE,"Plan2"}</definedName>
    <definedName name="çlçlç" localSheetId="13" hidden="1">{#N/A,#N/A,FALSE,"Plan1";#N/A,#N/A,FALSE,"Plan2"}</definedName>
    <definedName name="çlçlç" hidden="1">{#N/A,#N/A,FALSE,"Plan1";#N/A,#N/A,FALSE,"Plan2"}</definedName>
    <definedName name="çld" localSheetId="14" hidden="1">{#N/A,#N/A,FALSE,"Plan1";#N/A,#N/A,FALSE,"Plan2"}</definedName>
    <definedName name="çld" localSheetId="7" hidden="1">{#N/A,#N/A,FALSE,"Plan1";#N/A,#N/A,FALSE,"Plan2"}</definedName>
    <definedName name="çld" localSheetId="1" hidden="1">{#N/A,#N/A,FALSE,"Plan1";#N/A,#N/A,FALSE,"Plan2"}</definedName>
    <definedName name="çld" localSheetId="2" hidden="1">{#N/A,#N/A,FALSE,"Plan1";#N/A,#N/A,FALSE,"Plan2"}</definedName>
    <definedName name="çld" localSheetId="9" hidden="1">{#N/A,#N/A,FALSE,"Plan1";#N/A,#N/A,FALSE,"Plan2"}</definedName>
    <definedName name="çld" localSheetId="5" hidden="1">{#N/A,#N/A,FALSE,"Plan1";#N/A,#N/A,FALSE,"Plan2"}</definedName>
    <definedName name="çld" localSheetId="4" hidden="1">{#N/A,#N/A,FALSE,"Plan1";#N/A,#N/A,FALSE,"Plan2"}</definedName>
    <definedName name="çld" localSheetId="8" hidden="1">{#N/A,#N/A,FALSE,"Plan1";#N/A,#N/A,FALSE,"Plan2"}</definedName>
    <definedName name="çld" localSheetId="12" hidden="1">{#N/A,#N/A,FALSE,"Plan1";#N/A,#N/A,FALSE,"Plan2"}</definedName>
    <definedName name="çld" localSheetId="16" hidden="1">{#N/A,#N/A,FALSE,"Plan1";#N/A,#N/A,FALSE,"Plan2"}</definedName>
    <definedName name="çld" localSheetId="0" hidden="1">{#N/A,#N/A,FALSE,"Plan1";#N/A,#N/A,FALSE,"Plan2"}</definedName>
    <definedName name="çld" localSheetId="11" hidden="1">{#N/A,#N/A,FALSE,"Plan1";#N/A,#N/A,FALSE,"Plan2"}</definedName>
    <definedName name="çld" localSheetId="13" hidden="1">{#N/A,#N/A,FALSE,"Plan1";#N/A,#N/A,FALSE,"Plan2"}</definedName>
    <definedName name="çld" hidden="1">{#N/A,#N/A,FALSE,"Plan1";#N/A,#N/A,FALSE,"Plan2"}</definedName>
    <definedName name="çlererr" localSheetId="14" hidden="1">{#N/A,#N/A,FALSE,"Plan1";#N/A,#N/A,FALSE,"Plan2"}</definedName>
    <definedName name="çlererr" localSheetId="7" hidden="1">{#N/A,#N/A,FALSE,"Plan1";#N/A,#N/A,FALSE,"Plan2"}</definedName>
    <definedName name="çlererr" localSheetId="1" hidden="1">{#N/A,#N/A,FALSE,"Plan1";#N/A,#N/A,FALSE,"Plan2"}</definedName>
    <definedName name="çlererr" localSheetId="2" hidden="1">{#N/A,#N/A,FALSE,"Plan1";#N/A,#N/A,FALSE,"Plan2"}</definedName>
    <definedName name="çlererr" localSheetId="9" hidden="1">{#N/A,#N/A,FALSE,"Plan1";#N/A,#N/A,FALSE,"Plan2"}</definedName>
    <definedName name="çlererr" localSheetId="5" hidden="1">{#N/A,#N/A,FALSE,"Plan1";#N/A,#N/A,FALSE,"Plan2"}</definedName>
    <definedName name="çlererr" localSheetId="4" hidden="1">{#N/A,#N/A,FALSE,"Plan1";#N/A,#N/A,FALSE,"Plan2"}</definedName>
    <definedName name="çlererr" localSheetId="8" hidden="1">{#N/A,#N/A,FALSE,"Plan1";#N/A,#N/A,FALSE,"Plan2"}</definedName>
    <definedName name="çlererr" localSheetId="12" hidden="1">{#N/A,#N/A,FALSE,"Plan1";#N/A,#N/A,FALSE,"Plan2"}</definedName>
    <definedName name="çlererr" localSheetId="16" hidden="1">{#N/A,#N/A,FALSE,"Plan1";#N/A,#N/A,FALSE,"Plan2"}</definedName>
    <definedName name="çlererr" localSheetId="0" hidden="1">{#N/A,#N/A,FALSE,"Plan1";#N/A,#N/A,FALSE,"Plan2"}</definedName>
    <definedName name="çlererr" localSheetId="11" hidden="1">{#N/A,#N/A,FALSE,"Plan1";#N/A,#N/A,FALSE,"Plan2"}</definedName>
    <definedName name="çlererr" localSheetId="13" hidden="1">{#N/A,#N/A,FALSE,"Plan1";#N/A,#N/A,FALSE,"Plan2"}</definedName>
    <definedName name="çlererr" hidden="1">{#N/A,#N/A,FALSE,"Plan1";#N/A,#N/A,FALSE,"Plan2"}</definedName>
    <definedName name="çlertert" localSheetId="14" hidden="1">{#N/A,#N/A,FALSE,"Plan1";#N/A,#N/A,FALSE,"Plan2"}</definedName>
    <definedName name="çlertert" localSheetId="7" hidden="1">{#N/A,#N/A,FALSE,"Plan1";#N/A,#N/A,FALSE,"Plan2"}</definedName>
    <definedName name="çlertert" localSheetId="1" hidden="1">{#N/A,#N/A,FALSE,"Plan1";#N/A,#N/A,FALSE,"Plan2"}</definedName>
    <definedName name="çlertert" localSheetId="2" hidden="1">{#N/A,#N/A,FALSE,"Plan1";#N/A,#N/A,FALSE,"Plan2"}</definedName>
    <definedName name="çlertert" localSheetId="9" hidden="1">{#N/A,#N/A,FALSE,"Plan1";#N/A,#N/A,FALSE,"Plan2"}</definedName>
    <definedName name="çlertert" localSheetId="5" hidden="1">{#N/A,#N/A,FALSE,"Plan1";#N/A,#N/A,FALSE,"Plan2"}</definedName>
    <definedName name="çlertert" localSheetId="4" hidden="1">{#N/A,#N/A,FALSE,"Plan1";#N/A,#N/A,FALSE,"Plan2"}</definedName>
    <definedName name="çlertert" localSheetId="8" hidden="1">{#N/A,#N/A,FALSE,"Plan1";#N/A,#N/A,FALSE,"Plan2"}</definedName>
    <definedName name="çlertert" localSheetId="12" hidden="1">{#N/A,#N/A,FALSE,"Plan1";#N/A,#N/A,FALSE,"Plan2"}</definedName>
    <definedName name="çlertert" localSheetId="16" hidden="1">{#N/A,#N/A,FALSE,"Plan1";#N/A,#N/A,FALSE,"Plan2"}</definedName>
    <definedName name="çlertert" localSheetId="0" hidden="1">{#N/A,#N/A,FALSE,"Plan1";#N/A,#N/A,FALSE,"Plan2"}</definedName>
    <definedName name="çlertert" localSheetId="11" hidden="1">{#N/A,#N/A,FALSE,"Plan1";#N/A,#N/A,FALSE,"Plan2"}</definedName>
    <definedName name="çlertert" localSheetId="13" hidden="1">{#N/A,#N/A,FALSE,"Plan1";#N/A,#N/A,FALSE,"Plan2"}</definedName>
    <definedName name="çlertert" hidden="1">{#N/A,#N/A,FALSE,"Plan1";#N/A,#N/A,FALSE,"Plan2"}</definedName>
    <definedName name="çlkdflçkrlr" localSheetId="2" hidden="1">#REF!</definedName>
    <definedName name="çlkdflçkrlr" localSheetId="5" hidden="1">#REF!</definedName>
    <definedName name="çlkdflçkrlr" localSheetId="0" hidden="1">#REF!</definedName>
    <definedName name="çlkdflçkrlr" hidden="1">#REF!</definedName>
    <definedName name="çll" localSheetId="14" hidden="1">{#N/A,#N/A,FALSE,"Plan1";#N/A,#N/A,FALSE,"Plan2"}</definedName>
    <definedName name="çll" localSheetId="7" hidden="1">{#N/A,#N/A,FALSE,"Plan1";#N/A,#N/A,FALSE,"Plan2"}</definedName>
    <definedName name="çll" localSheetId="1" hidden="1">{#N/A,#N/A,FALSE,"Plan1";#N/A,#N/A,FALSE,"Plan2"}</definedName>
    <definedName name="çll" localSheetId="2" hidden="1">{#N/A,#N/A,FALSE,"Plan1";#N/A,#N/A,FALSE,"Plan2"}</definedName>
    <definedName name="çll" localSheetId="9" hidden="1">{#N/A,#N/A,FALSE,"Plan1";#N/A,#N/A,FALSE,"Plan2"}</definedName>
    <definedName name="çll" localSheetId="5" hidden="1">{#N/A,#N/A,FALSE,"Plan1";#N/A,#N/A,FALSE,"Plan2"}</definedName>
    <definedName name="çll" localSheetId="4" hidden="1">{#N/A,#N/A,FALSE,"Plan1";#N/A,#N/A,FALSE,"Plan2"}</definedName>
    <definedName name="çll" localSheetId="8" hidden="1">{#N/A,#N/A,FALSE,"Plan1";#N/A,#N/A,FALSE,"Plan2"}</definedName>
    <definedName name="çll" localSheetId="12" hidden="1">{#N/A,#N/A,FALSE,"Plan1";#N/A,#N/A,FALSE,"Plan2"}</definedName>
    <definedName name="çll" localSheetId="16" hidden="1">{#N/A,#N/A,FALSE,"Plan1";#N/A,#N/A,FALSE,"Plan2"}</definedName>
    <definedName name="çll" localSheetId="0" hidden="1">{#N/A,#N/A,FALSE,"Plan1";#N/A,#N/A,FALSE,"Plan2"}</definedName>
    <definedName name="çll" localSheetId="11" hidden="1">{#N/A,#N/A,FALSE,"Plan1";#N/A,#N/A,FALSE,"Plan2"}</definedName>
    <definedName name="çll" localSheetId="13" hidden="1">{#N/A,#N/A,FALSE,"Plan1";#N/A,#N/A,FALSE,"Plan2"}</definedName>
    <definedName name="çll" hidden="1">{#N/A,#N/A,FALSE,"Plan1";#N/A,#N/A,FALSE,"Plan2"}</definedName>
    <definedName name="C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2">#REF!</definedName>
    <definedName name="COBRANÇA" localSheetId="5">#REF!</definedName>
    <definedName name="COBRANÇA">#REF!</definedName>
    <definedName name="Cod_Esquadrias" localSheetId="2">#REF!</definedName>
    <definedName name="Cod_Esquadrias" localSheetId="5">#REF!</definedName>
    <definedName name="Cod_Esquadrias">#REF!</definedName>
    <definedName name="CÓDG" localSheetId="2">OFFSET(#REF!,0,0,COUNTA(#REF!),1)</definedName>
    <definedName name="CÓDG" localSheetId="5">OFFSET(#REF!,0,0,COUNTA(#REF!),1)</definedName>
    <definedName name="CÓDG">OFFSET(#REF!,0,0,COUNTA(#REF!),1)</definedName>
    <definedName name="codigo2" localSheetId="2">#REF!</definedName>
    <definedName name="codigo2" localSheetId="5">#REF!</definedName>
    <definedName name="codigo2">#REF!</definedName>
    <definedName name="codigo3" localSheetId="2">#REF!</definedName>
    <definedName name="codigo3" localSheetId="5">#REF!</definedName>
    <definedName name="codigo3">#REF!</definedName>
    <definedName name="CÓDT" localSheetId="2">OFFSET(#REF!,0,0,COUNTA(#REF!)+1,1)</definedName>
    <definedName name="CÓDT" localSheetId="5">OFFSET(#REF!,0,0,COUNTA(#REF!)+1,1)</definedName>
    <definedName name="CÓDT">OFFSET(#REF!,0,0,COUNTA(#REF!)+1,1)</definedName>
    <definedName name="COFINS" localSheetId="2">#REF!</definedName>
    <definedName name="COFINS" localSheetId="5">#REF!</definedName>
    <definedName name="COFINS">#REF!</definedName>
    <definedName name="cofins2" localSheetId="2">#REF!</definedName>
    <definedName name="cofins2" localSheetId="5">#REF!</definedName>
    <definedName name="cofins2">#REF!</definedName>
    <definedName name="COGS" localSheetId="2">#REF!</definedName>
    <definedName name="COGS" localSheetId="5">#REF!</definedName>
    <definedName name="COGS">#REF!</definedName>
    <definedName name="COLSUB" localSheetId="2">#REF!</definedName>
    <definedName name="COLSUB" localSheetId="5">#REF!</definedName>
    <definedName name="COLSUB">#REF!</definedName>
    <definedName name="COMISSOES" localSheetId="2">#REF!</definedName>
    <definedName name="COMISSOES" localSheetId="5">#REF!</definedName>
    <definedName name="COMISSOES">#REF!</definedName>
    <definedName name="COMPOSICAO" localSheetId="2">#REF!</definedName>
    <definedName name="COMPOSICAO" localSheetId="5">#REF!</definedName>
    <definedName name="COMPOSICAO">#REF!</definedName>
    <definedName name="composição" localSheetId="2">#REF!</definedName>
    <definedName name="composição" localSheetId="5">#REF!</definedName>
    <definedName name="composição">#REF!</definedName>
    <definedName name="COMPR" localSheetId="2">#REF!</definedName>
    <definedName name="COMPR" localSheetId="5">#REF!</definedName>
    <definedName name="COMPR">#REF!</definedName>
    <definedName name="COMPRIMENTO" localSheetId="2">#REF!</definedName>
    <definedName name="COMPRIMENTO" localSheetId="5">#REF!</definedName>
    <definedName name="COMPRIMENTO" localSheetId="24">#REF!</definedName>
    <definedName name="COMPRIMENTO" localSheetId="23">#REF!</definedName>
    <definedName name="COMPRIMENTO">#REF!</definedName>
    <definedName name="COMPROMETIDO" localSheetId="2">#REF!</definedName>
    <definedName name="COMPROMETIDO" localSheetId="5">#REF!</definedName>
    <definedName name="COMPROMETIDO">#REF!</definedName>
    <definedName name="CONFIRMAR" localSheetId="14" hidden="1">{#N/A,#N/A,TRUE,"Quinzena 01 à 15-04-98 "}</definedName>
    <definedName name="CONFIRMAR" localSheetId="7" hidden="1">{#N/A,#N/A,TRUE,"Quinzena 01 à 15-04-98 "}</definedName>
    <definedName name="CONFIRMAR" localSheetId="1" hidden="1">{#N/A,#N/A,TRUE,"Quinzena 01 à 15-04-98 "}</definedName>
    <definedName name="CONFIRMAR" localSheetId="2" hidden="1">{#N/A,#N/A,TRUE,"Quinzena 01 à 15-04-98 "}</definedName>
    <definedName name="CONFIRMAR" localSheetId="9" hidden="1">{#N/A,#N/A,TRUE,"Quinzena 01 à 15-04-98 "}</definedName>
    <definedName name="CONFIRMAR" localSheetId="5" hidden="1">{#N/A,#N/A,TRUE,"Quinzena 01 à 15-04-98 "}</definedName>
    <definedName name="CONFIRMAR" localSheetId="4" hidden="1">{#N/A,#N/A,TRUE,"Quinzena 01 à 15-04-98 "}</definedName>
    <definedName name="CONFIRMAR" localSheetId="8" hidden="1">{#N/A,#N/A,TRUE,"Quinzena 01 à 15-04-98 "}</definedName>
    <definedName name="CONFIRMAR" localSheetId="12" hidden="1">{#N/A,#N/A,TRUE,"Quinzena 01 à 15-04-98 "}</definedName>
    <definedName name="CONFIRMAR" localSheetId="16" hidden="1">{#N/A,#N/A,TRUE,"Quinzena 01 à 15-04-98 "}</definedName>
    <definedName name="CONFIRMAR" localSheetId="0" hidden="1">{#N/A,#N/A,TRUE,"Quinzena 01 à 15-04-98 "}</definedName>
    <definedName name="CONFIRMAR" localSheetId="11" hidden="1">{#N/A,#N/A,TRUE,"Quinzena 01 à 15-04-98 "}</definedName>
    <definedName name="CONFIRMAR" localSheetId="13" hidden="1">{#N/A,#N/A,TRUE,"Quinzena 01 à 15-04-98 "}</definedName>
    <definedName name="CONFIRMAR" hidden="1">{#N/A,#N/A,TRUE,"Quinzena 01 à 15-04-98 "}</definedName>
    <definedName name="cont" localSheetId="14" hidden="1">{#N/A,#N/A,FALSE,"Plan1";#N/A,#N/A,FALSE,"Plan2"}</definedName>
    <definedName name="cont" localSheetId="7" hidden="1">{#N/A,#N/A,FALSE,"Plan1";#N/A,#N/A,FALSE,"Plan2"}</definedName>
    <definedName name="cont" localSheetId="1" hidden="1">{#N/A,#N/A,FALSE,"Plan1";#N/A,#N/A,FALSE,"Plan2"}</definedName>
    <definedName name="cont" localSheetId="2" hidden="1">{#N/A,#N/A,FALSE,"Plan1";#N/A,#N/A,FALSE,"Plan2"}</definedName>
    <definedName name="cont" localSheetId="9" hidden="1">{#N/A,#N/A,FALSE,"Plan1";#N/A,#N/A,FALSE,"Plan2"}</definedName>
    <definedName name="cont" localSheetId="5" hidden="1">{#N/A,#N/A,FALSE,"Plan1";#N/A,#N/A,FALSE,"Plan2"}</definedName>
    <definedName name="cont" localSheetId="4" hidden="1">{#N/A,#N/A,FALSE,"Plan1";#N/A,#N/A,FALSE,"Plan2"}</definedName>
    <definedName name="cont" localSheetId="8" hidden="1">{#N/A,#N/A,FALSE,"Plan1";#N/A,#N/A,FALSE,"Plan2"}</definedName>
    <definedName name="cont" localSheetId="12" hidden="1">{#N/A,#N/A,FALSE,"Plan1";#N/A,#N/A,FALSE,"Plan2"}</definedName>
    <definedName name="cont" localSheetId="16" hidden="1">{#N/A,#N/A,FALSE,"Plan1";#N/A,#N/A,FALSE,"Plan2"}</definedName>
    <definedName name="cont" localSheetId="0" hidden="1">{#N/A,#N/A,FALSE,"Plan1";#N/A,#N/A,FALSE,"Plan2"}</definedName>
    <definedName name="cont" localSheetId="11" hidden="1">{#N/A,#N/A,FALSE,"Plan1";#N/A,#N/A,FALSE,"Plan2"}</definedName>
    <definedName name="cont" localSheetId="13" hidden="1">{#N/A,#N/A,FALSE,"Plan1";#N/A,#N/A,FALSE,"Plan2"}</definedName>
    <definedName name="cont" hidden="1">{#N/A,#N/A,FALSE,"Plan1";#N/A,#N/A,FALSE,"Plan2"}</definedName>
    <definedName name="CONT1" localSheetId="2">#REF!</definedName>
    <definedName name="CONT1" localSheetId="5">#REF!</definedName>
    <definedName name="CONT1">#REF!</definedName>
    <definedName name="CONT2" localSheetId="2">#REF!</definedName>
    <definedName name="CONT2" localSheetId="5">#REF!</definedName>
    <definedName name="CONT2">#REF!</definedName>
    <definedName name="CONT3" localSheetId="2">#REF!</definedName>
    <definedName name="CONT3" localSheetId="5">#REF!</definedName>
    <definedName name="CONT3">#REF!</definedName>
    <definedName name="CONTAIT" localSheetId="2">#REF!</definedName>
    <definedName name="CONTAIT" localSheetId="5">#REF!</definedName>
    <definedName name="CONTAIT">#REF!</definedName>
    <definedName name="CONTREC" localSheetId="2">#REF!</definedName>
    <definedName name="CONTREC" localSheetId="5">#REF!</definedName>
    <definedName name="CONTREC">#REF!</definedName>
    <definedName name="CONTRES" localSheetId="2">#REF!</definedName>
    <definedName name="CONTRES" localSheetId="5">#REF!</definedName>
    <definedName name="CONTRES">#REF!</definedName>
    <definedName name="CONTROLE" localSheetId="2">#REF!</definedName>
    <definedName name="CONTROLE" localSheetId="5">#REF!</definedName>
    <definedName name="CONTROLE">#REF!</definedName>
    <definedName name="Controle_Tecnologico" localSheetId="1" hidden="1">{#N/A,#N/A,FALSE,"Plan1";#N/A,#N/A,FALSE,"Plan2"}</definedName>
    <definedName name="Controle_Tecnologico" localSheetId="8" hidden="1">{#N/A,#N/A,FALSE,"Plan1";#N/A,#N/A,FALSE,"Plan2"}</definedName>
    <definedName name="Controle_Tecnologico" hidden="1">{#N/A,#N/A,FALSE,"Plan1";#N/A,#N/A,FALSE,"Plan2"}</definedName>
    <definedName name="Controle_tecnologico1" hidden="1">#REF!</definedName>
    <definedName name="CONVERSÃO" localSheetId="2">#REF!</definedName>
    <definedName name="CONVERSÃO" localSheetId="5">#REF!</definedName>
    <definedName name="CONVERSÃO">#REF!</definedName>
    <definedName name="cpmf" localSheetId="2">#REF!</definedName>
    <definedName name="cpmf" localSheetId="5">#REF!</definedName>
    <definedName name="cpmf">#REF!</definedName>
    <definedName name="Credor_Rel_Sienge" localSheetId="2">#REF!</definedName>
    <definedName name="Credor_Rel_Sienge" localSheetId="5">#REF!</definedName>
    <definedName name="Credor_Rel_Sienge">#REF!</definedName>
    <definedName name="_xlnm.Criteria" localSheetId="14">#REF!</definedName>
    <definedName name="_xlnm.Criteria" localSheetId="2">#REF!</definedName>
    <definedName name="_xlnm.Criteria" localSheetId="9">#REF!</definedName>
    <definedName name="_xlnm.Criteria" localSheetId="5">#REF!</definedName>
    <definedName name="_xlnm.Criteria" localSheetId="24">#REF!</definedName>
    <definedName name="_xlnm.Criteria" localSheetId="23">#REF!</definedName>
    <definedName name="_xlnm.Criteria">#REF!</definedName>
    <definedName name="CRONG" localSheetId="2">#REF!</definedName>
    <definedName name="CRONG" localSheetId="5">#REF!</definedName>
    <definedName name="CRONG">#REF!</definedName>
    <definedName name="cronograma" localSheetId="14">#REF!</definedName>
    <definedName name="cronograma" localSheetId="2">#REF!</definedName>
    <definedName name="cronograma" localSheetId="5">#REF!</definedName>
    <definedName name="cronograma" localSheetId="15">#REF!</definedName>
    <definedName name="cronograma" localSheetId="12">#REF!</definedName>
    <definedName name="cronograma" localSheetId="0">#REF!</definedName>
    <definedName name="cronograma">#REF!</definedName>
    <definedName name="CRONOGRAMA_FÍSICO_FINANCEIRO" localSheetId="2">#REF!</definedName>
    <definedName name="CRONOGRAMA_FÍSICO_FINANCEIRO" localSheetId="5">#REF!</definedName>
    <definedName name="CRONOGRAMA_FÍSICO_FINANCEIRO">#REF!</definedName>
    <definedName name="CS" localSheetId="2">#REF!</definedName>
    <definedName name="CS" localSheetId="5">#REF!</definedName>
    <definedName name="CS">#REF!</definedName>
    <definedName name="cs_diferida" localSheetId="2">#REF!</definedName>
    <definedName name="cs_diferida" localSheetId="5">#REF!</definedName>
    <definedName name="cs_diferida">#REF!</definedName>
    <definedName name="ÇSAÇDFW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2" hidden="1">#REF!</definedName>
    <definedName name="çsdkfçdrkt" localSheetId="5" hidden="1">#REF!</definedName>
    <definedName name="çsdkfçdrkt" localSheetId="0" hidden="1">#REF!</definedName>
    <definedName name="çsdkfçdrkt" hidden="1">#REF!</definedName>
    <definedName name="CS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4" hidden="1">{#N/A,#N/A,FALSE,"Plan1";#N/A,#N/A,FALSE,"Plan2"}</definedName>
    <definedName name="ÇSLÇDLFKD" localSheetId="7" hidden="1">{#N/A,#N/A,FALSE,"Plan1";#N/A,#N/A,FALSE,"Plan2"}</definedName>
    <definedName name="ÇSLÇDLFKD" localSheetId="1" hidden="1">{#N/A,#N/A,FALSE,"Plan1";#N/A,#N/A,FALSE,"Plan2"}</definedName>
    <definedName name="ÇSLÇDLFKD" localSheetId="2" hidden="1">{#N/A,#N/A,FALSE,"Plan1";#N/A,#N/A,FALSE,"Plan2"}</definedName>
    <definedName name="ÇSLÇDLFKD" localSheetId="9" hidden="1">{#N/A,#N/A,FALSE,"Plan1";#N/A,#N/A,FALSE,"Plan2"}</definedName>
    <definedName name="ÇSLÇDLFKD" localSheetId="5" hidden="1">{#N/A,#N/A,FALSE,"Plan1";#N/A,#N/A,FALSE,"Plan2"}</definedName>
    <definedName name="ÇSLÇDLFKD" localSheetId="4" hidden="1">{#N/A,#N/A,FALSE,"Plan1";#N/A,#N/A,FALSE,"Plan2"}</definedName>
    <definedName name="ÇSLÇDLFKD" localSheetId="8" hidden="1">{#N/A,#N/A,FALSE,"Plan1";#N/A,#N/A,FALSE,"Plan2"}</definedName>
    <definedName name="ÇSLÇDLFKD" localSheetId="12" hidden="1">{#N/A,#N/A,FALSE,"Plan1";#N/A,#N/A,FALSE,"Plan2"}</definedName>
    <definedName name="ÇSLÇDLFKD" localSheetId="16" hidden="1">{#N/A,#N/A,FALSE,"Plan1";#N/A,#N/A,FALSE,"Plan2"}</definedName>
    <definedName name="ÇSLÇDLFKD" localSheetId="0" hidden="1">{#N/A,#N/A,FALSE,"Plan1";#N/A,#N/A,FALSE,"Plan2"}</definedName>
    <definedName name="ÇSLÇDLFKD" localSheetId="11" hidden="1">{#N/A,#N/A,FALSE,"Plan1";#N/A,#N/A,FALSE,"Plan2"}</definedName>
    <definedName name="ÇSLÇDLFKD" localSheetId="13" hidden="1">{#N/A,#N/A,FALSE,"Plan1";#N/A,#N/A,FALSE,"Plan2"}</definedName>
    <definedName name="ÇSLÇDLFKD" hidden="1">{#N/A,#N/A,FALSE,"Plan1";#N/A,#N/A,FALSE,"Plan2"}</definedName>
    <definedName name="CT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2">#REF!</definedName>
    <definedName name="CUST_DIR_IND" localSheetId="5">#REF!</definedName>
    <definedName name="CUST_DIR_IND">#REF!</definedName>
    <definedName name="CUSTINDIRETO" localSheetId="2">#REF!</definedName>
    <definedName name="CUSTINDIRETO" localSheetId="5">#REF!</definedName>
    <definedName name="CUSTINDIRETO">#REF!</definedName>
    <definedName name="CUSTO_DIR_IND" localSheetId="2">#REF!</definedName>
    <definedName name="CUSTO_DIR_IND" localSheetId="5">#REF!</definedName>
    <definedName name="CUSTO_DIR_IND">#REF!</definedName>
    <definedName name="Custo_Direto_de_Obras_Civis_e_Instalações_..........................................." localSheetId="2">#REF!</definedName>
    <definedName name="Custo_Direto_de_Obras_Civis_e_Instalações_..........................................." localSheetId="5">#REF!</definedName>
    <definedName name="Custo_Direto_de_Obras_Civis_e_Instalações_...........................................">#REF!</definedName>
    <definedName name="Custo_Direto_em_geral" localSheetId="2">#REF!</definedName>
    <definedName name="Custo_Direto_em_geral" localSheetId="5">#REF!</definedName>
    <definedName name="Custo_Direto_em_geral">#REF!</definedName>
    <definedName name="custo_financing" localSheetId="2">#REF!</definedName>
    <definedName name="custo_financing" localSheetId="5">#REF!</definedName>
    <definedName name="custo_financing">#REF!</definedName>
    <definedName name="CUSTO_OUTROS" localSheetId="2">#REF!</definedName>
    <definedName name="CUSTO_OUTROS" localSheetId="5">#REF!</definedName>
    <definedName name="CUSTO_OUTROS">#REF!</definedName>
    <definedName name="Custo_Outros1" localSheetId="2">#REF!</definedName>
    <definedName name="Custo_Outros1" localSheetId="5">#REF!</definedName>
    <definedName name="Custo_Outros1">#REF!</definedName>
    <definedName name="CUSTODIRETO" localSheetId="2">#REF!</definedName>
    <definedName name="CUSTODIRETO" localSheetId="5">#REF!</definedName>
    <definedName name="CUSTODIRETO">#REF!</definedName>
    <definedName name="CUSTODIRETO_R" localSheetId="2">#REF!</definedName>
    <definedName name="CUSTODIRETO_R" localSheetId="5">#REF!</definedName>
    <definedName name="CUSTODIRETO_R">#REF!</definedName>
    <definedName name="CUSTODIRETO_U" localSheetId="2">#REF!</definedName>
    <definedName name="CUSTODIRETO_U" localSheetId="5">#REF!</definedName>
    <definedName name="CUSTODIRETO_U">#REF!</definedName>
    <definedName name="CUSTODIRETO1" localSheetId="2">#REF!</definedName>
    <definedName name="CUSTODIRETO1" localSheetId="5">#REF!</definedName>
    <definedName name="CUSTODIRETO1">#REF!</definedName>
    <definedName name="CUSTOFIN" localSheetId="2">#REF!</definedName>
    <definedName name="CUSTOFIN" localSheetId="5">#REF!</definedName>
    <definedName name="CUSTOFIN">#REF!</definedName>
    <definedName name="D" localSheetId="14">#REF!</definedName>
    <definedName name="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9">#REF!</definedName>
    <definedName name="D" localSheetId="5">#REF!</definedName>
    <definedName name="D" localSheetId="15">#REF!</definedName>
    <definedName name="D" localSheetId="12">#REF!</definedName>
    <definedName name="D" localSheetId="0">#REF!</definedName>
    <definedName name="D">#REF!</definedName>
    <definedName name="da" localSheetId="2">#REF!</definedName>
    <definedName name="da" localSheetId="5">#REF!</definedName>
    <definedName name="da">#REF!</definedName>
    <definedName name="dalm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4" hidden="1">{#N/A,#N/A,FALSE,"Plan1";#N/A,#N/A,FALSE,"Plan2"}</definedName>
    <definedName name="dasfrt" localSheetId="7" hidden="1">{#N/A,#N/A,FALSE,"Plan1";#N/A,#N/A,FALSE,"Plan2"}</definedName>
    <definedName name="dasfrt" localSheetId="1" hidden="1">{#N/A,#N/A,FALSE,"Plan1";#N/A,#N/A,FALSE,"Plan2"}</definedName>
    <definedName name="dasfrt" localSheetId="2" hidden="1">{#N/A,#N/A,FALSE,"Plan1";#N/A,#N/A,FALSE,"Plan2"}</definedName>
    <definedName name="dasfrt" localSheetId="9" hidden="1">{#N/A,#N/A,FALSE,"Plan1";#N/A,#N/A,FALSE,"Plan2"}</definedName>
    <definedName name="dasfrt" localSheetId="5" hidden="1">{#N/A,#N/A,FALSE,"Plan1";#N/A,#N/A,FALSE,"Plan2"}</definedName>
    <definedName name="dasfrt" localSheetId="4" hidden="1">{#N/A,#N/A,FALSE,"Plan1";#N/A,#N/A,FALSE,"Plan2"}</definedName>
    <definedName name="dasfrt" localSheetId="8" hidden="1">{#N/A,#N/A,FALSE,"Plan1";#N/A,#N/A,FALSE,"Plan2"}</definedName>
    <definedName name="dasfrt" localSheetId="12" hidden="1">{#N/A,#N/A,FALSE,"Plan1";#N/A,#N/A,FALSE,"Plan2"}</definedName>
    <definedName name="dasfrt" localSheetId="16" hidden="1">{#N/A,#N/A,FALSE,"Plan1";#N/A,#N/A,FALSE,"Plan2"}</definedName>
    <definedName name="dasfrt" localSheetId="0" hidden="1">{#N/A,#N/A,FALSE,"Plan1";#N/A,#N/A,FALSE,"Plan2"}</definedName>
    <definedName name="dasfrt" localSheetId="11" hidden="1">{#N/A,#N/A,FALSE,"Plan1";#N/A,#N/A,FALSE,"Plan2"}</definedName>
    <definedName name="dasfrt" localSheetId="13" hidden="1">{#N/A,#N/A,FALSE,"Plan1";#N/A,#N/A,FALSE,"Plan2"}</definedName>
    <definedName name="dasfrt" hidden="1">{#N/A,#N/A,FALSE,"Plan1";#N/A,#N/A,FALSE,"Plan2"}</definedName>
    <definedName name="DATA" localSheetId="2">#REF!</definedName>
    <definedName name="DATA" localSheetId="5">#REF!</definedName>
    <definedName name="DATA">#REF!</definedName>
    <definedName name="Data_base" localSheetId="2">#REF!</definedName>
    <definedName name="Data_base" localSheetId="5">#REF!</definedName>
    <definedName name="Data_base">#REF!</definedName>
    <definedName name="data_base_VL" localSheetId="2">#REF!</definedName>
    <definedName name="data_base_VL" localSheetId="5">#REF!</definedName>
    <definedName name="data_base_VL">#REF!</definedName>
    <definedName name="DATA_COTAÇÃO" localSheetId="2">#REF!</definedName>
    <definedName name="DATA_COTAÇÃO" localSheetId="5">#REF!</definedName>
    <definedName name="DATA_COTAÇÃO">#REF!</definedName>
    <definedName name="DATA_ENTREGA" localSheetId="2">#REF!</definedName>
    <definedName name="DATA_ENTREGA" localSheetId="5">#REF!</definedName>
    <definedName name="DATA_ENTREGA">#REF!</definedName>
    <definedName name="DATA_FECHA" localSheetId="2">#REF!</definedName>
    <definedName name="DATA_FECHA" localSheetId="5">#REF!</definedName>
    <definedName name="DATA_FECHA">#REF!</definedName>
    <definedName name="Data_Inicio" localSheetId="2">#REF!</definedName>
    <definedName name="Data_Inicio" localSheetId="5">#REF!</definedName>
    <definedName name="Data_Inicio">#REF!</definedName>
    <definedName name="Data_Lançado_Sienge" localSheetId="2">#REF!</definedName>
    <definedName name="Data_Lançado_Sienge" localSheetId="5">#REF!</definedName>
    <definedName name="Data_Lançado_Sienge">#REF!</definedName>
    <definedName name="Data_Pagamento_Sienge" localSheetId="2">#REF!</definedName>
    <definedName name="Data_Pagamento_Sienge" localSheetId="5">#REF!</definedName>
    <definedName name="Data_Pagamento_Sienge">#REF!</definedName>
    <definedName name="Data_Previsão_Medição_Fin_Medição" localSheetId="2">#REF!</definedName>
    <definedName name="Data_Previsão_Medição_Fin_Medição" localSheetId="5">#REF!</definedName>
    <definedName name="Data_Previsão_Medição_Fin_Medição">#REF!</definedName>
    <definedName name="Data_Tendência_Recebimento_Fin_Medições" localSheetId="2">#REF!</definedName>
    <definedName name="Data_Tendência_Recebimento_Fin_Medições" localSheetId="5">#REF!</definedName>
    <definedName name="Data_Tendência_Recebimento_Fin_Medições">#REF!</definedName>
    <definedName name="DATA1" localSheetId="2">#REF!</definedName>
    <definedName name="DATA1" localSheetId="5">#REF!</definedName>
    <definedName name="DATA1">#REF!</definedName>
    <definedName name="DATA3" localSheetId="2">#REF!</definedName>
    <definedName name="DATA3" localSheetId="5">#REF!</definedName>
    <definedName name="DATA3">#REF!</definedName>
    <definedName name="DATA4" localSheetId="2">#REF!</definedName>
    <definedName name="DATA4" localSheetId="5">#REF!</definedName>
    <definedName name="DATA4">#REF!</definedName>
    <definedName name="DATA6" localSheetId="2">#REF!</definedName>
    <definedName name="DATA6" localSheetId="5">#REF!</definedName>
    <definedName name="DATA6">#REF!</definedName>
    <definedName name="Database">#REF!</definedName>
    <definedName name="DataChaves_MAP" localSheetId="2">#REF!</definedName>
    <definedName name="DataChaves_MAP" localSheetId="5">#REF!</definedName>
    <definedName name="DataChaves_MAP">#REF!</definedName>
    <definedName name="DatasOut13AteDez20" localSheetId="2">#REF!</definedName>
    <definedName name="DatasOut13AteDez20" localSheetId="5">#REF!</definedName>
    <definedName name="DatasOut13AteDez20">#REF!</definedName>
    <definedName name="DÇDL" localSheetId="14" hidden="1">{#N/A,#N/A,FALSE,"Plan1";#N/A,#N/A,FALSE,"Plan2"}</definedName>
    <definedName name="DÇDL" localSheetId="7" hidden="1">{#N/A,#N/A,FALSE,"Plan1";#N/A,#N/A,FALSE,"Plan2"}</definedName>
    <definedName name="DÇDL" localSheetId="1" hidden="1">{#N/A,#N/A,FALSE,"Plan1";#N/A,#N/A,FALSE,"Plan2"}</definedName>
    <definedName name="DÇDL" localSheetId="2" hidden="1">{#N/A,#N/A,FALSE,"Plan1";#N/A,#N/A,FALSE,"Plan2"}</definedName>
    <definedName name="DÇDL" localSheetId="9" hidden="1">{#N/A,#N/A,FALSE,"Plan1";#N/A,#N/A,FALSE,"Plan2"}</definedName>
    <definedName name="DÇDL" localSheetId="5" hidden="1">{#N/A,#N/A,FALSE,"Plan1";#N/A,#N/A,FALSE,"Plan2"}</definedName>
    <definedName name="DÇDL" localSheetId="4" hidden="1">{#N/A,#N/A,FALSE,"Plan1";#N/A,#N/A,FALSE,"Plan2"}</definedName>
    <definedName name="DÇDL" localSheetId="8" hidden="1">{#N/A,#N/A,FALSE,"Plan1";#N/A,#N/A,FALSE,"Plan2"}</definedName>
    <definedName name="DÇDL" localSheetId="12" hidden="1">{#N/A,#N/A,FALSE,"Plan1";#N/A,#N/A,FALSE,"Plan2"}</definedName>
    <definedName name="DÇDL" localSheetId="16" hidden="1">{#N/A,#N/A,FALSE,"Plan1";#N/A,#N/A,FALSE,"Plan2"}</definedName>
    <definedName name="DÇDL" localSheetId="0" hidden="1">{#N/A,#N/A,FALSE,"Plan1";#N/A,#N/A,FALSE,"Plan2"}</definedName>
    <definedName name="DÇDL" localSheetId="11" hidden="1">{#N/A,#N/A,FALSE,"Plan1";#N/A,#N/A,FALSE,"Plan2"}</definedName>
    <definedName name="DÇDL" localSheetId="13" hidden="1">{#N/A,#N/A,FALSE,"Plan1";#N/A,#N/A,FALSE,"Plan2"}</definedName>
    <definedName name="DÇDL" hidden="1">{#N/A,#N/A,FALSE,"Plan1";#N/A,#N/A,FALSE,"Plan2"}</definedName>
    <definedName name="dchart26" localSheetId="2" hidden="1">#REF!</definedName>
    <definedName name="dchart26" localSheetId="5" hidden="1">#REF!</definedName>
    <definedName name="dchart26" localSheetId="0" hidden="1">#REF!</definedName>
    <definedName name="dchart26" hidden="1">#REF!</definedName>
    <definedName name="dchart31" localSheetId="2" hidden="1">#REF!</definedName>
    <definedName name="dchart31" localSheetId="5" hidden="1">#REF!</definedName>
    <definedName name="dchart31" localSheetId="0" hidden="1">#REF!</definedName>
    <definedName name="dchart31" hidden="1">#REF!</definedName>
    <definedName name="dcnsfgdjkgb" localSheetId="14" hidden="1">{#N/A,#N/A,FALSE,"Plan1";#N/A,#N/A,FALSE,"Plan2"}</definedName>
    <definedName name="dcnsfgdjkgb" localSheetId="7" hidden="1">{#N/A,#N/A,FALSE,"Plan1";#N/A,#N/A,FALSE,"Plan2"}</definedName>
    <definedName name="dcnsfgdjkgb" localSheetId="1" hidden="1">{#N/A,#N/A,FALSE,"Plan1";#N/A,#N/A,FALSE,"Plan2"}</definedName>
    <definedName name="dcnsfgdjkgb" localSheetId="2" hidden="1">{#N/A,#N/A,FALSE,"Plan1";#N/A,#N/A,FALSE,"Plan2"}</definedName>
    <definedName name="dcnsfgdjkgb" localSheetId="9" hidden="1">{#N/A,#N/A,FALSE,"Plan1";#N/A,#N/A,FALSE,"Plan2"}</definedName>
    <definedName name="dcnsfgdjkgb" localSheetId="5" hidden="1">{#N/A,#N/A,FALSE,"Plan1";#N/A,#N/A,FALSE,"Plan2"}</definedName>
    <definedName name="dcnsfgdjkgb" localSheetId="4" hidden="1">{#N/A,#N/A,FALSE,"Plan1";#N/A,#N/A,FALSE,"Plan2"}</definedName>
    <definedName name="dcnsfgdjkgb" localSheetId="8" hidden="1">{#N/A,#N/A,FALSE,"Plan1";#N/A,#N/A,FALSE,"Plan2"}</definedName>
    <definedName name="dcnsfgdjkgb" localSheetId="12" hidden="1">{#N/A,#N/A,FALSE,"Plan1";#N/A,#N/A,FALSE,"Plan2"}</definedName>
    <definedName name="dcnsfgdjkgb" localSheetId="16" hidden="1">{#N/A,#N/A,FALSE,"Plan1";#N/A,#N/A,FALSE,"Plan2"}</definedName>
    <definedName name="dcnsfgdjkgb" localSheetId="0" hidden="1">{#N/A,#N/A,FALSE,"Plan1";#N/A,#N/A,FALSE,"Plan2"}</definedName>
    <definedName name="dcnsfgdjkgb" localSheetId="11" hidden="1">{#N/A,#N/A,FALSE,"Plan1";#N/A,#N/A,FALSE,"Plan2"}</definedName>
    <definedName name="dcnsfgdjkgb" localSheetId="13" hidden="1">{#N/A,#N/A,FALSE,"Plan1";#N/A,#N/A,FALSE,"Plan2"}</definedName>
    <definedName name="dcnsfgdjkgb" hidden="1">{#N/A,#N/A,FALSE,"Plan1";#N/A,#N/A,FALSE,"Plan2"}</definedName>
    <definedName name="DÇWK" localSheetId="14" hidden="1">{#N/A,#N/A,FALSE,"Plan1";#N/A,#N/A,FALSE,"Plan2"}</definedName>
    <definedName name="DÇWK" localSheetId="7" hidden="1">{#N/A,#N/A,FALSE,"Plan1";#N/A,#N/A,FALSE,"Plan2"}</definedName>
    <definedName name="DÇWK" localSheetId="1" hidden="1">{#N/A,#N/A,FALSE,"Plan1";#N/A,#N/A,FALSE,"Plan2"}</definedName>
    <definedName name="DÇWK" localSheetId="2" hidden="1">{#N/A,#N/A,FALSE,"Plan1";#N/A,#N/A,FALSE,"Plan2"}</definedName>
    <definedName name="DÇWK" localSheetId="9" hidden="1">{#N/A,#N/A,FALSE,"Plan1";#N/A,#N/A,FALSE,"Plan2"}</definedName>
    <definedName name="DÇWK" localSheetId="5" hidden="1">{#N/A,#N/A,FALSE,"Plan1";#N/A,#N/A,FALSE,"Plan2"}</definedName>
    <definedName name="DÇWK" localSheetId="4" hidden="1">{#N/A,#N/A,FALSE,"Plan1";#N/A,#N/A,FALSE,"Plan2"}</definedName>
    <definedName name="DÇWK" localSheetId="8" hidden="1">{#N/A,#N/A,FALSE,"Plan1";#N/A,#N/A,FALSE,"Plan2"}</definedName>
    <definedName name="DÇWK" localSheetId="12" hidden="1">{#N/A,#N/A,FALSE,"Plan1";#N/A,#N/A,FALSE,"Plan2"}</definedName>
    <definedName name="DÇWK" localSheetId="16" hidden="1">{#N/A,#N/A,FALSE,"Plan1";#N/A,#N/A,FALSE,"Plan2"}</definedName>
    <definedName name="DÇWK" localSheetId="0" hidden="1">{#N/A,#N/A,FALSE,"Plan1";#N/A,#N/A,FALSE,"Plan2"}</definedName>
    <definedName name="DÇWK" localSheetId="11" hidden="1">{#N/A,#N/A,FALSE,"Plan1";#N/A,#N/A,FALSE,"Plan2"}</definedName>
    <definedName name="DÇWK" localSheetId="13" hidden="1">{#N/A,#N/A,FALSE,"Plan1";#N/A,#N/A,FALSE,"Plan2"}</definedName>
    <definedName name="DÇWK" hidden="1">{#N/A,#N/A,FALSE,"Plan1";#N/A,#N/A,FALSE,"Plan2"}</definedName>
    <definedName name="DD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7" hidden="1">{"'장비'!$A$3:$M$12"}</definedName>
    <definedName name="ddd" localSheetId="2" hidden="1">{"'장비'!$A$3:$M$12"}</definedName>
    <definedName name="ddd" localSheetId="9" hidden="1">{"'장비'!$A$3:$M$12"}</definedName>
    <definedName name="DDD" localSheetId="5">#REF!</definedName>
    <definedName name="ddd" localSheetId="8" hidden="1">{"'장비'!$A$3:$M$12"}</definedName>
    <definedName name="ddd" localSheetId="0" hidden="1">{"'장비'!$A$3:$M$12"}</definedName>
    <definedName name="DDD">#REF!</definedName>
    <definedName name="ddddd" localSheetId="14" hidden="1">{#N/A,#N/A,FALSE,"Plan1";#N/A,#N/A,FALSE,"Plan2"}</definedName>
    <definedName name="ddddd" localSheetId="7" hidden="1">{#N/A,#N/A,FALSE,"Plan1";#N/A,#N/A,FALSE,"Plan2"}</definedName>
    <definedName name="ddddd" localSheetId="1" hidden="1">{#N/A,#N/A,FALSE,"Plan1";#N/A,#N/A,FALSE,"Plan2"}</definedName>
    <definedName name="ddddd" localSheetId="2" hidden="1">{#N/A,#N/A,FALSE,"Plan1";#N/A,#N/A,FALSE,"Plan2"}</definedName>
    <definedName name="ddddd" localSheetId="9" hidden="1">{#N/A,#N/A,FALSE,"Plan1";#N/A,#N/A,FALSE,"Plan2"}</definedName>
    <definedName name="ddddd" localSheetId="5" hidden="1">{#N/A,#N/A,FALSE,"Plan1";#N/A,#N/A,FALSE,"Plan2"}</definedName>
    <definedName name="ddddd" localSheetId="4" hidden="1">{#N/A,#N/A,FALSE,"Plan1";#N/A,#N/A,FALSE,"Plan2"}</definedName>
    <definedName name="ddddd" localSheetId="8" hidden="1">{#N/A,#N/A,FALSE,"Plan1";#N/A,#N/A,FALSE,"Plan2"}</definedName>
    <definedName name="ddddd" localSheetId="12" hidden="1">{#N/A,#N/A,FALSE,"Plan1";#N/A,#N/A,FALSE,"Plan2"}</definedName>
    <definedName name="ddddd" localSheetId="16" hidden="1">{#N/A,#N/A,FALSE,"Plan1";#N/A,#N/A,FALSE,"Plan2"}</definedName>
    <definedName name="ddddd" localSheetId="0" hidden="1">{#N/A,#N/A,FALSE,"Plan1";#N/A,#N/A,FALSE,"Plan2"}</definedName>
    <definedName name="ddddd" localSheetId="11" hidden="1">{#N/A,#N/A,FALSE,"Plan1";#N/A,#N/A,FALSE,"Plan2"}</definedName>
    <definedName name="ddddd" localSheetId="13" hidden="1">{#N/A,#N/A,FALSE,"Plan1";#N/A,#N/A,FALSE,"Plan2"}</definedName>
    <definedName name="ddddd" hidden="1">{#N/A,#N/A,FALSE,"Plan1";#N/A,#N/A,FALSE,"Plan2"}</definedName>
    <definedName name="ddddddddddd" localSheetId="2">#REF!</definedName>
    <definedName name="ddddddddddd" localSheetId="9">#REF!</definedName>
    <definedName name="ddddddddddd" localSheetId="5">#REF!</definedName>
    <definedName name="ddddddddddd" localSheetId="24">#REF!</definedName>
    <definedName name="ddddddddddd">#REF!</definedName>
    <definedName name="dddddddddddddddddddddddddd" localSheetId="2">#REF!</definedName>
    <definedName name="dddddddddddddddddddddddddd" localSheetId="5">#REF!</definedName>
    <definedName name="dddddddddddddddddddddddddd">#REF!</definedName>
    <definedName name="dddddddddddddppppppppp" localSheetId="2">#REF!</definedName>
    <definedName name="dddddddddddddppppppppp" localSheetId="5">#REF!</definedName>
    <definedName name="dddddddddddddppppppppp">#REF!</definedName>
    <definedName name="dde" localSheetId="14" hidden="1">{#N/A,#N/A,FALSE,"Plan1";#N/A,#N/A,FALSE,"Plan2"}</definedName>
    <definedName name="dde" localSheetId="7" hidden="1">{#N/A,#N/A,FALSE,"Plan1";#N/A,#N/A,FALSE,"Plan2"}</definedName>
    <definedName name="dde" localSheetId="1" hidden="1">{#N/A,#N/A,FALSE,"Plan1";#N/A,#N/A,FALSE,"Plan2"}</definedName>
    <definedName name="dde" localSheetId="2" hidden="1">{#N/A,#N/A,FALSE,"Plan1";#N/A,#N/A,FALSE,"Plan2"}</definedName>
    <definedName name="dde" localSheetId="9" hidden="1">{#N/A,#N/A,FALSE,"Plan1";#N/A,#N/A,FALSE,"Plan2"}</definedName>
    <definedName name="dde" localSheetId="5" hidden="1">{#N/A,#N/A,FALSE,"Plan1";#N/A,#N/A,FALSE,"Plan2"}</definedName>
    <definedName name="dde" localSheetId="4" hidden="1">{#N/A,#N/A,FALSE,"Plan1";#N/A,#N/A,FALSE,"Plan2"}</definedName>
    <definedName name="dde" localSheetId="8" hidden="1">{#N/A,#N/A,FALSE,"Plan1";#N/A,#N/A,FALSE,"Plan2"}</definedName>
    <definedName name="dde" localSheetId="12" hidden="1">{#N/A,#N/A,FALSE,"Plan1";#N/A,#N/A,FALSE,"Plan2"}</definedName>
    <definedName name="dde" localSheetId="16" hidden="1">{#N/A,#N/A,FALSE,"Plan1";#N/A,#N/A,FALSE,"Plan2"}</definedName>
    <definedName name="dde" localSheetId="0" hidden="1">{#N/A,#N/A,FALSE,"Plan1";#N/A,#N/A,FALSE,"Plan2"}</definedName>
    <definedName name="dde" localSheetId="11" hidden="1">{#N/A,#N/A,FALSE,"Plan1";#N/A,#N/A,FALSE,"Plan2"}</definedName>
    <definedName name="dde" localSheetId="13" hidden="1">{#N/A,#N/A,FALSE,"Plan1";#N/A,#N/A,FALSE,"Plan2"}</definedName>
    <definedName name="dde" hidden="1">{#N/A,#N/A,FALSE,"Plan1";#N/A,#N/A,FALSE,"Plan2"}</definedName>
    <definedName name="ddfs" localSheetId="2" hidden="1">#REF!</definedName>
    <definedName name="ddfs" localSheetId="5" hidden="1">#REF!</definedName>
    <definedName name="ddfs" localSheetId="0" hidden="1">#REF!</definedName>
    <definedName name="ddfs" hidden="1">#REF!</definedName>
    <definedName name="ddgfdvgd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4" hidden="1">{#N/A,#N/A,FALSE,"Plan1";#N/A,#N/A,FALSE,"Plan2"}</definedName>
    <definedName name="DDGSFG" localSheetId="7" hidden="1">{#N/A,#N/A,FALSE,"Plan1";#N/A,#N/A,FALSE,"Plan2"}</definedName>
    <definedName name="DDGSFG" localSheetId="1" hidden="1">{#N/A,#N/A,FALSE,"Plan1";#N/A,#N/A,FALSE,"Plan2"}</definedName>
    <definedName name="DDGSFG" localSheetId="2" hidden="1">{#N/A,#N/A,FALSE,"Plan1";#N/A,#N/A,FALSE,"Plan2"}</definedName>
    <definedName name="DDGSFG" localSheetId="9" hidden="1">{#N/A,#N/A,FALSE,"Plan1";#N/A,#N/A,FALSE,"Plan2"}</definedName>
    <definedName name="DDGSFG" localSheetId="5" hidden="1">{#N/A,#N/A,FALSE,"Plan1";#N/A,#N/A,FALSE,"Plan2"}</definedName>
    <definedName name="DDGSFG" localSheetId="4" hidden="1">{#N/A,#N/A,FALSE,"Plan1";#N/A,#N/A,FALSE,"Plan2"}</definedName>
    <definedName name="DDGSFG" localSheetId="8" hidden="1">{#N/A,#N/A,FALSE,"Plan1";#N/A,#N/A,FALSE,"Plan2"}</definedName>
    <definedName name="DDGSFG" localSheetId="12" hidden="1">{#N/A,#N/A,FALSE,"Plan1";#N/A,#N/A,FALSE,"Plan2"}</definedName>
    <definedName name="DDGSFG" localSheetId="16" hidden="1">{#N/A,#N/A,FALSE,"Plan1";#N/A,#N/A,FALSE,"Plan2"}</definedName>
    <definedName name="DDGSFG" localSheetId="0" hidden="1">{#N/A,#N/A,FALSE,"Plan1";#N/A,#N/A,FALSE,"Plan2"}</definedName>
    <definedName name="DDGSFG" localSheetId="11" hidden="1">{#N/A,#N/A,FALSE,"Plan1";#N/A,#N/A,FALSE,"Plan2"}</definedName>
    <definedName name="DDGSFG" localSheetId="13" hidden="1">{#N/A,#N/A,FALSE,"Plan1";#N/A,#N/A,FALSE,"Plan2"}</definedName>
    <definedName name="DDGSFG" hidden="1">{#N/A,#N/A,FALSE,"Plan1";#N/A,#N/A,FALSE,"Plan2"}</definedName>
    <definedName name="dede" localSheetId="14" hidden="1">{#N/A,#N/A,FALSE,"Plan1";#N/A,#N/A,FALSE,"Plan2"}</definedName>
    <definedName name="dede" localSheetId="7" hidden="1">{#N/A,#N/A,FALSE,"Plan1";#N/A,#N/A,FALSE,"Plan2"}</definedName>
    <definedName name="dede" localSheetId="1" hidden="1">{#N/A,#N/A,FALSE,"Plan1";#N/A,#N/A,FALSE,"Plan2"}</definedName>
    <definedName name="dede" localSheetId="2" hidden="1">{#N/A,#N/A,FALSE,"Plan1";#N/A,#N/A,FALSE,"Plan2"}</definedName>
    <definedName name="dede" localSheetId="9" hidden="1">{#N/A,#N/A,FALSE,"Plan1";#N/A,#N/A,FALSE,"Plan2"}</definedName>
    <definedName name="dede" localSheetId="5" hidden="1">{#N/A,#N/A,FALSE,"Plan1";#N/A,#N/A,FALSE,"Plan2"}</definedName>
    <definedName name="dede" localSheetId="4" hidden="1">{#N/A,#N/A,FALSE,"Plan1";#N/A,#N/A,FALSE,"Plan2"}</definedName>
    <definedName name="dede" localSheetId="8" hidden="1">{#N/A,#N/A,FALSE,"Plan1";#N/A,#N/A,FALSE,"Plan2"}</definedName>
    <definedName name="dede" localSheetId="12" hidden="1">{#N/A,#N/A,FALSE,"Plan1";#N/A,#N/A,FALSE,"Plan2"}</definedName>
    <definedName name="dede" localSheetId="16" hidden="1">{#N/A,#N/A,FALSE,"Plan1";#N/A,#N/A,FALSE,"Plan2"}</definedName>
    <definedName name="dede" localSheetId="0" hidden="1">{#N/A,#N/A,FALSE,"Plan1";#N/A,#N/A,FALSE,"Plan2"}</definedName>
    <definedName name="dede" localSheetId="11" hidden="1">{#N/A,#N/A,FALSE,"Plan1";#N/A,#N/A,FALSE,"Plan2"}</definedName>
    <definedName name="dede" localSheetId="13" hidden="1">{#N/A,#N/A,FALSE,"Plan1";#N/A,#N/A,FALSE,"Plan2"}</definedName>
    <definedName name="dede" hidden="1">{#N/A,#N/A,FALSE,"Plan1";#N/A,#N/A,FALSE,"Plan2"}</definedName>
    <definedName name="defasagem" localSheetId="2">OFFSET(INDEX(#REF!,MATCH(#REF!,#REF!,0)),1,0,COUNTA(#REF!)-1)</definedName>
    <definedName name="defasagem" localSheetId="5">OFFSET(INDEX(#REF!,MATCH(#REF!,#REF!,0)),1,0,COUNTA(#REF!)-1)</definedName>
    <definedName name="defasagem">OFFSET(INDEX(#REF!,MATCH(#REF!,#REF!,0)),1,0,COUNTA(#REF!)-1)</definedName>
    <definedName name="depara" localSheetId="2">#REF!</definedName>
    <definedName name="depara" localSheetId="5">#REF!</definedName>
    <definedName name="depara">#REF!</definedName>
    <definedName name="DERIVQT" localSheetId="2">#REF!</definedName>
    <definedName name="DERIVQT" localSheetId="5">#REF!</definedName>
    <definedName name="DERIVQT">#REF!</definedName>
    <definedName name="des" localSheetId="14" hidden="1">{#N/A,#N/A,FALSE,"Plan1";#N/A,#N/A,FALSE,"Plan2"}</definedName>
    <definedName name="des" localSheetId="7" hidden="1">{#N/A,#N/A,FALSE,"Plan1";#N/A,#N/A,FALSE,"Plan2"}</definedName>
    <definedName name="des" localSheetId="1" hidden="1">{#N/A,#N/A,FALSE,"Plan1";#N/A,#N/A,FALSE,"Plan2"}</definedName>
    <definedName name="des" localSheetId="2" hidden="1">{#N/A,#N/A,FALSE,"Plan1";#N/A,#N/A,FALSE,"Plan2"}</definedName>
    <definedName name="des" localSheetId="9" hidden="1">{#N/A,#N/A,FALSE,"Plan1";#N/A,#N/A,FALSE,"Plan2"}</definedName>
    <definedName name="des" localSheetId="5" hidden="1">{#N/A,#N/A,FALSE,"Plan1";#N/A,#N/A,FALSE,"Plan2"}</definedName>
    <definedName name="des" localSheetId="4" hidden="1">{#N/A,#N/A,FALSE,"Plan1";#N/A,#N/A,FALSE,"Plan2"}</definedName>
    <definedName name="des" localSheetId="8" hidden="1">{#N/A,#N/A,FALSE,"Plan1";#N/A,#N/A,FALSE,"Plan2"}</definedName>
    <definedName name="des" localSheetId="12" hidden="1">{#N/A,#N/A,FALSE,"Plan1";#N/A,#N/A,FALSE,"Plan2"}</definedName>
    <definedName name="des" localSheetId="16" hidden="1">{#N/A,#N/A,FALSE,"Plan1";#N/A,#N/A,FALSE,"Plan2"}</definedName>
    <definedName name="des" localSheetId="0" hidden="1">{#N/A,#N/A,FALSE,"Plan1";#N/A,#N/A,FALSE,"Plan2"}</definedName>
    <definedName name="des" localSheetId="11" hidden="1">{#N/A,#N/A,FALSE,"Plan1";#N/A,#N/A,FALSE,"Plan2"}</definedName>
    <definedName name="des" localSheetId="13" hidden="1">{#N/A,#N/A,FALSE,"Plan1";#N/A,#N/A,FALSE,"Plan2"}</definedName>
    <definedName name="des" hidden="1">{#N/A,#N/A,FALSE,"Plan1";#N/A,#N/A,FALSE,"Plan2"}</definedName>
    <definedName name="desc" localSheetId="14" hidden="1">{#N/A,#N/A,FALSE,"Plan1";#N/A,#N/A,FALSE,"Plan2"}</definedName>
    <definedName name="desc" localSheetId="7" hidden="1">{#N/A,#N/A,FALSE,"Plan1";#N/A,#N/A,FALSE,"Plan2"}</definedName>
    <definedName name="desc" localSheetId="1" hidden="1">{#N/A,#N/A,FALSE,"Plan1";#N/A,#N/A,FALSE,"Plan2"}</definedName>
    <definedName name="desc" localSheetId="2" hidden="1">{#N/A,#N/A,FALSE,"Plan1";#N/A,#N/A,FALSE,"Plan2"}</definedName>
    <definedName name="desc" localSheetId="9" hidden="1">{#N/A,#N/A,FALSE,"Plan1";#N/A,#N/A,FALSE,"Plan2"}</definedName>
    <definedName name="desc" localSheetId="5" hidden="1">{#N/A,#N/A,FALSE,"Plan1";#N/A,#N/A,FALSE,"Plan2"}</definedName>
    <definedName name="desc" localSheetId="4" hidden="1">{#N/A,#N/A,FALSE,"Plan1";#N/A,#N/A,FALSE,"Plan2"}</definedName>
    <definedName name="desc" localSheetId="8" hidden="1">{#N/A,#N/A,FALSE,"Plan1";#N/A,#N/A,FALSE,"Plan2"}</definedName>
    <definedName name="desc" localSheetId="12" hidden="1">{#N/A,#N/A,FALSE,"Plan1";#N/A,#N/A,FALSE,"Plan2"}</definedName>
    <definedName name="desc" localSheetId="16" hidden="1">{#N/A,#N/A,FALSE,"Plan1";#N/A,#N/A,FALSE,"Plan2"}</definedName>
    <definedName name="desc" localSheetId="0" hidden="1">{#N/A,#N/A,FALSE,"Plan1";#N/A,#N/A,FALSE,"Plan2"}</definedName>
    <definedName name="desc" localSheetId="11" hidden="1">{#N/A,#N/A,FALSE,"Plan1";#N/A,#N/A,FALSE,"Plan2"}</definedName>
    <definedName name="desc" localSheetId="13" hidden="1">{#N/A,#N/A,FALSE,"Plan1";#N/A,#N/A,FALSE,"Plan2"}</definedName>
    <definedName name="desc" hidden="1">{#N/A,#N/A,FALSE,"Plan1";#N/A,#N/A,FALSE,"Plan2"}</definedName>
    <definedName name="DESCONTO" localSheetId="2">#REF!</definedName>
    <definedName name="DESCONTO" localSheetId="9">#REF!</definedName>
    <definedName name="DESCONTO" localSheetId="5">#REF!</definedName>
    <definedName name="DESCONTO" localSheetId="24">#REF!</definedName>
    <definedName name="DESCONTO">#REF!</definedName>
    <definedName name="DESCRIÇÃO_OBRA" localSheetId="2">#REF!</definedName>
    <definedName name="DESCRIÇÃO_OBRA" localSheetId="5">#REF!</definedName>
    <definedName name="DESCRIÇÃO_OBRA">#REF!</definedName>
    <definedName name="DespFatur" localSheetId="2">#REF!</definedName>
    <definedName name="DespFatur" localSheetId="5">#REF!</definedName>
    <definedName name="DespFatur">#REF!</definedName>
    <definedName name="DEZ" localSheetId="2">#REF!</definedName>
    <definedName name="DEZ" localSheetId="5">#REF!</definedName>
    <definedName name="DEZ" localSheetId="24">#REF!</definedName>
    <definedName name="DEZ">#REF!</definedName>
    <definedName name="dez17RJ" localSheetId="2">#REF!</definedName>
    <definedName name="dez17RJ" localSheetId="5">#REF!</definedName>
    <definedName name="dez17RJ">#REF!</definedName>
    <definedName name="DEZEMBRO" localSheetId="2">#REF!</definedName>
    <definedName name="DEZEMBRO" localSheetId="5">#REF!</definedName>
    <definedName name="DEZEMBRO">#REF!</definedName>
    <definedName name="DEZENOVE" localSheetId="2">#REF!</definedName>
    <definedName name="DEZENOVE" localSheetId="5">#REF!</definedName>
    <definedName name="DEZENOVE" localSheetId="24">#REF!</definedName>
    <definedName name="DEZENOVE">#REF!</definedName>
    <definedName name="DEZESSEIS" localSheetId="2">#REF!</definedName>
    <definedName name="DEZESSEIS" localSheetId="5">#REF!</definedName>
    <definedName name="DEZESSEIS" localSheetId="24">#REF!</definedName>
    <definedName name="DEZESSEIS">#REF!</definedName>
    <definedName name="DEZESSETE" localSheetId="2">#REF!</definedName>
    <definedName name="DEZESSETE" localSheetId="5">#REF!</definedName>
    <definedName name="DEZESSETE" localSheetId="24">#REF!</definedName>
    <definedName name="DEZESSETE">#REF!</definedName>
    <definedName name="DEZOITO" localSheetId="2">#REF!</definedName>
    <definedName name="DEZOITO" localSheetId="5">#REF!</definedName>
    <definedName name="DEZOITO" localSheetId="24">#REF!</definedName>
    <definedName name="DEZOITO">#REF!</definedName>
    <definedName name="d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4" hidden="1">{#N/A,#N/A,FALSE,"명세표"}</definedName>
    <definedName name="DFD" localSheetId="7" hidden="1">{#N/A,#N/A,FALSE,"명세표"}</definedName>
    <definedName name="DFD" localSheetId="1" hidden="1">{#N/A,#N/A,FALSE,"명세표"}</definedName>
    <definedName name="DFD" localSheetId="2" hidden="1">{#N/A,#N/A,FALSE,"명세표"}</definedName>
    <definedName name="DFD" localSheetId="9" hidden="1">{#N/A,#N/A,FALSE,"명세표"}</definedName>
    <definedName name="DFD" localSheetId="5" hidden="1">{#N/A,#N/A,FALSE,"명세표"}</definedName>
    <definedName name="DFD" localSheetId="4" hidden="1">{#N/A,#N/A,FALSE,"명세표"}</definedName>
    <definedName name="DFD" localSheetId="8" hidden="1">{#N/A,#N/A,FALSE,"명세표"}</definedName>
    <definedName name="DFD" localSheetId="12" hidden="1">{#N/A,#N/A,FALSE,"명세표"}</definedName>
    <definedName name="DFD" localSheetId="16" hidden="1">{#N/A,#N/A,FALSE,"명세표"}</definedName>
    <definedName name="DFD" localSheetId="0" hidden="1">{#N/A,#N/A,FALSE,"명세표"}</definedName>
    <definedName name="DFD" localSheetId="11" hidden="1">{#N/A,#N/A,FALSE,"명세표"}</definedName>
    <definedName name="DFD" localSheetId="13" hidden="1">{#N/A,#N/A,FALSE,"명세표"}</definedName>
    <definedName name="DFD" hidden="1">{#N/A,#N/A,FALSE,"명세표"}</definedName>
    <definedName name="dfdfty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4" hidden="1">{#N/A,#N/A,FALSE,"Plan1";#N/A,#N/A,FALSE,"Plan2"}</definedName>
    <definedName name="dfdjgfdfgdf" localSheetId="7" hidden="1">{#N/A,#N/A,FALSE,"Plan1";#N/A,#N/A,FALSE,"Plan2"}</definedName>
    <definedName name="dfdjgfdfgdf" localSheetId="1" hidden="1">{#N/A,#N/A,FALSE,"Plan1";#N/A,#N/A,FALSE,"Plan2"}</definedName>
    <definedName name="dfdjgfdfgdf" localSheetId="2" hidden="1">{#N/A,#N/A,FALSE,"Plan1";#N/A,#N/A,FALSE,"Plan2"}</definedName>
    <definedName name="dfdjgfdfgdf" localSheetId="9" hidden="1">{#N/A,#N/A,FALSE,"Plan1";#N/A,#N/A,FALSE,"Plan2"}</definedName>
    <definedName name="dfdjgfdfgdf" localSheetId="5" hidden="1">{#N/A,#N/A,FALSE,"Plan1";#N/A,#N/A,FALSE,"Plan2"}</definedName>
    <definedName name="dfdjgfdfgdf" localSheetId="4" hidden="1">{#N/A,#N/A,FALSE,"Plan1";#N/A,#N/A,FALSE,"Plan2"}</definedName>
    <definedName name="dfdjgfdfgdf" localSheetId="8" hidden="1">{#N/A,#N/A,FALSE,"Plan1";#N/A,#N/A,FALSE,"Plan2"}</definedName>
    <definedName name="dfdjgfdfgdf" localSheetId="12" hidden="1">{#N/A,#N/A,FALSE,"Plan1";#N/A,#N/A,FALSE,"Plan2"}</definedName>
    <definedName name="dfdjgfdfgdf" localSheetId="16" hidden="1">{#N/A,#N/A,FALSE,"Plan1";#N/A,#N/A,FALSE,"Plan2"}</definedName>
    <definedName name="dfdjgfdfgdf" localSheetId="0" hidden="1">{#N/A,#N/A,FALSE,"Plan1";#N/A,#N/A,FALSE,"Plan2"}</definedName>
    <definedName name="dfdjgfdfgdf" localSheetId="11" hidden="1">{#N/A,#N/A,FALSE,"Plan1";#N/A,#N/A,FALSE,"Plan2"}</definedName>
    <definedName name="dfdjgfdfgdf" localSheetId="13" hidden="1">{#N/A,#N/A,FALSE,"Plan1";#N/A,#N/A,FALSE,"Plan2"}</definedName>
    <definedName name="dfdjgfdfgdf" hidden="1">{#N/A,#N/A,FALSE,"Plan1";#N/A,#N/A,FALSE,"Plan2"}</definedName>
    <definedName name="dfdrtrr" localSheetId="14" hidden="1">{#N/A,#N/A,FALSE,"Plan1";#N/A,#N/A,FALSE,"Plan2"}</definedName>
    <definedName name="dfdrtrr" localSheetId="7" hidden="1">{#N/A,#N/A,FALSE,"Plan1";#N/A,#N/A,FALSE,"Plan2"}</definedName>
    <definedName name="dfdrtrr" localSheetId="1" hidden="1">{#N/A,#N/A,FALSE,"Plan1";#N/A,#N/A,FALSE,"Plan2"}</definedName>
    <definedName name="dfdrtrr" localSheetId="2" hidden="1">{#N/A,#N/A,FALSE,"Plan1";#N/A,#N/A,FALSE,"Plan2"}</definedName>
    <definedName name="dfdrtrr" localSheetId="9" hidden="1">{#N/A,#N/A,FALSE,"Plan1";#N/A,#N/A,FALSE,"Plan2"}</definedName>
    <definedName name="dfdrtrr" localSheetId="5" hidden="1">{#N/A,#N/A,FALSE,"Plan1";#N/A,#N/A,FALSE,"Plan2"}</definedName>
    <definedName name="dfdrtrr" localSheetId="4" hidden="1">{#N/A,#N/A,FALSE,"Plan1";#N/A,#N/A,FALSE,"Plan2"}</definedName>
    <definedName name="dfdrtrr" localSheetId="8" hidden="1">{#N/A,#N/A,FALSE,"Plan1";#N/A,#N/A,FALSE,"Plan2"}</definedName>
    <definedName name="dfdrtrr" localSheetId="12" hidden="1">{#N/A,#N/A,FALSE,"Plan1";#N/A,#N/A,FALSE,"Plan2"}</definedName>
    <definedName name="dfdrtrr" localSheetId="16" hidden="1">{#N/A,#N/A,FALSE,"Plan1";#N/A,#N/A,FALSE,"Plan2"}</definedName>
    <definedName name="dfdrtrr" localSheetId="0" hidden="1">{#N/A,#N/A,FALSE,"Plan1";#N/A,#N/A,FALSE,"Plan2"}</definedName>
    <definedName name="dfdrtrr" localSheetId="11" hidden="1">{#N/A,#N/A,FALSE,"Plan1";#N/A,#N/A,FALSE,"Plan2"}</definedName>
    <definedName name="dfdrtrr" localSheetId="13" hidden="1">{#N/A,#N/A,FALSE,"Plan1";#N/A,#N/A,FALSE,"Plan2"}</definedName>
    <definedName name="dfdrtrr" hidden="1">{#N/A,#N/A,FALSE,"Plan1";#N/A,#N/A,FALSE,"Plan2"}</definedName>
    <definedName name="DFDSG" localSheetId="14" hidden="1">{#N/A,#N/A,FALSE,"Plan1";#N/A,#N/A,FALSE,"Plan2"}</definedName>
    <definedName name="DFDSG" localSheetId="7" hidden="1">{#N/A,#N/A,FALSE,"Plan1";#N/A,#N/A,FALSE,"Plan2"}</definedName>
    <definedName name="DFDSG" localSheetId="1" hidden="1">{#N/A,#N/A,FALSE,"Plan1";#N/A,#N/A,FALSE,"Plan2"}</definedName>
    <definedName name="DFDSG" localSheetId="2" hidden="1">{#N/A,#N/A,FALSE,"Plan1";#N/A,#N/A,FALSE,"Plan2"}</definedName>
    <definedName name="DFDSG" localSheetId="9" hidden="1">{#N/A,#N/A,FALSE,"Plan1";#N/A,#N/A,FALSE,"Plan2"}</definedName>
    <definedName name="DFDSG" localSheetId="5" hidden="1">{#N/A,#N/A,FALSE,"Plan1";#N/A,#N/A,FALSE,"Plan2"}</definedName>
    <definedName name="DFDSG" localSheetId="4" hidden="1">{#N/A,#N/A,FALSE,"Plan1";#N/A,#N/A,FALSE,"Plan2"}</definedName>
    <definedName name="DFDSG" localSheetId="8" hidden="1">{#N/A,#N/A,FALSE,"Plan1";#N/A,#N/A,FALSE,"Plan2"}</definedName>
    <definedName name="DFDSG" localSheetId="12" hidden="1">{#N/A,#N/A,FALSE,"Plan1";#N/A,#N/A,FALSE,"Plan2"}</definedName>
    <definedName name="DFDSG" localSheetId="16" hidden="1">{#N/A,#N/A,FALSE,"Plan1";#N/A,#N/A,FALSE,"Plan2"}</definedName>
    <definedName name="DFDSG" localSheetId="0" hidden="1">{#N/A,#N/A,FALSE,"Plan1";#N/A,#N/A,FALSE,"Plan2"}</definedName>
    <definedName name="DFDSG" localSheetId="11" hidden="1">{#N/A,#N/A,FALSE,"Plan1";#N/A,#N/A,FALSE,"Plan2"}</definedName>
    <definedName name="DFDSG" localSheetId="13" hidden="1">{#N/A,#N/A,FALSE,"Plan1";#N/A,#N/A,FALSE,"Plan2"}</definedName>
    <definedName name="DFDSG" hidden="1">{#N/A,#N/A,FALSE,"Plan1";#N/A,#N/A,FALSE,"Plan2"}</definedName>
    <definedName name="dfer" localSheetId="14" hidden="1">{#N/A,#N/A,FALSE,"Plan1";#N/A,#N/A,FALSE,"Plan2"}</definedName>
    <definedName name="dfer" localSheetId="7" hidden="1">{#N/A,#N/A,FALSE,"Plan1";#N/A,#N/A,FALSE,"Plan2"}</definedName>
    <definedName name="dfer" localSheetId="1" hidden="1">{#N/A,#N/A,FALSE,"Plan1";#N/A,#N/A,FALSE,"Plan2"}</definedName>
    <definedName name="dfer" localSheetId="2" hidden="1">{#N/A,#N/A,FALSE,"Plan1";#N/A,#N/A,FALSE,"Plan2"}</definedName>
    <definedName name="dfer" localSheetId="9" hidden="1">{#N/A,#N/A,FALSE,"Plan1";#N/A,#N/A,FALSE,"Plan2"}</definedName>
    <definedName name="dfer" localSheetId="5" hidden="1">{#N/A,#N/A,FALSE,"Plan1";#N/A,#N/A,FALSE,"Plan2"}</definedName>
    <definedName name="dfer" localSheetId="4" hidden="1">{#N/A,#N/A,FALSE,"Plan1";#N/A,#N/A,FALSE,"Plan2"}</definedName>
    <definedName name="dfer" localSheetId="8" hidden="1">{#N/A,#N/A,FALSE,"Plan1";#N/A,#N/A,FALSE,"Plan2"}</definedName>
    <definedName name="dfer" localSheetId="12" hidden="1">{#N/A,#N/A,FALSE,"Plan1";#N/A,#N/A,FALSE,"Plan2"}</definedName>
    <definedName name="dfer" localSheetId="16" hidden="1">{#N/A,#N/A,FALSE,"Plan1";#N/A,#N/A,FALSE,"Plan2"}</definedName>
    <definedName name="dfer" localSheetId="0" hidden="1">{#N/A,#N/A,FALSE,"Plan1";#N/A,#N/A,FALSE,"Plan2"}</definedName>
    <definedName name="dfer" localSheetId="11" hidden="1">{#N/A,#N/A,FALSE,"Plan1";#N/A,#N/A,FALSE,"Plan2"}</definedName>
    <definedName name="dfer" localSheetId="13" hidden="1">{#N/A,#N/A,FALSE,"Plan1";#N/A,#N/A,FALSE,"Plan2"}</definedName>
    <definedName name="dfer" hidden="1">{#N/A,#N/A,FALSE,"Plan1";#N/A,#N/A,FALSE,"Plan2"}</definedName>
    <definedName name="dffbty" localSheetId="14" hidden="1">{#N/A,#N/A,FALSE,"Plan1";#N/A,#N/A,FALSE,"Plan2"}</definedName>
    <definedName name="dffbty" localSheetId="7" hidden="1">{#N/A,#N/A,FALSE,"Plan1";#N/A,#N/A,FALSE,"Plan2"}</definedName>
    <definedName name="dffbty" localSheetId="1" hidden="1">{#N/A,#N/A,FALSE,"Plan1";#N/A,#N/A,FALSE,"Plan2"}</definedName>
    <definedName name="dffbty" localSheetId="2" hidden="1">{#N/A,#N/A,FALSE,"Plan1";#N/A,#N/A,FALSE,"Plan2"}</definedName>
    <definedName name="dffbty" localSheetId="9" hidden="1">{#N/A,#N/A,FALSE,"Plan1";#N/A,#N/A,FALSE,"Plan2"}</definedName>
    <definedName name="dffbty" localSheetId="5" hidden="1">{#N/A,#N/A,FALSE,"Plan1";#N/A,#N/A,FALSE,"Plan2"}</definedName>
    <definedName name="dffbty" localSheetId="4" hidden="1">{#N/A,#N/A,FALSE,"Plan1";#N/A,#N/A,FALSE,"Plan2"}</definedName>
    <definedName name="dffbty" localSheetId="8" hidden="1">{#N/A,#N/A,FALSE,"Plan1";#N/A,#N/A,FALSE,"Plan2"}</definedName>
    <definedName name="dffbty" localSheetId="12" hidden="1">{#N/A,#N/A,FALSE,"Plan1";#N/A,#N/A,FALSE,"Plan2"}</definedName>
    <definedName name="dffbty" localSheetId="16" hidden="1">{#N/A,#N/A,FALSE,"Plan1";#N/A,#N/A,FALSE,"Plan2"}</definedName>
    <definedName name="dffbty" localSheetId="0" hidden="1">{#N/A,#N/A,FALSE,"Plan1";#N/A,#N/A,FALSE,"Plan2"}</definedName>
    <definedName name="dffbty" localSheetId="11" hidden="1">{#N/A,#N/A,FALSE,"Plan1";#N/A,#N/A,FALSE,"Plan2"}</definedName>
    <definedName name="dffbty" localSheetId="13" hidden="1">{#N/A,#N/A,FALSE,"Plan1";#N/A,#N/A,FALSE,"Plan2"}</definedName>
    <definedName name="dffbty" hidden="1">{#N/A,#N/A,FALSE,"Plan1";#N/A,#N/A,FALSE,"Plan2"}</definedName>
    <definedName name="dffg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4" hidden="1">{#N/A,#N/A,FALSE,"Plan1";#N/A,#N/A,FALSE,"Plan2"}</definedName>
    <definedName name="dffhg" localSheetId="7" hidden="1">{#N/A,#N/A,FALSE,"Plan1";#N/A,#N/A,FALSE,"Plan2"}</definedName>
    <definedName name="dffhg" localSheetId="1" hidden="1">{#N/A,#N/A,FALSE,"Plan1";#N/A,#N/A,FALSE,"Plan2"}</definedName>
    <definedName name="dffhg" localSheetId="2" hidden="1">{#N/A,#N/A,FALSE,"Plan1";#N/A,#N/A,FALSE,"Plan2"}</definedName>
    <definedName name="dffhg" localSheetId="9" hidden="1">{#N/A,#N/A,FALSE,"Plan1";#N/A,#N/A,FALSE,"Plan2"}</definedName>
    <definedName name="dffhg" localSheetId="5" hidden="1">{#N/A,#N/A,FALSE,"Plan1";#N/A,#N/A,FALSE,"Plan2"}</definedName>
    <definedName name="dffhg" localSheetId="4" hidden="1">{#N/A,#N/A,FALSE,"Plan1";#N/A,#N/A,FALSE,"Plan2"}</definedName>
    <definedName name="dffhg" localSheetId="8" hidden="1">{#N/A,#N/A,FALSE,"Plan1";#N/A,#N/A,FALSE,"Plan2"}</definedName>
    <definedName name="dffhg" localSheetId="12" hidden="1">{#N/A,#N/A,FALSE,"Plan1";#N/A,#N/A,FALSE,"Plan2"}</definedName>
    <definedName name="dffhg" localSheetId="16" hidden="1">{#N/A,#N/A,FALSE,"Plan1";#N/A,#N/A,FALSE,"Plan2"}</definedName>
    <definedName name="dffhg" localSheetId="0" hidden="1">{#N/A,#N/A,FALSE,"Plan1";#N/A,#N/A,FALSE,"Plan2"}</definedName>
    <definedName name="dffhg" localSheetId="11" hidden="1">{#N/A,#N/A,FALSE,"Plan1";#N/A,#N/A,FALSE,"Plan2"}</definedName>
    <definedName name="dffhg" localSheetId="13" hidden="1">{#N/A,#N/A,FALSE,"Plan1";#N/A,#N/A,FALSE,"Plan2"}</definedName>
    <definedName name="dffhg" hidden="1">{#N/A,#N/A,FALSE,"Plan1";#N/A,#N/A,FALSE,"Plan2"}</definedName>
    <definedName name="dfg" localSheetId="14" hidden="1">{#N/A,#N/A,FALSE,"Plan1";#N/A,#N/A,FALSE,"Plan2"}</definedName>
    <definedName name="dfg" localSheetId="7" hidden="1">{#N/A,#N/A,FALSE,"Plan1";#N/A,#N/A,FALSE,"Plan2"}</definedName>
    <definedName name="dfg" localSheetId="1" hidden="1">{#N/A,#N/A,FALSE,"Plan1";#N/A,#N/A,FALSE,"Plan2"}</definedName>
    <definedName name="dfg" localSheetId="2" hidden="1">{#N/A,#N/A,FALSE,"Plan1";#N/A,#N/A,FALSE,"Plan2"}</definedName>
    <definedName name="dfg" localSheetId="9" hidden="1">{#N/A,#N/A,FALSE,"Plan1";#N/A,#N/A,FALSE,"Plan2"}</definedName>
    <definedName name="dfg" localSheetId="5" hidden="1">{#N/A,#N/A,FALSE,"Plan1";#N/A,#N/A,FALSE,"Plan2"}</definedName>
    <definedName name="dfg" localSheetId="4" hidden="1">{#N/A,#N/A,FALSE,"Plan1";#N/A,#N/A,FALSE,"Plan2"}</definedName>
    <definedName name="dfg" localSheetId="8" hidden="1">{#N/A,#N/A,FALSE,"Plan1";#N/A,#N/A,FALSE,"Plan2"}</definedName>
    <definedName name="dfg" localSheetId="12" hidden="1">{#N/A,#N/A,FALSE,"Plan1";#N/A,#N/A,FALSE,"Plan2"}</definedName>
    <definedName name="dfg" localSheetId="16" hidden="1">{#N/A,#N/A,FALSE,"Plan1";#N/A,#N/A,FALSE,"Plan2"}</definedName>
    <definedName name="dfg" localSheetId="0" hidden="1">{#N/A,#N/A,FALSE,"Plan1";#N/A,#N/A,FALSE,"Plan2"}</definedName>
    <definedName name="dfg" localSheetId="11" hidden="1">{#N/A,#N/A,FALSE,"Plan1";#N/A,#N/A,FALSE,"Plan2"}</definedName>
    <definedName name="dfg" localSheetId="13" hidden="1">{#N/A,#N/A,FALSE,"Plan1";#N/A,#N/A,FALSE,"Plan2"}</definedName>
    <definedName name="dfg" hidden="1">{#N/A,#N/A,FALSE,"Plan1";#N/A,#N/A,FALSE,"Plan2"}</definedName>
    <definedName name="dfgdf" localSheetId="14" hidden="1">{#N/A,#N/A,FALSE,"Plan1";#N/A,#N/A,FALSE,"Plan2"}</definedName>
    <definedName name="dfgdf" localSheetId="7" hidden="1">{#N/A,#N/A,FALSE,"Plan1";#N/A,#N/A,FALSE,"Plan2"}</definedName>
    <definedName name="dfgdf" localSheetId="1" hidden="1">{#N/A,#N/A,FALSE,"Plan1";#N/A,#N/A,FALSE,"Plan2"}</definedName>
    <definedName name="dfgdf" localSheetId="2" hidden="1">{#N/A,#N/A,FALSE,"Plan1";#N/A,#N/A,FALSE,"Plan2"}</definedName>
    <definedName name="dfgdf" localSheetId="9" hidden="1">{#N/A,#N/A,FALSE,"Plan1";#N/A,#N/A,FALSE,"Plan2"}</definedName>
    <definedName name="dfgdf" localSheetId="5" hidden="1">{#N/A,#N/A,FALSE,"Plan1";#N/A,#N/A,FALSE,"Plan2"}</definedName>
    <definedName name="dfgdf" localSheetId="4" hidden="1">{#N/A,#N/A,FALSE,"Plan1";#N/A,#N/A,FALSE,"Plan2"}</definedName>
    <definedName name="dfgdf" localSheetId="8" hidden="1">{#N/A,#N/A,FALSE,"Plan1";#N/A,#N/A,FALSE,"Plan2"}</definedName>
    <definedName name="dfgdf" localSheetId="12" hidden="1">{#N/A,#N/A,FALSE,"Plan1";#N/A,#N/A,FALSE,"Plan2"}</definedName>
    <definedName name="dfgdf" localSheetId="16" hidden="1">{#N/A,#N/A,FALSE,"Plan1";#N/A,#N/A,FALSE,"Plan2"}</definedName>
    <definedName name="dfgdf" localSheetId="0" hidden="1">{#N/A,#N/A,FALSE,"Plan1";#N/A,#N/A,FALSE,"Plan2"}</definedName>
    <definedName name="dfgdf" localSheetId="11" hidden="1">{#N/A,#N/A,FALSE,"Plan1";#N/A,#N/A,FALSE,"Plan2"}</definedName>
    <definedName name="dfgdf" localSheetId="13" hidden="1">{#N/A,#N/A,FALSE,"Plan1";#N/A,#N/A,FALSE,"Plan2"}</definedName>
    <definedName name="dfgdf" hidden="1">{#N/A,#N/A,FALSE,"Plan1";#N/A,#N/A,FALSE,"Plan2"}</definedName>
    <definedName name="dfgdytygr" localSheetId="14" hidden="1">{#N/A,#N/A,FALSE,"Plan1";#N/A,#N/A,FALSE,"Plan2"}</definedName>
    <definedName name="dfgdytygr" localSheetId="7" hidden="1">{#N/A,#N/A,FALSE,"Plan1";#N/A,#N/A,FALSE,"Plan2"}</definedName>
    <definedName name="dfgdytygr" localSheetId="1" hidden="1">{#N/A,#N/A,FALSE,"Plan1";#N/A,#N/A,FALSE,"Plan2"}</definedName>
    <definedName name="dfgdytygr" localSheetId="2" hidden="1">{#N/A,#N/A,FALSE,"Plan1";#N/A,#N/A,FALSE,"Plan2"}</definedName>
    <definedName name="dfgdytygr" localSheetId="9" hidden="1">{#N/A,#N/A,FALSE,"Plan1";#N/A,#N/A,FALSE,"Plan2"}</definedName>
    <definedName name="dfgdytygr" localSheetId="5" hidden="1">{#N/A,#N/A,FALSE,"Plan1";#N/A,#N/A,FALSE,"Plan2"}</definedName>
    <definedName name="dfgdytygr" localSheetId="4" hidden="1">{#N/A,#N/A,FALSE,"Plan1";#N/A,#N/A,FALSE,"Plan2"}</definedName>
    <definedName name="dfgdytygr" localSheetId="8" hidden="1">{#N/A,#N/A,FALSE,"Plan1";#N/A,#N/A,FALSE,"Plan2"}</definedName>
    <definedName name="dfgdytygr" localSheetId="12" hidden="1">{#N/A,#N/A,FALSE,"Plan1";#N/A,#N/A,FALSE,"Plan2"}</definedName>
    <definedName name="dfgdytygr" localSheetId="16" hidden="1">{#N/A,#N/A,FALSE,"Plan1";#N/A,#N/A,FALSE,"Plan2"}</definedName>
    <definedName name="dfgdytygr" localSheetId="0" hidden="1">{#N/A,#N/A,FALSE,"Plan1";#N/A,#N/A,FALSE,"Plan2"}</definedName>
    <definedName name="dfgdytygr" localSheetId="11" hidden="1">{#N/A,#N/A,FALSE,"Plan1";#N/A,#N/A,FALSE,"Plan2"}</definedName>
    <definedName name="dfgdytygr" localSheetId="13" hidden="1">{#N/A,#N/A,FALSE,"Plan1";#N/A,#N/A,FALSE,"Plan2"}</definedName>
    <definedName name="dfgdytygr" hidden="1">{#N/A,#N/A,FALSE,"Plan1";#N/A,#N/A,FALSE,"Plan2"}</definedName>
    <definedName name="dfgftrrdt5" localSheetId="14" hidden="1">{#N/A,#N/A,FALSE,"Plan1";#N/A,#N/A,FALSE,"Plan2"}</definedName>
    <definedName name="dfgftrrdt5" localSheetId="7" hidden="1">{#N/A,#N/A,FALSE,"Plan1";#N/A,#N/A,FALSE,"Plan2"}</definedName>
    <definedName name="dfgftrrdt5" localSheetId="1" hidden="1">{#N/A,#N/A,FALSE,"Plan1";#N/A,#N/A,FALSE,"Plan2"}</definedName>
    <definedName name="dfgftrrdt5" localSheetId="2" hidden="1">{#N/A,#N/A,FALSE,"Plan1";#N/A,#N/A,FALSE,"Plan2"}</definedName>
    <definedName name="dfgftrrdt5" localSheetId="9" hidden="1">{#N/A,#N/A,FALSE,"Plan1";#N/A,#N/A,FALSE,"Plan2"}</definedName>
    <definedName name="dfgftrrdt5" localSheetId="5" hidden="1">{#N/A,#N/A,FALSE,"Plan1";#N/A,#N/A,FALSE,"Plan2"}</definedName>
    <definedName name="dfgftrrdt5" localSheetId="4" hidden="1">{#N/A,#N/A,FALSE,"Plan1";#N/A,#N/A,FALSE,"Plan2"}</definedName>
    <definedName name="dfgftrrdt5" localSheetId="8" hidden="1">{#N/A,#N/A,FALSE,"Plan1";#N/A,#N/A,FALSE,"Plan2"}</definedName>
    <definedName name="dfgftrrdt5" localSheetId="12" hidden="1">{#N/A,#N/A,FALSE,"Plan1";#N/A,#N/A,FALSE,"Plan2"}</definedName>
    <definedName name="dfgftrrdt5" localSheetId="16" hidden="1">{#N/A,#N/A,FALSE,"Plan1";#N/A,#N/A,FALSE,"Plan2"}</definedName>
    <definedName name="dfgftrrdt5" localSheetId="0" hidden="1">{#N/A,#N/A,FALSE,"Plan1";#N/A,#N/A,FALSE,"Plan2"}</definedName>
    <definedName name="dfgftrrdt5" localSheetId="11" hidden="1">{#N/A,#N/A,FALSE,"Plan1";#N/A,#N/A,FALSE,"Plan2"}</definedName>
    <definedName name="dfgftrrdt5" localSheetId="13" hidden="1">{#N/A,#N/A,FALSE,"Plan1";#N/A,#N/A,FALSE,"Plan2"}</definedName>
    <definedName name="dfgftrrdt5" hidden="1">{#N/A,#N/A,FALSE,"Plan1";#N/A,#N/A,FALSE,"Plan2"}</definedName>
    <definedName name="dfgh" localSheetId="2">#REF!</definedName>
    <definedName name="dfgh" localSheetId="5">#REF!</definedName>
    <definedName name="dfgh">#REF!</definedName>
    <definedName name="dfghjfhsg" localSheetId="14" hidden="1">{#N/A,#N/A,FALSE,"Plan1";#N/A,#N/A,FALSE,"Plan2"}</definedName>
    <definedName name="dfghjfhsg" localSheetId="7" hidden="1">{#N/A,#N/A,FALSE,"Plan1";#N/A,#N/A,FALSE,"Plan2"}</definedName>
    <definedName name="dfghjfhsg" localSheetId="1" hidden="1">{#N/A,#N/A,FALSE,"Plan1";#N/A,#N/A,FALSE,"Plan2"}</definedName>
    <definedName name="dfghjfhsg" localSheetId="2" hidden="1">{#N/A,#N/A,FALSE,"Plan1";#N/A,#N/A,FALSE,"Plan2"}</definedName>
    <definedName name="dfghjfhsg" localSheetId="9" hidden="1">{#N/A,#N/A,FALSE,"Plan1";#N/A,#N/A,FALSE,"Plan2"}</definedName>
    <definedName name="dfghjfhsg" localSheetId="5" hidden="1">{#N/A,#N/A,FALSE,"Plan1";#N/A,#N/A,FALSE,"Plan2"}</definedName>
    <definedName name="dfghjfhsg" localSheetId="4" hidden="1">{#N/A,#N/A,FALSE,"Plan1";#N/A,#N/A,FALSE,"Plan2"}</definedName>
    <definedName name="dfghjfhsg" localSheetId="8" hidden="1">{#N/A,#N/A,FALSE,"Plan1";#N/A,#N/A,FALSE,"Plan2"}</definedName>
    <definedName name="dfghjfhsg" localSheetId="12" hidden="1">{#N/A,#N/A,FALSE,"Plan1";#N/A,#N/A,FALSE,"Plan2"}</definedName>
    <definedName name="dfghjfhsg" localSheetId="16" hidden="1">{#N/A,#N/A,FALSE,"Plan1";#N/A,#N/A,FALSE,"Plan2"}</definedName>
    <definedName name="dfghjfhsg" localSheetId="0" hidden="1">{#N/A,#N/A,FALSE,"Plan1";#N/A,#N/A,FALSE,"Plan2"}</definedName>
    <definedName name="dfghjfhsg" localSheetId="11" hidden="1">{#N/A,#N/A,FALSE,"Plan1";#N/A,#N/A,FALSE,"Plan2"}</definedName>
    <definedName name="dfghjfhsg" localSheetId="13" hidden="1">{#N/A,#N/A,FALSE,"Plan1";#N/A,#N/A,FALSE,"Plan2"}</definedName>
    <definedName name="dfghjfhsg" hidden="1">{#N/A,#N/A,FALSE,"Plan1";#N/A,#N/A,FALSE,"Plan2"}</definedName>
    <definedName name="dfgj" localSheetId="14" hidden="1">{#N/A,#N/A,FALSE,"Plan1";#N/A,#N/A,FALSE,"Plan2"}</definedName>
    <definedName name="dfgj" localSheetId="7" hidden="1">{#N/A,#N/A,FALSE,"Plan1";#N/A,#N/A,FALSE,"Plan2"}</definedName>
    <definedName name="dfgj" localSheetId="1" hidden="1">{#N/A,#N/A,FALSE,"Plan1";#N/A,#N/A,FALSE,"Plan2"}</definedName>
    <definedName name="dfgj" localSheetId="2" hidden="1">{#N/A,#N/A,FALSE,"Plan1";#N/A,#N/A,FALSE,"Plan2"}</definedName>
    <definedName name="dfgj" localSheetId="9" hidden="1">{#N/A,#N/A,FALSE,"Plan1";#N/A,#N/A,FALSE,"Plan2"}</definedName>
    <definedName name="dfgj" localSheetId="5" hidden="1">{#N/A,#N/A,FALSE,"Plan1";#N/A,#N/A,FALSE,"Plan2"}</definedName>
    <definedName name="dfgj" localSheetId="4" hidden="1">{#N/A,#N/A,FALSE,"Plan1";#N/A,#N/A,FALSE,"Plan2"}</definedName>
    <definedName name="dfgj" localSheetId="8" hidden="1">{#N/A,#N/A,FALSE,"Plan1";#N/A,#N/A,FALSE,"Plan2"}</definedName>
    <definedName name="dfgj" localSheetId="12" hidden="1">{#N/A,#N/A,FALSE,"Plan1";#N/A,#N/A,FALSE,"Plan2"}</definedName>
    <definedName name="dfgj" localSheetId="16" hidden="1">{#N/A,#N/A,FALSE,"Plan1";#N/A,#N/A,FALSE,"Plan2"}</definedName>
    <definedName name="dfgj" localSheetId="0" hidden="1">{#N/A,#N/A,FALSE,"Plan1";#N/A,#N/A,FALSE,"Plan2"}</definedName>
    <definedName name="dfgj" localSheetId="11" hidden="1">{#N/A,#N/A,FALSE,"Plan1";#N/A,#N/A,FALSE,"Plan2"}</definedName>
    <definedName name="dfgj" localSheetId="13" hidden="1">{#N/A,#N/A,FALSE,"Plan1";#N/A,#N/A,FALSE,"Plan2"}</definedName>
    <definedName name="dfgj" hidden="1">{#N/A,#N/A,FALSE,"Plan1";#N/A,#N/A,FALSE,"Plan2"}</definedName>
    <definedName name="dfgjfttyd" localSheetId="14" hidden="1">{#N/A,#N/A,FALSE,"Plan1";#N/A,#N/A,FALSE,"Plan2"}</definedName>
    <definedName name="dfgjfttyd" localSheetId="7" hidden="1">{#N/A,#N/A,FALSE,"Plan1";#N/A,#N/A,FALSE,"Plan2"}</definedName>
    <definedName name="dfgjfttyd" localSheetId="1" hidden="1">{#N/A,#N/A,FALSE,"Plan1";#N/A,#N/A,FALSE,"Plan2"}</definedName>
    <definedName name="dfgjfttyd" localSheetId="2" hidden="1">{#N/A,#N/A,FALSE,"Plan1";#N/A,#N/A,FALSE,"Plan2"}</definedName>
    <definedName name="dfgjfttyd" localSheetId="9" hidden="1">{#N/A,#N/A,FALSE,"Plan1";#N/A,#N/A,FALSE,"Plan2"}</definedName>
    <definedName name="dfgjfttyd" localSheetId="5" hidden="1">{#N/A,#N/A,FALSE,"Plan1";#N/A,#N/A,FALSE,"Plan2"}</definedName>
    <definedName name="dfgjfttyd" localSheetId="4" hidden="1">{#N/A,#N/A,FALSE,"Plan1";#N/A,#N/A,FALSE,"Plan2"}</definedName>
    <definedName name="dfgjfttyd" localSheetId="8" hidden="1">{#N/A,#N/A,FALSE,"Plan1";#N/A,#N/A,FALSE,"Plan2"}</definedName>
    <definedName name="dfgjfttyd" localSheetId="12" hidden="1">{#N/A,#N/A,FALSE,"Plan1";#N/A,#N/A,FALSE,"Plan2"}</definedName>
    <definedName name="dfgjfttyd" localSheetId="16" hidden="1">{#N/A,#N/A,FALSE,"Plan1";#N/A,#N/A,FALSE,"Plan2"}</definedName>
    <definedName name="dfgjfttyd" localSheetId="0" hidden="1">{#N/A,#N/A,FALSE,"Plan1";#N/A,#N/A,FALSE,"Plan2"}</definedName>
    <definedName name="dfgjfttyd" localSheetId="11" hidden="1">{#N/A,#N/A,FALSE,"Plan1";#N/A,#N/A,FALSE,"Plan2"}</definedName>
    <definedName name="dfgjfttyd" localSheetId="13" hidden="1">{#N/A,#N/A,FALSE,"Plan1";#N/A,#N/A,FALSE,"Plan2"}</definedName>
    <definedName name="dfgjfttyd" hidden="1">{#N/A,#N/A,FALSE,"Plan1";#N/A,#N/A,FALSE,"Plan2"}</definedName>
    <definedName name="dfgjjtdrtg" localSheetId="14" hidden="1">{#N/A,#N/A,FALSE,"Plan1";#N/A,#N/A,FALSE,"Plan2"}</definedName>
    <definedName name="dfgjjtdrtg" localSheetId="7" hidden="1">{#N/A,#N/A,FALSE,"Plan1";#N/A,#N/A,FALSE,"Plan2"}</definedName>
    <definedName name="dfgjjtdrtg" localSheetId="1" hidden="1">{#N/A,#N/A,FALSE,"Plan1";#N/A,#N/A,FALSE,"Plan2"}</definedName>
    <definedName name="dfgjjtdrtg" localSheetId="2" hidden="1">{#N/A,#N/A,FALSE,"Plan1";#N/A,#N/A,FALSE,"Plan2"}</definedName>
    <definedName name="dfgjjtdrtg" localSheetId="9" hidden="1">{#N/A,#N/A,FALSE,"Plan1";#N/A,#N/A,FALSE,"Plan2"}</definedName>
    <definedName name="dfgjjtdrtg" localSheetId="5" hidden="1">{#N/A,#N/A,FALSE,"Plan1";#N/A,#N/A,FALSE,"Plan2"}</definedName>
    <definedName name="dfgjjtdrtg" localSheetId="4" hidden="1">{#N/A,#N/A,FALSE,"Plan1";#N/A,#N/A,FALSE,"Plan2"}</definedName>
    <definedName name="dfgjjtdrtg" localSheetId="8" hidden="1">{#N/A,#N/A,FALSE,"Plan1";#N/A,#N/A,FALSE,"Plan2"}</definedName>
    <definedName name="dfgjjtdrtg" localSheetId="12" hidden="1">{#N/A,#N/A,FALSE,"Plan1";#N/A,#N/A,FALSE,"Plan2"}</definedName>
    <definedName name="dfgjjtdrtg" localSheetId="16" hidden="1">{#N/A,#N/A,FALSE,"Plan1";#N/A,#N/A,FALSE,"Plan2"}</definedName>
    <definedName name="dfgjjtdrtg" localSheetId="0" hidden="1">{#N/A,#N/A,FALSE,"Plan1";#N/A,#N/A,FALSE,"Plan2"}</definedName>
    <definedName name="dfgjjtdrtg" localSheetId="11" hidden="1">{#N/A,#N/A,FALSE,"Plan1";#N/A,#N/A,FALSE,"Plan2"}</definedName>
    <definedName name="dfgjjtdrtg" localSheetId="13" hidden="1">{#N/A,#N/A,FALSE,"Plan1";#N/A,#N/A,FALSE,"Plan2"}</definedName>
    <definedName name="dfgjjtdrtg" hidden="1">{#N/A,#N/A,FALSE,"Plan1";#N/A,#N/A,FALSE,"Plan2"}</definedName>
    <definedName name="dfgt" localSheetId="14" hidden="1">{#N/A,#N/A,FALSE,"Plan1";#N/A,#N/A,FALSE,"Plan2"}</definedName>
    <definedName name="dfgt" localSheetId="7" hidden="1">{#N/A,#N/A,FALSE,"Plan1";#N/A,#N/A,FALSE,"Plan2"}</definedName>
    <definedName name="dfgt" localSheetId="1" hidden="1">{#N/A,#N/A,FALSE,"Plan1";#N/A,#N/A,FALSE,"Plan2"}</definedName>
    <definedName name="dfgt" localSheetId="2" hidden="1">{#N/A,#N/A,FALSE,"Plan1";#N/A,#N/A,FALSE,"Plan2"}</definedName>
    <definedName name="dfgt" localSheetId="9" hidden="1">{#N/A,#N/A,FALSE,"Plan1";#N/A,#N/A,FALSE,"Plan2"}</definedName>
    <definedName name="dfgt" localSheetId="5" hidden="1">{#N/A,#N/A,FALSE,"Plan1";#N/A,#N/A,FALSE,"Plan2"}</definedName>
    <definedName name="dfgt" localSheetId="4" hidden="1">{#N/A,#N/A,FALSE,"Plan1";#N/A,#N/A,FALSE,"Plan2"}</definedName>
    <definedName name="dfgt" localSheetId="8" hidden="1">{#N/A,#N/A,FALSE,"Plan1";#N/A,#N/A,FALSE,"Plan2"}</definedName>
    <definedName name="dfgt" localSheetId="12" hidden="1">{#N/A,#N/A,FALSE,"Plan1";#N/A,#N/A,FALSE,"Plan2"}</definedName>
    <definedName name="dfgt" localSheetId="16" hidden="1">{#N/A,#N/A,FALSE,"Plan1";#N/A,#N/A,FALSE,"Plan2"}</definedName>
    <definedName name="dfgt" localSheetId="0" hidden="1">{#N/A,#N/A,FALSE,"Plan1";#N/A,#N/A,FALSE,"Plan2"}</definedName>
    <definedName name="dfgt" localSheetId="11" hidden="1">{#N/A,#N/A,FALSE,"Plan1";#N/A,#N/A,FALSE,"Plan2"}</definedName>
    <definedName name="dfgt" localSheetId="13" hidden="1">{#N/A,#N/A,FALSE,"Plan1";#N/A,#N/A,FALSE,"Plan2"}</definedName>
    <definedName name="dfgt" hidden="1">{#N/A,#N/A,FALSE,"Plan1";#N/A,#N/A,FALSE,"Plan2"}</definedName>
    <definedName name="dfgtrkjhk" localSheetId="14" hidden="1">{#N/A,#N/A,FALSE,"Plan1";#N/A,#N/A,FALSE,"Plan2"}</definedName>
    <definedName name="dfgtrkjhk" localSheetId="7" hidden="1">{#N/A,#N/A,FALSE,"Plan1";#N/A,#N/A,FALSE,"Plan2"}</definedName>
    <definedName name="dfgtrkjhk" localSheetId="1" hidden="1">{#N/A,#N/A,FALSE,"Plan1";#N/A,#N/A,FALSE,"Plan2"}</definedName>
    <definedName name="dfgtrkjhk" localSheetId="2" hidden="1">{#N/A,#N/A,FALSE,"Plan1";#N/A,#N/A,FALSE,"Plan2"}</definedName>
    <definedName name="dfgtrkjhk" localSheetId="9" hidden="1">{#N/A,#N/A,FALSE,"Plan1";#N/A,#N/A,FALSE,"Plan2"}</definedName>
    <definedName name="dfgtrkjhk" localSheetId="5" hidden="1">{#N/A,#N/A,FALSE,"Plan1";#N/A,#N/A,FALSE,"Plan2"}</definedName>
    <definedName name="dfgtrkjhk" localSheetId="4" hidden="1">{#N/A,#N/A,FALSE,"Plan1";#N/A,#N/A,FALSE,"Plan2"}</definedName>
    <definedName name="dfgtrkjhk" localSheetId="8" hidden="1">{#N/A,#N/A,FALSE,"Plan1";#N/A,#N/A,FALSE,"Plan2"}</definedName>
    <definedName name="dfgtrkjhk" localSheetId="12" hidden="1">{#N/A,#N/A,FALSE,"Plan1";#N/A,#N/A,FALSE,"Plan2"}</definedName>
    <definedName name="dfgtrkjhk" localSheetId="16" hidden="1">{#N/A,#N/A,FALSE,"Plan1";#N/A,#N/A,FALSE,"Plan2"}</definedName>
    <definedName name="dfgtrkjhk" localSheetId="0" hidden="1">{#N/A,#N/A,FALSE,"Plan1";#N/A,#N/A,FALSE,"Plan2"}</definedName>
    <definedName name="dfgtrkjhk" localSheetId="11" hidden="1">{#N/A,#N/A,FALSE,"Plan1";#N/A,#N/A,FALSE,"Plan2"}</definedName>
    <definedName name="dfgtrkjhk" localSheetId="13" hidden="1">{#N/A,#N/A,FALSE,"Plan1";#N/A,#N/A,FALSE,"Plan2"}</definedName>
    <definedName name="dfgtrkjhk" hidden="1">{#N/A,#N/A,FALSE,"Plan1";#N/A,#N/A,FALSE,"Plan2"}</definedName>
    <definedName name="dfgty" localSheetId="14" hidden="1">{#N/A,#N/A,FALSE,"Plan1";#N/A,#N/A,FALSE,"Plan2"}</definedName>
    <definedName name="dfgty" localSheetId="7" hidden="1">{#N/A,#N/A,FALSE,"Plan1";#N/A,#N/A,FALSE,"Plan2"}</definedName>
    <definedName name="dfgty" localSheetId="1" hidden="1">{#N/A,#N/A,FALSE,"Plan1";#N/A,#N/A,FALSE,"Plan2"}</definedName>
    <definedName name="dfgty" localSheetId="2" hidden="1">{#N/A,#N/A,FALSE,"Plan1";#N/A,#N/A,FALSE,"Plan2"}</definedName>
    <definedName name="dfgty" localSheetId="9" hidden="1">{#N/A,#N/A,FALSE,"Plan1";#N/A,#N/A,FALSE,"Plan2"}</definedName>
    <definedName name="dfgty" localSheetId="5" hidden="1">{#N/A,#N/A,FALSE,"Plan1";#N/A,#N/A,FALSE,"Plan2"}</definedName>
    <definedName name="dfgty" localSheetId="4" hidden="1">{#N/A,#N/A,FALSE,"Plan1";#N/A,#N/A,FALSE,"Plan2"}</definedName>
    <definedName name="dfgty" localSheetId="8" hidden="1">{#N/A,#N/A,FALSE,"Plan1";#N/A,#N/A,FALSE,"Plan2"}</definedName>
    <definedName name="dfgty" localSheetId="12" hidden="1">{#N/A,#N/A,FALSE,"Plan1";#N/A,#N/A,FALSE,"Plan2"}</definedName>
    <definedName name="dfgty" localSheetId="16" hidden="1">{#N/A,#N/A,FALSE,"Plan1";#N/A,#N/A,FALSE,"Plan2"}</definedName>
    <definedName name="dfgty" localSheetId="0" hidden="1">{#N/A,#N/A,FALSE,"Plan1";#N/A,#N/A,FALSE,"Plan2"}</definedName>
    <definedName name="dfgty" localSheetId="11" hidden="1">{#N/A,#N/A,FALSE,"Plan1";#N/A,#N/A,FALSE,"Plan2"}</definedName>
    <definedName name="dfgty" localSheetId="13" hidden="1">{#N/A,#N/A,FALSE,"Plan1";#N/A,#N/A,FALSE,"Plan2"}</definedName>
    <definedName name="dfgty" hidden="1">{#N/A,#N/A,FALSE,"Plan1";#N/A,#N/A,FALSE,"Plan2"}</definedName>
    <definedName name="dfhdgfdgf" localSheetId="14" hidden="1">{#N/A,#N/A,FALSE,"Plan1";#N/A,#N/A,FALSE,"Plan2"}</definedName>
    <definedName name="dfhdgfdgf" localSheetId="7" hidden="1">{#N/A,#N/A,FALSE,"Plan1";#N/A,#N/A,FALSE,"Plan2"}</definedName>
    <definedName name="dfhdgfdgf" localSheetId="1" hidden="1">{#N/A,#N/A,FALSE,"Plan1";#N/A,#N/A,FALSE,"Plan2"}</definedName>
    <definedName name="dfhdgfdgf" localSheetId="2" hidden="1">{#N/A,#N/A,FALSE,"Plan1";#N/A,#N/A,FALSE,"Plan2"}</definedName>
    <definedName name="dfhdgfdgf" localSheetId="9" hidden="1">{#N/A,#N/A,FALSE,"Plan1";#N/A,#N/A,FALSE,"Plan2"}</definedName>
    <definedName name="dfhdgfdgf" localSheetId="5" hidden="1">{#N/A,#N/A,FALSE,"Plan1";#N/A,#N/A,FALSE,"Plan2"}</definedName>
    <definedName name="dfhdgfdgf" localSheetId="4" hidden="1">{#N/A,#N/A,FALSE,"Plan1";#N/A,#N/A,FALSE,"Plan2"}</definedName>
    <definedName name="dfhdgfdgf" localSheetId="8" hidden="1">{#N/A,#N/A,FALSE,"Plan1";#N/A,#N/A,FALSE,"Plan2"}</definedName>
    <definedName name="dfhdgfdgf" localSheetId="12" hidden="1">{#N/A,#N/A,FALSE,"Plan1";#N/A,#N/A,FALSE,"Plan2"}</definedName>
    <definedName name="dfhdgfdgf" localSheetId="16" hidden="1">{#N/A,#N/A,FALSE,"Plan1";#N/A,#N/A,FALSE,"Plan2"}</definedName>
    <definedName name="dfhdgfdgf" localSheetId="0" hidden="1">{#N/A,#N/A,FALSE,"Plan1";#N/A,#N/A,FALSE,"Plan2"}</definedName>
    <definedName name="dfhdgfdgf" localSheetId="11" hidden="1">{#N/A,#N/A,FALSE,"Plan1";#N/A,#N/A,FALSE,"Plan2"}</definedName>
    <definedName name="dfhdgfdgf" localSheetId="13" hidden="1">{#N/A,#N/A,FALSE,"Plan1";#N/A,#N/A,FALSE,"Plan2"}</definedName>
    <definedName name="dfhdgfdgf" hidden="1">{#N/A,#N/A,FALSE,"Plan1";#N/A,#N/A,FALSE,"Plan2"}</definedName>
    <definedName name="DFHDJGJFHJGF" localSheetId="14" hidden="1">{#N/A,#N/A,FALSE,"Plan1";#N/A,#N/A,FALSE,"Plan2"}</definedName>
    <definedName name="DFHDJGJFHJGF" localSheetId="7" hidden="1">{#N/A,#N/A,FALSE,"Plan1";#N/A,#N/A,FALSE,"Plan2"}</definedName>
    <definedName name="DFHDJGJFHJGF" localSheetId="1" hidden="1">{#N/A,#N/A,FALSE,"Plan1";#N/A,#N/A,FALSE,"Plan2"}</definedName>
    <definedName name="DFHDJGJFHJGF" localSheetId="2" hidden="1">{#N/A,#N/A,FALSE,"Plan1";#N/A,#N/A,FALSE,"Plan2"}</definedName>
    <definedName name="DFHDJGJFHJGF" localSheetId="9" hidden="1">{#N/A,#N/A,FALSE,"Plan1";#N/A,#N/A,FALSE,"Plan2"}</definedName>
    <definedName name="DFHDJGJFHJGF" localSheetId="5" hidden="1">{#N/A,#N/A,FALSE,"Plan1";#N/A,#N/A,FALSE,"Plan2"}</definedName>
    <definedName name="DFHDJGJFHJGF" localSheetId="4" hidden="1">{#N/A,#N/A,FALSE,"Plan1";#N/A,#N/A,FALSE,"Plan2"}</definedName>
    <definedName name="DFHDJGJFHJGF" localSheetId="8" hidden="1">{#N/A,#N/A,FALSE,"Plan1";#N/A,#N/A,FALSE,"Plan2"}</definedName>
    <definedName name="DFHDJGJFHJGF" localSheetId="12" hidden="1">{#N/A,#N/A,FALSE,"Plan1";#N/A,#N/A,FALSE,"Plan2"}</definedName>
    <definedName name="DFHDJGJFHJGF" localSheetId="16" hidden="1">{#N/A,#N/A,FALSE,"Plan1";#N/A,#N/A,FALSE,"Plan2"}</definedName>
    <definedName name="DFHDJGJFHJGF" localSheetId="0" hidden="1">{#N/A,#N/A,FALSE,"Plan1";#N/A,#N/A,FALSE,"Plan2"}</definedName>
    <definedName name="DFHDJGJFHJGF" localSheetId="11" hidden="1">{#N/A,#N/A,FALSE,"Plan1";#N/A,#N/A,FALSE,"Plan2"}</definedName>
    <definedName name="DFHDJGJFHJGF" localSheetId="13" hidden="1">{#N/A,#N/A,FALSE,"Plan1";#N/A,#N/A,FALSE,"Plan2"}</definedName>
    <definedName name="DFHDJGJFHJGF" hidden="1">{#N/A,#N/A,FALSE,"Plan1";#N/A,#N/A,FALSE,"Plan2"}</definedName>
    <definedName name="dfhdyg" localSheetId="14" hidden="1">{#N/A,#N/A,FALSE,"Plan1";#N/A,#N/A,FALSE,"Plan2"}</definedName>
    <definedName name="dfhdyg" localSheetId="7" hidden="1">{#N/A,#N/A,FALSE,"Plan1";#N/A,#N/A,FALSE,"Plan2"}</definedName>
    <definedName name="dfhdyg" localSheetId="1" hidden="1">{#N/A,#N/A,FALSE,"Plan1";#N/A,#N/A,FALSE,"Plan2"}</definedName>
    <definedName name="dfhdyg" localSheetId="2" hidden="1">{#N/A,#N/A,FALSE,"Plan1";#N/A,#N/A,FALSE,"Plan2"}</definedName>
    <definedName name="dfhdyg" localSheetId="9" hidden="1">{#N/A,#N/A,FALSE,"Plan1";#N/A,#N/A,FALSE,"Plan2"}</definedName>
    <definedName name="dfhdyg" localSheetId="5" hidden="1">{#N/A,#N/A,FALSE,"Plan1";#N/A,#N/A,FALSE,"Plan2"}</definedName>
    <definedName name="dfhdyg" localSheetId="4" hidden="1">{#N/A,#N/A,FALSE,"Plan1";#N/A,#N/A,FALSE,"Plan2"}</definedName>
    <definedName name="dfhdyg" localSheetId="8" hidden="1">{#N/A,#N/A,FALSE,"Plan1";#N/A,#N/A,FALSE,"Plan2"}</definedName>
    <definedName name="dfhdyg" localSheetId="12" hidden="1">{#N/A,#N/A,FALSE,"Plan1";#N/A,#N/A,FALSE,"Plan2"}</definedName>
    <definedName name="dfhdyg" localSheetId="16" hidden="1">{#N/A,#N/A,FALSE,"Plan1";#N/A,#N/A,FALSE,"Plan2"}</definedName>
    <definedName name="dfhdyg" localSheetId="0" hidden="1">{#N/A,#N/A,FALSE,"Plan1";#N/A,#N/A,FALSE,"Plan2"}</definedName>
    <definedName name="dfhdyg" localSheetId="11" hidden="1">{#N/A,#N/A,FALSE,"Plan1";#N/A,#N/A,FALSE,"Plan2"}</definedName>
    <definedName name="dfhdyg" localSheetId="13" hidden="1">{#N/A,#N/A,FALSE,"Plan1";#N/A,#N/A,FALSE,"Plan2"}</definedName>
    <definedName name="dfhdyg" hidden="1">{#N/A,#N/A,FALSE,"Plan1";#N/A,#N/A,FALSE,"Plan2"}</definedName>
    <definedName name="DFHGDHUR" localSheetId="14" hidden="1">{#N/A,#N/A,FALSE,"Plan1";#N/A,#N/A,FALSE,"Plan2"}</definedName>
    <definedName name="DFHGDHUR" localSheetId="7" hidden="1">{#N/A,#N/A,FALSE,"Plan1";#N/A,#N/A,FALSE,"Plan2"}</definedName>
    <definedName name="DFHGDHUR" localSheetId="1" hidden="1">{#N/A,#N/A,FALSE,"Plan1";#N/A,#N/A,FALSE,"Plan2"}</definedName>
    <definedName name="DFHGDHUR" localSheetId="2" hidden="1">{#N/A,#N/A,FALSE,"Plan1";#N/A,#N/A,FALSE,"Plan2"}</definedName>
    <definedName name="DFHGDHUR" localSheetId="9" hidden="1">{#N/A,#N/A,FALSE,"Plan1";#N/A,#N/A,FALSE,"Plan2"}</definedName>
    <definedName name="DFHGDHUR" localSheetId="5" hidden="1">{#N/A,#N/A,FALSE,"Plan1";#N/A,#N/A,FALSE,"Plan2"}</definedName>
    <definedName name="DFHGDHUR" localSheetId="4" hidden="1">{#N/A,#N/A,FALSE,"Plan1";#N/A,#N/A,FALSE,"Plan2"}</definedName>
    <definedName name="DFHGDHUR" localSheetId="8" hidden="1">{#N/A,#N/A,FALSE,"Plan1";#N/A,#N/A,FALSE,"Plan2"}</definedName>
    <definedName name="DFHGDHUR" localSheetId="12" hidden="1">{#N/A,#N/A,FALSE,"Plan1";#N/A,#N/A,FALSE,"Plan2"}</definedName>
    <definedName name="DFHGDHUR" localSheetId="16" hidden="1">{#N/A,#N/A,FALSE,"Plan1";#N/A,#N/A,FALSE,"Plan2"}</definedName>
    <definedName name="DFHGDHUR" localSheetId="0" hidden="1">{#N/A,#N/A,FALSE,"Plan1";#N/A,#N/A,FALSE,"Plan2"}</definedName>
    <definedName name="DFHGDHUR" localSheetId="11" hidden="1">{#N/A,#N/A,FALSE,"Plan1";#N/A,#N/A,FALSE,"Plan2"}</definedName>
    <definedName name="DFHGDHUR" localSheetId="13" hidden="1">{#N/A,#N/A,FALSE,"Plan1";#N/A,#N/A,FALSE,"Plan2"}</definedName>
    <definedName name="DFHGDHUR" hidden="1">{#N/A,#N/A,FALSE,"Plan1";#N/A,#N/A,FALSE,"Plan2"}</definedName>
    <definedName name="dfhgjfgdhfjdrf" localSheetId="14" hidden="1">{#N/A,#N/A,FALSE,"Plan1";#N/A,#N/A,FALSE,"Plan2"}</definedName>
    <definedName name="dfhgjfgdhfjdrf" localSheetId="7" hidden="1">{#N/A,#N/A,FALSE,"Plan1";#N/A,#N/A,FALSE,"Plan2"}</definedName>
    <definedName name="dfhgjfgdhfjdrf" localSheetId="1" hidden="1">{#N/A,#N/A,FALSE,"Plan1";#N/A,#N/A,FALSE,"Plan2"}</definedName>
    <definedName name="dfhgjfgdhfjdrf" localSheetId="2" hidden="1">{#N/A,#N/A,FALSE,"Plan1";#N/A,#N/A,FALSE,"Plan2"}</definedName>
    <definedName name="dfhgjfgdhfjdrf" localSheetId="9" hidden="1">{#N/A,#N/A,FALSE,"Plan1";#N/A,#N/A,FALSE,"Plan2"}</definedName>
    <definedName name="dfhgjfgdhfjdrf" localSheetId="5" hidden="1">{#N/A,#N/A,FALSE,"Plan1";#N/A,#N/A,FALSE,"Plan2"}</definedName>
    <definedName name="dfhgjfgdhfjdrf" localSheetId="4" hidden="1">{#N/A,#N/A,FALSE,"Plan1";#N/A,#N/A,FALSE,"Plan2"}</definedName>
    <definedName name="dfhgjfgdhfjdrf" localSheetId="8" hidden="1">{#N/A,#N/A,FALSE,"Plan1";#N/A,#N/A,FALSE,"Plan2"}</definedName>
    <definedName name="dfhgjfgdhfjdrf" localSheetId="12" hidden="1">{#N/A,#N/A,FALSE,"Plan1";#N/A,#N/A,FALSE,"Plan2"}</definedName>
    <definedName name="dfhgjfgdhfjdrf" localSheetId="16" hidden="1">{#N/A,#N/A,FALSE,"Plan1";#N/A,#N/A,FALSE,"Plan2"}</definedName>
    <definedName name="dfhgjfgdhfjdrf" localSheetId="0" hidden="1">{#N/A,#N/A,FALSE,"Plan1";#N/A,#N/A,FALSE,"Plan2"}</definedName>
    <definedName name="dfhgjfgdhfjdrf" localSheetId="11" hidden="1">{#N/A,#N/A,FALSE,"Plan1";#N/A,#N/A,FALSE,"Plan2"}</definedName>
    <definedName name="dfhgjfgdhfjdrf" localSheetId="13" hidden="1">{#N/A,#N/A,FALSE,"Plan1";#N/A,#N/A,FALSE,"Plan2"}</definedName>
    <definedName name="dfhgjfgdhfjdrf" hidden="1">{#N/A,#N/A,FALSE,"Plan1";#N/A,#N/A,FALSE,"Plan2"}</definedName>
    <definedName name="dfhgkhfut" localSheetId="14" hidden="1">{#N/A,#N/A,FALSE,"Plan1";#N/A,#N/A,FALSE,"Plan2"}</definedName>
    <definedName name="dfhgkhfut" localSheetId="7" hidden="1">{#N/A,#N/A,FALSE,"Plan1";#N/A,#N/A,FALSE,"Plan2"}</definedName>
    <definedName name="dfhgkhfut" localSheetId="1" hidden="1">{#N/A,#N/A,FALSE,"Plan1";#N/A,#N/A,FALSE,"Plan2"}</definedName>
    <definedName name="dfhgkhfut" localSheetId="2" hidden="1">{#N/A,#N/A,FALSE,"Plan1";#N/A,#N/A,FALSE,"Plan2"}</definedName>
    <definedName name="dfhgkhfut" localSheetId="9" hidden="1">{#N/A,#N/A,FALSE,"Plan1";#N/A,#N/A,FALSE,"Plan2"}</definedName>
    <definedName name="dfhgkhfut" localSheetId="5" hidden="1">{#N/A,#N/A,FALSE,"Plan1";#N/A,#N/A,FALSE,"Plan2"}</definedName>
    <definedName name="dfhgkhfut" localSheetId="4" hidden="1">{#N/A,#N/A,FALSE,"Plan1";#N/A,#N/A,FALSE,"Plan2"}</definedName>
    <definedName name="dfhgkhfut" localSheetId="8" hidden="1">{#N/A,#N/A,FALSE,"Plan1";#N/A,#N/A,FALSE,"Plan2"}</definedName>
    <definedName name="dfhgkhfut" localSheetId="12" hidden="1">{#N/A,#N/A,FALSE,"Plan1";#N/A,#N/A,FALSE,"Plan2"}</definedName>
    <definedName name="dfhgkhfut" localSheetId="16" hidden="1">{#N/A,#N/A,FALSE,"Plan1";#N/A,#N/A,FALSE,"Plan2"}</definedName>
    <definedName name="dfhgkhfut" localSheetId="0" hidden="1">{#N/A,#N/A,FALSE,"Plan1";#N/A,#N/A,FALSE,"Plan2"}</definedName>
    <definedName name="dfhgkhfut" localSheetId="11" hidden="1">{#N/A,#N/A,FALSE,"Plan1";#N/A,#N/A,FALSE,"Plan2"}</definedName>
    <definedName name="dfhgkhfut" localSheetId="13" hidden="1">{#N/A,#N/A,FALSE,"Plan1";#N/A,#N/A,FALSE,"Plan2"}</definedName>
    <definedName name="dfhgkhfut" hidden="1">{#N/A,#N/A,FALSE,"Plan1";#N/A,#N/A,FALSE,"Plan2"}</definedName>
    <definedName name="dfhgkjdhkjghjd" localSheetId="2" hidden="1">#REF!</definedName>
    <definedName name="dfhgkjdhkjghjd" localSheetId="5" hidden="1">#REF!</definedName>
    <definedName name="dfhgkjdhkjghjd" localSheetId="0" hidden="1">#REF!</definedName>
    <definedName name="dfhgkjdhkjghjd" hidden="1">#REF!</definedName>
    <definedName name="dfhguitrhfg" localSheetId="14" hidden="1">{#N/A,#N/A,FALSE,"Plan1";#N/A,#N/A,FALSE,"Plan2"}</definedName>
    <definedName name="dfhguitrhfg" localSheetId="7" hidden="1">{#N/A,#N/A,FALSE,"Plan1";#N/A,#N/A,FALSE,"Plan2"}</definedName>
    <definedName name="dfhguitrhfg" localSheetId="1" hidden="1">{#N/A,#N/A,FALSE,"Plan1";#N/A,#N/A,FALSE,"Plan2"}</definedName>
    <definedName name="dfhguitrhfg" localSheetId="2" hidden="1">{#N/A,#N/A,FALSE,"Plan1";#N/A,#N/A,FALSE,"Plan2"}</definedName>
    <definedName name="dfhguitrhfg" localSheetId="9" hidden="1">{#N/A,#N/A,FALSE,"Plan1";#N/A,#N/A,FALSE,"Plan2"}</definedName>
    <definedName name="dfhguitrhfg" localSheetId="5" hidden="1">{#N/A,#N/A,FALSE,"Plan1";#N/A,#N/A,FALSE,"Plan2"}</definedName>
    <definedName name="dfhguitrhfg" localSheetId="4" hidden="1">{#N/A,#N/A,FALSE,"Plan1";#N/A,#N/A,FALSE,"Plan2"}</definedName>
    <definedName name="dfhguitrhfg" localSheetId="8" hidden="1">{#N/A,#N/A,FALSE,"Plan1";#N/A,#N/A,FALSE,"Plan2"}</definedName>
    <definedName name="dfhguitrhfg" localSheetId="12" hidden="1">{#N/A,#N/A,FALSE,"Plan1";#N/A,#N/A,FALSE,"Plan2"}</definedName>
    <definedName name="dfhguitrhfg" localSheetId="16" hidden="1">{#N/A,#N/A,FALSE,"Plan1";#N/A,#N/A,FALSE,"Plan2"}</definedName>
    <definedName name="dfhguitrhfg" localSheetId="0" hidden="1">{#N/A,#N/A,FALSE,"Plan1";#N/A,#N/A,FALSE,"Plan2"}</definedName>
    <definedName name="dfhguitrhfg" localSheetId="11" hidden="1">{#N/A,#N/A,FALSE,"Plan1";#N/A,#N/A,FALSE,"Plan2"}</definedName>
    <definedName name="dfhguitrhfg" localSheetId="13" hidden="1">{#N/A,#N/A,FALSE,"Plan1";#N/A,#N/A,FALSE,"Plan2"}</definedName>
    <definedName name="dfhguitrhfg" hidden="1">{#N/A,#N/A,FALSE,"Plan1";#N/A,#N/A,FALSE,"Plan2"}</definedName>
    <definedName name="DFHKHDGKJHDKS" localSheetId="14" hidden="1">{#N/A,#N/A,FALSE,"Plan1";#N/A,#N/A,FALSE,"Plan2"}</definedName>
    <definedName name="DFHKHDGKJHDKS" localSheetId="7" hidden="1">{#N/A,#N/A,FALSE,"Plan1";#N/A,#N/A,FALSE,"Plan2"}</definedName>
    <definedName name="DFHKHDGKJHDKS" localSheetId="1" hidden="1">{#N/A,#N/A,FALSE,"Plan1";#N/A,#N/A,FALSE,"Plan2"}</definedName>
    <definedName name="DFHKHDGKJHDKS" localSheetId="2" hidden="1">{#N/A,#N/A,FALSE,"Plan1";#N/A,#N/A,FALSE,"Plan2"}</definedName>
    <definedName name="DFHKHDGKJHDKS" localSheetId="9" hidden="1">{#N/A,#N/A,FALSE,"Plan1";#N/A,#N/A,FALSE,"Plan2"}</definedName>
    <definedName name="DFHKHDGKJHDKS" localSheetId="5" hidden="1">{#N/A,#N/A,FALSE,"Plan1";#N/A,#N/A,FALSE,"Plan2"}</definedName>
    <definedName name="DFHKHDGKJHDKS" localSheetId="4" hidden="1">{#N/A,#N/A,FALSE,"Plan1";#N/A,#N/A,FALSE,"Plan2"}</definedName>
    <definedName name="DFHKHDGKJHDKS" localSheetId="8" hidden="1">{#N/A,#N/A,FALSE,"Plan1";#N/A,#N/A,FALSE,"Plan2"}</definedName>
    <definedName name="DFHKHDGKJHDKS" localSheetId="12" hidden="1">{#N/A,#N/A,FALSE,"Plan1";#N/A,#N/A,FALSE,"Plan2"}</definedName>
    <definedName name="DFHKHDGKJHDKS" localSheetId="16" hidden="1">{#N/A,#N/A,FALSE,"Plan1";#N/A,#N/A,FALSE,"Plan2"}</definedName>
    <definedName name="DFHKHDGKJHDKS" localSheetId="0" hidden="1">{#N/A,#N/A,FALSE,"Plan1";#N/A,#N/A,FALSE,"Plan2"}</definedName>
    <definedName name="DFHKHDGKJHDKS" localSheetId="11" hidden="1">{#N/A,#N/A,FALSE,"Plan1";#N/A,#N/A,FALSE,"Plan2"}</definedName>
    <definedName name="DFHKHDGKJHDKS" localSheetId="13" hidden="1">{#N/A,#N/A,FALSE,"Plan1";#N/A,#N/A,FALSE,"Plan2"}</definedName>
    <definedName name="DFHKHDGKJHDKS" hidden="1">{#N/A,#N/A,FALSE,"Plan1";#N/A,#N/A,FALSE,"Plan2"}</definedName>
    <definedName name="dfijvnqienvvnjv" localSheetId="2">#REF!</definedName>
    <definedName name="dfijvnqienvvnjv" localSheetId="5">#REF!</definedName>
    <definedName name="dfijvnqienvvnjv">#REF!</definedName>
    <definedName name="dfjgjfhykj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4" hidden="1">{#N/A,#N/A,FALSE,"Plan1";#N/A,#N/A,FALSE,"Plan2"}</definedName>
    <definedName name="dfjkgtdftr" localSheetId="7" hidden="1">{#N/A,#N/A,FALSE,"Plan1";#N/A,#N/A,FALSE,"Plan2"}</definedName>
    <definedName name="dfjkgtdftr" localSheetId="1" hidden="1">{#N/A,#N/A,FALSE,"Plan1";#N/A,#N/A,FALSE,"Plan2"}</definedName>
    <definedName name="dfjkgtdftr" localSheetId="2" hidden="1">{#N/A,#N/A,FALSE,"Plan1";#N/A,#N/A,FALSE,"Plan2"}</definedName>
    <definedName name="dfjkgtdftr" localSheetId="9" hidden="1">{#N/A,#N/A,FALSE,"Plan1";#N/A,#N/A,FALSE,"Plan2"}</definedName>
    <definedName name="dfjkgtdftr" localSheetId="5" hidden="1">{#N/A,#N/A,FALSE,"Plan1";#N/A,#N/A,FALSE,"Plan2"}</definedName>
    <definedName name="dfjkgtdftr" localSheetId="4" hidden="1">{#N/A,#N/A,FALSE,"Plan1";#N/A,#N/A,FALSE,"Plan2"}</definedName>
    <definedName name="dfjkgtdftr" localSheetId="8" hidden="1">{#N/A,#N/A,FALSE,"Plan1";#N/A,#N/A,FALSE,"Plan2"}</definedName>
    <definedName name="dfjkgtdftr" localSheetId="12" hidden="1">{#N/A,#N/A,FALSE,"Plan1";#N/A,#N/A,FALSE,"Plan2"}</definedName>
    <definedName name="dfjkgtdftr" localSheetId="16" hidden="1">{#N/A,#N/A,FALSE,"Plan1";#N/A,#N/A,FALSE,"Plan2"}</definedName>
    <definedName name="dfjkgtdftr" localSheetId="0" hidden="1">{#N/A,#N/A,FALSE,"Plan1";#N/A,#N/A,FALSE,"Plan2"}</definedName>
    <definedName name="dfjkgtdftr" localSheetId="11" hidden="1">{#N/A,#N/A,FALSE,"Plan1";#N/A,#N/A,FALSE,"Plan2"}</definedName>
    <definedName name="dfjkgtdftr" localSheetId="13" hidden="1">{#N/A,#N/A,FALSE,"Plan1";#N/A,#N/A,FALSE,"Plan2"}</definedName>
    <definedName name="dfjkgtdftr" hidden="1">{#N/A,#N/A,FALSE,"Plan1";#N/A,#N/A,FALSE,"Plan2"}</definedName>
    <definedName name="dfkhgf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4" hidden="1">{#N/A,#N/A,FALSE,"Plan1";#N/A,#N/A,FALSE,"Plan2"}</definedName>
    <definedName name="dfknfhkdrj" localSheetId="7" hidden="1">{#N/A,#N/A,FALSE,"Plan1";#N/A,#N/A,FALSE,"Plan2"}</definedName>
    <definedName name="dfknfhkdrj" localSheetId="1" hidden="1">{#N/A,#N/A,FALSE,"Plan1";#N/A,#N/A,FALSE,"Plan2"}</definedName>
    <definedName name="dfknfhkdrj" localSheetId="2" hidden="1">{#N/A,#N/A,FALSE,"Plan1";#N/A,#N/A,FALSE,"Plan2"}</definedName>
    <definedName name="dfknfhkdrj" localSheetId="9" hidden="1">{#N/A,#N/A,FALSE,"Plan1";#N/A,#N/A,FALSE,"Plan2"}</definedName>
    <definedName name="dfknfhkdrj" localSheetId="5" hidden="1">{#N/A,#N/A,FALSE,"Plan1";#N/A,#N/A,FALSE,"Plan2"}</definedName>
    <definedName name="dfknfhkdrj" localSheetId="4" hidden="1">{#N/A,#N/A,FALSE,"Plan1";#N/A,#N/A,FALSE,"Plan2"}</definedName>
    <definedName name="dfknfhkdrj" localSheetId="8" hidden="1">{#N/A,#N/A,FALSE,"Plan1";#N/A,#N/A,FALSE,"Plan2"}</definedName>
    <definedName name="dfknfhkdrj" localSheetId="12" hidden="1">{#N/A,#N/A,FALSE,"Plan1";#N/A,#N/A,FALSE,"Plan2"}</definedName>
    <definedName name="dfknfhkdrj" localSheetId="16" hidden="1">{#N/A,#N/A,FALSE,"Plan1";#N/A,#N/A,FALSE,"Plan2"}</definedName>
    <definedName name="dfknfhkdrj" localSheetId="0" hidden="1">{#N/A,#N/A,FALSE,"Plan1";#N/A,#N/A,FALSE,"Plan2"}</definedName>
    <definedName name="dfknfhkdrj" localSheetId="11" hidden="1">{#N/A,#N/A,FALSE,"Plan1";#N/A,#N/A,FALSE,"Plan2"}</definedName>
    <definedName name="dfknfhkdrj" localSheetId="13" hidden="1">{#N/A,#N/A,FALSE,"Plan1";#N/A,#N/A,FALSE,"Plan2"}</definedName>
    <definedName name="dfknfhkdrj" hidden="1">{#N/A,#N/A,FALSE,"Plan1";#N/A,#N/A,FALSE,"Plan2"}</definedName>
    <definedName name="dfnert" localSheetId="14" hidden="1">{#N/A,#N/A,FALSE,"Plan1";#N/A,#N/A,FALSE,"Plan2"}</definedName>
    <definedName name="dfnert" localSheetId="7" hidden="1">{#N/A,#N/A,FALSE,"Plan1";#N/A,#N/A,FALSE,"Plan2"}</definedName>
    <definedName name="dfnert" localSheetId="1" hidden="1">{#N/A,#N/A,FALSE,"Plan1";#N/A,#N/A,FALSE,"Plan2"}</definedName>
    <definedName name="dfnert" localSheetId="2" hidden="1">{#N/A,#N/A,FALSE,"Plan1";#N/A,#N/A,FALSE,"Plan2"}</definedName>
    <definedName name="dfnert" localSheetId="9" hidden="1">{#N/A,#N/A,FALSE,"Plan1";#N/A,#N/A,FALSE,"Plan2"}</definedName>
    <definedName name="dfnert" localSheetId="5" hidden="1">{#N/A,#N/A,FALSE,"Plan1";#N/A,#N/A,FALSE,"Plan2"}</definedName>
    <definedName name="dfnert" localSheetId="4" hidden="1">{#N/A,#N/A,FALSE,"Plan1";#N/A,#N/A,FALSE,"Plan2"}</definedName>
    <definedName name="dfnert" localSheetId="8" hidden="1">{#N/A,#N/A,FALSE,"Plan1";#N/A,#N/A,FALSE,"Plan2"}</definedName>
    <definedName name="dfnert" localSheetId="12" hidden="1">{#N/A,#N/A,FALSE,"Plan1";#N/A,#N/A,FALSE,"Plan2"}</definedName>
    <definedName name="dfnert" localSheetId="16" hidden="1">{#N/A,#N/A,FALSE,"Plan1";#N/A,#N/A,FALSE,"Plan2"}</definedName>
    <definedName name="dfnert" localSheetId="0" hidden="1">{#N/A,#N/A,FALSE,"Plan1";#N/A,#N/A,FALSE,"Plan2"}</definedName>
    <definedName name="dfnert" localSheetId="11" hidden="1">{#N/A,#N/A,FALSE,"Plan1";#N/A,#N/A,FALSE,"Plan2"}</definedName>
    <definedName name="dfnert" localSheetId="13" hidden="1">{#N/A,#N/A,FALSE,"Plan1";#N/A,#N/A,FALSE,"Plan2"}</definedName>
    <definedName name="dfnert" hidden="1">{#N/A,#N/A,FALSE,"Plan1";#N/A,#N/A,FALSE,"Plan2"}</definedName>
    <definedName name="dfrt" localSheetId="14" hidden="1">{#N/A,#N/A,FALSE,"Plan1";#N/A,#N/A,FALSE,"Plan2"}</definedName>
    <definedName name="dfrt" localSheetId="7" hidden="1">{#N/A,#N/A,FALSE,"Plan1";#N/A,#N/A,FALSE,"Plan2"}</definedName>
    <definedName name="dfrt" localSheetId="1" hidden="1">{#N/A,#N/A,FALSE,"Plan1";#N/A,#N/A,FALSE,"Plan2"}</definedName>
    <definedName name="dfrt" localSheetId="2" hidden="1">{#N/A,#N/A,FALSE,"Plan1";#N/A,#N/A,FALSE,"Plan2"}</definedName>
    <definedName name="dfrt" localSheetId="9" hidden="1">{#N/A,#N/A,FALSE,"Plan1";#N/A,#N/A,FALSE,"Plan2"}</definedName>
    <definedName name="dfrt" localSheetId="5" hidden="1">{#N/A,#N/A,FALSE,"Plan1";#N/A,#N/A,FALSE,"Plan2"}</definedName>
    <definedName name="dfrt" localSheetId="4" hidden="1">{#N/A,#N/A,FALSE,"Plan1";#N/A,#N/A,FALSE,"Plan2"}</definedName>
    <definedName name="dfrt" localSheetId="8" hidden="1">{#N/A,#N/A,FALSE,"Plan1";#N/A,#N/A,FALSE,"Plan2"}</definedName>
    <definedName name="dfrt" localSheetId="12" hidden="1">{#N/A,#N/A,FALSE,"Plan1";#N/A,#N/A,FALSE,"Plan2"}</definedName>
    <definedName name="dfrt" localSheetId="16" hidden="1">{#N/A,#N/A,FALSE,"Plan1";#N/A,#N/A,FALSE,"Plan2"}</definedName>
    <definedName name="dfrt" localSheetId="0" hidden="1">{#N/A,#N/A,FALSE,"Plan1";#N/A,#N/A,FALSE,"Plan2"}</definedName>
    <definedName name="dfrt" localSheetId="11" hidden="1">{#N/A,#N/A,FALSE,"Plan1";#N/A,#N/A,FALSE,"Plan2"}</definedName>
    <definedName name="dfrt" localSheetId="13" hidden="1">{#N/A,#N/A,FALSE,"Plan1";#N/A,#N/A,FALSE,"Plan2"}</definedName>
    <definedName name="dfrt" hidden="1">{#N/A,#N/A,FALSE,"Plan1";#N/A,#N/A,FALSE,"Plan2"}</definedName>
    <definedName name="dfsdr5tt" localSheetId="14" hidden="1">{#N/A,#N/A,FALSE,"Plan1";#N/A,#N/A,FALSE,"Plan2"}</definedName>
    <definedName name="dfsdr5tt" localSheetId="7" hidden="1">{#N/A,#N/A,FALSE,"Plan1";#N/A,#N/A,FALSE,"Plan2"}</definedName>
    <definedName name="dfsdr5tt" localSheetId="1" hidden="1">{#N/A,#N/A,FALSE,"Plan1";#N/A,#N/A,FALSE,"Plan2"}</definedName>
    <definedName name="dfsdr5tt" localSheetId="2" hidden="1">{#N/A,#N/A,FALSE,"Plan1";#N/A,#N/A,FALSE,"Plan2"}</definedName>
    <definedName name="dfsdr5tt" localSheetId="9" hidden="1">{#N/A,#N/A,FALSE,"Plan1";#N/A,#N/A,FALSE,"Plan2"}</definedName>
    <definedName name="dfsdr5tt" localSheetId="5" hidden="1">{#N/A,#N/A,FALSE,"Plan1";#N/A,#N/A,FALSE,"Plan2"}</definedName>
    <definedName name="dfsdr5tt" localSheetId="4" hidden="1">{#N/A,#N/A,FALSE,"Plan1";#N/A,#N/A,FALSE,"Plan2"}</definedName>
    <definedName name="dfsdr5tt" localSheetId="8" hidden="1">{#N/A,#N/A,FALSE,"Plan1";#N/A,#N/A,FALSE,"Plan2"}</definedName>
    <definedName name="dfsdr5tt" localSheetId="12" hidden="1">{#N/A,#N/A,FALSE,"Plan1";#N/A,#N/A,FALSE,"Plan2"}</definedName>
    <definedName name="dfsdr5tt" localSheetId="16" hidden="1">{#N/A,#N/A,FALSE,"Plan1";#N/A,#N/A,FALSE,"Plan2"}</definedName>
    <definedName name="dfsdr5tt" localSheetId="0" hidden="1">{#N/A,#N/A,FALSE,"Plan1";#N/A,#N/A,FALSE,"Plan2"}</definedName>
    <definedName name="dfsdr5tt" localSheetId="11" hidden="1">{#N/A,#N/A,FALSE,"Plan1";#N/A,#N/A,FALSE,"Plan2"}</definedName>
    <definedName name="dfsdr5tt" localSheetId="13" hidden="1">{#N/A,#N/A,FALSE,"Plan1";#N/A,#N/A,FALSE,"Plan2"}</definedName>
    <definedName name="dfsdr5tt" hidden="1">{#N/A,#N/A,FALSE,"Plan1";#N/A,#N/A,FALSE,"Plan2"}</definedName>
    <definedName name="dfsds" localSheetId="2" hidden="1">#REF!</definedName>
    <definedName name="dfsds" localSheetId="5" hidden="1">#REF!</definedName>
    <definedName name="dfsds" localSheetId="0" hidden="1">#REF!</definedName>
    <definedName name="dfsds" hidden="1">#REF!</definedName>
    <definedName name="dfsd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4" hidden="1">{#N/A,#N/A,FALSE,"Plan1";#N/A,#N/A,FALSE,"Plan2"}</definedName>
    <definedName name="dfsdtr" localSheetId="7" hidden="1">{#N/A,#N/A,FALSE,"Plan1";#N/A,#N/A,FALSE,"Plan2"}</definedName>
    <definedName name="dfsdtr" localSheetId="1" hidden="1">{#N/A,#N/A,FALSE,"Plan1";#N/A,#N/A,FALSE,"Plan2"}</definedName>
    <definedName name="dfsdtr" localSheetId="2" hidden="1">{#N/A,#N/A,FALSE,"Plan1";#N/A,#N/A,FALSE,"Plan2"}</definedName>
    <definedName name="dfsdtr" localSheetId="9" hidden="1">{#N/A,#N/A,FALSE,"Plan1";#N/A,#N/A,FALSE,"Plan2"}</definedName>
    <definedName name="dfsdtr" localSheetId="5" hidden="1">{#N/A,#N/A,FALSE,"Plan1";#N/A,#N/A,FALSE,"Plan2"}</definedName>
    <definedName name="dfsdtr" localSheetId="4" hidden="1">{#N/A,#N/A,FALSE,"Plan1";#N/A,#N/A,FALSE,"Plan2"}</definedName>
    <definedName name="dfsdtr" localSheetId="8" hidden="1">{#N/A,#N/A,FALSE,"Plan1";#N/A,#N/A,FALSE,"Plan2"}</definedName>
    <definedName name="dfsdtr" localSheetId="12" hidden="1">{#N/A,#N/A,FALSE,"Plan1";#N/A,#N/A,FALSE,"Plan2"}</definedName>
    <definedName name="dfsdtr" localSheetId="16" hidden="1">{#N/A,#N/A,FALSE,"Plan1";#N/A,#N/A,FALSE,"Plan2"}</definedName>
    <definedName name="dfsdtr" localSheetId="0" hidden="1">{#N/A,#N/A,FALSE,"Plan1";#N/A,#N/A,FALSE,"Plan2"}</definedName>
    <definedName name="dfsdtr" localSheetId="11" hidden="1">{#N/A,#N/A,FALSE,"Plan1";#N/A,#N/A,FALSE,"Plan2"}</definedName>
    <definedName name="dfsdtr" localSheetId="13" hidden="1">{#N/A,#N/A,FALSE,"Plan1";#N/A,#N/A,FALSE,"Plan2"}</definedName>
    <definedName name="dfsdtr" hidden="1">{#N/A,#N/A,FALSE,"Plan1";#N/A,#N/A,FALSE,"Plan2"}</definedName>
    <definedName name="dfsf" localSheetId="14" hidden="1">{#N/A,#N/A,FALSE,"Plan1";#N/A,#N/A,FALSE,"Plan2"}</definedName>
    <definedName name="dfsf" localSheetId="7" hidden="1">{#N/A,#N/A,FALSE,"Plan1";#N/A,#N/A,FALSE,"Plan2"}</definedName>
    <definedName name="dfsf" localSheetId="1" hidden="1">{#N/A,#N/A,FALSE,"Plan1";#N/A,#N/A,FALSE,"Plan2"}</definedName>
    <definedName name="dfsf" localSheetId="2" hidden="1">{#N/A,#N/A,FALSE,"Plan1";#N/A,#N/A,FALSE,"Plan2"}</definedName>
    <definedName name="dfsf" localSheetId="9" hidden="1">{#N/A,#N/A,FALSE,"Plan1";#N/A,#N/A,FALSE,"Plan2"}</definedName>
    <definedName name="dfsf" localSheetId="5" hidden="1">{#N/A,#N/A,FALSE,"Plan1";#N/A,#N/A,FALSE,"Plan2"}</definedName>
    <definedName name="dfsf" localSheetId="4" hidden="1">{#N/A,#N/A,FALSE,"Plan1";#N/A,#N/A,FALSE,"Plan2"}</definedName>
    <definedName name="dfsf" localSheetId="8" hidden="1">{#N/A,#N/A,FALSE,"Plan1";#N/A,#N/A,FALSE,"Plan2"}</definedName>
    <definedName name="dfsf" localSheetId="12" hidden="1">{#N/A,#N/A,FALSE,"Plan1";#N/A,#N/A,FALSE,"Plan2"}</definedName>
    <definedName name="dfsf" localSheetId="16" hidden="1">{#N/A,#N/A,FALSE,"Plan1";#N/A,#N/A,FALSE,"Plan2"}</definedName>
    <definedName name="dfsf" localSheetId="0" hidden="1">{#N/A,#N/A,FALSE,"Plan1";#N/A,#N/A,FALSE,"Plan2"}</definedName>
    <definedName name="dfsf" localSheetId="11" hidden="1">{#N/A,#N/A,FALSE,"Plan1";#N/A,#N/A,FALSE,"Plan2"}</definedName>
    <definedName name="dfsf" localSheetId="13" hidden="1">{#N/A,#N/A,FALSE,"Plan1";#N/A,#N/A,FALSE,"Plan2"}</definedName>
    <definedName name="dfsf" hidden="1">{#N/A,#N/A,FALSE,"Plan1";#N/A,#N/A,FALSE,"Plan2"}</definedName>
    <definedName name="DFT" localSheetId="14" hidden="1">{#N/A,#N/A,FALSE,"Plan1";#N/A,#N/A,FALSE,"Plan2"}</definedName>
    <definedName name="DFT" localSheetId="7" hidden="1">{#N/A,#N/A,FALSE,"Plan1";#N/A,#N/A,FALSE,"Plan2"}</definedName>
    <definedName name="DFT" localSheetId="1" hidden="1">{#N/A,#N/A,FALSE,"Plan1";#N/A,#N/A,FALSE,"Plan2"}</definedName>
    <definedName name="DFT" localSheetId="2" hidden="1">{#N/A,#N/A,FALSE,"Plan1";#N/A,#N/A,FALSE,"Plan2"}</definedName>
    <definedName name="DFT" localSheetId="9" hidden="1">{#N/A,#N/A,FALSE,"Plan1";#N/A,#N/A,FALSE,"Plan2"}</definedName>
    <definedName name="DFT" localSheetId="5" hidden="1">{#N/A,#N/A,FALSE,"Plan1";#N/A,#N/A,FALSE,"Plan2"}</definedName>
    <definedName name="DFT" localSheetId="4" hidden="1">{#N/A,#N/A,FALSE,"Plan1";#N/A,#N/A,FALSE,"Plan2"}</definedName>
    <definedName name="DFT" localSheetId="8" hidden="1">{#N/A,#N/A,FALSE,"Plan1";#N/A,#N/A,FALSE,"Plan2"}</definedName>
    <definedName name="DFT" localSheetId="12" hidden="1">{#N/A,#N/A,FALSE,"Plan1";#N/A,#N/A,FALSE,"Plan2"}</definedName>
    <definedName name="DFT" localSheetId="16" hidden="1">{#N/A,#N/A,FALSE,"Plan1";#N/A,#N/A,FALSE,"Plan2"}</definedName>
    <definedName name="DFT" localSheetId="0" hidden="1">{#N/A,#N/A,FALSE,"Plan1";#N/A,#N/A,FALSE,"Plan2"}</definedName>
    <definedName name="DFT" localSheetId="11" hidden="1">{#N/A,#N/A,FALSE,"Plan1";#N/A,#N/A,FALSE,"Plan2"}</definedName>
    <definedName name="DFT" localSheetId="13" hidden="1">{#N/A,#N/A,FALSE,"Plan1";#N/A,#N/A,FALSE,"Plan2"}</definedName>
    <definedName name="DFT" hidden="1">{#N/A,#N/A,FALSE,"Plan1";#N/A,#N/A,FALSE,"Plan2"}</definedName>
    <definedName name="DFTRTTY" localSheetId="14" hidden="1">{#N/A,#N/A,FALSE,"Plan1";#N/A,#N/A,FALSE,"Plan2"}</definedName>
    <definedName name="DFTRTTY" localSheetId="7" hidden="1">{#N/A,#N/A,FALSE,"Plan1";#N/A,#N/A,FALSE,"Plan2"}</definedName>
    <definedName name="DFTRTTY" localSheetId="1" hidden="1">{#N/A,#N/A,FALSE,"Plan1";#N/A,#N/A,FALSE,"Plan2"}</definedName>
    <definedName name="DFTRTTY" localSheetId="2" hidden="1">{#N/A,#N/A,FALSE,"Plan1";#N/A,#N/A,FALSE,"Plan2"}</definedName>
    <definedName name="DFTRTTY" localSheetId="9" hidden="1">{#N/A,#N/A,FALSE,"Plan1";#N/A,#N/A,FALSE,"Plan2"}</definedName>
    <definedName name="DFTRTTY" localSheetId="5" hidden="1">{#N/A,#N/A,FALSE,"Plan1";#N/A,#N/A,FALSE,"Plan2"}</definedName>
    <definedName name="DFTRTTY" localSheetId="4" hidden="1">{#N/A,#N/A,FALSE,"Plan1";#N/A,#N/A,FALSE,"Plan2"}</definedName>
    <definedName name="DFTRTTY" localSheetId="8" hidden="1">{#N/A,#N/A,FALSE,"Plan1";#N/A,#N/A,FALSE,"Plan2"}</definedName>
    <definedName name="DFTRTTY" localSheetId="12" hidden="1">{#N/A,#N/A,FALSE,"Plan1";#N/A,#N/A,FALSE,"Plan2"}</definedName>
    <definedName name="DFTRTTY" localSheetId="16" hidden="1">{#N/A,#N/A,FALSE,"Plan1";#N/A,#N/A,FALSE,"Plan2"}</definedName>
    <definedName name="DFTRTTY" localSheetId="0" hidden="1">{#N/A,#N/A,FALSE,"Plan1";#N/A,#N/A,FALSE,"Plan2"}</definedName>
    <definedName name="DFTRTTY" localSheetId="11" hidden="1">{#N/A,#N/A,FALSE,"Plan1";#N/A,#N/A,FALSE,"Plan2"}</definedName>
    <definedName name="DFTRTTY" localSheetId="13" hidden="1">{#N/A,#N/A,FALSE,"Plan1";#N/A,#N/A,FALSE,"Plan2"}</definedName>
    <definedName name="DFTRTTY" hidden="1">{#N/A,#N/A,FALSE,"Plan1";#N/A,#N/A,FALSE,"Plan2"}</definedName>
    <definedName name="dfurghifdjyhits" localSheetId="14" hidden="1">{#N/A,#N/A,FALSE,"Plan1";#N/A,#N/A,FALSE,"Plan2"}</definedName>
    <definedName name="dfurghifdjyhits" localSheetId="7" hidden="1">{#N/A,#N/A,FALSE,"Plan1";#N/A,#N/A,FALSE,"Plan2"}</definedName>
    <definedName name="dfurghifdjyhits" localSheetId="1" hidden="1">{#N/A,#N/A,FALSE,"Plan1";#N/A,#N/A,FALSE,"Plan2"}</definedName>
    <definedName name="dfurghifdjyhits" localSheetId="2" hidden="1">{#N/A,#N/A,FALSE,"Plan1";#N/A,#N/A,FALSE,"Plan2"}</definedName>
    <definedName name="dfurghifdjyhits" localSheetId="9" hidden="1">{#N/A,#N/A,FALSE,"Plan1";#N/A,#N/A,FALSE,"Plan2"}</definedName>
    <definedName name="dfurghifdjyhits" localSheetId="5" hidden="1">{#N/A,#N/A,FALSE,"Plan1";#N/A,#N/A,FALSE,"Plan2"}</definedName>
    <definedName name="dfurghifdjyhits" localSheetId="4" hidden="1">{#N/A,#N/A,FALSE,"Plan1";#N/A,#N/A,FALSE,"Plan2"}</definedName>
    <definedName name="dfurghifdjyhits" localSheetId="8" hidden="1">{#N/A,#N/A,FALSE,"Plan1";#N/A,#N/A,FALSE,"Plan2"}</definedName>
    <definedName name="dfurghifdjyhits" localSheetId="12" hidden="1">{#N/A,#N/A,FALSE,"Plan1";#N/A,#N/A,FALSE,"Plan2"}</definedName>
    <definedName name="dfurghifdjyhits" localSheetId="16" hidden="1">{#N/A,#N/A,FALSE,"Plan1";#N/A,#N/A,FALSE,"Plan2"}</definedName>
    <definedName name="dfurghifdjyhits" localSheetId="0" hidden="1">{#N/A,#N/A,FALSE,"Plan1";#N/A,#N/A,FALSE,"Plan2"}</definedName>
    <definedName name="dfurghifdjyhits" localSheetId="11" hidden="1">{#N/A,#N/A,FALSE,"Plan1";#N/A,#N/A,FALSE,"Plan2"}</definedName>
    <definedName name="dfurghifdjyhits" localSheetId="13" hidden="1">{#N/A,#N/A,FALSE,"Plan1";#N/A,#N/A,FALSE,"Plan2"}</definedName>
    <definedName name="dfurghifdjyhits" hidden="1">{#N/A,#N/A,FALSE,"Plan1";#N/A,#N/A,FALSE,"Plan2"}</definedName>
    <definedName name="dfxgdrged" localSheetId="14" hidden="1">{#N/A,#N/A,FALSE,"Plan1";#N/A,#N/A,FALSE,"Plan2"}</definedName>
    <definedName name="dfxgdrged" localSheetId="7" hidden="1">{#N/A,#N/A,FALSE,"Plan1";#N/A,#N/A,FALSE,"Plan2"}</definedName>
    <definedName name="dfxgdrged" localSheetId="1" hidden="1">{#N/A,#N/A,FALSE,"Plan1";#N/A,#N/A,FALSE,"Plan2"}</definedName>
    <definedName name="dfxgdrged" localSheetId="2" hidden="1">{#N/A,#N/A,FALSE,"Plan1";#N/A,#N/A,FALSE,"Plan2"}</definedName>
    <definedName name="dfxgdrged" localSheetId="9" hidden="1">{#N/A,#N/A,FALSE,"Plan1";#N/A,#N/A,FALSE,"Plan2"}</definedName>
    <definedName name="dfxgdrged" localSheetId="5" hidden="1">{#N/A,#N/A,FALSE,"Plan1";#N/A,#N/A,FALSE,"Plan2"}</definedName>
    <definedName name="dfxgdrged" localSheetId="4" hidden="1">{#N/A,#N/A,FALSE,"Plan1";#N/A,#N/A,FALSE,"Plan2"}</definedName>
    <definedName name="dfxgdrged" localSheetId="8" hidden="1">{#N/A,#N/A,FALSE,"Plan1";#N/A,#N/A,FALSE,"Plan2"}</definedName>
    <definedName name="dfxgdrged" localSheetId="12" hidden="1">{#N/A,#N/A,FALSE,"Plan1";#N/A,#N/A,FALSE,"Plan2"}</definedName>
    <definedName name="dfxgdrged" localSheetId="16" hidden="1">{#N/A,#N/A,FALSE,"Plan1";#N/A,#N/A,FALSE,"Plan2"}</definedName>
    <definedName name="dfxgdrged" localSheetId="0" hidden="1">{#N/A,#N/A,FALSE,"Plan1";#N/A,#N/A,FALSE,"Plan2"}</definedName>
    <definedName name="dfxgdrged" localSheetId="11" hidden="1">{#N/A,#N/A,FALSE,"Plan1";#N/A,#N/A,FALSE,"Plan2"}</definedName>
    <definedName name="dfxgdrged" localSheetId="13" hidden="1">{#N/A,#N/A,FALSE,"Plan1";#N/A,#N/A,FALSE,"Plan2"}</definedName>
    <definedName name="dfxgdrged" hidden="1">{#N/A,#N/A,FALSE,"Plan1";#N/A,#N/A,FALSE,"Plan2"}</definedName>
    <definedName name="dgfrtyt" localSheetId="14" hidden="1">{#N/A,#N/A,FALSE,"Plan1";#N/A,#N/A,FALSE,"Plan2"}</definedName>
    <definedName name="dgfrtyt" localSheetId="7" hidden="1">{#N/A,#N/A,FALSE,"Plan1";#N/A,#N/A,FALSE,"Plan2"}</definedName>
    <definedName name="dgfrtyt" localSheetId="1" hidden="1">{#N/A,#N/A,FALSE,"Plan1";#N/A,#N/A,FALSE,"Plan2"}</definedName>
    <definedName name="dgfrtyt" localSheetId="2" hidden="1">{#N/A,#N/A,FALSE,"Plan1";#N/A,#N/A,FALSE,"Plan2"}</definedName>
    <definedName name="dgfrtyt" localSheetId="9" hidden="1">{#N/A,#N/A,FALSE,"Plan1";#N/A,#N/A,FALSE,"Plan2"}</definedName>
    <definedName name="dgfrtyt" localSheetId="5" hidden="1">{#N/A,#N/A,FALSE,"Plan1";#N/A,#N/A,FALSE,"Plan2"}</definedName>
    <definedName name="dgfrtyt" localSheetId="4" hidden="1">{#N/A,#N/A,FALSE,"Plan1";#N/A,#N/A,FALSE,"Plan2"}</definedName>
    <definedName name="dgfrtyt" localSheetId="8" hidden="1">{#N/A,#N/A,FALSE,"Plan1";#N/A,#N/A,FALSE,"Plan2"}</definedName>
    <definedName name="dgfrtyt" localSheetId="12" hidden="1">{#N/A,#N/A,FALSE,"Plan1";#N/A,#N/A,FALSE,"Plan2"}</definedName>
    <definedName name="dgfrtyt" localSheetId="16" hidden="1">{#N/A,#N/A,FALSE,"Plan1";#N/A,#N/A,FALSE,"Plan2"}</definedName>
    <definedName name="dgfrtyt" localSheetId="0" hidden="1">{#N/A,#N/A,FALSE,"Plan1";#N/A,#N/A,FALSE,"Plan2"}</definedName>
    <definedName name="dgfrtyt" localSheetId="11" hidden="1">{#N/A,#N/A,FALSE,"Plan1";#N/A,#N/A,FALSE,"Plan2"}</definedName>
    <definedName name="dgfrtyt" localSheetId="13" hidden="1">{#N/A,#N/A,FALSE,"Plan1";#N/A,#N/A,FALSE,"Plan2"}</definedName>
    <definedName name="dgfrtyt" hidden="1">{#N/A,#N/A,FALSE,"Plan1";#N/A,#N/A,FALSE,"Plan2"}</definedName>
    <definedName name="dggfdg" localSheetId="14" hidden="1">{#N/A,#N/A,FALSE,"Plan1";#N/A,#N/A,FALSE,"Plan2"}</definedName>
    <definedName name="dggfdg" localSheetId="7" hidden="1">{#N/A,#N/A,FALSE,"Plan1";#N/A,#N/A,FALSE,"Plan2"}</definedName>
    <definedName name="dggfdg" localSheetId="1" hidden="1">{#N/A,#N/A,FALSE,"Plan1";#N/A,#N/A,FALSE,"Plan2"}</definedName>
    <definedName name="dggfdg" localSheetId="2" hidden="1">{#N/A,#N/A,FALSE,"Plan1";#N/A,#N/A,FALSE,"Plan2"}</definedName>
    <definedName name="dggfdg" localSheetId="9" hidden="1">{#N/A,#N/A,FALSE,"Plan1";#N/A,#N/A,FALSE,"Plan2"}</definedName>
    <definedName name="dggfdg" localSheetId="5" hidden="1">{#N/A,#N/A,FALSE,"Plan1";#N/A,#N/A,FALSE,"Plan2"}</definedName>
    <definedName name="dggfdg" localSheetId="4" hidden="1">{#N/A,#N/A,FALSE,"Plan1";#N/A,#N/A,FALSE,"Plan2"}</definedName>
    <definedName name="dggfdg" localSheetId="8" hidden="1">{#N/A,#N/A,FALSE,"Plan1";#N/A,#N/A,FALSE,"Plan2"}</definedName>
    <definedName name="dggfdg" localSheetId="12" hidden="1">{#N/A,#N/A,FALSE,"Plan1";#N/A,#N/A,FALSE,"Plan2"}</definedName>
    <definedName name="dggfdg" localSheetId="16" hidden="1">{#N/A,#N/A,FALSE,"Plan1";#N/A,#N/A,FALSE,"Plan2"}</definedName>
    <definedName name="dggfdg" localSheetId="0" hidden="1">{#N/A,#N/A,FALSE,"Plan1";#N/A,#N/A,FALSE,"Plan2"}</definedName>
    <definedName name="dggfdg" localSheetId="11" hidden="1">{#N/A,#N/A,FALSE,"Plan1";#N/A,#N/A,FALSE,"Plan2"}</definedName>
    <definedName name="dggfdg" localSheetId="13" hidden="1">{#N/A,#N/A,FALSE,"Plan1";#N/A,#N/A,FALSE,"Plan2"}</definedName>
    <definedName name="dggfdg" hidden="1">{#N/A,#N/A,FALSE,"Plan1";#N/A,#N/A,FALSE,"Plan2"}</definedName>
    <definedName name="dgldfhgkljslh" localSheetId="14" hidden="1">{#N/A,#N/A,FALSE,"Plan1";#N/A,#N/A,FALSE,"Plan2"}</definedName>
    <definedName name="dgldfhgkljslh" localSheetId="7" hidden="1">{#N/A,#N/A,FALSE,"Plan1";#N/A,#N/A,FALSE,"Plan2"}</definedName>
    <definedName name="dgldfhgkljslh" localSheetId="1" hidden="1">{#N/A,#N/A,FALSE,"Plan1";#N/A,#N/A,FALSE,"Plan2"}</definedName>
    <definedName name="dgldfhgkljslh" localSheetId="2" hidden="1">{#N/A,#N/A,FALSE,"Plan1";#N/A,#N/A,FALSE,"Plan2"}</definedName>
    <definedName name="dgldfhgkljslh" localSheetId="9" hidden="1">{#N/A,#N/A,FALSE,"Plan1";#N/A,#N/A,FALSE,"Plan2"}</definedName>
    <definedName name="dgldfhgkljslh" localSheetId="5" hidden="1">{#N/A,#N/A,FALSE,"Plan1";#N/A,#N/A,FALSE,"Plan2"}</definedName>
    <definedName name="dgldfhgkljslh" localSheetId="4" hidden="1">{#N/A,#N/A,FALSE,"Plan1";#N/A,#N/A,FALSE,"Plan2"}</definedName>
    <definedName name="dgldfhgkljslh" localSheetId="8" hidden="1">{#N/A,#N/A,FALSE,"Plan1";#N/A,#N/A,FALSE,"Plan2"}</definedName>
    <definedName name="dgldfhgkljslh" localSheetId="12" hidden="1">{#N/A,#N/A,FALSE,"Plan1";#N/A,#N/A,FALSE,"Plan2"}</definedName>
    <definedName name="dgldfhgkljslh" localSheetId="16" hidden="1">{#N/A,#N/A,FALSE,"Plan1";#N/A,#N/A,FALSE,"Plan2"}</definedName>
    <definedName name="dgldfhgkljslh" localSheetId="0" hidden="1">{#N/A,#N/A,FALSE,"Plan1";#N/A,#N/A,FALSE,"Plan2"}</definedName>
    <definedName name="dgldfhgkljslh" localSheetId="11" hidden="1">{#N/A,#N/A,FALSE,"Plan1";#N/A,#N/A,FALSE,"Plan2"}</definedName>
    <definedName name="dgldfhgkljslh" localSheetId="13" hidden="1">{#N/A,#N/A,FALSE,"Plan1";#N/A,#N/A,FALSE,"Plan2"}</definedName>
    <definedName name="dgldfhgkljslh" hidden="1">{#N/A,#N/A,FALSE,"Plan1";#N/A,#N/A,FALSE,"Plan2"}</definedName>
    <definedName name="dhfgdhrehrwe" localSheetId="14" hidden="1">{#N/A,#N/A,FALSE,"Plan1";#N/A,#N/A,FALSE,"Plan2"}</definedName>
    <definedName name="dhfgdhrehrwe" localSheetId="7" hidden="1">{#N/A,#N/A,FALSE,"Plan1";#N/A,#N/A,FALSE,"Plan2"}</definedName>
    <definedName name="dhfgdhrehrwe" localSheetId="1" hidden="1">{#N/A,#N/A,FALSE,"Plan1";#N/A,#N/A,FALSE,"Plan2"}</definedName>
    <definedName name="dhfgdhrehrwe" localSheetId="2" hidden="1">{#N/A,#N/A,FALSE,"Plan1";#N/A,#N/A,FALSE,"Plan2"}</definedName>
    <definedName name="dhfgdhrehrwe" localSheetId="9" hidden="1">{#N/A,#N/A,FALSE,"Plan1";#N/A,#N/A,FALSE,"Plan2"}</definedName>
    <definedName name="dhfgdhrehrwe" localSheetId="5" hidden="1">{#N/A,#N/A,FALSE,"Plan1";#N/A,#N/A,FALSE,"Plan2"}</definedName>
    <definedName name="dhfgdhrehrwe" localSheetId="4" hidden="1">{#N/A,#N/A,FALSE,"Plan1";#N/A,#N/A,FALSE,"Plan2"}</definedName>
    <definedName name="dhfgdhrehrwe" localSheetId="8" hidden="1">{#N/A,#N/A,FALSE,"Plan1";#N/A,#N/A,FALSE,"Plan2"}</definedName>
    <definedName name="dhfgdhrehrwe" localSheetId="12" hidden="1">{#N/A,#N/A,FALSE,"Plan1";#N/A,#N/A,FALSE,"Plan2"}</definedName>
    <definedName name="dhfgdhrehrwe" localSheetId="16" hidden="1">{#N/A,#N/A,FALSE,"Plan1";#N/A,#N/A,FALSE,"Plan2"}</definedName>
    <definedName name="dhfgdhrehrwe" localSheetId="0" hidden="1">{#N/A,#N/A,FALSE,"Plan1";#N/A,#N/A,FALSE,"Plan2"}</definedName>
    <definedName name="dhfgdhrehrwe" localSheetId="11" hidden="1">{#N/A,#N/A,FALSE,"Plan1";#N/A,#N/A,FALSE,"Plan2"}</definedName>
    <definedName name="dhfgdhrehrwe" localSheetId="13" hidden="1">{#N/A,#N/A,FALSE,"Plan1";#N/A,#N/A,FALSE,"Plan2"}</definedName>
    <definedName name="dhfgdhrehrwe" hidden="1">{#N/A,#N/A,FALSE,"Plan1";#N/A,#N/A,FALSE,"Plan2"}</definedName>
    <definedName name="dhgfdgrfgdfgd" localSheetId="14" hidden="1">{#N/A,#N/A,FALSE,"Plan1";#N/A,#N/A,FALSE,"Plan2"}</definedName>
    <definedName name="dhgfdgrfgdfgd" localSheetId="7" hidden="1">{#N/A,#N/A,FALSE,"Plan1";#N/A,#N/A,FALSE,"Plan2"}</definedName>
    <definedName name="dhgfdgrfgdfgd" localSheetId="1" hidden="1">{#N/A,#N/A,FALSE,"Plan1";#N/A,#N/A,FALSE,"Plan2"}</definedName>
    <definedName name="dhgfdgrfgdfgd" localSheetId="2" hidden="1">{#N/A,#N/A,FALSE,"Plan1";#N/A,#N/A,FALSE,"Plan2"}</definedName>
    <definedName name="dhgfdgrfgdfgd" localSheetId="9" hidden="1">{#N/A,#N/A,FALSE,"Plan1";#N/A,#N/A,FALSE,"Plan2"}</definedName>
    <definedName name="dhgfdgrfgdfgd" localSheetId="5" hidden="1">{#N/A,#N/A,FALSE,"Plan1";#N/A,#N/A,FALSE,"Plan2"}</definedName>
    <definedName name="dhgfdgrfgdfgd" localSheetId="4" hidden="1">{#N/A,#N/A,FALSE,"Plan1";#N/A,#N/A,FALSE,"Plan2"}</definedName>
    <definedName name="dhgfdgrfgdfgd" localSheetId="8" hidden="1">{#N/A,#N/A,FALSE,"Plan1";#N/A,#N/A,FALSE,"Plan2"}</definedName>
    <definedName name="dhgfdgrfgdfgd" localSheetId="12" hidden="1">{#N/A,#N/A,FALSE,"Plan1";#N/A,#N/A,FALSE,"Plan2"}</definedName>
    <definedName name="dhgfdgrfgdfgd" localSheetId="16" hidden="1">{#N/A,#N/A,FALSE,"Plan1";#N/A,#N/A,FALSE,"Plan2"}</definedName>
    <definedName name="dhgfdgrfgdfgd" localSheetId="0" hidden="1">{#N/A,#N/A,FALSE,"Plan1";#N/A,#N/A,FALSE,"Plan2"}</definedName>
    <definedName name="dhgfdgrfgdfgd" localSheetId="11" hidden="1">{#N/A,#N/A,FALSE,"Plan1";#N/A,#N/A,FALSE,"Plan2"}</definedName>
    <definedName name="dhgfdgrfgdfgd" localSheetId="13" hidden="1">{#N/A,#N/A,FALSE,"Plan1";#N/A,#N/A,FALSE,"Plan2"}</definedName>
    <definedName name="dhgfdgrfgdfgd" hidden="1">{#N/A,#N/A,FALSE,"Plan1";#N/A,#N/A,FALSE,"Plan2"}</definedName>
    <definedName name="dhkjfhdhfjdh" localSheetId="14" hidden="1">{#N/A,#N/A,FALSE,"Plan1";#N/A,#N/A,FALSE,"Plan2"}</definedName>
    <definedName name="dhkjfhdhfjdh" localSheetId="7" hidden="1">{#N/A,#N/A,FALSE,"Plan1";#N/A,#N/A,FALSE,"Plan2"}</definedName>
    <definedName name="dhkjfhdhfjdh" localSheetId="1" hidden="1">{#N/A,#N/A,FALSE,"Plan1";#N/A,#N/A,FALSE,"Plan2"}</definedName>
    <definedName name="dhkjfhdhfjdh" localSheetId="2" hidden="1">{#N/A,#N/A,FALSE,"Plan1";#N/A,#N/A,FALSE,"Plan2"}</definedName>
    <definedName name="dhkjfhdhfjdh" localSheetId="9" hidden="1">{#N/A,#N/A,FALSE,"Plan1";#N/A,#N/A,FALSE,"Plan2"}</definedName>
    <definedName name="dhkjfhdhfjdh" localSheetId="5" hidden="1">{#N/A,#N/A,FALSE,"Plan1";#N/A,#N/A,FALSE,"Plan2"}</definedName>
    <definedName name="dhkjfhdhfjdh" localSheetId="4" hidden="1">{#N/A,#N/A,FALSE,"Plan1";#N/A,#N/A,FALSE,"Plan2"}</definedName>
    <definedName name="dhkjfhdhfjdh" localSheetId="8" hidden="1">{#N/A,#N/A,FALSE,"Plan1";#N/A,#N/A,FALSE,"Plan2"}</definedName>
    <definedName name="dhkjfhdhfjdh" localSheetId="12" hidden="1">{#N/A,#N/A,FALSE,"Plan1";#N/A,#N/A,FALSE,"Plan2"}</definedName>
    <definedName name="dhkjfhdhfjdh" localSheetId="16" hidden="1">{#N/A,#N/A,FALSE,"Plan1";#N/A,#N/A,FALSE,"Plan2"}</definedName>
    <definedName name="dhkjfhdhfjdh" localSheetId="0" hidden="1">{#N/A,#N/A,FALSE,"Plan1";#N/A,#N/A,FALSE,"Plan2"}</definedName>
    <definedName name="dhkjfhdhfjdh" localSheetId="11" hidden="1">{#N/A,#N/A,FALSE,"Plan1";#N/A,#N/A,FALSE,"Plan2"}</definedName>
    <definedName name="dhkjfhdhfjdh" localSheetId="13" hidden="1">{#N/A,#N/A,FALSE,"Plan1";#N/A,#N/A,FALSE,"Plan2"}</definedName>
    <definedName name="dhkjfhdhfjdh" hidden="1">{#N/A,#N/A,FALSE,"Plan1";#N/A,#N/A,FALSE,"Plan2"}</definedName>
    <definedName name="DHTJRT" localSheetId="14" hidden="1">{#N/A,#N/A,FALSE,"Plan1";#N/A,#N/A,FALSE,"Plan2"}</definedName>
    <definedName name="DHTJRT" localSheetId="7" hidden="1">{#N/A,#N/A,FALSE,"Plan1";#N/A,#N/A,FALSE,"Plan2"}</definedName>
    <definedName name="DHTJRT" localSheetId="1" hidden="1">{#N/A,#N/A,FALSE,"Plan1";#N/A,#N/A,FALSE,"Plan2"}</definedName>
    <definedName name="DHTJRT" localSheetId="2" hidden="1">{#N/A,#N/A,FALSE,"Plan1";#N/A,#N/A,FALSE,"Plan2"}</definedName>
    <definedName name="DHTJRT" localSheetId="9" hidden="1">{#N/A,#N/A,FALSE,"Plan1";#N/A,#N/A,FALSE,"Plan2"}</definedName>
    <definedName name="DHTJRT" localSheetId="5" hidden="1">{#N/A,#N/A,FALSE,"Plan1";#N/A,#N/A,FALSE,"Plan2"}</definedName>
    <definedName name="DHTJRT" localSheetId="4" hidden="1">{#N/A,#N/A,FALSE,"Plan1";#N/A,#N/A,FALSE,"Plan2"}</definedName>
    <definedName name="DHTJRT" localSheetId="8" hidden="1">{#N/A,#N/A,FALSE,"Plan1";#N/A,#N/A,FALSE,"Plan2"}</definedName>
    <definedName name="DHTJRT" localSheetId="12" hidden="1">{#N/A,#N/A,FALSE,"Plan1";#N/A,#N/A,FALSE,"Plan2"}</definedName>
    <definedName name="DHTJRT" localSheetId="16" hidden="1">{#N/A,#N/A,FALSE,"Plan1";#N/A,#N/A,FALSE,"Plan2"}</definedName>
    <definedName name="DHTJRT" localSheetId="0" hidden="1">{#N/A,#N/A,FALSE,"Plan1";#N/A,#N/A,FALSE,"Plan2"}</definedName>
    <definedName name="DHTJRT" localSheetId="11" hidden="1">{#N/A,#N/A,FALSE,"Plan1";#N/A,#N/A,FALSE,"Plan2"}</definedName>
    <definedName name="DHTJRT" localSheetId="13" hidden="1">{#N/A,#N/A,FALSE,"Plan1";#N/A,#N/A,FALSE,"Plan2"}</definedName>
    <definedName name="DHTJRT" hidden="1">{#N/A,#N/A,FALSE,"Plan1";#N/A,#N/A,FALSE,"Plan2"}</definedName>
    <definedName name="DI" localSheetId="2">#REF!</definedName>
    <definedName name="DI" localSheetId="5">#REF!</definedName>
    <definedName name="DI">#REF!</definedName>
    <definedName name="dia3estac" localSheetId="2">#REF!</definedName>
    <definedName name="dia3estac" localSheetId="5">#REF!</definedName>
    <definedName name="dia3estac">#REF!</definedName>
    <definedName name="diaestaca" localSheetId="2">#REF!</definedName>
    <definedName name="diaestaca" localSheetId="5">#REF!</definedName>
    <definedName name="diaestaca">#REF!</definedName>
    <definedName name="diambase" localSheetId="2">#REF!</definedName>
    <definedName name="diambase" localSheetId="5">#REF!</definedName>
    <definedName name="diambase">#REF!</definedName>
    <definedName name="DIFQT" localSheetId="2">#REF!</definedName>
    <definedName name="DIFQT" localSheetId="5">#REF!</definedName>
    <definedName name="DIFQT">#REF!</definedName>
    <definedName name="dijghdhks" localSheetId="14" hidden="1">{#N/A,#N/A,FALSE,"Plan1";#N/A,#N/A,FALSE,"Plan2"}</definedName>
    <definedName name="dijghdhks" localSheetId="7" hidden="1">{#N/A,#N/A,FALSE,"Plan1";#N/A,#N/A,FALSE,"Plan2"}</definedName>
    <definedName name="dijghdhks" localSheetId="1" hidden="1">{#N/A,#N/A,FALSE,"Plan1";#N/A,#N/A,FALSE,"Plan2"}</definedName>
    <definedName name="dijghdhks" localSheetId="2" hidden="1">{#N/A,#N/A,FALSE,"Plan1";#N/A,#N/A,FALSE,"Plan2"}</definedName>
    <definedName name="dijghdhks" localSheetId="9" hidden="1">{#N/A,#N/A,FALSE,"Plan1";#N/A,#N/A,FALSE,"Plan2"}</definedName>
    <definedName name="dijghdhks" localSheetId="5" hidden="1">{#N/A,#N/A,FALSE,"Plan1";#N/A,#N/A,FALSE,"Plan2"}</definedName>
    <definedName name="dijghdhks" localSheetId="4" hidden="1">{#N/A,#N/A,FALSE,"Plan1";#N/A,#N/A,FALSE,"Plan2"}</definedName>
    <definedName name="dijghdhks" localSheetId="8" hidden="1">{#N/A,#N/A,FALSE,"Plan1";#N/A,#N/A,FALSE,"Plan2"}</definedName>
    <definedName name="dijghdhks" localSheetId="12" hidden="1">{#N/A,#N/A,FALSE,"Plan1";#N/A,#N/A,FALSE,"Plan2"}</definedName>
    <definedName name="dijghdhks" localSheetId="16" hidden="1">{#N/A,#N/A,FALSE,"Plan1";#N/A,#N/A,FALSE,"Plan2"}</definedName>
    <definedName name="dijghdhks" localSheetId="0" hidden="1">{#N/A,#N/A,FALSE,"Plan1";#N/A,#N/A,FALSE,"Plan2"}</definedName>
    <definedName name="dijghdhks" localSheetId="11" hidden="1">{#N/A,#N/A,FALSE,"Plan1";#N/A,#N/A,FALSE,"Plan2"}</definedName>
    <definedName name="dijghdhks" localSheetId="13" hidden="1">{#N/A,#N/A,FALSE,"Plan1";#N/A,#N/A,FALSE,"Plan2"}</definedName>
    <definedName name="dijghdhks" hidden="1">{#N/A,#N/A,FALSE,"Plan1";#N/A,#N/A,FALSE,"Plan2"}</definedName>
    <definedName name="DIMENSÕES" localSheetId="2">#REF!</definedName>
    <definedName name="DIMENSÕES" localSheetId="5">#REF!</definedName>
    <definedName name="DIMENSÕES">#REF!</definedName>
    <definedName name="DIR_OPER" localSheetId="2">#REF!</definedName>
    <definedName name="DIR_OPER" localSheetId="5">#REF!</definedName>
    <definedName name="DIR_OPER">#REF!</definedName>
    <definedName name="DIR_TECNICO" localSheetId="2">#REF!</definedName>
    <definedName name="DIR_TECNICO" localSheetId="5">#REF!</definedName>
    <definedName name="DIR_TECNICO">#REF!</definedName>
    <definedName name="direto" localSheetId="14">#REF!</definedName>
    <definedName name="direto" localSheetId="2">#REF!</definedName>
    <definedName name="direto" localSheetId="5">#REF!</definedName>
    <definedName name="direto" localSheetId="15">#REF!</definedName>
    <definedName name="direto" localSheetId="12">#REF!</definedName>
    <definedName name="direto" localSheetId="0">#REF!</definedName>
    <definedName name="direto">#REF!</definedName>
    <definedName name="DIRETORIA" localSheetId="2">#REF!</definedName>
    <definedName name="DIRETORIA" localSheetId="5">#REF!</definedName>
    <definedName name="DIRETORIA">#REF!</definedName>
    <definedName name="diretorias" localSheetId="2">#REF!</definedName>
    <definedName name="diretorias" localSheetId="5">#REF!</definedName>
    <definedName name="diretorias">#REF!</definedName>
    <definedName name="Discrim" localSheetId="2">#REF!</definedName>
    <definedName name="Discrim" localSheetId="5">#REF!</definedName>
    <definedName name="Discrim">#REF!</definedName>
    <definedName name="DISCRIMINAÇÃO" localSheetId="2">#REF!</definedName>
    <definedName name="DISCRIMINAÇÃO" localSheetId="5">#REF!</definedName>
    <definedName name="DISCRIMINAÇÃO">#REF!</definedName>
    <definedName name="Discriminação_Controladoria" localSheetId="2">#REF!</definedName>
    <definedName name="Discriminação_Controladoria" localSheetId="5">#REF!</definedName>
    <definedName name="Discriminação_Controladoria">#REF!</definedName>
    <definedName name="DistCidade" localSheetId="2">#REF!</definedName>
    <definedName name="DistCidade" localSheetId="5">#REF!</definedName>
    <definedName name="DistCidade">#REF!</definedName>
    <definedName name="distratos" localSheetId="2">#REF!</definedName>
    <definedName name="distratos" localSheetId="5">#REF!</definedName>
    <definedName name="distratos">#REF!</definedName>
    <definedName name="div" localSheetId="2">#REF!</definedName>
    <definedName name="div" localSheetId="5">#REF!</definedName>
    <definedName name="div">#REF!</definedName>
    <definedName name="djasdrjas" localSheetId="14" hidden="1">{#N/A,#N/A,FALSE,"Plan1";#N/A,#N/A,FALSE,"Plan2"}</definedName>
    <definedName name="djasdrjas" localSheetId="7" hidden="1">{#N/A,#N/A,FALSE,"Plan1";#N/A,#N/A,FALSE,"Plan2"}</definedName>
    <definedName name="djasdrjas" localSheetId="1" hidden="1">{#N/A,#N/A,FALSE,"Plan1";#N/A,#N/A,FALSE,"Plan2"}</definedName>
    <definedName name="djasdrjas" localSheetId="2" hidden="1">{#N/A,#N/A,FALSE,"Plan1";#N/A,#N/A,FALSE,"Plan2"}</definedName>
    <definedName name="djasdrjas" localSheetId="9" hidden="1">{#N/A,#N/A,FALSE,"Plan1";#N/A,#N/A,FALSE,"Plan2"}</definedName>
    <definedName name="djasdrjas" localSheetId="5" hidden="1">{#N/A,#N/A,FALSE,"Plan1";#N/A,#N/A,FALSE,"Plan2"}</definedName>
    <definedName name="djasdrjas" localSheetId="4" hidden="1">{#N/A,#N/A,FALSE,"Plan1";#N/A,#N/A,FALSE,"Plan2"}</definedName>
    <definedName name="djasdrjas" localSheetId="8" hidden="1">{#N/A,#N/A,FALSE,"Plan1";#N/A,#N/A,FALSE,"Plan2"}</definedName>
    <definedName name="djasdrjas" localSheetId="12" hidden="1">{#N/A,#N/A,FALSE,"Plan1";#N/A,#N/A,FALSE,"Plan2"}</definedName>
    <definedName name="djasdrjas" localSheetId="16" hidden="1">{#N/A,#N/A,FALSE,"Plan1";#N/A,#N/A,FALSE,"Plan2"}</definedName>
    <definedName name="djasdrjas" localSheetId="0" hidden="1">{#N/A,#N/A,FALSE,"Plan1";#N/A,#N/A,FALSE,"Plan2"}</definedName>
    <definedName name="djasdrjas" localSheetId="11" hidden="1">{#N/A,#N/A,FALSE,"Plan1";#N/A,#N/A,FALSE,"Plan2"}</definedName>
    <definedName name="djasdrjas" localSheetId="13" hidden="1">{#N/A,#N/A,FALSE,"Plan1";#N/A,#N/A,FALSE,"Plan2"}</definedName>
    <definedName name="djasdrjas" hidden="1">{#N/A,#N/A,FALSE,"Plan1";#N/A,#N/A,FALSE,"Plan2"}</definedName>
    <definedName name="dj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4" hidden="1">{#N/A,#N/A,FALSE,"Plan1";#N/A,#N/A,FALSE,"Plan2"}</definedName>
    <definedName name="djfkhjhfgrgdfh" localSheetId="7" hidden="1">{#N/A,#N/A,FALSE,"Plan1";#N/A,#N/A,FALSE,"Plan2"}</definedName>
    <definedName name="djfkhjhfgrgdfh" localSheetId="1" hidden="1">{#N/A,#N/A,FALSE,"Plan1";#N/A,#N/A,FALSE,"Plan2"}</definedName>
    <definedName name="djfkhjhfgrgdfh" localSheetId="2" hidden="1">{#N/A,#N/A,FALSE,"Plan1";#N/A,#N/A,FALSE,"Plan2"}</definedName>
    <definedName name="djfkhjhfgrgdfh" localSheetId="9" hidden="1">{#N/A,#N/A,FALSE,"Plan1";#N/A,#N/A,FALSE,"Plan2"}</definedName>
    <definedName name="djfkhjhfgrgdfh" localSheetId="5" hidden="1">{#N/A,#N/A,FALSE,"Plan1";#N/A,#N/A,FALSE,"Plan2"}</definedName>
    <definedName name="djfkhjhfgrgdfh" localSheetId="4" hidden="1">{#N/A,#N/A,FALSE,"Plan1";#N/A,#N/A,FALSE,"Plan2"}</definedName>
    <definedName name="djfkhjhfgrgdfh" localSheetId="8" hidden="1">{#N/A,#N/A,FALSE,"Plan1";#N/A,#N/A,FALSE,"Plan2"}</definedName>
    <definedName name="djfkhjhfgrgdfh" localSheetId="12" hidden="1">{#N/A,#N/A,FALSE,"Plan1";#N/A,#N/A,FALSE,"Plan2"}</definedName>
    <definedName name="djfkhjhfgrgdfh" localSheetId="16" hidden="1">{#N/A,#N/A,FALSE,"Plan1";#N/A,#N/A,FALSE,"Plan2"}</definedName>
    <definedName name="djfkhjhfgrgdfh" localSheetId="0" hidden="1">{#N/A,#N/A,FALSE,"Plan1";#N/A,#N/A,FALSE,"Plan2"}</definedName>
    <definedName name="djfkhjhfgrgdfh" localSheetId="11" hidden="1">{#N/A,#N/A,FALSE,"Plan1";#N/A,#N/A,FALSE,"Plan2"}</definedName>
    <definedName name="djfkhjhfgrgdfh" localSheetId="13" hidden="1">{#N/A,#N/A,FALSE,"Plan1";#N/A,#N/A,FALSE,"Plan2"}</definedName>
    <definedName name="djfkhjhfgrgdfh" hidden="1">{#N/A,#N/A,FALSE,"Plan1";#N/A,#N/A,FALSE,"Plan2"}</definedName>
    <definedName name="djfkhsdkjhf" localSheetId="14" hidden="1">{#N/A,#N/A,FALSE,"Plan1";#N/A,#N/A,FALSE,"Plan2"}</definedName>
    <definedName name="djfkhsdkjhf" localSheetId="7" hidden="1">{#N/A,#N/A,FALSE,"Plan1";#N/A,#N/A,FALSE,"Plan2"}</definedName>
    <definedName name="djfkhsdkjhf" localSheetId="1" hidden="1">{#N/A,#N/A,FALSE,"Plan1";#N/A,#N/A,FALSE,"Plan2"}</definedName>
    <definedName name="djfkhsdkjhf" localSheetId="2" hidden="1">{#N/A,#N/A,FALSE,"Plan1";#N/A,#N/A,FALSE,"Plan2"}</definedName>
    <definedName name="djfkhsdkjhf" localSheetId="9" hidden="1">{#N/A,#N/A,FALSE,"Plan1";#N/A,#N/A,FALSE,"Plan2"}</definedName>
    <definedName name="djfkhsdkjhf" localSheetId="5" hidden="1">{#N/A,#N/A,FALSE,"Plan1";#N/A,#N/A,FALSE,"Plan2"}</definedName>
    <definedName name="djfkhsdkjhf" localSheetId="4" hidden="1">{#N/A,#N/A,FALSE,"Plan1";#N/A,#N/A,FALSE,"Plan2"}</definedName>
    <definedName name="djfkhsdkjhf" localSheetId="8" hidden="1">{#N/A,#N/A,FALSE,"Plan1";#N/A,#N/A,FALSE,"Plan2"}</definedName>
    <definedName name="djfkhsdkjhf" localSheetId="12" hidden="1">{#N/A,#N/A,FALSE,"Plan1";#N/A,#N/A,FALSE,"Plan2"}</definedName>
    <definedName name="djfkhsdkjhf" localSheetId="16" hidden="1">{#N/A,#N/A,FALSE,"Plan1";#N/A,#N/A,FALSE,"Plan2"}</definedName>
    <definedName name="djfkhsdkjhf" localSheetId="0" hidden="1">{#N/A,#N/A,FALSE,"Plan1";#N/A,#N/A,FALSE,"Plan2"}</definedName>
    <definedName name="djfkhsdkjhf" localSheetId="11" hidden="1">{#N/A,#N/A,FALSE,"Plan1";#N/A,#N/A,FALSE,"Plan2"}</definedName>
    <definedName name="djfkhsdkjhf" localSheetId="13" hidden="1">{#N/A,#N/A,FALSE,"Plan1";#N/A,#N/A,FALSE,"Plan2"}</definedName>
    <definedName name="djfkhsdkjhf" hidden="1">{#N/A,#N/A,FALSE,"Plan1";#N/A,#N/A,FALSE,"Plan2"}</definedName>
    <definedName name="djfldjsgljslkjtg" localSheetId="14" hidden="1">{#N/A,#N/A,FALSE,"Plan1";#N/A,#N/A,FALSE,"Plan2"}</definedName>
    <definedName name="djfldjsgljslkjtg" localSheetId="7" hidden="1">{#N/A,#N/A,FALSE,"Plan1";#N/A,#N/A,FALSE,"Plan2"}</definedName>
    <definedName name="djfldjsgljslkjtg" localSheetId="1" hidden="1">{#N/A,#N/A,FALSE,"Plan1";#N/A,#N/A,FALSE,"Plan2"}</definedName>
    <definedName name="djfldjsgljslkjtg" localSheetId="2" hidden="1">{#N/A,#N/A,FALSE,"Plan1";#N/A,#N/A,FALSE,"Plan2"}</definedName>
    <definedName name="djfldjsgljslkjtg" localSheetId="9" hidden="1">{#N/A,#N/A,FALSE,"Plan1";#N/A,#N/A,FALSE,"Plan2"}</definedName>
    <definedName name="djfldjsgljslkjtg" localSheetId="5" hidden="1">{#N/A,#N/A,FALSE,"Plan1";#N/A,#N/A,FALSE,"Plan2"}</definedName>
    <definedName name="djfldjsgljslkjtg" localSheetId="4" hidden="1">{#N/A,#N/A,FALSE,"Plan1";#N/A,#N/A,FALSE,"Plan2"}</definedName>
    <definedName name="djfldjsgljslkjtg" localSheetId="8" hidden="1">{#N/A,#N/A,FALSE,"Plan1";#N/A,#N/A,FALSE,"Plan2"}</definedName>
    <definedName name="djfldjsgljslkjtg" localSheetId="12" hidden="1">{#N/A,#N/A,FALSE,"Plan1";#N/A,#N/A,FALSE,"Plan2"}</definedName>
    <definedName name="djfldjsgljslkjtg" localSheetId="16" hidden="1">{#N/A,#N/A,FALSE,"Plan1";#N/A,#N/A,FALSE,"Plan2"}</definedName>
    <definedName name="djfldjsgljslkjtg" localSheetId="0" hidden="1">{#N/A,#N/A,FALSE,"Plan1";#N/A,#N/A,FALSE,"Plan2"}</definedName>
    <definedName name="djfldjsgljslkjtg" localSheetId="11" hidden="1">{#N/A,#N/A,FALSE,"Plan1";#N/A,#N/A,FALSE,"Plan2"}</definedName>
    <definedName name="djfldjsgljslkjtg" localSheetId="13" hidden="1">{#N/A,#N/A,FALSE,"Plan1";#N/A,#N/A,FALSE,"Plan2"}</definedName>
    <definedName name="djfldjsgljslkjtg" hidden="1">{#N/A,#N/A,FALSE,"Plan1";#N/A,#N/A,FALSE,"Plan2"}</definedName>
    <definedName name="djflkdjgdth" localSheetId="14" hidden="1">{#N/A,#N/A,FALSE,"Plan1";#N/A,#N/A,FALSE,"Plan2"}</definedName>
    <definedName name="djflkdjgdth" localSheetId="7" hidden="1">{#N/A,#N/A,FALSE,"Plan1";#N/A,#N/A,FALSE,"Plan2"}</definedName>
    <definedName name="djflkdjgdth" localSheetId="1" hidden="1">{#N/A,#N/A,FALSE,"Plan1";#N/A,#N/A,FALSE,"Plan2"}</definedName>
    <definedName name="djflkdjgdth" localSheetId="2" hidden="1">{#N/A,#N/A,FALSE,"Plan1";#N/A,#N/A,FALSE,"Plan2"}</definedName>
    <definedName name="djflkdjgdth" localSheetId="9" hidden="1">{#N/A,#N/A,FALSE,"Plan1";#N/A,#N/A,FALSE,"Plan2"}</definedName>
    <definedName name="djflkdjgdth" localSheetId="5" hidden="1">{#N/A,#N/A,FALSE,"Plan1";#N/A,#N/A,FALSE,"Plan2"}</definedName>
    <definedName name="djflkdjgdth" localSheetId="4" hidden="1">{#N/A,#N/A,FALSE,"Plan1";#N/A,#N/A,FALSE,"Plan2"}</definedName>
    <definedName name="djflkdjgdth" localSheetId="8" hidden="1">{#N/A,#N/A,FALSE,"Plan1";#N/A,#N/A,FALSE,"Plan2"}</definedName>
    <definedName name="djflkdjgdth" localSheetId="12" hidden="1">{#N/A,#N/A,FALSE,"Plan1";#N/A,#N/A,FALSE,"Plan2"}</definedName>
    <definedName name="djflkdjgdth" localSheetId="16" hidden="1">{#N/A,#N/A,FALSE,"Plan1";#N/A,#N/A,FALSE,"Plan2"}</definedName>
    <definedName name="djflkdjgdth" localSheetId="0" hidden="1">{#N/A,#N/A,FALSE,"Plan1";#N/A,#N/A,FALSE,"Plan2"}</definedName>
    <definedName name="djflkdjgdth" localSheetId="11" hidden="1">{#N/A,#N/A,FALSE,"Plan1";#N/A,#N/A,FALSE,"Plan2"}</definedName>
    <definedName name="djflkdjgdth" localSheetId="13" hidden="1">{#N/A,#N/A,FALSE,"Plan1";#N/A,#N/A,FALSE,"Plan2"}</definedName>
    <definedName name="djflkdjgdth" hidden="1">{#N/A,#N/A,FALSE,"Plan1";#N/A,#N/A,FALSE,"Plan2"}</definedName>
    <definedName name="DJFLKDJGKTJYJT" localSheetId="14" hidden="1">{#N/A,#N/A,FALSE,"Plan1";#N/A,#N/A,FALSE,"Plan2"}</definedName>
    <definedName name="DJFLKDJGKTJYJT" localSheetId="7" hidden="1">{#N/A,#N/A,FALSE,"Plan1";#N/A,#N/A,FALSE,"Plan2"}</definedName>
    <definedName name="DJFLKDJGKTJYJT" localSheetId="1" hidden="1">{#N/A,#N/A,FALSE,"Plan1";#N/A,#N/A,FALSE,"Plan2"}</definedName>
    <definedName name="DJFLKDJGKTJYJT" localSheetId="2" hidden="1">{#N/A,#N/A,FALSE,"Plan1";#N/A,#N/A,FALSE,"Plan2"}</definedName>
    <definedName name="DJFLKDJGKTJYJT" localSheetId="9" hidden="1">{#N/A,#N/A,FALSE,"Plan1";#N/A,#N/A,FALSE,"Plan2"}</definedName>
    <definedName name="DJFLKDJGKTJYJT" localSheetId="5" hidden="1">{#N/A,#N/A,FALSE,"Plan1";#N/A,#N/A,FALSE,"Plan2"}</definedName>
    <definedName name="DJFLKDJGKTJYJT" localSheetId="4" hidden="1">{#N/A,#N/A,FALSE,"Plan1";#N/A,#N/A,FALSE,"Plan2"}</definedName>
    <definedName name="DJFLKDJGKTJYJT" localSheetId="8" hidden="1">{#N/A,#N/A,FALSE,"Plan1";#N/A,#N/A,FALSE,"Plan2"}</definedName>
    <definedName name="DJFLKDJGKTJYJT" localSheetId="12" hidden="1">{#N/A,#N/A,FALSE,"Plan1";#N/A,#N/A,FALSE,"Plan2"}</definedName>
    <definedName name="DJFLKDJGKTJYJT" localSheetId="16" hidden="1">{#N/A,#N/A,FALSE,"Plan1";#N/A,#N/A,FALSE,"Plan2"}</definedName>
    <definedName name="DJFLKDJGKTJYJT" localSheetId="0" hidden="1">{#N/A,#N/A,FALSE,"Plan1";#N/A,#N/A,FALSE,"Plan2"}</definedName>
    <definedName name="DJFLKDJGKTJYJT" localSheetId="11" hidden="1">{#N/A,#N/A,FALSE,"Plan1";#N/A,#N/A,FALSE,"Plan2"}</definedName>
    <definedName name="DJFLKDJGKTJYJT" localSheetId="13" hidden="1">{#N/A,#N/A,FALSE,"Plan1";#N/A,#N/A,FALSE,"Plan2"}</definedName>
    <definedName name="DJFLKDJGKTJYJT" hidden="1">{#N/A,#N/A,FALSE,"Plan1";#N/A,#N/A,FALSE,"Plan2"}</definedName>
    <definedName name="djgkfjgtiyty" localSheetId="14" hidden="1">{#N/A,#N/A,FALSE,"Plan1";#N/A,#N/A,FALSE,"Plan2"}</definedName>
    <definedName name="djgkfjgtiyty" localSheetId="7" hidden="1">{#N/A,#N/A,FALSE,"Plan1";#N/A,#N/A,FALSE,"Plan2"}</definedName>
    <definedName name="djgkfjgtiyty" localSheetId="1" hidden="1">{#N/A,#N/A,FALSE,"Plan1";#N/A,#N/A,FALSE,"Plan2"}</definedName>
    <definedName name="djgkfjgtiyty" localSheetId="2" hidden="1">{#N/A,#N/A,FALSE,"Plan1";#N/A,#N/A,FALSE,"Plan2"}</definedName>
    <definedName name="djgkfjgtiyty" localSheetId="9" hidden="1">{#N/A,#N/A,FALSE,"Plan1";#N/A,#N/A,FALSE,"Plan2"}</definedName>
    <definedName name="djgkfjgtiyty" localSheetId="5" hidden="1">{#N/A,#N/A,FALSE,"Plan1";#N/A,#N/A,FALSE,"Plan2"}</definedName>
    <definedName name="djgkfjgtiyty" localSheetId="4" hidden="1">{#N/A,#N/A,FALSE,"Plan1";#N/A,#N/A,FALSE,"Plan2"}</definedName>
    <definedName name="djgkfjgtiyty" localSheetId="8" hidden="1">{#N/A,#N/A,FALSE,"Plan1";#N/A,#N/A,FALSE,"Plan2"}</definedName>
    <definedName name="djgkfjgtiyty" localSheetId="12" hidden="1">{#N/A,#N/A,FALSE,"Plan1";#N/A,#N/A,FALSE,"Plan2"}</definedName>
    <definedName name="djgkfjgtiyty" localSheetId="16" hidden="1">{#N/A,#N/A,FALSE,"Plan1";#N/A,#N/A,FALSE,"Plan2"}</definedName>
    <definedName name="djgkfjgtiyty" localSheetId="0" hidden="1">{#N/A,#N/A,FALSE,"Plan1";#N/A,#N/A,FALSE,"Plan2"}</definedName>
    <definedName name="djgkfjgtiyty" localSheetId="11" hidden="1">{#N/A,#N/A,FALSE,"Plan1";#N/A,#N/A,FALSE,"Plan2"}</definedName>
    <definedName name="djgkfjgtiyty" localSheetId="13" hidden="1">{#N/A,#N/A,FALSE,"Plan1";#N/A,#N/A,FALSE,"Plan2"}</definedName>
    <definedName name="djgkfjgtiyty" hidden="1">{#N/A,#N/A,FALSE,"Plan1";#N/A,#N/A,FALSE,"Plan2"}</definedName>
    <definedName name="djrkehrjfhng" localSheetId="14" hidden="1">{#N/A,#N/A,FALSE,"Plan1";#N/A,#N/A,FALSE,"Plan2"}</definedName>
    <definedName name="djrkehrjfhng" localSheetId="7" hidden="1">{#N/A,#N/A,FALSE,"Plan1";#N/A,#N/A,FALSE,"Plan2"}</definedName>
    <definedName name="djrkehrjfhng" localSheetId="1" hidden="1">{#N/A,#N/A,FALSE,"Plan1";#N/A,#N/A,FALSE,"Plan2"}</definedName>
    <definedName name="djrkehrjfhng" localSheetId="2" hidden="1">{#N/A,#N/A,FALSE,"Plan1";#N/A,#N/A,FALSE,"Plan2"}</definedName>
    <definedName name="djrkehrjfhng" localSheetId="9" hidden="1">{#N/A,#N/A,FALSE,"Plan1";#N/A,#N/A,FALSE,"Plan2"}</definedName>
    <definedName name="djrkehrjfhng" localSheetId="5" hidden="1">{#N/A,#N/A,FALSE,"Plan1";#N/A,#N/A,FALSE,"Plan2"}</definedName>
    <definedName name="djrkehrjfhng" localSheetId="4" hidden="1">{#N/A,#N/A,FALSE,"Plan1";#N/A,#N/A,FALSE,"Plan2"}</definedName>
    <definedName name="djrkehrjfhng" localSheetId="8" hidden="1">{#N/A,#N/A,FALSE,"Plan1";#N/A,#N/A,FALSE,"Plan2"}</definedName>
    <definedName name="djrkehrjfhng" localSheetId="12" hidden="1">{#N/A,#N/A,FALSE,"Plan1";#N/A,#N/A,FALSE,"Plan2"}</definedName>
    <definedName name="djrkehrjfhng" localSheetId="16" hidden="1">{#N/A,#N/A,FALSE,"Plan1";#N/A,#N/A,FALSE,"Plan2"}</definedName>
    <definedName name="djrkehrjfhng" localSheetId="0" hidden="1">{#N/A,#N/A,FALSE,"Plan1";#N/A,#N/A,FALSE,"Plan2"}</definedName>
    <definedName name="djrkehrjfhng" localSheetId="11" hidden="1">{#N/A,#N/A,FALSE,"Plan1";#N/A,#N/A,FALSE,"Plan2"}</definedName>
    <definedName name="djrkehrjfhng" localSheetId="13" hidden="1">{#N/A,#N/A,FALSE,"Plan1";#N/A,#N/A,FALSE,"Plan2"}</definedName>
    <definedName name="djrkehrjfhng" hidden="1">{#N/A,#N/A,FALSE,"Plan1";#N/A,#N/A,FALSE,"Plan2"}</definedName>
    <definedName name="djswfr" localSheetId="2" hidden="1">#REF!</definedName>
    <definedName name="djswfr" localSheetId="5" hidden="1">#REF!</definedName>
    <definedName name="djswfr" localSheetId="0" hidden="1">#REF!</definedName>
    <definedName name="djswfr" hidden="1">#REF!</definedName>
    <definedName name="djtkjldfr" localSheetId="14" hidden="1">{#N/A,#N/A,FALSE,"Plan1";#N/A,#N/A,FALSE,"Plan2"}</definedName>
    <definedName name="djtkjldfr" localSheetId="7" hidden="1">{#N/A,#N/A,FALSE,"Plan1";#N/A,#N/A,FALSE,"Plan2"}</definedName>
    <definedName name="djtkjldfr" localSheetId="1" hidden="1">{#N/A,#N/A,FALSE,"Plan1";#N/A,#N/A,FALSE,"Plan2"}</definedName>
    <definedName name="djtkjldfr" localSheetId="2" hidden="1">{#N/A,#N/A,FALSE,"Plan1";#N/A,#N/A,FALSE,"Plan2"}</definedName>
    <definedName name="djtkjldfr" localSheetId="9" hidden="1">{#N/A,#N/A,FALSE,"Plan1";#N/A,#N/A,FALSE,"Plan2"}</definedName>
    <definedName name="djtkjldfr" localSheetId="5" hidden="1">{#N/A,#N/A,FALSE,"Plan1";#N/A,#N/A,FALSE,"Plan2"}</definedName>
    <definedName name="djtkjldfr" localSheetId="4" hidden="1">{#N/A,#N/A,FALSE,"Plan1";#N/A,#N/A,FALSE,"Plan2"}</definedName>
    <definedName name="djtkjldfr" localSheetId="8" hidden="1">{#N/A,#N/A,FALSE,"Plan1";#N/A,#N/A,FALSE,"Plan2"}</definedName>
    <definedName name="djtkjldfr" localSheetId="12" hidden="1">{#N/A,#N/A,FALSE,"Plan1";#N/A,#N/A,FALSE,"Plan2"}</definedName>
    <definedName name="djtkjldfr" localSheetId="16" hidden="1">{#N/A,#N/A,FALSE,"Plan1";#N/A,#N/A,FALSE,"Plan2"}</definedName>
    <definedName name="djtkjldfr" localSheetId="0" hidden="1">{#N/A,#N/A,FALSE,"Plan1";#N/A,#N/A,FALSE,"Plan2"}</definedName>
    <definedName name="djtkjldfr" localSheetId="11" hidden="1">{#N/A,#N/A,FALSE,"Plan1";#N/A,#N/A,FALSE,"Plan2"}</definedName>
    <definedName name="djtkjldfr" localSheetId="13" hidden="1">{#N/A,#N/A,FALSE,"Plan1";#N/A,#N/A,FALSE,"Plan2"}</definedName>
    <definedName name="djtkjldfr" hidden="1">{#N/A,#N/A,FALSE,"Plan1";#N/A,#N/A,FALSE,"Plan2"}</definedName>
    <definedName name="DJXDLFGDFG" localSheetId="14" hidden="1">{#N/A,#N/A,FALSE,"Plan1";#N/A,#N/A,FALSE,"Plan2"}</definedName>
    <definedName name="DJXDLFGDFG" localSheetId="7" hidden="1">{#N/A,#N/A,FALSE,"Plan1";#N/A,#N/A,FALSE,"Plan2"}</definedName>
    <definedName name="DJXDLFGDFG" localSheetId="1" hidden="1">{#N/A,#N/A,FALSE,"Plan1";#N/A,#N/A,FALSE,"Plan2"}</definedName>
    <definedName name="DJXDLFGDFG" localSheetId="2" hidden="1">{#N/A,#N/A,FALSE,"Plan1";#N/A,#N/A,FALSE,"Plan2"}</definedName>
    <definedName name="DJXDLFGDFG" localSheetId="9" hidden="1">{#N/A,#N/A,FALSE,"Plan1";#N/A,#N/A,FALSE,"Plan2"}</definedName>
    <definedName name="DJXDLFGDFG" localSheetId="5" hidden="1">{#N/A,#N/A,FALSE,"Plan1";#N/A,#N/A,FALSE,"Plan2"}</definedName>
    <definedName name="DJXDLFGDFG" localSheetId="4" hidden="1">{#N/A,#N/A,FALSE,"Plan1";#N/A,#N/A,FALSE,"Plan2"}</definedName>
    <definedName name="DJXDLFGDFG" localSheetId="8" hidden="1">{#N/A,#N/A,FALSE,"Plan1";#N/A,#N/A,FALSE,"Plan2"}</definedName>
    <definedName name="DJXDLFGDFG" localSheetId="12" hidden="1">{#N/A,#N/A,FALSE,"Plan1";#N/A,#N/A,FALSE,"Plan2"}</definedName>
    <definedName name="DJXDLFGDFG" localSheetId="16" hidden="1">{#N/A,#N/A,FALSE,"Plan1";#N/A,#N/A,FALSE,"Plan2"}</definedName>
    <definedName name="DJXDLFGDFG" localSheetId="0" hidden="1">{#N/A,#N/A,FALSE,"Plan1";#N/A,#N/A,FALSE,"Plan2"}</definedName>
    <definedName name="DJXDLFGDFG" localSheetId="11" hidden="1">{#N/A,#N/A,FALSE,"Plan1";#N/A,#N/A,FALSE,"Plan2"}</definedName>
    <definedName name="DJXDLFGDFG" localSheetId="13" hidden="1">{#N/A,#N/A,FALSE,"Plan1";#N/A,#N/A,FALSE,"Plan2"}</definedName>
    <definedName name="DJXDLFGDFG" hidden="1">{#N/A,#N/A,FALSE,"Plan1";#N/A,#N/A,FALSE,"Plan2"}</definedName>
    <definedName name="dkdkdkdkd" localSheetId="14" hidden="1">{#N/A,#N/A,FALSE,"명세표"}</definedName>
    <definedName name="dkdkdkdkd" localSheetId="7" hidden="1">{#N/A,#N/A,FALSE,"명세표"}</definedName>
    <definedName name="dkdkdkdkd" localSheetId="1" hidden="1">{#N/A,#N/A,FALSE,"명세표"}</definedName>
    <definedName name="dkdkdkdkd" localSheetId="2" hidden="1">{#N/A,#N/A,FALSE,"명세표"}</definedName>
    <definedName name="dkdkdkdkd" localSheetId="9" hidden="1">{#N/A,#N/A,FALSE,"명세표"}</definedName>
    <definedName name="dkdkdkdkd" localSheetId="5" hidden="1">{#N/A,#N/A,FALSE,"명세표"}</definedName>
    <definedName name="dkdkdkdkd" localSheetId="4" hidden="1">{#N/A,#N/A,FALSE,"명세표"}</definedName>
    <definedName name="dkdkdkdkd" localSheetId="8" hidden="1">{#N/A,#N/A,FALSE,"명세표"}</definedName>
    <definedName name="dkdkdkdkd" localSheetId="12" hidden="1">{#N/A,#N/A,FALSE,"명세표"}</definedName>
    <definedName name="dkdkdkdkd" localSheetId="16" hidden="1">{#N/A,#N/A,FALSE,"명세표"}</definedName>
    <definedName name="dkdkdkdkd" localSheetId="0" hidden="1">{#N/A,#N/A,FALSE,"명세표"}</definedName>
    <definedName name="dkdkdkdkd" localSheetId="11" hidden="1">{#N/A,#N/A,FALSE,"명세표"}</definedName>
    <definedName name="dkdkdkdkd" localSheetId="13" hidden="1">{#N/A,#N/A,FALSE,"명세표"}</definedName>
    <definedName name="dkdkdkdkd" hidden="1">{#N/A,#N/A,FALSE,"명세표"}</definedName>
    <definedName name="dkfhskgf" localSheetId="14" hidden="1">{#N/A,#N/A,FALSE,"Plan1";#N/A,#N/A,FALSE,"Plan2"}</definedName>
    <definedName name="dkfhskgf" localSheetId="7" hidden="1">{#N/A,#N/A,FALSE,"Plan1";#N/A,#N/A,FALSE,"Plan2"}</definedName>
    <definedName name="dkfhskgf" localSheetId="1" hidden="1">{#N/A,#N/A,FALSE,"Plan1";#N/A,#N/A,FALSE,"Plan2"}</definedName>
    <definedName name="dkfhskgf" localSheetId="2" hidden="1">{#N/A,#N/A,FALSE,"Plan1";#N/A,#N/A,FALSE,"Plan2"}</definedName>
    <definedName name="dkfhskgf" localSheetId="9" hidden="1">{#N/A,#N/A,FALSE,"Plan1";#N/A,#N/A,FALSE,"Plan2"}</definedName>
    <definedName name="dkfhskgf" localSheetId="5" hidden="1">{#N/A,#N/A,FALSE,"Plan1";#N/A,#N/A,FALSE,"Plan2"}</definedName>
    <definedName name="dkfhskgf" localSheetId="4" hidden="1">{#N/A,#N/A,FALSE,"Plan1";#N/A,#N/A,FALSE,"Plan2"}</definedName>
    <definedName name="dkfhskgf" localSheetId="8" hidden="1">{#N/A,#N/A,FALSE,"Plan1";#N/A,#N/A,FALSE,"Plan2"}</definedName>
    <definedName name="dkfhskgf" localSheetId="12" hidden="1">{#N/A,#N/A,FALSE,"Plan1";#N/A,#N/A,FALSE,"Plan2"}</definedName>
    <definedName name="dkfhskgf" localSheetId="16" hidden="1">{#N/A,#N/A,FALSE,"Plan1";#N/A,#N/A,FALSE,"Plan2"}</definedName>
    <definedName name="dkfhskgf" localSheetId="0" hidden="1">{#N/A,#N/A,FALSE,"Plan1";#N/A,#N/A,FALSE,"Plan2"}</definedName>
    <definedName name="dkfhskgf" localSheetId="11" hidden="1">{#N/A,#N/A,FALSE,"Plan1";#N/A,#N/A,FALSE,"Plan2"}</definedName>
    <definedName name="dkfhskgf" localSheetId="13" hidden="1">{#N/A,#N/A,FALSE,"Plan1";#N/A,#N/A,FALSE,"Plan2"}</definedName>
    <definedName name="dkfhskgf" hidden="1">{#N/A,#N/A,FALSE,"Plan1";#N/A,#N/A,FALSE,"Plan2"}</definedName>
    <definedName name="dkjfk" localSheetId="14" hidden="1">{#N/A,#N/A,FALSE,"Plan1";#N/A,#N/A,FALSE,"Plan2"}</definedName>
    <definedName name="dkjfk" localSheetId="7" hidden="1">{#N/A,#N/A,FALSE,"Plan1";#N/A,#N/A,FALSE,"Plan2"}</definedName>
    <definedName name="dkjfk" localSheetId="1" hidden="1">{#N/A,#N/A,FALSE,"Plan1";#N/A,#N/A,FALSE,"Plan2"}</definedName>
    <definedName name="dkjfk" localSheetId="2" hidden="1">{#N/A,#N/A,FALSE,"Plan1";#N/A,#N/A,FALSE,"Plan2"}</definedName>
    <definedName name="dkjfk" localSheetId="9" hidden="1">{#N/A,#N/A,FALSE,"Plan1";#N/A,#N/A,FALSE,"Plan2"}</definedName>
    <definedName name="dkjfk" localSheetId="5" hidden="1">{#N/A,#N/A,FALSE,"Plan1";#N/A,#N/A,FALSE,"Plan2"}</definedName>
    <definedName name="dkjfk" localSheetId="4" hidden="1">{#N/A,#N/A,FALSE,"Plan1";#N/A,#N/A,FALSE,"Plan2"}</definedName>
    <definedName name="dkjfk" localSheetId="8" hidden="1">{#N/A,#N/A,FALSE,"Plan1";#N/A,#N/A,FALSE,"Plan2"}</definedName>
    <definedName name="dkjfk" localSheetId="12" hidden="1">{#N/A,#N/A,FALSE,"Plan1";#N/A,#N/A,FALSE,"Plan2"}</definedName>
    <definedName name="dkjfk" localSheetId="16" hidden="1">{#N/A,#N/A,FALSE,"Plan1";#N/A,#N/A,FALSE,"Plan2"}</definedName>
    <definedName name="dkjfk" localSheetId="0" hidden="1">{#N/A,#N/A,FALSE,"Plan1";#N/A,#N/A,FALSE,"Plan2"}</definedName>
    <definedName name="dkjfk" localSheetId="11" hidden="1">{#N/A,#N/A,FALSE,"Plan1";#N/A,#N/A,FALSE,"Plan2"}</definedName>
    <definedName name="dkjfk" localSheetId="13" hidden="1">{#N/A,#N/A,FALSE,"Plan1";#N/A,#N/A,FALSE,"Plan2"}</definedName>
    <definedName name="dkjfk" hidden="1">{#N/A,#N/A,FALSE,"Plan1";#N/A,#N/A,FALSE,"Plan2"}</definedName>
    <definedName name="DKLD" localSheetId="14" hidden="1">{#N/A,#N/A,FALSE,"Plan1";#N/A,#N/A,FALSE,"Plan2"}</definedName>
    <definedName name="DKLD" localSheetId="7" hidden="1">{#N/A,#N/A,FALSE,"Plan1";#N/A,#N/A,FALSE,"Plan2"}</definedName>
    <definedName name="DKLD" localSheetId="1" hidden="1">{#N/A,#N/A,FALSE,"Plan1";#N/A,#N/A,FALSE,"Plan2"}</definedName>
    <definedName name="DKLD" localSheetId="2" hidden="1">{#N/A,#N/A,FALSE,"Plan1";#N/A,#N/A,FALSE,"Plan2"}</definedName>
    <definedName name="DKLD" localSheetId="9" hidden="1">{#N/A,#N/A,FALSE,"Plan1";#N/A,#N/A,FALSE,"Plan2"}</definedName>
    <definedName name="DKLD" localSheetId="5" hidden="1">{#N/A,#N/A,FALSE,"Plan1";#N/A,#N/A,FALSE,"Plan2"}</definedName>
    <definedName name="DKLD" localSheetId="4" hidden="1">{#N/A,#N/A,FALSE,"Plan1";#N/A,#N/A,FALSE,"Plan2"}</definedName>
    <definedName name="DKLD" localSheetId="8" hidden="1">{#N/A,#N/A,FALSE,"Plan1";#N/A,#N/A,FALSE,"Plan2"}</definedName>
    <definedName name="DKLD" localSheetId="12" hidden="1">{#N/A,#N/A,FALSE,"Plan1";#N/A,#N/A,FALSE,"Plan2"}</definedName>
    <definedName name="DKLD" localSheetId="16" hidden="1">{#N/A,#N/A,FALSE,"Plan1";#N/A,#N/A,FALSE,"Plan2"}</definedName>
    <definedName name="DKLD" localSheetId="0" hidden="1">{#N/A,#N/A,FALSE,"Plan1";#N/A,#N/A,FALSE,"Plan2"}</definedName>
    <definedName name="DKLD" localSheetId="11" hidden="1">{#N/A,#N/A,FALSE,"Plan1";#N/A,#N/A,FALSE,"Plan2"}</definedName>
    <definedName name="DKLD" localSheetId="13" hidden="1">{#N/A,#N/A,FALSE,"Plan1";#N/A,#N/A,FALSE,"Plan2"}</definedName>
    <definedName name="DKLD" hidden="1">{#N/A,#N/A,FALSE,"Plan1";#N/A,#N/A,FALSE,"Plan2"}</definedName>
    <definedName name="DKLFJDKFD" localSheetId="14" hidden="1">{#N/A,#N/A,FALSE,"Plan1";#N/A,#N/A,FALSE,"Plan2"}</definedName>
    <definedName name="DKLFJDKFD" localSheetId="7" hidden="1">{#N/A,#N/A,FALSE,"Plan1";#N/A,#N/A,FALSE,"Plan2"}</definedName>
    <definedName name="DKLFJDKFD" localSheetId="1" hidden="1">{#N/A,#N/A,FALSE,"Plan1";#N/A,#N/A,FALSE,"Plan2"}</definedName>
    <definedName name="DKLFJDKFD" localSheetId="2" hidden="1">{#N/A,#N/A,FALSE,"Plan1";#N/A,#N/A,FALSE,"Plan2"}</definedName>
    <definedName name="DKLFJDKFD" localSheetId="9" hidden="1">{#N/A,#N/A,FALSE,"Plan1";#N/A,#N/A,FALSE,"Plan2"}</definedName>
    <definedName name="DKLFJDKFD" localSheetId="5" hidden="1">{#N/A,#N/A,FALSE,"Plan1";#N/A,#N/A,FALSE,"Plan2"}</definedName>
    <definedName name="DKLFJDKFD" localSheetId="4" hidden="1">{#N/A,#N/A,FALSE,"Plan1";#N/A,#N/A,FALSE,"Plan2"}</definedName>
    <definedName name="DKLFJDKFD" localSheetId="8" hidden="1">{#N/A,#N/A,FALSE,"Plan1";#N/A,#N/A,FALSE,"Plan2"}</definedName>
    <definedName name="DKLFJDKFD" localSheetId="12" hidden="1">{#N/A,#N/A,FALSE,"Plan1";#N/A,#N/A,FALSE,"Plan2"}</definedName>
    <definedName name="DKLFJDKFD" localSheetId="16" hidden="1">{#N/A,#N/A,FALSE,"Plan1";#N/A,#N/A,FALSE,"Plan2"}</definedName>
    <definedName name="DKLFJDKFD" localSheetId="0" hidden="1">{#N/A,#N/A,FALSE,"Plan1";#N/A,#N/A,FALSE,"Plan2"}</definedName>
    <definedName name="DKLFJDKFD" localSheetId="11" hidden="1">{#N/A,#N/A,FALSE,"Plan1";#N/A,#N/A,FALSE,"Plan2"}</definedName>
    <definedName name="DKLFJDKFD" localSheetId="13" hidden="1">{#N/A,#N/A,FALSE,"Plan1";#N/A,#N/A,FALSE,"Plan2"}</definedName>
    <definedName name="DKLFJDKFD" hidden="1">{#N/A,#N/A,FALSE,"Plan1";#N/A,#N/A,FALSE,"Plan2"}</definedName>
    <definedName name="dklfjgirtgid" localSheetId="14" hidden="1">{#N/A,#N/A,FALSE,"Plan1";#N/A,#N/A,FALSE,"Plan2"}</definedName>
    <definedName name="dklfjgirtgid" localSheetId="7" hidden="1">{#N/A,#N/A,FALSE,"Plan1";#N/A,#N/A,FALSE,"Plan2"}</definedName>
    <definedName name="dklfjgirtgid" localSheetId="1" hidden="1">{#N/A,#N/A,FALSE,"Plan1";#N/A,#N/A,FALSE,"Plan2"}</definedName>
    <definedName name="dklfjgirtgid" localSheetId="2" hidden="1">{#N/A,#N/A,FALSE,"Plan1";#N/A,#N/A,FALSE,"Plan2"}</definedName>
    <definedName name="dklfjgirtgid" localSheetId="9" hidden="1">{#N/A,#N/A,FALSE,"Plan1";#N/A,#N/A,FALSE,"Plan2"}</definedName>
    <definedName name="dklfjgirtgid" localSheetId="5" hidden="1">{#N/A,#N/A,FALSE,"Plan1";#N/A,#N/A,FALSE,"Plan2"}</definedName>
    <definedName name="dklfjgirtgid" localSheetId="4" hidden="1">{#N/A,#N/A,FALSE,"Plan1";#N/A,#N/A,FALSE,"Plan2"}</definedName>
    <definedName name="dklfjgirtgid" localSheetId="8" hidden="1">{#N/A,#N/A,FALSE,"Plan1";#N/A,#N/A,FALSE,"Plan2"}</definedName>
    <definedName name="dklfjgirtgid" localSheetId="12" hidden="1">{#N/A,#N/A,FALSE,"Plan1";#N/A,#N/A,FALSE,"Plan2"}</definedName>
    <definedName name="dklfjgirtgid" localSheetId="16" hidden="1">{#N/A,#N/A,FALSE,"Plan1";#N/A,#N/A,FALSE,"Plan2"}</definedName>
    <definedName name="dklfjgirtgid" localSheetId="0" hidden="1">{#N/A,#N/A,FALSE,"Plan1";#N/A,#N/A,FALSE,"Plan2"}</definedName>
    <definedName name="dklfjgirtgid" localSheetId="11" hidden="1">{#N/A,#N/A,FALSE,"Plan1";#N/A,#N/A,FALSE,"Plan2"}</definedName>
    <definedName name="dklfjgirtgid" localSheetId="13" hidden="1">{#N/A,#N/A,FALSE,"Plan1";#N/A,#N/A,FALSE,"Plan2"}</definedName>
    <definedName name="dklfjgirtgid" hidden="1">{#N/A,#N/A,FALSE,"Plan1";#N/A,#N/A,FALSE,"Plan2"}</definedName>
    <definedName name="dklf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4" hidden="1">{#N/A,#N/A,FALSE,"Plan1";#N/A,#N/A,FALSE,"Plan2"}</definedName>
    <definedName name="dmbfmndbmtrhed" localSheetId="7" hidden="1">{#N/A,#N/A,FALSE,"Plan1";#N/A,#N/A,FALSE,"Plan2"}</definedName>
    <definedName name="dmbfmndbmtrhed" localSheetId="1" hidden="1">{#N/A,#N/A,FALSE,"Plan1";#N/A,#N/A,FALSE,"Plan2"}</definedName>
    <definedName name="dmbfmndbmtrhed" localSheetId="2" hidden="1">{#N/A,#N/A,FALSE,"Plan1";#N/A,#N/A,FALSE,"Plan2"}</definedName>
    <definedName name="dmbfmndbmtrhed" localSheetId="9" hidden="1">{#N/A,#N/A,FALSE,"Plan1";#N/A,#N/A,FALSE,"Plan2"}</definedName>
    <definedName name="dmbfmndbmtrhed" localSheetId="5" hidden="1">{#N/A,#N/A,FALSE,"Plan1";#N/A,#N/A,FALSE,"Plan2"}</definedName>
    <definedName name="dmbfmndbmtrhed" localSheetId="4" hidden="1">{#N/A,#N/A,FALSE,"Plan1";#N/A,#N/A,FALSE,"Plan2"}</definedName>
    <definedName name="dmbfmndbmtrhed" localSheetId="8" hidden="1">{#N/A,#N/A,FALSE,"Plan1";#N/A,#N/A,FALSE,"Plan2"}</definedName>
    <definedName name="dmbfmndbmtrhed" localSheetId="12" hidden="1">{#N/A,#N/A,FALSE,"Plan1";#N/A,#N/A,FALSE,"Plan2"}</definedName>
    <definedName name="dmbfmndbmtrhed" localSheetId="16" hidden="1">{#N/A,#N/A,FALSE,"Plan1";#N/A,#N/A,FALSE,"Plan2"}</definedName>
    <definedName name="dmbfmndbmtrhed" localSheetId="0" hidden="1">{#N/A,#N/A,FALSE,"Plan1";#N/A,#N/A,FALSE,"Plan2"}</definedName>
    <definedName name="dmbfmndbmtrhed" localSheetId="11" hidden="1">{#N/A,#N/A,FALSE,"Plan1";#N/A,#N/A,FALSE,"Plan2"}</definedName>
    <definedName name="dmbfmndbmtrhed" localSheetId="13" hidden="1">{#N/A,#N/A,FALSE,"Plan1";#N/A,#N/A,FALSE,"Plan2"}</definedName>
    <definedName name="dmbfmndbmtrhed" hidden="1">{#N/A,#N/A,FALSE,"Plan1";#N/A,#N/A,FALSE,"Plan2"}</definedName>
    <definedName name="DNFJKDHTKRE" localSheetId="14" hidden="1">{#N/A,#N/A,FALSE,"Plan1";#N/A,#N/A,FALSE,"Plan2"}</definedName>
    <definedName name="DNFJKDHTKRE" localSheetId="7" hidden="1">{#N/A,#N/A,FALSE,"Plan1";#N/A,#N/A,FALSE,"Plan2"}</definedName>
    <definedName name="DNFJKDHTKRE" localSheetId="1" hidden="1">{#N/A,#N/A,FALSE,"Plan1";#N/A,#N/A,FALSE,"Plan2"}</definedName>
    <definedName name="DNFJKDHTKRE" localSheetId="2" hidden="1">{#N/A,#N/A,FALSE,"Plan1";#N/A,#N/A,FALSE,"Plan2"}</definedName>
    <definedName name="DNFJKDHTKRE" localSheetId="9" hidden="1">{#N/A,#N/A,FALSE,"Plan1";#N/A,#N/A,FALSE,"Plan2"}</definedName>
    <definedName name="DNFJKDHTKRE" localSheetId="5" hidden="1">{#N/A,#N/A,FALSE,"Plan1";#N/A,#N/A,FALSE,"Plan2"}</definedName>
    <definedName name="DNFJKDHTKRE" localSheetId="4" hidden="1">{#N/A,#N/A,FALSE,"Plan1";#N/A,#N/A,FALSE,"Plan2"}</definedName>
    <definedName name="DNFJKDHTKRE" localSheetId="8" hidden="1">{#N/A,#N/A,FALSE,"Plan1";#N/A,#N/A,FALSE,"Plan2"}</definedName>
    <definedName name="DNFJKDHTKRE" localSheetId="12" hidden="1">{#N/A,#N/A,FALSE,"Plan1";#N/A,#N/A,FALSE,"Plan2"}</definedName>
    <definedName name="DNFJKDHTKRE" localSheetId="16" hidden="1">{#N/A,#N/A,FALSE,"Plan1";#N/A,#N/A,FALSE,"Plan2"}</definedName>
    <definedName name="DNFJKDHTKRE" localSheetId="0" hidden="1">{#N/A,#N/A,FALSE,"Plan1";#N/A,#N/A,FALSE,"Plan2"}</definedName>
    <definedName name="DNFJKDHTKRE" localSheetId="11" hidden="1">{#N/A,#N/A,FALSE,"Plan1";#N/A,#N/A,FALSE,"Plan2"}</definedName>
    <definedName name="DNFJKDHTKRE" localSheetId="13" hidden="1">{#N/A,#N/A,FALSE,"Plan1";#N/A,#N/A,FALSE,"Plan2"}</definedName>
    <definedName name="DNFJKDHTKRE" hidden="1">{#N/A,#N/A,FALSE,"Plan1";#N/A,#N/A,FALSE,"Plan2"}</definedName>
    <definedName name="d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2">#REF!</definedName>
    <definedName name="DOCUMENT" localSheetId="5">#REF!</definedName>
    <definedName name="DOCUMENT">#REF!</definedName>
    <definedName name="DOIS" localSheetId="2">#REF!</definedName>
    <definedName name="DOIS" localSheetId="5">#REF!</definedName>
    <definedName name="DOIS" localSheetId="24">#REF!</definedName>
    <definedName name="DOIS">#REF!</definedName>
    <definedName name="dolar" localSheetId="2">#REF!</definedName>
    <definedName name="dolar" localSheetId="5">#REF!</definedName>
    <definedName name="dolar">#REF!</definedName>
    <definedName name="dolar_dez" localSheetId="2">#REF!</definedName>
    <definedName name="dolar_dez" localSheetId="5">#REF!</definedName>
    <definedName name="dolar_dez">#REF!</definedName>
    <definedName name="dolar_nov" localSheetId="2">#REF!</definedName>
    <definedName name="dolar_nov" localSheetId="5">#REF!</definedName>
    <definedName name="dolar_nov">#REF!</definedName>
    <definedName name="dolar_out" localSheetId="2">#REF!</definedName>
    <definedName name="dolar_out" localSheetId="5">#REF!</definedName>
    <definedName name="dolar_out">#REF!</definedName>
    <definedName name="dolar2" localSheetId="2">#REF!</definedName>
    <definedName name="dolar2" localSheetId="5">#REF!</definedName>
    <definedName name="dolar2">#REF!</definedName>
    <definedName name="dolarabr" localSheetId="2">#REF!</definedName>
    <definedName name="dolarabr" localSheetId="5">#REF!</definedName>
    <definedName name="dolarabr">#REF!</definedName>
    <definedName name="dolarabr02" localSheetId="2">#REF!</definedName>
    <definedName name="dolarabr02" localSheetId="5">#REF!</definedName>
    <definedName name="dolarabr02">#REF!</definedName>
    <definedName name="DolarAgo" localSheetId="2">#REF!</definedName>
    <definedName name="DolarAgo" localSheetId="5">#REF!</definedName>
    <definedName name="DolarAgo">#REF!</definedName>
    <definedName name="dolarago02" localSheetId="2">#REF!</definedName>
    <definedName name="dolarago02" localSheetId="5">#REF!</definedName>
    <definedName name="dolarago02">#REF!</definedName>
    <definedName name="dolardez" localSheetId="2">#REF!</definedName>
    <definedName name="dolardez" localSheetId="5">#REF!</definedName>
    <definedName name="dolardez">#REF!</definedName>
    <definedName name="dolarfev" localSheetId="2">#REF!</definedName>
    <definedName name="dolarfev" localSheetId="5">#REF!</definedName>
    <definedName name="dolarfev">#REF!</definedName>
    <definedName name="dolarfev02" localSheetId="2">#REF!</definedName>
    <definedName name="dolarfev02" localSheetId="5">#REF!</definedName>
    <definedName name="dolarfev02">#REF!</definedName>
    <definedName name="dolarfimdez" localSheetId="2">#REF!</definedName>
    <definedName name="dolarfimdez" localSheetId="5">#REF!</definedName>
    <definedName name="dolarfimdez">#REF!</definedName>
    <definedName name="dolarFimJun" localSheetId="2">#REF!</definedName>
    <definedName name="dolarFimJun" localSheetId="5">#REF!</definedName>
    <definedName name="dolarFimJun">#REF!</definedName>
    <definedName name="dolarfindez" localSheetId="2">#REF!</definedName>
    <definedName name="dolarfindez" localSheetId="5">#REF!</definedName>
    <definedName name="dolarfindez">#REF!</definedName>
    <definedName name="dolarfinmar" localSheetId="2">#REF!</definedName>
    <definedName name="dolarfinmar" localSheetId="5">#REF!</definedName>
    <definedName name="dolarfinmar">#REF!</definedName>
    <definedName name="DolarFinSet" localSheetId="2">#REF!</definedName>
    <definedName name="DolarFinSet" localSheetId="5">#REF!</definedName>
    <definedName name="DolarFinSet">#REF!</definedName>
    <definedName name="dolarjan" localSheetId="2">#REF!</definedName>
    <definedName name="dolarjan" localSheetId="5">#REF!</definedName>
    <definedName name="dolarjan">#REF!</definedName>
    <definedName name="dolarjan02" localSheetId="2">#REF!</definedName>
    <definedName name="dolarjan02" localSheetId="5">#REF!</definedName>
    <definedName name="dolarjan02">#REF!</definedName>
    <definedName name="DolarJul" localSheetId="2">#REF!</definedName>
    <definedName name="DolarJul" localSheetId="5">#REF!</definedName>
    <definedName name="DolarJul">#REF!</definedName>
    <definedName name="dolarjul02" localSheetId="2">#REF!</definedName>
    <definedName name="dolarjul02" localSheetId="5">#REF!</definedName>
    <definedName name="dolarjul02">#REF!</definedName>
    <definedName name="dolarjun" localSheetId="2">#REF!</definedName>
    <definedName name="dolarjun" localSheetId="5">#REF!</definedName>
    <definedName name="dolarjun">#REF!</definedName>
    <definedName name="dolarjun02" localSheetId="2">#REF!</definedName>
    <definedName name="dolarjun02" localSheetId="5">#REF!</definedName>
    <definedName name="dolarjun02">#REF!</definedName>
    <definedName name="dolarmai" localSheetId="2">#REF!</definedName>
    <definedName name="dolarmai" localSheetId="5">#REF!</definedName>
    <definedName name="dolarmai">#REF!</definedName>
    <definedName name="dolarmai02" localSheetId="2">#REF!</definedName>
    <definedName name="dolarmai02" localSheetId="5">#REF!</definedName>
    <definedName name="dolarmai02">#REF!</definedName>
    <definedName name="dolarmar" localSheetId="2">#REF!</definedName>
    <definedName name="dolarmar" localSheetId="5">#REF!</definedName>
    <definedName name="dolarmar">#REF!</definedName>
    <definedName name="dolarmar02" localSheetId="2">#REF!</definedName>
    <definedName name="dolarmar02" localSheetId="5">#REF!</definedName>
    <definedName name="dolarmar02">#REF!</definedName>
    <definedName name="dolarnov" localSheetId="2">#REF!</definedName>
    <definedName name="dolarnov" localSheetId="5">#REF!</definedName>
    <definedName name="dolarnov">#REF!</definedName>
    <definedName name="dolarout" localSheetId="2">#REF!</definedName>
    <definedName name="dolarout" localSheetId="5">#REF!</definedName>
    <definedName name="dolarout">#REF!</definedName>
    <definedName name="DolarSet" localSheetId="2">#REF!</definedName>
    <definedName name="DolarSet" localSheetId="5">#REF!</definedName>
    <definedName name="DolarSet">#REF!</definedName>
    <definedName name="dolarset02" localSheetId="2">#REF!</definedName>
    <definedName name="dolarset02" localSheetId="5">#REF!</definedName>
    <definedName name="dolarset02">#REF!</definedName>
    <definedName name="DOZE" localSheetId="2">#REF!</definedName>
    <definedName name="DOZE" localSheetId="5">#REF!</definedName>
    <definedName name="DOZE" localSheetId="24">#REF!</definedName>
    <definedName name="DOZE">#REF!</definedName>
    <definedName name="DRE" localSheetId="14">#REF!</definedName>
    <definedName name="DRE" localSheetId="2">#REF!</definedName>
    <definedName name="DRE" localSheetId="5">#REF!</definedName>
    <definedName name="DRE" localSheetId="15">#REF!</definedName>
    <definedName name="DRE" localSheetId="12">#REF!</definedName>
    <definedName name="DRE" localSheetId="0">#REF!</definedName>
    <definedName name="DRE">#REF!</definedName>
    <definedName name="drewr" localSheetId="14" hidden="1">{#N/A,#N/A,FALSE,"Plan1";#N/A,#N/A,FALSE,"Plan2"}</definedName>
    <definedName name="drewr" localSheetId="7" hidden="1">{#N/A,#N/A,FALSE,"Plan1";#N/A,#N/A,FALSE,"Plan2"}</definedName>
    <definedName name="drewr" localSheetId="1" hidden="1">{#N/A,#N/A,FALSE,"Plan1";#N/A,#N/A,FALSE,"Plan2"}</definedName>
    <definedName name="drewr" localSheetId="2" hidden="1">{#N/A,#N/A,FALSE,"Plan1";#N/A,#N/A,FALSE,"Plan2"}</definedName>
    <definedName name="drewr" localSheetId="9" hidden="1">{#N/A,#N/A,FALSE,"Plan1";#N/A,#N/A,FALSE,"Plan2"}</definedName>
    <definedName name="drewr" localSheetId="5" hidden="1">{#N/A,#N/A,FALSE,"Plan1";#N/A,#N/A,FALSE,"Plan2"}</definedName>
    <definedName name="drewr" localSheetId="4" hidden="1">{#N/A,#N/A,FALSE,"Plan1";#N/A,#N/A,FALSE,"Plan2"}</definedName>
    <definedName name="drewr" localSheetId="8" hidden="1">{#N/A,#N/A,FALSE,"Plan1";#N/A,#N/A,FALSE,"Plan2"}</definedName>
    <definedName name="drewr" localSheetId="12" hidden="1">{#N/A,#N/A,FALSE,"Plan1";#N/A,#N/A,FALSE,"Plan2"}</definedName>
    <definedName name="drewr" localSheetId="16" hidden="1">{#N/A,#N/A,FALSE,"Plan1";#N/A,#N/A,FALSE,"Plan2"}</definedName>
    <definedName name="drewr" localSheetId="0" hidden="1">{#N/A,#N/A,FALSE,"Plan1";#N/A,#N/A,FALSE,"Plan2"}</definedName>
    <definedName name="drewr" localSheetId="11" hidden="1">{#N/A,#N/A,FALSE,"Plan1";#N/A,#N/A,FALSE,"Plan2"}</definedName>
    <definedName name="drewr" localSheetId="13" hidden="1">{#N/A,#N/A,FALSE,"Plan1";#N/A,#N/A,FALSE,"Plan2"}</definedName>
    <definedName name="drewr" hidden="1">{#N/A,#N/A,FALSE,"Plan1";#N/A,#N/A,FALSE,"Plan2"}</definedName>
    <definedName name="DRRJR" localSheetId="14" hidden="1">{#N/A,#N/A,FALSE,"Plan1";#N/A,#N/A,FALSE,"Plan2"}</definedName>
    <definedName name="DRRJR" localSheetId="7" hidden="1">{#N/A,#N/A,FALSE,"Plan1";#N/A,#N/A,FALSE,"Plan2"}</definedName>
    <definedName name="DRRJR" localSheetId="1" hidden="1">{#N/A,#N/A,FALSE,"Plan1";#N/A,#N/A,FALSE,"Plan2"}</definedName>
    <definedName name="DRRJR" localSheetId="2" hidden="1">{#N/A,#N/A,FALSE,"Plan1";#N/A,#N/A,FALSE,"Plan2"}</definedName>
    <definedName name="DRRJR" localSheetId="9" hidden="1">{#N/A,#N/A,FALSE,"Plan1";#N/A,#N/A,FALSE,"Plan2"}</definedName>
    <definedName name="DRRJR" localSheetId="5" hidden="1">{#N/A,#N/A,FALSE,"Plan1";#N/A,#N/A,FALSE,"Plan2"}</definedName>
    <definedName name="DRRJR" localSheetId="4" hidden="1">{#N/A,#N/A,FALSE,"Plan1";#N/A,#N/A,FALSE,"Plan2"}</definedName>
    <definedName name="DRRJR" localSheetId="8" hidden="1">{#N/A,#N/A,FALSE,"Plan1";#N/A,#N/A,FALSE,"Plan2"}</definedName>
    <definedName name="DRRJR" localSheetId="12" hidden="1">{#N/A,#N/A,FALSE,"Plan1";#N/A,#N/A,FALSE,"Plan2"}</definedName>
    <definedName name="DRRJR" localSheetId="16" hidden="1">{#N/A,#N/A,FALSE,"Plan1";#N/A,#N/A,FALSE,"Plan2"}</definedName>
    <definedName name="DRRJR" localSheetId="0" hidden="1">{#N/A,#N/A,FALSE,"Plan1";#N/A,#N/A,FALSE,"Plan2"}</definedName>
    <definedName name="DRRJR" localSheetId="11" hidden="1">{#N/A,#N/A,FALSE,"Plan1";#N/A,#N/A,FALSE,"Plan2"}</definedName>
    <definedName name="DRRJR" localSheetId="13" hidden="1">{#N/A,#N/A,FALSE,"Plan1";#N/A,#N/A,FALSE,"Plan2"}</definedName>
    <definedName name="DRRJR" hidden="1">{#N/A,#N/A,FALSE,"Plan1";#N/A,#N/A,FALSE,"Plan2"}</definedName>
    <definedName name="drtr" localSheetId="2" hidden="1">#REF!</definedName>
    <definedName name="drtr" localSheetId="0" hidden="1">#REF!</definedName>
    <definedName name="drtr" hidden="1">#REF!</definedName>
    <definedName name="drtrt" localSheetId="14" hidden="1">{"'Estimativa de Lançamento-JAN'!$A$1:$AI$85"}</definedName>
    <definedName name="drtrt" localSheetId="7" hidden="1">{"'Estimativa de Lançamento-JAN'!$A$1:$AI$85"}</definedName>
    <definedName name="drtrt" localSheetId="1" hidden="1">{"'Estimativa de Lançamento-JAN'!$A$1:$AI$85"}</definedName>
    <definedName name="drtrt" localSheetId="2" hidden="1">{"'Estimativa de Lançamento-JAN'!$A$1:$AI$85"}</definedName>
    <definedName name="drtrt" localSheetId="9" hidden="1">{"'Estimativa de Lançamento-JAN'!$A$1:$AI$85"}</definedName>
    <definedName name="drtrt" localSheetId="5" hidden="1">{"'Estimativa de Lançamento-JAN'!$A$1:$AI$85"}</definedName>
    <definedName name="drtrt" localSheetId="4" hidden="1">{"'Estimativa de Lançamento-JAN'!$A$1:$AI$85"}</definedName>
    <definedName name="drtrt" localSheetId="8" hidden="1">{"'Estimativa de Lançamento-JAN'!$A$1:$AI$85"}</definedName>
    <definedName name="drtrt" localSheetId="12" hidden="1">{"'Estimativa de Lançamento-JAN'!$A$1:$AI$85"}</definedName>
    <definedName name="drtrt" localSheetId="16" hidden="1">{"'Estimativa de Lançamento-JAN'!$A$1:$AI$85"}</definedName>
    <definedName name="drtrt" localSheetId="0" hidden="1">{"'Estimativa de Lançamento-JAN'!$A$1:$AI$85"}</definedName>
    <definedName name="drtrt" localSheetId="11" hidden="1">{"'Estimativa de Lançamento-JAN'!$A$1:$AI$85"}</definedName>
    <definedName name="drtrt" localSheetId="13" hidden="1">{"'Estimativa de Lançamento-JAN'!$A$1:$AI$85"}</definedName>
    <definedName name="drtrt" hidden="1">{"'Estimativa de Lançamento-JAN'!$A$1:$AI$85"}</definedName>
    <definedName name="dsdrf" localSheetId="14" hidden="1">{#N/A,#N/A,FALSE,"Plan1";#N/A,#N/A,FALSE,"Plan2"}</definedName>
    <definedName name="dsdrf" localSheetId="7" hidden="1">{#N/A,#N/A,FALSE,"Plan1";#N/A,#N/A,FALSE,"Plan2"}</definedName>
    <definedName name="dsdrf" localSheetId="1" hidden="1">{#N/A,#N/A,FALSE,"Plan1";#N/A,#N/A,FALSE,"Plan2"}</definedName>
    <definedName name="dsdrf" localSheetId="2" hidden="1">{#N/A,#N/A,FALSE,"Plan1";#N/A,#N/A,FALSE,"Plan2"}</definedName>
    <definedName name="dsdrf" localSheetId="9" hidden="1">{#N/A,#N/A,FALSE,"Plan1";#N/A,#N/A,FALSE,"Plan2"}</definedName>
    <definedName name="dsdrf" localSheetId="5" hidden="1">{#N/A,#N/A,FALSE,"Plan1";#N/A,#N/A,FALSE,"Plan2"}</definedName>
    <definedName name="dsdrf" localSheetId="4" hidden="1">{#N/A,#N/A,FALSE,"Plan1";#N/A,#N/A,FALSE,"Plan2"}</definedName>
    <definedName name="dsdrf" localSheetId="8" hidden="1">{#N/A,#N/A,FALSE,"Plan1";#N/A,#N/A,FALSE,"Plan2"}</definedName>
    <definedName name="dsdrf" localSheetId="12" hidden="1">{#N/A,#N/A,FALSE,"Plan1";#N/A,#N/A,FALSE,"Plan2"}</definedName>
    <definedName name="dsdrf" localSheetId="16" hidden="1">{#N/A,#N/A,FALSE,"Plan1";#N/A,#N/A,FALSE,"Plan2"}</definedName>
    <definedName name="dsdrf" localSheetId="0" hidden="1">{#N/A,#N/A,FALSE,"Plan1";#N/A,#N/A,FALSE,"Plan2"}</definedName>
    <definedName name="dsdrf" localSheetId="11" hidden="1">{#N/A,#N/A,FALSE,"Plan1";#N/A,#N/A,FALSE,"Plan2"}</definedName>
    <definedName name="dsdrf" localSheetId="13" hidden="1">{#N/A,#N/A,FALSE,"Plan1";#N/A,#N/A,FALSE,"Plan2"}</definedName>
    <definedName name="dsdrf" hidden="1">{#N/A,#N/A,FALSE,"Plan1";#N/A,#N/A,FALSE,"Plan2"}</definedName>
    <definedName name="dsfdf" localSheetId="14" hidden="1">{#N/A,#N/A,FALSE,"Plan1";#N/A,#N/A,FALSE,"Plan2"}</definedName>
    <definedName name="dsfdf" localSheetId="7" hidden="1">{#N/A,#N/A,FALSE,"Plan1";#N/A,#N/A,FALSE,"Plan2"}</definedName>
    <definedName name="dsfdf" localSheetId="1" hidden="1">{#N/A,#N/A,FALSE,"Plan1";#N/A,#N/A,FALSE,"Plan2"}</definedName>
    <definedName name="dsfdf" localSheetId="2" hidden="1">{#N/A,#N/A,FALSE,"Plan1";#N/A,#N/A,FALSE,"Plan2"}</definedName>
    <definedName name="dsfdf" localSheetId="9" hidden="1">{#N/A,#N/A,FALSE,"Plan1";#N/A,#N/A,FALSE,"Plan2"}</definedName>
    <definedName name="dsfdf" localSheetId="5" hidden="1">{#N/A,#N/A,FALSE,"Plan1";#N/A,#N/A,FALSE,"Plan2"}</definedName>
    <definedName name="dsfdf" localSheetId="4" hidden="1">{#N/A,#N/A,FALSE,"Plan1";#N/A,#N/A,FALSE,"Plan2"}</definedName>
    <definedName name="dsfdf" localSheetId="8" hidden="1">{#N/A,#N/A,FALSE,"Plan1";#N/A,#N/A,FALSE,"Plan2"}</definedName>
    <definedName name="dsfdf" localSheetId="12" hidden="1">{#N/A,#N/A,FALSE,"Plan1";#N/A,#N/A,FALSE,"Plan2"}</definedName>
    <definedName name="dsfdf" localSheetId="16" hidden="1">{#N/A,#N/A,FALSE,"Plan1";#N/A,#N/A,FALSE,"Plan2"}</definedName>
    <definedName name="dsfdf" localSheetId="0" hidden="1">{#N/A,#N/A,FALSE,"Plan1";#N/A,#N/A,FALSE,"Plan2"}</definedName>
    <definedName name="dsfdf" localSheetId="11" hidden="1">{#N/A,#N/A,FALSE,"Plan1";#N/A,#N/A,FALSE,"Plan2"}</definedName>
    <definedName name="dsfdf" localSheetId="13" hidden="1">{#N/A,#N/A,FALSE,"Plan1";#N/A,#N/A,FALSE,"Plan2"}</definedName>
    <definedName name="dsfdf" hidden="1">{#N/A,#N/A,FALSE,"Plan1";#N/A,#N/A,FALSE,"Plan2"}</definedName>
    <definedName name="dsfg" localSheetId="14" hidden="1">{#N/A,#N/A,FALSE,"Plan1";#N/A,#N/A,FALSE,"Plan2"}</definedName>
    <definedName name="dsfg" localSheetId="7" hidden="1">{#N/A,#N/A,FALSE,"Plan1";#N/A,#N/A,FALSE,"Plan2"}</definedName>
    <definedName name="dsfg" localSheetId="1" hidden="1">{#N/A,#N/A,FALSE,"Plan1";#N/A,#N/A,FALSE,"Plan2"}</definedName>
    <definedName name="dsfg" localSheetId="2" hidden="1">{#N/A,#N/A,FALSE,"Plan1";#N/A,#N/A,FALSE,"Plan2"}</definedName>
    <definedName name="dsfg" localSheetId="9" hidden="1">{#N/A,#N/A,FALSE,"Plan1";#N/A,#N/A,FALSE,"Plan2"}</definedName>
    <definedName name="dsfg" localSheetId="5" hidden="1">{#N/A,#N/A,FALSE,"Plan1";#N/A,#N/A,FALSE,"Plan2"}</definedName>
    <definedName name="dsfg" localSheetId="4" hidden="1">{#N/A,#N/A,FALSE,"Plan1";#N/A,#N/A,FALSE,"Plan2"}</definedName>
    <definedName name="dsfg" localSheetId="8" hidden="1">{#N/A,#N/A,FALSE,"Plan1";#N/A,#N/A,FALSE,"Plan2"}</definedName>
    <definedName name="dsfg" localSheetId="12" hidden="1">{#N/A,#N/A,FALSE,"Plan1";#N/A,#N/A,FALSE,"Plan2"}</definedName>
    <definedName name="dsfg" localSheetId="16" hidden="1">{#N/A,#N/A,FALSE,"Plan1";#N/A,#N/A,FALSE,"Plan2"}</definedName>
    <definedName name="dsfg" localSheetId="0" hidden="1">{#N/A,#N/A,FALSE,"Plan1";#N/A,#N/A,FALSE,"Plan2"}</definedName>
    <definedName name="dsfg" localSheetId="11" hidden="1">{#N/A,#N/A,FALSE,"Plan1";#N/A,#N/A,FALSE,"Plan2"}</definedName>
    <definedName name="dsfg" localSheetId="13" hidden="1">{#N/A,#N/A,FALSE,"Plan1";#N/A,#N/A,FALSE,"Plan2"}</definedName>
    <definedName name="dsfg" hidden="1">{#N/A,#N/A,FALSE,"Plan1";#N/A,#N/A,FALSE,"Plan2"}</definedName>
    <definedName name="DSFKDSKH" localSheetId="14" hidden="1">{#N/A,#N/A,FALSE,"Plan1";#N/A,#N/A,FALSE,"Plan2"}</definedName>
    <definedName name="DSFKDSKH" localSheetId="7" hidden="1">{#N/A,#N/A,FALSE,"Plan1";#N/A,#N/A,FALSE,"Plan2"}</definedName>
    <definedName name="DSFKDSKH" localSheetId="1" hidden="1">{#N/A,#N/A,FALSE,"Plan1";#N/A,#N/A,FALSE,"Plan2"}</definedName>
    <definedName name="DSFKDSKH" localSheetId="2" hidden="1">{#N/A,#N/A,FALSE,"Plan1";#N/A,#N/A,FALSE,"Plan2"}</definedName>
    <definedName name="DSFKDSKH" localSheetId="9" hidden="1">{#N/A,#N/A,FALSE,"Plan1";#N/A,#N/A,FALSE,"Plan2"}</definedName>
    <definedName name="DSFKDSKH" localSheetId="5" hidden="1">{#N/A,#N/A,FALSE,"Plan1";#N/A,#N/A,FALSE,"Plan2"}</definedName>
    <definedName name="DSFKDSKH" localSheetId="4" hidden="1">{#N/A,#N/A,FALSE,"Plan1";#N/A,#N/A,FALSE,"Plan2"}</definedName>
    <definedName name="DSFKDSKH" localSheetId="8" hidden="1">{#N/A,#N/A,FALSE,"Plan1";#N/A,#N/A,FALSE,"Plan2"}</definedName>
    <definedName name="DSFKDSKH" localSheetId="12" hidden="1">{#N/A,#N/A,FALSE,"Plan1";#N/A,#N/A,FALSE,"Plan2"}</definedName>
    <definedName name="DSFKDSKH" localSheetId="16" hidden="1">{#N/A,#N/A,FALSE,"Plan1";#N/A,#N/A,FALSE,"Plan2"}</definedName>
    <definedName name="DSFKDSKH" localSheetId="0" hidden="1">{#N/A,#N/A,FALSE,"Plan1";#N/A,#N/A,FALSE,"Plan2"}</definedName>
    <definedName name="DSFKDSKH" localSheetId="11" hidden="1">{#N/A,#N/A,FALSE,"Plan1";#N/A,#N/A,FALSE,"Plan2"}</definedName>
    <definedName name="DSFKDSKH" localSheetId="13" hidden="1">{#N/A,#N/A,FALSE,"Plan1";#N/A,#N/A,FALSE,"Plan2"}</definedName>
    <definedName name="DSFKDSKH" hidden="1">{#N/A,#N/A,FALSE,"Plan1";#N/A,#N/A,FALSE,"Plan2"}</definedName>
    <definedName name="DSF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4" hidden="1">{#N/A,#N/A,FALSE,"Plan1";#N/A,#N/A,FALSE,"Plan2"}</definedName>
    <definedName name="dsfrtyy" localSheetId="7" hidden="1">{#N/A,#N/A,FALSE,"Plan1";#N/A,#N/A,FALSE,"Plan2"}</definedName>
    <definedName name="dsfrtyy" localSheetId="1" hidden="1">{#N/A,#N/A,FALSE,"Plan1";#N/A,#N/A,FALSE,"Plan2"}</definedName>
    <definedName name="dsfrtyy" localSheetId="2" hidden="1">{#N/A,#N/A,FALSE,"Plan1";#N/A,#N/A,FALSE,"Plan2"}</definedName>
    <definedName name="dsfrtyy" localSheetId="9" hidden="1">{#N/A,#N/A,FALSE,"Plan1";#N/A,#N/A,FALSE,"Plan2"}</definedName>
    <definedName name="dsfrtyy" localSheetId="5" hidden="1">{#N/A,#N/A,FALSE,"Plan1";#N/A,#N/A,FALSE,"Plan2"}</definedName>
    <definedName name="dsfrtyy" localSheetId="4" hidden="1">{#N/A,#N/A,FALSE,"Plan1";#N/A,#N/A,FALSE,"Plan2"}</definedName>
    <definedName name="dsfrtyy" localSheetId="8" hidden="1">{#N/A,#N/A,FALSE,"Plan1";#N/A,#N/A,FALSE,"Plan2"}</definedName>
    <definedName name="dsfrtyy" localSheetId="12" hidden="1">{#N/A,#N/A,FALSE,"Plan1";#N/A,#N/A,FALSE,"Plan2"}</definedName>
    <definedName name="dsfrtyy" localSheetId="16" hidden="1">{#N/A,#N/A,FALSE,"Plan1";#N/A,#N/A,FALSE,"Plan2"}</definedName>
    <definedName name="dsfrtyy" localSheetId="0" hidden="1">{#N/A,#N/A,FALSE,"Plan1";#N/A,#N/A,FALSE,"Plan2"}</definedName>
    <definedName name="dsfrtyy" localSheetId="11" hidden="1">{#N/A,#N/A,FALSE,"Plan1";#N/A,#N/A,FALSE,"Plan2"}</definedName>
    <definedName name="dsfrtyy" localSheetId="13" hidden="1">{#N/A,#N/A,FALSE,"Plan1";#N/A,#N/A,FALSE,"Plan2"}</definedName>
    <definedName name="dsfrtyy" hidden="1">{#N/A,#N/A,FALSE,"Plan1";#N/A,#N/A,FALSE,"Plan2"}</definedName>
    <definedName name="DSFSAD" localSheetId="14" hidden="1">{#N/A,#N/A,FALSE,"Plan1";#N/A,#N/A,FALSE,"Plan2"}</definedName>
    <definedName name="DSFSAD" localSheetId="7" hidden="1">{#N/A,#N/A,FALSE,"Plan1";#N/A,#N/A,FALSE,"Plan2"}</definedName>
    <definedName name="DSFSAD" localSheetId="1" hidden="1">{#N/A,#N/A,FALSE,"Plan1";#N/A,#N/A,FALSE,"Plan2"}</definedName>
    <definedName name="DSFSAD" localSheetId="2" hidden="1">{#N/A,#N/A,FALSE,"Plan1";#N/A,#N/A,FALSE,"Plan2"}</definedName>
    <definedName name="DSFSAD" localSheetId="9" hidden="1">{#N/A,#N/A,FALSE,"Plan1";#N/A,#N/A,FALSE,"Plan2"}</definedName>
    <definedName name="DSFSAD" localSheetId="5" hidden="1">{#N/A,#N/A,FALSE,"Plan1";#N/A,#N/A,FALSE,"Plan2"}</definedName>
    <definedName name="DSFSAD" localSheetId="4" hidden="1">{#N/A,#N/A,FALSE,"Plan1";#N/A,#N/A,FALSE,"Plan2"}</definedName>
    <definedName name="DSFSAD" localSheetId="8" hidden="1">{#N/A,#N/A,FALSE,"Plan1";#N/A,#N/A,FALSE,"Plan2"}</definedName>
    <definedName name="DSFSAD" localSheetId="12" hidden="1">{#N/A,#N/A,FALSE,"Plan1";#N/A,#N/A,FALSE,"Plan2"}</definedName>
    <definedName name="DSFSAD" localSheetId="16" hidden="1">{#N/A,#N/A,FALSE,"Plan1";#N/A,#N/A,FALSE,"Plan2"}</definedName>
    <definedName name="DSFSAD" localSheetId="0" hidden="1">{#N/A,#N/A,FALSE,"Plan1";#N/A,#N/A,FALSE,"Plan2"}</definedName>
    <definedName name="DSFSAD" localSheetId="11" hidden="1">{#N/A,#N/A,FALSE,"Plan1";#N/A,#N/A,FALSE,"Plan2"}</definedName>
    <definedName name="DSFSAD" localSheetId="13" hidden="1">{#N/A,#N/A,FALSE,"Plan1";#N/A,#N/A,FALSE,"Plan2"}</definedName>
    <definedName name="DSFSAD" hidden="1">{#N/A,#N/A,FALSE,"Plan1";#N/A,#N/A,FALSE,"Plan2"}</definedName>
    <definedName name="dsfsdf" localSheetId="14" hidden="1">{#N/A,#N/A,FALSE,"Plan1";#N/A,#N/A,FALSE,"Plan2"}</definedName>
    <definedName name="dsfsdf" localSheetId="7" hidden="1">{#N/A,#N/A,FALSE,"Plan1";#N/A,#N/A,FALSE,"Plan2"}</definedName>
    <definedName name="dsfsdf" localSheetId="1" hidden="1">{#N/A,#N/A,FALSE,"Plan1";#N/A,#N/A,FALSE,"Plan2"}</definedName>
    <definedName name="dsfsdf" localSheetId="2" hidden="1">{#N/A,#N/A,FALSE,"Plan1";#N/A,#N/A,FALSE,"Plan2"}</definedName>
    <definedName name="dsfsdf" localSheetId="9" hidden="1">{#N/A,#N/A,FALSE,"Plan1";#N/A,#N/A,FALSE,"Plan2"}</definedName>
    <definedName name="dsfsdf" localSheetId="5" hidden="1">{#N/A,#N/A,FALSE,"Plan1";#N/A,#N/A,FALSE,"Plan2"}</definedName>
    <definedName name="dsfsdf" localSheetId="4" hidden="1">{#N/A,#N/A,FALSE,"Plan1";#N/A,#N/A,FALSE,"Plan2"}</definedName>
    <definedName name="dsfsdf" localSheetId="8" hidden="1">{#N/A,#N/A,FALSE,"Plan1";#N/A,#N/A,FALSE,"Plan2"}</definedName>
    <definedName name="dsfsdf" localSheetId="12" hidden="1">{#N/A,#N/A,FALSE,"Plan1";#N/A,#N/A,FALSE,"Plan2"}</definedName>
    <definedName name="dsfsdf" localSheetId="16" hidden="1">{#N/A,#N/A,FALSE,"Plan1";#N/A,#N/A,FALSE,"Plan2"}</definedName>
    <definedName name="dsfsdf" localSheetId="0" hidden="1">{#N/A,#N/A,FALSE,"Plan1";#N/A,#N/A,FALSE,"Plan2"}</definedName>
    <definedName name="dsfsdf" localSheetId="11" hidden="1">{#N/A,#N/A,FALSE,"Plan1";#N/A,#N/A,FALSE,"Plan2"}</definedName>
    <definedName name="dsfsdf" localSheetId="13" hidden="1">{#N/A,#N/A,FALSE,"Plan1";#N/A,#N/A,FALSE,"Plan2"}</definedName>
    <definedName name="dsfsdf" hidden="1">{#N/A,#N/A,FALSE,"Plan1";#N/A,#N/A,FALSE,"Plan2"}</definedName>
    <definedName name="dsfsdgfb" localSheetId="14" hidden="1">{#N/A,#N/A,FALSE,"Plan1";#N/A,#N/A,FALSE,"Plan2"}</definedName>
    <definedName name="dsfsdgfb" localSheetId="7" hidden="1">{#N/A,#N/A,FALSE,"Plan1";#N/A,#N/A,FALSE,"Plan2"}</definedName>
    <definedName name="dsfsdgfb" localSheetId="1" hidden="1">{#N/A,#N/A,FALSE,"Plan1";#N/A,#N/A,FALSE,"Plan2"}</definedName>
    <definedName name="dsfsdgfb" localSheetId="2" hidden="1">{#N/A,#N/A,FALSE,"Plan1";#N/A,#N/A,FALSE,"Plan2"}</definedName>
    <definedName name="dsfsdgfb" localSheetId="9" hidden="1">{#N/A,#N/A,FALSE,"Plan1";#N/A,#N/A,FALSE,"Plan2"}</definedName>
    <definedName name="dsfsdgfb" localSheetId="5" hidden="1">{#N/A,#N/A,FALSE,"Plan1";#N/A,#N/A,FALSE,"Plan2"}</definedName>
    <definedName name="dsfsdgfb" localSheetId="4" hidden="1">{#N/A,#N/A,FALSE,"Plan1";#N/A,#N/A,FALSE,"Plan2"}</definedName>
    <definedName name="dsfsdgfb" localSheetId="8" hidden="1">{#N/A,#N/A,FALSE,"Plan1";#N/A,#N/A,FALSE,"Plan2"}</definedName>
    <definedName name="dsfsdgfb" localSheetId="12" hidden="1">{#N/A,#N/A,FALSE,"Plan1";#N/A,#N/A,FALSE,"Plan2"}</definedName>
    <definedName name="dsfsdgfb" localSheetId="16" hidden="1">{#N/A,#N/A,FALSE,"Plan1";#N/A,#N/A,FALSE,"Plan2"}</definedName>
    <definedName name="dsfsdgfb" localSheetId="0" hidden="1">{#N/A,#N/A,FALSE,"Plan1";#N/A,#N/A,FALSE,"Plan2"}</definedName>
    <definedName name="dsfsdgfb" localSheetId="11" hidden="1">{#N/A,#N/A,FALSE,"Plan1";#N/A,#N/A,FALSE,"Plan2"}</definedName>
    <definedName name="dsfsdgfb" localSheetId="13" hidden="1">{#N/A,#N/A,FALSE,"Plan1";#N/A,#N/A,FALSE,"Plan2"}</definedName>
    <definedName name="dsfsdgfb" hidden="1">{#N/A,#N/A,FALSE,"Plan1";#N/A,#N/A,FALSE,"Plan2"}</definedName>
    <definedName name="dsgfr" localSheetId="14" hidden="1">{#N/A,#N/A,FALSE,"Plan1";#N/A,#N/A,FALSE,"Plan2"}</definedName>
    <definedName name="dsgfr" localSheetId="7" hidden="1">{#N/A,#N/A,FALSE,"Plan1";#N/A,#N/A,FALSE,"Plan2"}</definedName>
    <definedName name="dsgfr" localSheetId="1" hidden="1">{#N/A,#N/A,FALSE,"Plan1";#N/A,#N/A,FALSE,"Plan2"}</definedName>
    <definedName name="dsgfr" localSheetId="2" hidden="1">{#N/A,#N/A,FALSE,"Plan1";#N/A,#N/A,FALSE,"Plan2"}</definedName>
    <definedName name="dsgfr" localSheetId="9" hidden="1">{#N/A,#N/A,FALSE,"Plan1";#N/A,#N/A,FALSE,"Plan2"}</definedName>
    <definedName name="dsgfr" localSheetId="5" hidden="1">{#N/A,#N/A,FALSE,"Plan1";#N/A,#N/A,FALSE,"Plan2"}</definedName>
    <definedName name="dsgfr" localSheetId="4" hidden="1">{#N/A,#N/A,FALSE,"Plan1";#N/A,#N/A,FALSE,"Plan2"}</definedName>
    <definedName name="dsgfr" localSheetId="8" hidden="1">{#N/A,#N/A,FALSE,"Plan1";#N/A,#N/A,FALSE,"Plan2"}</definedName>
    <definedName name="dsgfr" localSheetId="12" hidden="1">{#N/A,#N/A,FALSE,"Plan1";#N/A,#N/A,FALSE,"Plan2"}</definedName>
    <definedName name="dsgfr" localSheetId="16" hidden="1">{#N/A,#N/A,FALSE,"Plan1";#N/A,#N/A,FALSE,"Plan2"}</definedName>
    <definedName name="dsgfr" localSheetId="0" hidden="1">{#N/A,#N/A,FALSE,"Plan1";#N/A,#N/A,FALSE,"Plan2"}</definedName>
    <definedName name="dsgfr" localSheetId="11" hidden="1">{#N/A,#N/A,FALSE,"Plan1";#N/A,#N/A,FALSE,"Plan2"}</definedName>
    <definedName name="dsgfr" localSheetId="13" hidden="1">{#N/A,#N/A,FALSE,"Plan1";#N/A,#N/A,FALSE,"Plan2"}</definedName>
    <definedName name="dsgfr" hidden="1">{#N/A,#N/A,FALSE,"Plan1";#N/A,#N/A,FALSE,"Plan2"}</definedName>
    <definedName name="dshfkhkrhesru" localSheetId="14" hidden="1">{#N/A,#N/A,FALSE,"Plan1";#N/A,#N/A,FALSE,"Plan2"}</definedName>
    <definedName name="dshfkhkrhesru" localSheetId="7" hidden="1">{#N/A,#N/A,FALSE,"Plan1";#N/A,#N/A,FALSE,"Plan2"}</definedName>
    <definedName name="dshfkhkrhesru" localSheetId="1" hidden="1">{#N/A,#N/A,FALSE,"Plan1";#N/A,#N/A,FALSE,"Plan2"}</definedName>
    <definedName name="dshfkhkrhesru" localSheetId="2" hidden="1">{#N/A,#N/A,FALSE,"Plan1";#N/A,#N/A,FALSE,"Plan2"}</definedName>
    <definedName name="dshfkhkrhesru" localSheetId="9" hidden="1">{#N/A,#N/A,FALSE,"Plan1";#N/A,#N/A,FALSE,"Plan2"}</definedName>
    <definedName name="dshfkhkrhesru" localSheetId="5" hidden="1">{#N/A,#N/A,FALSE,"Plan1";#N/A,#N/A,FALSE,"Plan2"}</definedName>
    <definedName name="dshfkhkrhesru" localSheetId="4" hidden="1">{#N/A,#N/A,FALSE,"Plan1";#N/A,#N/A,FALSE,"Plan2"}</definedName>
    <definedName name="dshfkhkrhesru" localSheetId="8" hidden="1">{#N/A,#N/A,FALSE,"Plan1";#N/A,#N/A,FALSE,"Plan2"}</definedName>
    <definedName name="dshfkhkrhesru" localSheetId="12" hidden="1">{#N/A,#N/A,FALSE,"Plan1";#N/A,#N/A,FALSE,"Plan2"}</definedName>
    <definedName name="dshfkhkrhesru" localSheetId="16" hidden="1">{#N/A,#N/A,FALSE,"Plan1";#N/A,#N/A,FALSE,"Plan2"}</definedName>
    <definedName name="dshfkhkrhesru" localSheetId="0" hidden="1">{#N/A,#N/A,FALSE,"Plan1";#N/A,#N/A,FALSE,"Plan2"}</definedName>
    <definedName name="dshfkhkrhesru" localSheetId="11" hidden="1">{#N/A,#N/A,FALSE,"Plan1";#N/A,#N/A,FALSE,"Plan2"}</definedName>
    <definedName name="dshfkhkrhesru" localSheetId="13" hidden="1">{#N/A,#N/A,FALSE,"Plan1";#N/A,#N/A,FALSE,"Plan2"}</definedName>
    <definedName name="dshfkhkrhesru" hidden="1">{#N/A,#N/A,FALSE,"Plan1";#N/A,#N/A,FALSE,"Plan2"}</definedName>
    <definedName name="dsjkthkr" localSheetId="14" hidden="1">{#N/A,#N/A,FALSE,"Plan1";#N/A,#N/A,FALSE,"Plan2"}</definedName>
    <definedName name="dsjkthkr" localSheetId="7" hidden="1">{#N/A,#N/A,FALSE,"Plan1";#N/A,#N/A,FALSE,"Plan2"}</definedName>
    <definedName name="dsjkthkr" localSheetId="1" hidden="1">{#N/A,#N/A,FALSE,"Plan1";#N/A,#N/A,FALSE,"Plan2"}</definedName>
    <definedName name="dsjkthkr" localSheetId="2" hidden="1">{#N/A,#N/A,FALSE,"Plan1";#N/A,#N/A,FALSE,"Plan2"}</definedName>
    <definedName name="dsjkthkr" localSheetId="9" hidden="1">{#N/A,#N/A,FALSE,"Plan1";#N/A,#N/A,FALSE,"Plan2"}</definedName>
    <definedName name="dsjkthkr" localSheetId="5" hidden="1">{#N/A,#N/A,FALSE,"Plan1";#N/A,#N/A,FALSE,"Plan2"}</definedName>
    <definedName name="dsjkthkr" localSheetId="4" hidden="1">{#N/A,#N/A,FALSE,"Plan1";#N/A,#N/A,FALSE,"Plan2"}</definedName>
    <definedName name="dsjkthkr" localSheetId="8" hidden="1">{#N/A,#N/A,FALSE,"Plan1";#N/A,#N/A,FALSE,"Plan2"}</definedName>
    <definedName name="dsjkthkr" localSheetId="12" hidden="1">{#N/A,#N/A,FALSE,"Plan1";#N/A,#N/A,FALSE,"Plan2"}</definedName>
    <definedName name="dsjkthkr" localSheetId="16" hidden="1">{#N/A,#N/A,FALSE,"Plan1";#N/A,#N/A,FALSE,"Plan2"}</definedName>
    <definedName name="dsjkthkr" localSheetId="0" hidden="1">{#N/A,#N/A,FALSE,"Plan1";#N/A,#N/A,FALSE,"Plan2"}</definedName>
    <definedName name="dsjkthkr" localSheetId="11" hidden="1">{#N/A,#N/A,FALSE,"Plan1";#N/A,#N/A,FALSE,"Plan2"}</definedName>
    <definedName name="dsjkthkr" localSheetId="13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14" hidden="1">{#N/A,#N/A,FALSE,"Plan1";#N/A,#N/A,FALSE,"Plan2"}</definedName>
    <definedName name="DSLFJSLFJ" localSheetId="7" hidden="1">{#N/A,#N/A,FALSE,"Plan1";#N/A,#N/A,FALSE,"Plan2"}</definedName>
    <definedName name="DSLFJSLFJ" localSheetId="1" hidden="1">{#N/A,#N/A,FALSE,"Plan1";#N/A,#N/A,FALSE,"Plan2"}</definedName>
    <definedName name="DSLFJSLFJ" localSheetId="2" hidden="1">{#N/A,#N/A,FALSE,"Plan1";#N/A,#N/A,FALSE,"Plan2"}</definedName>
    <definedName name="DSLFJSLFJ" localSheetId="9" hidden="1">{#N/A,#N/A,FALSE,"Plan1";#N/A,#N/A,FALSE,"Plan2"}</definedName>
    <definedName name="DSLFJSLFJ" localSheetId="5" hidden="1">{#N/A,#N/A,FALSE,"Plan1";#N/A,#N/A,FALSE,"Plan2"}</definedName>
    <definedName name="DSLFJSLFJ" localSheetId="4" hidden="1">{#N/A,#N/A,FALSE,"Plan1";#N/A,#N/A,FALSE,"Plan2"}</definedName>
    <definedName name="DSLFJSLFJ" localSheetId="8" hidden="1">{#N/A,#N/A,FALSE,"Plan1";#N/A,#N/A,FALSE,"Plan2"}</definedName>
    <definedName name="DSLFJSLFJ" localSheetId="12" hidden="1">{#N/A,#N/A,FALSE,"Plan1";#N/A,#N/A,FALSE,"Plan2"}</definedName>
    <definedName name="DSLFJSLFJ" localSheetId="16" hidden="1">{#N/A,#N/A,FALSE,"Plan1";#N/A,#N/A,FALSE,"Plan2"}</definedName>
    <definedName name="DSLFJSLFJ" localSheetId="0" hidden="1">{#N/A,#N/A,FALSE,"Plan1";#N/A,#N/A,FALSE,"Plan2"}</definedName>
    <definedName name="DSLFJSLFJ" localSheetId="11" hidden="1">{#N/A,#N/A,FALSE,"Plan1";#N/A,#N/A,FALSE,"Plan2"}</definedName>
    <definedName name="DSLFJSLFJ" localSheetId="13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4" hidden="1">{#N/A,#N/A,FALSE,"Plan1";#N/A,#N/A,FALSE,"Plan2"}</definedName>
    <definedName name="dss" localSheetId="7" hidden="1">{#N/A,#N/A,FALSE,"Plan1";#N/A,#N/A,FALSE,"Plan2"}</definedName>
    <definedName name="dss" localSheetId="1" hidden="1">{#N/A,#N/A,FALSE,"Plan1";#N/A,#N/A,FALSE,"Plan2"}</definedName>
    <definedName name="dss" localSheetId="2" hidden="1">{#N/A,#N/A,FALSE,"Plan1";#N/A,#N/A,FALSE,"Plan2"}</definedName>
    <definedName name="dss" localSheetId="9" hidden="1">{#N/A,#N/A,FALSE,"Plan1";#N/A,#N/A,FALSE,"Plan2"}</definedName>
    <definedName name="dss" localSheetId="5" hidden="1">{#N/A,#N/A,FALSE,"Plan1";#N/A,#N/A,FALSE,"Plan2"}</definedName>
    <definedName name="dss" localSheetId="4" hidden="1">{#N/A,#N/A,FALSE,"Plan1";#N/A,#N/A,FALSE,"Plan2"}</definedName>
    <definedName name="dss" localSheetId="8" hidden="1">{#N/A,#N/A,FALSE,"Plan1";#N/A,#N/A,FALSE,"Plan2"}</definedName>
    <definedName name="dss" localSheetId="12" hidden="1">{#N/A,#N/A,FALSE,"Plan1";#N/A,#N/A,FALSE,"Plan2"}</definedName>
    <definedName name="dss" localSheetId="16" hidden="1">{#N/A,#N/A,FALSE,"Plan1";#N/A,#N/A,FALSE,"Plan2"}</definedName>
    <definedName name="dss" localSheetId="0" hidden="1">{#N/A,#N/A,FALSE,"Plan1";#N/A,#N/A,FALSE,"Plan2"}</definedName>
    <definedName name="dss" localSheetId="11" hidden="1">{#N/A,#N/A,FALSE,"Plan1";#N/A,#N/A,FALSE,"Plan2"}</definedName>
    <definedName name="dss" localSheetId="13" hidden="1">{#N/A,#N/A,FALSE,"Plan1";#N/A,#N/A,FALSE,"Plan2"}</definedName>
    <definedName name="dss" hidden="1">{#N/A,#N/A,FALSE,"Plan1";#N/A,#N/A,FALSE,"Plan2"}</definedName>
    <definedName name="dtgsrytt" localSheetId="14" hidden="1">{#N/A,#N/A,FALSE,"Plan1";#N/A,#N/A,FALSE,"Plan2"}</definedName>
    <definedName name="dtgsrytt" localSheetId="7" hidden="1">{#N/A,#N/A,FALSE,"Plan1";#N/A,#N/A,FALSE,"Plan2"}</definedName>
    <definedName name="dtgsrytt" localSheetId="1" hidden="1">{#N/A,#N/A,FALSE,"Plan1";#N/A,#N/A,FALSE,"Plan2"}</definedName>
    <definedName name="dtgsrytt" localSheetId="2" hidden="1">{#N/A,#N/A,FALSE,"Plan1";#N/A,#N/A,FALSE,"Plan2"}</definedName>
    <definedName name="dtgsrytt" localSheetId="9" hidden="1">{#N/A,#N/A,FALSE,"Plan1";#N/A,#N/A,FALSE,"Plan2"}</definedName>
    <definedName name="dtgsrytt" localSheetId="5" hidden="1">{#N/A,#N/A,FALSE,"Plan1";#N/A,#N/A,FALSE,"Plan2"}</definedName>
    <definedName name="dtgsrytt" localSheetId="4" hidden="1">{#N/A,#N/A,FALSE,"Plan1";#N/A,#N/A,FALSE,"Plan2"}</definedName>
    <definedName name="dtgsrytt" localSheetId="8" hidden="1">{#N/A,#N/A,FALSE,"Plan1";#N/A,#N/A,FALSE,"Plan2"}</definedName>
    <definedName name="dtgsrytt" localSheetId="12" hidden="1">{#N/A,#N/A,FALSE,"Plan1";#N/A,#N/A,FALSE,"Plan2"}</definedName>
    <definedName name="dtgsrytt" localSheetId="16" hidden="1">{#N/A,#N/A,FALSE,"Plan1";#N/A,#N/A,FALSE,"Plan2"}</definedName>
    <definedName name="dtgsrytt" localSheetId="0" hidden="1">{#N/A,#N/A,FALSE,"Plan1";#N/A,#N/A,FALSE,"Plan2"}</definedName>
    <definedName name="dtgsrytt" localSheetId="11" hidden="1">{#N/A,#N/A,FALSE,"Plan1";#N/A,#N/A,FALSE,"Plan2"}</definedName>
    <definedName name="dtgsrytt" localSheetId="13" hidden="1">{#N/A,#N/A,FALSE,"Plan1";#N/A,#N/A,FALSE,"Plan2"}</definedName>
    <definedName name="dtgsrytt" hidden="1">{#N/A,#N/A,FALSE,"Plan1";#N/A,#N/A,FALSE,"Plan2"}</definedName>
    <definedName name="dtrjkhtrgkfh" localSheetId="14" hidden="1">{#N/A,#N/A,FALSE,"Plan1";#N/A,#N/A,FALSE,"Plan2"}</definedName>
    <definedName name="dtrjkhtrgkfh" localSheetId="7" hidden="1">{#N/A,#N/A,FALSE,"Plan1";#N/A,#N/A,FALSE,"Plan2"}</definedName>
    <definedName name="dtrjkhtrgkfh" localSheetId="1" hidden="1">{#N/A,#N/A,FALSE,"Plan1";#N/A,#N/A,FALSE,"Plan2"}</definedName>
    <definedName name="dtrjkhtrgkfh" localSheetId="2" hidden="1">{#N/A,#N/A,FALSE,"Plan1";#N/A,#N/A,FALSE,"Plan2"}</definedName>
    <definedName name="dtrjkhtrgkfh" localSheetId="9" hidden="1">{#N/A,#N/A,FALSE,"Plan1";#N/A,#N/A,FALSE,"Plan2"}</definedName>
    <definedName name="dtrjkhtrgkfh" localSheetId="5" hidden="1">{#N/A,#N/A,FALSE,"Plan1";#N/A,#N/A,FALSE,"Plan2"}</definedName>
    <definedName name="dtrjkhtrgkfh" localSheetId="4" hidden="1">{#N/A,#N/A,FALSE,"Plan1";#N/A,#N/A,FALSE,"Plan2"}</definedName>
    <definedName name="dtrjkhtrgkfh" localSheetId="8" hidden="1">{#N/A,#N/A,FALSE,"Plan1";#N/A,#N/A,FALSE,"Plan2"}</definedName>
    <definedName name="dtrjkhtrgkfh" localSheetId="12" hidden="1">{#N/A,#N/A,FALSE,"Plan1";#N/A,#N/A,FALSE,"Plan2"}</definedName>
    <definedName name="dtrjkhtrgkfh" localSheetId="16" hidden="1">{#N/A,#N/A,FALSE,"Plan1";#N/A,#N/A,FALSE,"Plan2"}</definedName>
    <definedName name="dtrjkhtrgkfh" localSheetId="0" hidden="1">{#N/A,#N/A,FALSE,"Plan1";#N/A,#N/A,FALSE,"Plan2"}</definedName>
    <definedName name="dtrjkhtrgkfh" localSheetId="11" hidden="1">{#N/A,#N/A,FALSE,"Plan1";#N/A,#N/A,FALSE,"Plan2"}</definedName>
    <definedName name="dtrjkhtrgkfh" localSheetId="13" hidden="1">{#N/A,#N/A,FALSE,"Plan1";#N/A,#N/A,FALSE,"Plan2"}</definedName>
    <definedName name="dtrjkhtrgkfh" hidden="1">{#N/A,#N/A,FALSE,"Plan1";#N/A,#N/A,FALSE,"Plan2"}</definedName>
    <definedName name="dttjuk" localSheetId="14" hidden="1">{#N/A,#N/A,FALSE,"Plan1";#N/A,#N/A,FALSE,"Plan2"}</definedName>
    <definedName name="dttjuk" localSheetId="7" hidden="1">{#N/A,#N/A,FALSE,"Plan1";#N/A,#N/A,FALSE,"Plan2"}</definedName>
    <definedName name="dttjuk" localSheetId="1" hidden="1">{#N/A,#N/A,FALSE,"Plan1";#N/A,#N/A,FALSE,"Plan2"}</definedName>
    <definedName name="dttjuk" localSheetId="2" hidden="1">{#N/A,#N/A,FALSE,"Plan1";#N/A,#N/A,FALSE,"Plan2"}</definedName>
    <definedName name="dttjuk" localSheetId="9" hidden="1">{#N/A,#N/A,FALSE,"Plan1";#N/A,#N/A,FALSE,"Plan2"}</definedName>
    <definedName name="dttjuk" localSheetId="5" hidden="1">{#N/A,#N/A,FALSE,"Plan1";#N/A,#N/A,FALSE,"Plan2"}</definedName>
    <definedName name="dttjuk" localSheetId="4" hidden="1">{#N/A,#N/A,FALSE,"Plan1";#N/A,#N/A,FALSE,"Plan2"}</definedName>
    <definedName name="dttjuk" localSheetId="8" hidden="1">{#N/A,#N/A,FALSE,"Plan1";#N/A,#N/A,FALSE,"Plan2"}</definedName>
    <definedName name="dttjuk" localSheetId="12" hidden="1">{#N/A,#N/A,FALSE,"Plan1";#N/A,#N/A,FALSE,"Plan2"}</definedName>
    <definedName name="dttjuk" localSheetId="16" hidden="1">{#N/A,#N/A,FALSE,"Plan1";#N/A,#N/A,FALSE,"Plan2"}</definedName>
    <definedName name="dttjuk" localSheetId="0" hidden="1">{#N/A,#N/A,FALSE,"Plan1";#N/A,#N/A,FALSE,"Plan2"}</definedName>
    <definedName name="dttjuk" localSheetId="11" hidden="1">{#N/A,#N/A,FALSE,"Plan1";#N/A,#N/A,FALSE,"Plan2"}</definedName>
    <definedName name="dttjuk" localSheetId="13" hidden="1">{#N/A,#N/A,FALSE,"Plan1";#N/A,#N/A,FALSE,"Plan2"}</definedName>
    <definedName name="dttjuk" hidden="1">{#N/A,#N/A,FALSE,"Plan1";#N/A,#N/A,FALSE,"Plan2"}</definedName>
    <definedName name="dvtry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4" hidden="1">{#N/A,#N/A,FALSE,"Plan1";#N/A,#N/A,FALSE,"Plan2"}</definedName>
    <definedName name="dwetrt" localSheetId="7" hidden="1">{#N/A,#N/A,FALSE,"Plan1";#N/A,#N/A,FALSE,"Plan2"}</definedName>
    <definedName name="dwetrt" localSheetId="1" hidden="1">{#N/A,#N/A,FALSE,"Plan1";#N/A,#N/A,FALSE,"Plan2"}</definedName>
    <definedName name="dwetrt" localSheetId="2" hidden="1">{#N/A,#N/A,FALSE,"Plan1";#N/A,#N/A,FALSE,"Plan2"}</definedName>
    <definedName name="dwetrt" localSheetId="9" hidden="1">{#N/A,#N/A,FALSE,"Plan1";#N/A,#N/A,FALSE,"Plan2"}</definedName>
    <definedName name="dwetrt" localSheetId="5" hidden="1">{#N/A,#N/A,FALSE,"Plan1";#N/A,#N/A,FALSE,"Plan2"}</definedName>
    <definedName name="dwetrt" localSheetId="4" hidden="1">{#N/A,#N/A,FALSE,"Plan1";#N/A,#N/A,FALSE,"Plan2"}</definedName>
    <definedName name="dwetrt" localSheetId="8" hidden="1">{#N/A,#N/A,FALSE,"Plan1";#N/A,#N/A,FALSE,"Plan2"}</definedName>
    <definedName name="dwetrt" localSheetId="12" hidden="1">{#N/A,#N/A,FALSE,"Plan1";#N/A,#N/A,FALSE,"Plan2"}</definedName>
    <definedName name="dwetrt" localSheetId="16" hidden="1">{#N/A,#N/A,FALSE,"Plan1";#N/A,#N/A,FALSE,"Plan2"}</definedName>
    <definedName name="dwetrt" localSheetId="0" hidden="1">{#N/A,#N/A,FALSE,"Plan1";#N/A,#N/A,FALSE,"Plan2"}</definedName>
    <definedName name="dwetrt" localSheetId="11" hidden="1">{#N/A,#N/A,FALSE,"Plan1";#N/A,#N/A,FALSE,"Plan2"}</definedName>
    <definedName name="dwetrt" localSheetId="13" hidden="1">{#N/A,#N/A,FALSE,"Plan1";#N/A,#N/A,FALSE,"Plan2"}</definedName>
    <definedName name="dwetrt" hidden="1">{#N/A,#N/A,FALSE,"Plan1";#N/A,#N/A,FALSE,"Plan2"}</definedName>
    <definedName name="dwqhdjwqgdwq" localSheetId="2">#REF!</definedName>
    <definedName name="dwqhdjwqgdwq" localSheetId="5">#REF!</definedName>
    <definedName name="dwqhdjwqgdwq">#REF!</definedName>
    <definedName name="DY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4" hidden="1">{#N/A,#N/A,FALSE,"Plan1";#N/A,#N/A,FALSE,"Plan2"}</definedName>
    <definedName name="DYHYGJDHZKGF" localSheetId="7" hidden="1">{#N/A,#N/A,FALSE,"Plan1";#N/A,#N/A,FALSE,"Plan2"}</definedName>
    <definedName name="DYHYGJDHZKGF" localSheetId="1" hidden="1">{#N/A,#N/A,FALSE,"Plan1";#N/A,#N/A,FALSE,"Plan2"}</definedName>
    <definedName name="DYHYGJDHZKGF" localSheetId="2" hidden="1">{#N/A,#N/A,FALSE,"Plan1";#N/A,#N/A,FALSE,"Plan2"}</definedName>
    <definedName name="DYHYGJDHZKGF" localSheetId="9" hidden="1">{#N/A,#N/A,FALSE,"Plan1";#N/A,#N/A,FALSE,"Plan2"}</definedName>
    <definedName name="DYHYGJDHZKGF" localSheetId="5" hidden="1">{#N/A,#N/A,FALSE,"Plan1";#N/A,#N/A,FALSE,"Plan2"}</definedName>
    <definedName name="DYHYGJDHZKGF" localSheetId="4" hidden="1">{#N/A,#N/A,FALSE,"Plan1";#N/A,#N/A,FALSE,"Plan2"}</definedName>
    <definedName name="DYHYGJDHZKGF" localSheetId="8" hidden="1">{#N/A,#N/A,FALSE,"Plan1";#N/A,#N/A,FALSE,"Plan2"}</definedName>
    <definedName name="DYHYGJDHZKGF" localSheetId="12" hidden="1">{#N/A,#N/A,FALSE,"Plan1";#N/A,#N/A,FALSE,"Plan2"}</definedName>
    <definedName name="DYHYGJDHZKGF" localSheetId="16" hidden="1">{#N/A,#N/A,FALSE,"Plan1";#N/A,#N/A,FALSE,"Plan2"}</definedName>
    <definedName name="DYHYGJDHZKGF" localSheetId="0" hidden="1">{#N/A,#N/A,FALSE,"Plan1";#N/A,#N/A,FALSE,"Plan2"}</definedName>
    <definedName name="DYHYGJDHZKGF" localSheetId="11" hidden="1">{#N/A,#N/A,FALSE,"Plan1";#N/A,#N/A,FALSE,"Plan2"}</definedName>
    <definedName name="DYHYGJDHZKGF" localSheetId="13" hidden="1">{#N/A,#N/A,FALSE,"Plan1";#N/A,#N/A,FALSE,"Plan2"}</definedName>
    <definedName name="DYHYGJDHZKGF" hidden="1">{#N/A,#N/A,FALSE,"Plan1";#N/A,#N/A,FALSE,"Plan2"}</definedName>
    <definedName name="dzdfr" localSheetId="14" hidden="1">{#N/A,#N/A,FALSE,"Plan1";#N/A,#N/A,FALSE,"Plan2"}</definedName>
    <definedName name="dzdfr" localSheetId="7" hidden="1">{#N/A,#N/A,FALSE,"Plan1";#N/A,#N/A,FALSE,"Plan2"}</definedName>
    <definedName name="dzdfr" localSheetId="1" hidden="1">{#N/A,#N/A,FALSE,"Plan1";#N/A,#N/A,FALSE,"Plan2"}</definedName>
    <definedName name="dzdfr" localSheetId="2" hidden="1">{#N/A,#N/A,FALSE,"Plan1";#N/A,#N/A,FALSE,"Plan2"}</definedName>
    <definedName name="dzdfr" localSheetId="9" hidden="1">{#N/A,#N/A,FALSE,"Plan1";#N/A,#N/A,FALSE,"Plan2"}</definedName>
    <definedName name="dzdfr" localSheetId="5" hidden="1">{#N/A,#N/A,FALSE,"Plan1";#N/A,#N/A,FALSE,"Plan2"}</definedName>
    <definedName name="dzdfr" localSheetId="4" hidden="1">{#N/A,#N/A,FALSE,"Plan1";#N/A,#N/A,FALSE,"Plan2"}</definedName>
    <definedName name="dzdfr" localSheetId="8" hidden="1">{#N/A,#N/A,FALSE,"Plan1";#N/A,#N/A,FALSE,"Plan2"}</definedName>
    <definedName name="dzdfr" localSheetId="12" hidden="1">{#N/A,#N/A,FALSE,"Plan1";#N/A,#N/A,FALSE,"Plan2"}</definedName>
    <definedName name="dzdfr" localSheetId="16" hidden="1">{#N/A,#N/A,FALSE,"Plan1";#N/A,#N/A,FALSE,"Plan2"}</definedName>
    <definedName name="dzdfr" localSheetId="0" hidden="1">{#N/A,#N/A,FALSE,"Plan1";#N/A,#N/A,FALSE,"Plan2"}</definedName>
    <definedName name="dzdfr" localSheetId="11" hidden="1">{#N/A,#N/A,FALSE,"Plan1";#N/A,#N/A,FALSE,"Plan2"}</definedName>
    <definedName name="dzdfr" localSheetId="13" hidden="1">{#N/A,#N/A,FALSE,"Plan1";#N/A,#N/A,FALSE,"Plan2"}</definedName>
    <definedName name="dzdfr" hidden="1">{#N/A,#N/A,FALSE,"Plan1";#N/A,#N/A,FALSE,"Plan2"}</definedName>
    <definedName name="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4">#REF!</definedName>
    <definedName name="ea" localSheetId="2">#REF!</definedName>
    <definedName name="ea" localSheetId="5">#REF!</definedName>
    <definedName name="ea" localSheetId="15">#REF!</definedName>
    <definedName name="ea" localSheetId="12">#REF!</definedName>
    <definedName name="ea" localSheetId="0">#REF!</definedName>
    <definedName name="ea">#REF!</definedName>
    <definedName name="E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4" hidden="1">{#N/A,#N/A,FALSE,"F-01"}</definedName>
    <definedName name="ECEW" localSheetId="7" hidden="1">{#N/A,#N/A,FALSE,"F-01"}</definedName>
    <definedName name="ECEW" localSheetId="1" hidden="1">{#N/A,#N/A,FALSE,"F-01"}</definedName>
    <definedName name="ECEW" localSheetId="2" hidden="1">{#N/A,#N/A,FALSE,"F-01"}</definedName>
    <definedName name="ECEW" localSheetId="9" hidden="1">{#N/A,#N/A,FALSE,"F-01"}</definedName>
    <definedName name="ECEW" localSheetId="5" hidden="1">{#N/A,#N/A,FALSE,"F-01"}</definedName>
    <definedName name="ECEW" localSheetId="4" hidden="1">{#N/A,#N/A,FALSE,"F-01"}</definedName>
    <definedName name="ECEW" localSheetId="8" hidden="1">{#N/A,#N/A,FALSE,"F-01"}</definedName>
    <definedName name="ECEW" localSheetId="12" hidden="1">{#N/A,#N/A,FALSE,"F-01"}</definedName>
    <definedName name="ECEW" localSheetId="16" hidden="1">{#N/A,#N/A,FALSE,"F-01"}</definedName>
    <definedName name="ECEW" localSheetId="0" hidden="1">{#N/A,#N/A,FALSE,"F-01"}</definedName>
    <definedName name="ECEW" localSheetId="11" hidden="1">{#N/A,#N/A,FALSE,"F-01"}</definedName>
    <definedName name="ECEW" localSheetId="13" hidden="1">{#N/A,#N/A,FALSE,"F-01"}</definedName>
    <definedName name="ECEW" hidden="1">{#N/A,#N/A,FALSE,"F-01"}</definedName>
    <definedName name="ECEW_1" localSheetId="14" hidden="1">{#N/A,#N/A,FALSE,"F-01"}</definedName>
    <definedName name="ECEW_1" localSheetId="7" hidden="1">{#N/A,#N/A,FALSE,"F-01"}</definedName>
    <definedName name="ECEW_1" localSheetId="1" hidden="1">{#N/A,#N/A,FALSE,"F-01"}</definedName>
    <definedName name="ECEW_1" localSheetId="2" hidden="1">{#N/A,#N/A,FALSE,"F-01"}</definedName>
    <definedName name="ECEW_1" localSheetId="9" hidden="1">{#N/A,#N/A,FALSE,"F-01"}</definedName>
    <definedName name="ECEW_1" localSheetId="5" hidden="1">{#N/A,#N/A,FALSE,"F-01"}</definedName>
    <definedName name="ECEW_1" localSheetId="4" hidden="1">{#N/A,#N/A,FALSE,"F-01"}</definedName>
    <definedName name="ECEW_1" localSheetId="8" hidden="1">{#N/A,#N/A,FALSE,"F-01"}</definedName>
    <definedName name="ECEW_1" localSheetId="12" hidden="1">{#N/A,#N/A,FALSE,"F-01"}</definedName>
    <definedName name="ECEW_1" localSheetId="16" hidden="1">{#N/A,#N/A,FALSE,"F-01"}</definedName>
    <definedName name="ECEW_1" localSheetId="0" hidden="1">{#N/A,#N/A,FALSE,"F-01"}</definedName>
    <definedName name="ECEW_1" localSheetId="11" hidden="1">{#N/A,#N/A,FALSE,"F-01"}</definedName>
    <definedName name="ECEW_1" localSheetId="13" hidden="1">{#N/A,#N/A,FALSE,"F-01"}</definedName>
    <definedName name="ECEW_1" hidden="1">{#N/A,#N/A,FALSE,"F-01"}</definedName>
    <definedName name="echart31" localSheetId="2" hidden="1">#REF!</definedName>
    <definedName name="echart31" localSheetId="5" hidden="1">#REF!</definedName>
    <definedName name="echart31" localSheetId="0" hidden="1">#REF!</definedName>
    <definedName name="echart31" hidden="1">#REF!</definedName>
    <definedName name="EcoPark" localSheetId="2">#REF!</definedName>
    <definedName name="EcoPark" localSheetId="5">#REF!</definedName>
    <definedName name="EcoPark">#REF!</definedName>
    <definedName name="ECS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4" hidden="1">{#N/A,#N/A,FALSE,"Plan1";#N/A,#N/A,FALSE,"Plan2"}</definedName>
    <definedName name="EDE" localSheetId="7" hidden="1">{#N/A,#N/A,FALSE,"Plan1";#N/A,#N/A,FALSE,"Plan2"}</definedName>
    <definedName name="EDE" localSheetId="1" hidden="1">{#N/A,#N/A,FALSE,"Plan1";#N/A,#N/A,FALSE,"Plan2"}</definedName>
    <definedName name="EDE" localSheetId="2" hidden="1">{#N/A,#N/A,FALSE,"Plan1";#N/A,#N/A,FALSE,"Plan2"}</definedName>
    <definedName name="EDE" localSheetId="9" hidden="1">{#N/A,#N/A,FALSE,"Plan1";#N/A,#N/A,FALSE,"Plan2"}</definedName>
    <definedName name="EDE" localSheetId="5" hidden="1">{#N/A,#N/A,FALSE,"Plan1";#N/A,#N/A,FALSE,"Plan2"}</definedName>
    <definedName name="EDE" localSheetId="4" hidden="1">{#N/A,#N/A,FALSE,"Plan1";#N/A,#N/A,FALSE,"Plan2"}</definedName>
    <definedName name="EDE" localSheetId="8" hidden="1">{#N/A,#N/A,FALSE,"Plan1";#N/A,#N/A,FALSE,"Plan2"}</definedName>
    <definedName name="EDE" localSheetId="12" hidden="1">{#N/A,#N/A,FALSE,"Plan1";#N/A,#N/A,FALSE,"Plan2"}</definedName>
    <definedName name="EDE" localSheetId="16" hidden="1">{#N/A,#N/A,FALSE,"Plan1";#N/A,#N/A,FALSE,"Plan2"}</definedName>
    <definedName name="EDE" localSheetId="0" hidden="1">{#N/A,#N/A,FALSE,"Plan1";#N/A,#N/A,FALSE,"Plan2"}</definedName>
    <definedName name="EDE" localSheetId="11" hidden="1">{#N/A,#N/A,FALSE,"Plan1";#N/A,#N/A,FALSE,"Plan2"}</definedName>
    <definedName name="EDE" localSheetId="13" hidden="1">{#N/A,#N/A,FALSE,"Plan1";#N/A,#N/A,FALSE,"Plan2"}</definedName>
    <definedName name="EDE" hidden="1">{#N/A,#N/A,FALSE,"Plan1";#N/A,#N/A,FALSE,"Plan2"}</definedName>
    <definedName name="ee" localSheetId="2">#REF!</definedName>
    <definedName name="ee" localSheetId="5">#REF!</definedName>
    <definedName name="ee">#REF!</definedName>
    <definedName name="eee" localSheetId="3">{#N/A,#N/A,FALSE,"ET-CAPA";#N/A,#N/A,FALSE,"ET-PAG1";#N/A,#N/A,FALSE,"ET-PAG2";#N/A,#N/A,FALSE,"ET-PAG3";#N/A,#N/A,FALSE,"ET-PAG4";#N/A,#N/A,FALSE,"ET-PAG5"}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7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9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localSheetId="4" hidden="1">{#N/A,#N/A,FALSE,"ET-CAPA";#N/A,#N/A,FALSE,"ET-PAG1";#N/A,#N/A,FALSE,"ET-PAG2";#N/A,#N/A,FALSE,"ET-PAG3";#N/A,#N/A,FALSE,"ET-PAG4";#N/A,#N/A,FALSE,"ET-PAG5"}</definedName>
    <definedName name="eee" localSheetId="15" hidden="1">{#N/A,#N/A,FALSE,"ET-CAPA";#N/A,#N/A,FALSE,"ET-PAG1";#N/A,#N/A,FALSE,"ET-PAG2";#N/A,#N/A,FALSE,"ET-PAG3";#N/A,#N/A,FALSE,"ET-PAG4";#N/A,#N/A,FALSE,"ET-PAG5"}</definedName>
    <definedName name="eee" localSheetId="8">{#N/A,#N/A,FALSE,"ET-CAPA";#N/A,#N/A,FALSE,"ET-PAG1";#N/A,#N/A,FALSE,"ET-PAG2";#N/A,#N/A,FALSE,"ET-PAG3";#N/A,#N/A,FALSE,"ET-PAG4";#N/A,#N/A,FALSE,"ET-PAG5"}</definedName>
    <definedName name="eee" localSheetId="12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11" hidden="1">{#N/A,#N/A,FALSE,"ET-CAPA";#N/A,#N/A,FALSE,"ET-PAG1";#N/A,#N/A,FALSE,"ET-PAG2";#N/A,#N/A,FALSE,"ET-PAG3";#N/A,#N/A,FALSE,"ET-PAG4";#N/A,#N/A,FALSE,"ET-PAG5"}</definedName>
    <definedName name="eee" localSheetId="13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2">#REF!</definedName>
    <definedName name="EF" localSheetId="5">#REF!</definedName>
    <definedName name="EF">#REF!</definedName>
    <definedName name="efestfr" localSheetId="14" hidden="1">{#N/A,#N/A,FALSE,"Plan1";#N/A,#N/A,FALSE,"Plan2"}</definedName>
    <definedName name="efestfr" localSheetId="7" hidden="1">{#N/A,#N/A,FALSE,"Plan1";#N/A,#N/A,FALSE,"Plan2"}</definedName>
    <definedName name="efestfr" localSheetId="1" hidden="1">{#N/A,#N/A,FALSE,"Plan1";#N/A,#N/A,FALSE,"Plan2"}</definedName>
    <definedName name="efestfr" localSheetId="2" hidden="1">{#N/A,#N/A,FALSE,"Plan1";#N/A,#N/A,FALSE,"Plan2"}</definedName>
    <definedName name="efestfr" localSheetId="9" hidden="1">{#N/A,#N/A,FALSE,"Plan1";#N/A,#N/A,FALSE,"Plan2"}</definedName>
    <definedName name="efestfr" localSheetId="5" hidden="1">{#N/A,#N/A,FALSE,"Plan1";#N/A,#N/A,FALSE,"Plan2"}</definedName>
    <definedName name="efestfr" localSheetId="4" hidden="1">{#N/A,#N/A,FALSE,"Plan1";#N/A,#N/A,FALSE,"Plan2"}</definedName>
    <definedName name="efestfr" localSheetId="8" hidden="1">{#N/A,#N/A,FALSE,"Plan1";#N/A,#N/A,FALSE,"Plan2"}</definedName>
    <definedName name="efestfr" localSheetId="12" hidden="1">{#N/A,#N/A,FALSE,"Plan1";#N/A,#N/A,FALSE,"Plan2"}</definedName>
    <definedName name="efestfr" localSheetId="16" hidden="1">{#N/A,#N/A,FALSE,"Plan1";#N/A,#N/A,FALSE,"Plan2"}</definedName>
    <definedName name="efestfr" localSheetId="0" hidden="1">{#N/A,#N/A,FALSE,"Plan1";#N/A,#N/A,FALSE,"Plan2"}</definedName>
    <definedName name="efestfr" localSheetId="11" hidden="1">{#N/A,#N/A,FALSE,"Plan1";#N/A,#N/A,FALSE,"Plan2"}</definedName>
    <definedName name="efestfr" localSheetId="13" hidden="1">{#N/A,#N/A,FALSE,"Plan1";#N/A,#N/A,FALSE,"Plan2"}</definedName>
    <definedName name="efestfr" hidden="1">{#N/A,#N/A,FALSE,"Plan1";#N/A,#N/A,FALSE,"Plan2"}</definedName>
    <definedName name="EFICIÊNCIA" localSheetId="2">#REF!</definedName>
    <definedName name="EFICIÊNCIA" localSheetId="5">#REF!</definedName>
    <definedName name="EFICIÊNCIA">#REF!</definedName>
    <definedName name="Eficiência1" localSheetId="2">#REF!</definedName>
    <definedName name="Eficiência1" localSheetId="5">#REF!</definedName>
    <definedName name="Eficiência1">#REF!</definedName>
    <definedName name="efrdrt" localSheetId="14" hidden="1">{#N/A,#N/A,FALSE,"Plan1";#N/A,#N/A,FALSE,"Plan2"}</definedName>
    <definedName name="efrdrt" localSheetId="7" hidden="1">{#N/A,#N/A,FALSE,"Plan1";#N/A,#N/A,FALSE,"Plan2"}</definedName>
    <definedName name="efrdrt" localSheetId="1" hidden="1">{#N/A,#N/A,FALSE,"Plan1";#N/A,#N/A,FALSE,"Plan2"}</definedName>
    <definedName name="efrdrt" localSheetId="2" hidden="1">{#N/A,#N/A,FALSE,"Plan1";#N/A,#N/A,FALSE,"Plan2"}</definedName>
    <definedName name="efrdrt" localSheetId="9" hidden="1">{#N/A,#N/A,FALSE,"Plan1";#N/A,#N/A,FALSE,"Plan2"}</definedName>
    <definedName name="efrdrt" localSheetId="5" hidden="1">{#N/A,#N/A,FALSE,"Plan1";#N/A,#N/A,FALSE,"Plan2"}</definedName>
    <definedName name="efrdrt" localSheetId="4" hidden="1">{#N/A,#N/A,FALSE,"Plan1";#N/A,#N/A,FALSE,"Plan2"}</definedName>
    <definedName name="efrdrt" localSheetId="8" hidden="1">{#N/A,#N/A,FALSE,"Plan1";#N/A,#N/A,FALSE,"Plan2"}</definedName>
    <definedName name="efrdrt" localSheetId="12" hidden="1">{#N/A,#N/A,FALSE,"Plan1";#N/A,#N/A,FALSE,"Plan2"}</definedName>
    <definedName name="efrdrt" localSheetId="16" hidden="1">{#N/A,#N/A,FALSE,"Plan1";#N/A,#N/A,FALSE,"Plan2"}</definedName>
    <definedName name="efrdrt" localSheetId="0" hidden="1">{#N/A,#N/A,FALSE,"Plan1";#N/A,#N/A,FALSE,"Plan2"}</definedName>
    <definedName name="efrdrt" localSheetId="11" hidden="1">{#N/A,#N/A,FALSE,"Plan1";#N/A,#N/A,FALSE,"Plan2"}</definedName>
    <definedName name="efrdrt" localSheetId="13" hidden="1">{#N/A,#N/A,FALSE,"Plan1";#N/A,#N/A,FALSE,"Plan2"}</definedName>
    <definedName name="efrdrt" hidden="1">{#N/A,#N/A,FALSE,"Plan1";#N/A,#N/A,FALSE,"Plan2"}</definedName>
    <definedName name="efrg" localSheetId="14" hidden="1">{#N/A,#N/A,FALSE,"Plan1";#N/A,#N/A,FALSE,"Plan2"}</definedName>
    <definedName name="efrg" localSheetId="7" hidden="1">{#N/A,#N/A,FALSE,"Plan1";#N/A,#N/A,FALSE,"Plan2"}</definedName>
    <definedName name="efrg" localSheetId="1" hidden="1">{#N/A,#N/A,FALSE,"Plan1";#N/A,#N/A,FALSE,"Plan2"}</definedName>
    <definedName name="efrg" localSheetId="2" hidden="1">{#N/A,#N/A,FALSE,"Plan1";#N/A,#N/A,FALSE,"Plan2"}</definedName>
    <definedName name="efrg" localSheetId="9" hidden="1">{#N/A,#N/A,FALSE,"Plan1";#N/A,#N/A,FALSE,"Plan2"}</definedName>
    <definedName name="efrg" localSheetId="5" hidden="1">{#N/A,#N/A,FALSE,"Plan1";#N/A,#N/A,FALSE,"Plan2"}</definedName>
    <definedName name="efrg" localSheetId="4" hidden="1">{#N/A,#N/A,FALSE,"Plan1";#N/A,#N/A,FALSE,"Plan2"}</definedName>
    <definedName name="efrg" localSheetId="8" hidden="1">{#N/A,#N/A,FALSE,"Plan1";#N/A,#N/A,FALSE,"Plan2"}</definedName>
    <definedName name="efrg" localSheetId="12" hidden="1">{#N/A,#N/A,FALSE,"Plan1";#N/A,#N/A,FALSE,"Plan2"}</definedName>
    <definedName name="efrg" localSheetId="16" hidden="1">{#N/A,#N/A,FALSE,"Plan1";#N/A,#N/A,FALSE,"Plan2"}</definedName>
    <definedName name="efrg" localSheetId="0" hidden="1">{#N/A,#N/A,FALSE,"Plan1";#N/A,#N/A,FALSE,"Plan2"}</definedName>
    <definedName name="efrg" localSheetId="11" hidden="1">{#N/A,#N/A,FALSE,"Plan1";#N/A,#N/A,FALSE,"Plan2"}</definedName>
    <definedName name="efrg" localSheetId="13" hidden="1">{#N/A,#N/A,FALSE,"Plan1";#N/A,#N/A,FALSE,"Plan2"}</definedName>
    <definedName name="efrg" hidden="1">{#N/A,#N/A,FALSE,"Plan1";#N/A,#N/A,FALSE,"Plan2"}</definedName>
    <definedName name="efsgfr" localSheetId="14" hidden="1">{#N/A,#N/A,FALSE,"Plan1";#N/A,#N/A,FALSE,"Plan2"}</definedName>
    <definedName name="efsgfr" localSheetId="7" hidden="1">{#N/A,#N/A,FALSE,"Plan1";#N/A,#N/A,FALSE,"Plan2"}</definedName>
    <definedName name="efsgfr" localSheetId="1" hidden="1">{#N/A,#N/A,FALSE,"Plan1";#N/A,#N/A,FALSE,"Plan2"}</definedName>
    <definedName name="efsgfr" localSheetId="2" hidden="1">{#N/A,#N/A,FALSE,"Plan1";#N/A,#N/A,FALSE,"Plan2"}</definedName>
    <definedName name="efsgfr" localSheetId="9" hidden="1">{#N/A,#N/A,FALSE,"Plan1";#N/A,#N/A,FALSE,"Plan2"}</definedName>
    <definedName name="efsgfr" localSheetId="5" hidden="1">{#N/A,#N/A,FALSE,"Plan1";#N/A,#N/A,FALSE,"Plan2"}</definedName>
    <definedName name="efsgfr" localSheetId="4" hidden="1">{#N/A,#N/A,FALSE,"Plan1";#N/A,#N/A,FALSE,"Plan2"}</definedName>
    <definedName name="efsgfr" localSheetId="8" hidden="1">{#N/A,#N/A,FALSE,"Plan1";#N/A,#N/A,FALSE,"Plan2"}</definedName>
    <definedName name="efsgfr" localSheetId="12" hidden="1">{#N/A,#N/A,FALSE,"Plan1";#N/A,#N/A,FALSE,"Plan2"}</definedName>
    <definedName name="efsgfr" localSheetId="16" hidden="1">{#N/A,#N/A,FALSE,"Plan1";#N/A,#N/A,FALSE,"Plan2"}</definedName>
    <definedName name="efsgfr" localSheetId="0" hidden="1">{#N/A,#N/A,FALSE,"Plan1";#N/A,#N/A,FALSE,"Plan2"}</definedName>
    <definedName name="efsgfr" localSheetId="11" hidden="1">{#N/A,#N/A,FALSE,"Plan1";#N/A,#N/A,FALSE,"Plan2"}</definedName>
    <definedName name="efsgfr" localSheetId="13" hidden="1">{#N/A,#N/A,FALSE,"Plan1";#N/A,#N/A,FALSE,"Plan2"}</definedName>
    <definedName name="efsgfr" hidden="1">{#N/A,#N/A,FALSE,"Plan1";#N/A,#N/A,FALSE,"Plan2"}</definedName>
    <definedName name="eixo_x_fluxo_graf1" localSheetId="2">IFERROR(OFFSET(INDEX(#REF!,MATCH((INDEX(#REF!,MATCH(1,#REF!,0))),#REF!,0)),0,0,1,COUNTIF(#REF!,"&gt;=0")+COUNTIF(#REF!,"&lt;0")),0)</definedName>
    <definedName name="eixo_x_fluxo_graf1" localSheetId="9">IFERROR(OFFSET(INDEX(#REF!,MATCH((INDEX(#REF!,MATCH(1,#REF!,0))),#REF!,0)),0,0,1,COUNTIF(#REF!,"&gt;=0")+COUNTIF(#REF!,"&lt;0")),0)</definedName>
    <definedName name="eixo_x_fluxo_graf1" localSheetId="5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2">IFERROR(OFFSET(INDEX(#REF!,MATCH((INDEX(#REF!,MATCH(1,#REF!,0))),#REF!,0)),0,0,1,COUNTIF(#REF!,"&gt;=0")+COUNTIF(#REF!,"&lt;0")),0)</definedName>
    <definedName name="eixo_x_graf2" localSheetId="9">IFERROR(OFFSET(INDEX(#REF!,MATCH((INDEX(#REF!,MATCH(1,#REF!,0))),#REF!,0)),0,0,1,COUNTIF(#REF!,"&gt;=0")+COUNTIF(#REF!,"&lt;0")),0)</definedName>
    <definedName name="eixo_x_graf2" localSheetId="5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2">#REF!</definedName>
    <definedName name="eixo_x_graf3_distratos" localSheetId="5">#REF!</definedName>
    <definedName name="eixo_x_graf3_distratos">#REF!</definedName>
    <definedName name="eixo_x_graf3_vendas" localSheetId="2">#REF!</definedName>
    <definedName name="eixo_x_graf3_vendas" localSheetId="5">#REF!</definedName>
    <definedName name="eixo_x_graf3_vendas">#REF!</definedName>
    <definedName name="eixo_y_cury_graf2" localSheetId="2">IFERROR(OFFSET(INDEX(#REF!,MATCH((INDEX(#REF!,MATCH(1,#REF!,0))),#REF!,0)),0,0,1,COUNTIF(#REF!,"&gt;=0")+COUNTIF(#REF!,"&lt;0")),0)</definedName>
    <definedName name="eixo_y_cury_graf2" localSheetId="5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2">#REF!</definedName>
    <definedName name="eixo_y_graf3" localSheetId="5">#REF!</definedName>
    <definedName name="eixo_y_graf3">#REF!</definedName>
    <definedName name="eixo_y_socio_graf2" localSheetId="14">IFERROR(OFFSET(INDEX(#REF!,MATCH((INDEX(#REF!,MATCH(1,#REF!,0))),#REF!,0)),0,0,1,COUNTIF(#REF!,"&gt;=0")+COUNTIF(#REF!,"&lt;0")),0)</definedName>
    <definedName name="eixo_y_socio_graf2" localSheetId="2">IFERROR(OFFSET(INDEX(#REF!,MATCH((INDEX(#REF!,MATCH(1,#REF!,0))),#REF!,0)),0,0,1,COUNTIF(#REF!,"&gt;=0")+COUNTIF(#REF!,"&lt;0")),0)</definedName>
    <definedName name="eixo_y_socio_graf2" localSheetId="5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1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2">#REF!</definedName>
    <definedName name="EM" localSheetId="5">#REF!</definedName>
    <definedName name="EM">#REF!</definedName>
    <definedName name="Empreend" localSheetId="2">#REF!</definedName>
    <definedName name="Empreend" localSheetId="5">#REF!</definedName>
    <definedName name="Empreend">#REF!</definedName>
    <definedName name="Empreendimentos" localSheetId="2">#REF!</definedName>
    <definedName name="Empreendimentos" localSheetId="5">#REF!</definedName>
    <definedName name="Empreendimentos">#REF!</definedName>
    <definedName name="empresas" localSheetId="2">#REF!</definedName>
    <definedName name="empresas" localSheetId="5">#REF!</definedName>
    <definedName name="empresas">#REF!</definedName>
    <definedName name="encanador" localSheetId="2">#REF!</definedName>
    <definedName name="encanador" localSheetId="5">#REF!</definedName>
    <definedName name="encanador">#REF!</definedName>
    <definedName name="EPI" localSheetId="2">#REF!</definedName>
    <definedName name="EPI" localSheetId="5">#REF!</definedName>
    <definedName name="EPI">#REF!</definedName>
    <definedName name="EQUIP" localSheetId="2">#REF!</definedName>
    <definedName name="EQUIP" localSheetId="5">#REF!</definedName>
    <definedName name="EQUIP">#REF!</definedName>
    <definedName name="equipamento" localSheetId="2">#REF!</definedName>
    <definedName name="equipamento" localSheetId="5">#REF!</definedName>
    <definedName name="equipamento">#REF!</definedName>
    <definedName name="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4" hidden="1">{#N/A,#N/A,FALSE,"Plan1";#N/A,#N/A,FALSE,"Plan2"}</definedName>
    <definedName name="ergfhyu" localSheetId="7" hidden="1">{#N/A,#N/A,FALSE,"Plan1";#N/A,#N/A,FALSE,"Plan2"}</definedName>
    <definedName name="ergfhyu" localSheetId="1" hidden="1">{#N/A,#N/A,FALSE,"Plan1";#N/A,#N/A,FALSE,"Plan2"}</definedName>
    <definedName name="ergfhyu" localSheetId="2" hidden="1">{#N/A,#N/A,FALSE,"Plan1";#N/A,#N/A,FALSE,"Plan2"}</definedName>
    <definedName name="ergfhyu" localSheetId="9" hidden="1">{#N/A,#N/A,FALSE,"Plan1";#N/A,#N/A,FALSE,"Plan2"}</definedName>
    <definedName name="ergfhyu" localSheetId="5" hidden="1">{#N/A,#N/A,FALSE,"Plan1";#N/A,#N/A,FALSE,"Plan2"}</definedName>
    <definedName name="ergfhyu" localSheetId="4" hidden="1">{#N/A,#N/A,FALSE,"Plan1";#N/A,#N/A,FALSE,"Plan2"}</definedName>
    <definedName name="ergfhyu" localSheetId="8" hidden="1">{#N/A,#N/A,FALSE,"Plan1";#N/A,#N/A,FALSE,"Plan2"}</definedName>
    <definedName name="ergfhyu" localSheetId="12" hidden="1">{#N/A,#N/A,FALSE,"Plan1";#N/A,#N/A,FALSE,"Plan2"}</definedName>
    <definedName name="ergfhyu" localSheetId="16" hidden="1">{#N/A,#N/A,FALSE,"Plan1";#N/A,#N/A,FALSE,"Plan2"}</definedName>
    <definedName name="ergfhyu" localSheetId="0" hidden="1">{#N/A,#N/A,FALSE,"Plan1";#N/A,#N/A,FALSE,"Plan2"}</definedName>
    <definedName name="ergfhyu" localSheetId="11" hidden="1">{#N/A,#N/A,FALSE,"Plan1";#N/A,#N/A,FALSE,"Plan2"}</definedName>
    <definedName name="ergfhyu" localSheetId="13" hidden="1">{#N/A,#N/A,FALSE,"Plan1";#N/A,#N/A,FALSE,"Plan2"}</definedName>
    <definedName name="ergfhyu" hidden="1">{#N/A,#N/A,FALSE,"Plan1";#N/A,#N/A,FALSE,"Plan2"}</definedName>
    <definedName name="erne_cdi" localSheetId="2">#REF!</definedName>
    <definedName name="erne_cdi" localSheetId="5">#REF!</definedName>
    <definedName name="erne_cdi">#REF!</definedName>
    <definedName name="erne_hist" localSheetId="2">#REF!</definedName>
    <definedName name="erne_hist" localSheetId="5">#REF!</definedName>
    <definedName name="erne_hist">#REF!</definedName>
    <definedName name="erne_uss" localSheetId="2">#REF!</definedName>
    <definedName name="erne_uss" localSheetId="5">#REF!</definedName>
    <definedName name="erne_uss">#REF!</definedName>
    <definedName name="erte" localSheetId="2" hidden="1">#REF!</definedName>
    <definedName name="erte" localSheetId="0" hidden="1">#REF!</definedName>
    <definedName name="erte" hidden="1">#REF!</definedName>
    <definedName name="ESGFDSFD" localSheetId="14" hidden="1">{#N/A,#N/A,FALSE,"Plan1";#N/A,#N/A,FALSE,"Plan2"}</definedName>
    <definedName name="ESGFDSFD" localSheetId="7" hidden="1">{#N/A,#N/A,FALSE,"Plan1";#N/A,#N/A,FALSE,"Plan2"}</definedName>
    <definedName name="ESGFDSFD" localSheetId="1" hidden="1">{#N/A,#N/A,FALSE,"Plan1";#N/A,#N/A,FALSE,"Plan2"}</definedName>
    <definedName name="ESGFDSFD" localSheetId="2" hidden="1">{#N/A,#N/A,FALSE,"Plan1";#N/A,#N/A,FALSE,"Plan2"}</definedName>
    <definedName name="ESGFDSFD" localSheetId="9" hidden="1">{#N/A,#N/A,FALSE,"Plan1";#N/A,#N/A,FALSE,"Plan2"}</definedName>
    <definedName name="ESGFDSFD" localSheetId="5" hidden="1">{#N/A,#N/A,FALSE,"Plan1";#N/A,#N/A,FALSE,"Plan2"}</definedName>
    <definedName name="ESGFDSFD" localSheetId="4" hidden="1">{#N/A,#N/A,FALSE,"Plan1";#N/A,#N/A,FALSE,"Plan2"}</definedName>
    <definedName name="ESGFDSFD" localSheetId="8" hidden="1">{#N/A,#N/A,FALSE,"Plan1";#N/A,#N/A,FALSE,"Plan2"}</definedName>
    <definedName name="ESGFDSFD" localSheetId="12" hidden="1">{#N/A,#N/A,FALSE,"Plan1";#N/A,#N/A,FALSE,"Plan2"}</definedName>
    <definedName name="ESGFDSFD" localSheetId="16" hidden="1">{#N/A,#N/A,FALSE,"Plan1";#N/A,#N/A,FALSE,"Plan2"}</definedName>
    <definedName name="ESGFDSFD" localSheetId="0" hidden="1">{#N/A,#N/A,FALSE,"Plan1";#N/A,#N/A,FALSE,"Plan2"}</definedName>
    <definedName name="ESGFDSFD" localSheetId="11" hidden="1">{#N/A,#N/A,FALSE,"Plan1";#N/A,#N/A,FALSE,"Plan2"}</definedName>
    <definedName name="ESGFDSFD" localSheetId="13" hidden="1">{#N/A,#N/A,FALSE,"Plan1";#N/A,#N/A,FALSE,"Plan2"}</definedName>
    <definedName name="ESGFDSFD" hidden="1">{#N/A,#N/A,FALSE,"Plan1";#N/A,#N/A,FALSE,"Plan2"}</definedName>
    <definedName name="esp" localSheetId="2">#REF!</definedName>
    <definedName name="esp" localSheetId="9">#REF!</definedName>
    <definedName name="esp" localSheetId="5">#REF!</definedName>
    <definedName name="esp" localSheetId="24">#REF!</definedName>
    <definedName name="esp" localSheetId="23">#REF!</definedName>
    <definedName name="esp">#REF!</definedName>
    <definedName name="ESPESSURA" localSheetId="2">#REF!</definedName>
    <definedName name="ESPESSURA" localSheetId="5">#REF!</definedName>
    <definedName name="ESPESSURA" localSheetId="24">#REF!</definedName>
    <definedName name="ESPESSURA" localSheetId="23">#REF!</definedName>
    <definedName name="ESPESSURA">#REF!</definedName>
    <definedName name="estaca" localSheetId="2">#REF!</definedName>
    <definedName name="estaca" localSheetId="5">#REF!</definedName>
    <definedName name="estaca">#REF!</definedName>
    <definedName name="estaca3" localSheetId="2">#REF!</definedName>
    <definedName name="estaca3" localSheetId="5">#REF!</definedName>
    <definedName name="estaca3">#REF!</definedName>
    <definedName name="ESTADO" localSheetId="2">#REF!</definedName>
    <definedName name="ESTADO" localSheetId="5">#REF!</definedName>
    <definedName name="ESTADO">#REF!</definedName>
    <definedName name="estados" localSheetId="2">#REF!</definedName>
    <definedName name="estados" localSheetId="5">#REF!</definedName>
    <definedName name="estados">#REF!</definedName>
    <definedName name="estagiário" localSheetId="2">#REF!</definedName>
    <definedName name="estagiário" localSheetId="5">#REF!</definedName>
    <definedName name="estagiário">#REF!</definedName>
    <definedName name="ESTOQUE" localSheetId="2">#REF!</definedName>
    <definedName name="ESTOQUE" localSheetId="5">#REF!</definedName>
    <definedName name="ESTOQUE">#REF!</definedName>
    <definedName name="Etq_final" localSheetId="2">#REF!</definedName>
    <definedName name="Etq_final" localSheetId="5">#REF!</definedName>
    <definedName name="Etq_final">#REF!</definedName>
    <definedName name="EU" localSheetId="14" hidden="1">{#N/A,#N/A,FALSE,"Plan1";#N/A,#N/A,FALSE,"Plan2"}</definedName>
    <definedName name="EU" localSheetId="7" hidden="1">{#N/A,#N/A,FALSE,"Plan1";#N/A,#N/A,FALSE,"Plan2"}</definedName>
    <definedName name="EU" localSheetId="1" hidden="1">{#N/A,#N/A,FALSE,"Plan1";#N/A,#N/A,FALSE,"Plan2"}</definedName>
    <definedName name="EU" localSheetId="2" hidden="1">{#N/A,#N/A,FALSE,"Plan1";#N/A,#N/A,FALSE,"Plan2"}</definedName>
    <definedName name="EU" localSheetId="9" hidden="1">{#N/A,#N/A,FALSE,"Plan1";#N/A,#N/A,FALSE,"Plan2"}</definedName>
    <definedName name="EU" localSheetId="5" hidden="1">{#N/A,#N/A,FALSE,"Plan1";#N/A,#N/A,FALSE,"Plan2"}</definedName>
    <definedName name="EU" localSheetId="4" hidden="1">{#N/A,#N/A,FALSE,"Plan1";#N/A,#N/A,FALSE,"Plan2"}</definedName>
    <definedName name="EU" localSheetId="8" hidden="1">{#N/A,#N/A,FALSE,"Plan1";#N/A,#N/A,FALSE,"Plan2"}</definedName>
    <definedName name="EU" localSheetId="12" hidden="1">{#N/A,#N/A,FALSE,"Plan1";#N/A,#N/A,FALSE,"Plan2"}</definedName>
    <definedName name="EU" localSheetId="16" hidden="1">{#N/A,#N/A,FALSE,"Plan1";#N/A,#N/A,FALSE,"Plan2"}</definedName>
    <definedName name="EU" localSheetId="0" hidden="1">{#N/A,#N/A,FALSE,"Plan1";#N/A,#N/A,FALSE,"Plan2"}</definedName>
    <definedName name="EU" localSheetId="11" hidden="1">{#N/A,#N/A,FALSE,"Plan1";#N/A,#N/A,FALSE,"Plan2"}</definedName>
    <definedName name="EU" localSheetId="13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14" hidden="1">{"Econ Consolidado",#N/A,FALSE,"Econ Consol";"Fluxo de Caixa",#N/A,FALSE,"Fluxo Caixa";"Investimentos",#N/A,FALSE,"Investimentos"}</definedName>
    <definedName name="EVL" localSheetId="7" hidden="1">{"Econ Consolidado",#N/A,FALSE,"Econ Consol";"Fluxo de Caixa",#N/A,FALSE,"Fluxo Caixa";"Investimentos",#N/A,FALSE,"Investimentos"}</definedName>
    <definedName name="EVL" localSheetId="1" hidden="1">{"Econ Consolidado",#N/A,FALSE,"Econ Consol";"Fluxo de Caixa",#N/A,FALSE,"Fluxo Caixa";"Investimentos",#N/A,FALSE,"Investimentos"}</definedName>
    <definedName name="EVL" localSheetId="2" hidden="1">{"Econ Consolidado",#N/A,FALSE,"Econ Consol";"Fluxo de Caixa",#N/A,FALSE,"Fluxo Caixa";"Investimentos",#N/A,FALSE,"Investimentos"}</definedName>
    <definedName name="EVL" localSheetId="9" hidden="1">{"Econ Consolidado",#N/A,FALSE,"Econ Consol";"Fluxo de Caixa",#N/A,FALSE,"Fluxo Caixa";"Investimentos",#N/A,FALSE,"Investimentos"}</definedName>
    <definedName name="EVL" localSheetId="5" hidden="1">{"Econ Consolidado",#N/A,FALSE,"Econ Consol";"Fluxo de Caixa",#N/A,FALSE,"Fluxo Caixa";"Investimentos",#N/A,FALSE,"Investimentos"}</definedName>
    <definedName name="EVL" localSheetId="4" hidden="1">{"Econ Consolidado",#N/A,FALSE,"Econ Consol";"Fluxo de Caixa",#N/A,FALSE,"Fluxo Caixa";"Investimentos",#N/A,FALSE,"Investimentos"}</definedName>
    <definedName name="EVL" localSheetId="8" hidden="1">{"Econ Consolidado",#N/A,FALSE,"Econ Consol";"Fluxo de Caixa",#N/A,FALSE,"Fluxo Caixa";"Investimentos",#N/A,FALSE,"Investimentos"}</definedName>
    <definedName name="EVL" localSheetId="12" hidden="1">{"Econ Consolidado",#N/A,FALSE,"Econ Consol";"Fluxo de Caixa",#N/A,FALSE,"Fluxo Caixa";"Investimentos",#N/A,FALSE,"Investimentos"}</definedName>
    <definedName name="EVL" localSheetId="16" hidden="1">{"Econ Consolidado",#N/A,FALSE,"Econ Consol";"Fluxo de Caixa",#N/A,FALSE,"Fluxo Caixa";"Investimentos",#N/A,FALSE,"Investimentos"}</definedName>
    <definedName name="EVL" localSheetId="0" hidden="1">{"Econ Consolidado",#N/A,FALSE,"Econ Consol";"Fluxo de Caixa",#N/A,FALSE,"Fluxo Caixa";"Investimentos",#N/A,FALSE,"Investimentos"}</definedName>
    <definedName name="EVL" localSheetId="11" hidden="1">{"Econ Consolidado",#N/A,FALSE,"Econ Consol";"Fluxo de Caixa",#N/A,FALSE,"Fluxo Caixa";"Investimentos",#N/A,FALSE,"Investimentos"}</definedName>
    <definedName name="EVL" localSheetId="13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14" hidden="1">{"Econ Consolidado",#N/A,FALSE,"Econ Consol";"Fluxo de Caixa",#N/A,FALSE,"Fluxo Caixa";"Investimentos",#N/A,FALSE,"Investimentos"}</definedName>
    <definedName name="Evol." localSheetId="7" hidden="1">{"Econ Consolidado",#N/A,FALSE,"Econ Consol";"Fluxo de Caixa",#N/A,FALSE,"Fluxo Caixa";"Investimentos",#N/A,FALSE,"Investimentos"}</definedName>
    <definedName name="Evol." localSheetId="1" hidden="1">{"Econ Consolidado",#N/A,FALSE,"Econ Consol";"Fluxo de Caixa",#N/A,FALSE,"Fluxo Caixa";"Investimentos",#N/A,FALSE,"Investimentos"}</definedName>
    <definedName name="Evol." localSheetId="2" hidden="1">{"Econ Consolidado",#N/A,FALSE,"Econ Consol";"Fluxo de Caixa",#N/A,FALSE,"Fluxo Caixa";"Investimentos",#N/A,FALSE,"Investimentos"}</definedName>
    <definedName name="Evol." localSheetId="9" hidden="1">{"Econ Consolidado",#N/A,FALSE,"Econ Consol";"Fluxo de Caixa",#N/A,FALSE,"Fluxo Caixa";"Investimentos",#N/A,FALSE,"Investimentos"}</definedName>
    <definedName name="Evol." localSheetId="5" hidden="1">{"Econ Consolidado",#N/A,FALSE,"Econ Consol";"Fluxo de Caixa",#N/A,FALSE,"Fluxo Caixa";"Investimentos",#N/A,FALSE,"Investimentos"}</definedName>
    <definedName name="Evol." localSheetId="4" hidden="1">{"Econ Consolidado",#N/A,FALSE,"Econ Consol";"Fluxo de Caixa",#N/A,FALSE,"Fluxo Caixa";"Investimentos",#N/A,FALSE,"Investimentos"}</definedName>
    <definedName name="Evol." localSheetId="8" hidden="1">{"Econ Consolidado",#N/A,FALSE,"Econ Consol";"Fluxo de Caixa",#N/A,FALSE,"Fluxo Caixa";"Investimentos",#N/A,FALSE,"Investimentos"}</definedName>
    <definedName name="Evol." localSheetId="12" hidden="1">{"Econ Consolidado",#N/A,FALSE,"Econ Consol";"Fluxo de Caixa",#N/A,FALSE,"Fluxo Caixa";"Investimentos",#N/A,FALSE,"Investimentos"}</definedName>
    <definedName name="Evol." localSheetId="16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vol." localSheetId="11" hidden="1">{"Econ Consolidado",#N/A,FALSE,"Econ Consol";"Fluxo de Caixa",#N/A,FALSE,"Fluxo Caixa";"Investimentos",#N/A,FALSE,"Investimentos"}</definedName>
    <definedName name="Evol." localSheetId="13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14" hidden="1">{#N/A,#N/A,FALSE,"Plan1";#N/A,#N/A,FALSE,"Plan2"}</definedName>
    <definedName name="ewfr" localSheetId="7" hidden="1">{#N/A,#N/A,FALSE,"Plan1";#N/A,#N/A,FALSE,"Plan2"}</definedName>
    <definedName name="ewfr" localSheetId="1" hidden="1">{#N/A,#N/A,FALSE,"Plan1";#N/A,#N/A,FALSE,"Plan2"}</definedName>
    <definedName name="ewfr" localSheetId="2" hidden="1">{#N/A,#N/A,FALSE,"Plan1";#N/A,#N/A,FALSE,"Plan2"}</definedName>
    <definedName name="ewfr" localSheetId="9" hidden="1">{#N/A,#N/A,FALSE,"Plan1";#N/A,#N/A,FALSE,"Plan2"}</definedName>
    <definedName name="ewfr" localSheetId="5" hidden="1">{#N/A,#N/A,FALSE,"Plan1";#N/A,#N/A,FALSE,"Plan2"}</definedName>
    <definedName name="ewfr" localSheetId="4" hidden="1">{#N/A,#N/A,FALSE,"Plan1";#N/A,#N/A,FALSE,"Plan2"}</definedName>
    <definedName name="ewfr" localSheetId="8" hidden="1">{#N/A,#N/A,FALSE,"Plan1";#N/A,#N/A,FALSE,"Plan2"}</definedName>
    <definedName name="ewfr" localSheetId="12" hidden="1">{#N/A,#N/A,FALSE,"Plan1";#N/A,#N/A,FALSE,"Plan2"}</definedName>
    <definedName name="ewfr" localSheetId="16" hidden="1">{#N/A,#N/A,FALSE,"Plan1";#N/A,#N/A,FALSE,"Plan2"}</definedName>
    <definedName name="ewfr" localSheetId="0" hidden="1">{#N/A,#N/A,FALSE,"Plan1";#N/A,#N/A,FALSE,"Plan2"}</definedName>
    <definedName name="ewfr" localSheetId="11" hidden="1">{#N/A,#N/A,FALSE,"Plan1";#N/A,#N/A,FALSE,"Plan2"}</definedName>
    <definedName name="ewfr" localSheetId="13" hidden="1">{#N/A,#N/A,FALSE,"Plan1";#N/A,#N/A,FALSE,"Plan2"}</definedName>
    <definedName name="ewfr" hidden="1">{#N/A,#N/A,FALSE,"Plan1";#N/A,#N/A,FALSE,"Plan2"}</definedName>
    <definedName name="exce_cdi" localSheetId="2">#REF!</definedName>
    <definedName name="exce_cdi" localSheetId="5">#REF!</definedName>
    <definedName name="exce_cdi">#REF!</definedName>
    <definedName name="exce_hist" localSheetId="2">#REF!</definedName>
    <definedName name="exce_hist" localSheetId="5">#REF!</definedName>
    <definedName name="exce_hist">#REF!</definedName>
    <definedName name="exce_uss" localSheetId="2">#REF!</definedName>
    <definedName name="exce_uss" localSheetId="5">#REF!</definedName>
    <definedName name="exce_uss">#REF!</definedName>
    <definedName name="Excel_BuiltIn__FilterDatabase_1" localSheetId="2">#REF!</definedName>
    <definedName name="Excel_BuiltIn__FilterDatabase_1" localSheetId="5">#REF!</definedName>
    <definedName name="Excel_BuiltIn__FilterDatabase_1">#REF!</definedName>
    <definedName name="Excel_BuiltIn__FilterDatabase_1_1" localSheetId="2">#REF!</definedName>
    <definedName name="Excel_BuiltIn__FilterDatabase_1_1" localSheetId="5">#REF!</definedName>
    <definedName name="Excel_BuiltIn__FilterDatabase_1_1">#REF!</definedName>
    <definedName name="Excel_BuiltIn__FilterDatabase_6" localSheetId="2">#REF!</definedName>
    <definedName name="Excel_BuiltIn__FilterDatabase_6" localSheetId="5">#REF!</definedName>
    <definedName name="Excel_BuiltIn__FilterDatabase_6">#REF!</definedName>
    <definedName name="Excel_BuiltIn_Print_Area_0" localSheetId="2">#REF!</definedName>
    <definedName name="Excel_BuiltIn_Print_Area_0" localSheetId="5">#REF!</definedName>
    <definedName name="Excel_BuiltIn_Print_Area_0">#REF!</definedName>
    <definedName name="Excel_BuiltIn_Print_Area_1_1" localSheetId="2">#REF!</definedName>
    <definedName name="Excel_BuiltIn_Print_Area_1_1" localSheetId="5">#REF!</definedName>
    <definedName name="Excel_BuiltIn_Print_Area_1_1">#REF!</definedName>
    <definedName name="Excel_BuiltIn_Print_Titles_1_1_1" localSheetId="2">#REF!</definedName>
    <definedName name="Excel_BuiltIn_Print_Titles_1_1_1" localSheetId="5">#REF!</definedName>
    <definedName name="Excel_BuiltIn_Print_Titles_1_1_1">#REF!</definedName>
    <definedName name="Excel_BuiltIn_Print_Titles_1_1_4" localSheetId="2">#REF!</definedName>
    <definedName name="Excel_BuiltIn_Print_Titles_1_1_4" localSheetId="5">#REF!</definedName>
    <definedName name="Excel_BuiltIn_Print_Titles_1_1_4">#REF!</definedName>
    <definedName name="Excel_BuiltIn_Print_Titles_1_1_5" localSheetId="2">#REF!</definedName>
    <definedName name="Excel_BuiltIn_Print_Titles_1_1_5" localSheetId="5">#REF!</definedName>
    <definedName name="Excel_BuiltIn_Print_Titles_1_1_5">#REF!</definedName>
    <definedName name="Exrate" localSheetId="2">#REF!</definedName>
    <definedName name="Exrate" localSheetId="5">#REF!</definedName>
    <definedName name="Exrate">#REF!</definedName>
    <definedName name="eyruieyteta" localSheetId="14" hidden="1">{#N/A,#N/A,FALSE,"Plan1";#N/A,#N/A,FALSE,"Plan2"}</definedName>
    <definedName name="eyruieyteta" localSheetId="7" hidden="1">{#N/A,#N/A,FALSE,"Plan1";#N/A,#N/A,FALSE,"Plan2"}</definedName>
    <definedName name="eyruieyteta" localSheetId="1" hidden="1">{#N/A,#N/A,FALSE,"Plan1";#N/A,#N/A,FALSE,"Plan2"}</definedName>
    <definedName name="eyruieyteta" localSheetId="2" hidden="1">{#N/A,#N/A,FALSE,"Plan1";#N/A,#N/A,FALSE,"Plan2"}</definedName>
    <definedName name="eyruieyteta" localSheetId="9" hidden="1">{#N/A,#N/A,FALSE,"Plan1";#N/A,#N/A,FALSE,"Plan2"}</definedName>
    <definedName name="eyruieyteta" localSheetId="5" hidden="1">{#N/A,#N/A,FALSE,"Plan1";#N/A,#N/A,FALSE,"Plan2"}</definedName>
    <definedName name="eyruieyteta" localSheetId="4" hidden="1">{#N/A,#N/A,FALSE,"Plan1";#N/A,#N/A,FALSE,"Plan2"}</definedName>
    <definedName name="eyruieyteta" localSheetId="8" hidden="1">{#N/A,#N/A,FALSE,"Plan1";#N/A,#N/A,FALSE,"Plan2"}</definedName>
    <definedName name="eyruieyteta" localSheetId="12" hidden="1">{#N/A,#N/A,FALSE,"Plan1";#N/A,#N/A,FALSE,"Plan2"}</definedName>
    <definedName name="eyruieyteta" localSheetId="16" hidden="1">{#N/A,#N/A,FALSE,"Plan1";#N/A,#N/A,FALSE,"Plan2"}</definedName>
    <definedName name="eyruieyteta" localSheetId="0" hidden="1">{#N/A,#N/A,FALSE,"Plan1";#N/A,#N/A,FALSE,"Plan2"}</definedName>
    <definedName name="eyruieyteta" localSheetId="11" hidden="1">{#N/A,#N/A,FALSE,"Plan1";#N/A,#N/A,FALSE,"Plan2"}</definedName>
    <definedName name="eyruieyteta" localSheetId="13" hidden="1">{#N/A,#N/A,FALSE,"Plan1";#N/A,#N/A,FALSE,"Plan2"}</definedName>
    <definedName name="eyruieyteta" hidden="1">{#N/A,#N/A,FALSE,"Plan1";#N/A,#N/A,FALSE,"Plan2"}</definedName>
    <definedName name="f" localSheetId="7" hidden="1">{#N/A,#N/A,FALSE,"Plan1";#N/A,#N/A,FALSE,"Plan2"}</definedName>
    <definedName name="f" localSheetId="2" hidden="1">{#N/A,#N/A,FALSE,"Plan1";#N/A,#N/A,FALSE,"Plan2"}</definedName>
    <definedName name="f" localSheetId="9" hidden="1">{#N/A,#N/A,FALSE,"Plan1";#N/A,#N/A,FALSE,"Plan2"}</definedName>
    <definedName name="f" localSheetId="5">#REF!</definedName>
    <definedName name="f" localSheetId="8" hidden="1">{#N/A,#N/A,FALSE,"Plan1";#N/A,#N/A,FALSE,"Plan2"}</definedName>
    <definedName name="f" localSheetId="0" hidden="1">{#N/A,#N/A,FALSE,"Plan1";#N/A,#N/A,FALSE,"Plan2"}</definedName>
    <definedName name="f">#REF!</definedName>
    <definedName name="FACULDADE" localSheetId="2">#REF!</definedName>
    <definedName name="FACULDADE" localSheetId="9">#REF!</definedName>
    <definedName name="FACULDADE" localSheetId="5">#REF!</definedName>
    <definedName name="FACULDADE">#REF!</definedName>
    <definedName name="FAL" localSheetId="2">#REF!</definedName>
    <definedName name="FAL" localSheetId="5">#REF!</definedName>
    <definedName name="FAL">#REF!</definedName>
    <definedName name="farialima" localSheetId="2">#REF!</definedName>
    <definedName name="farialima" localSheetId="5">#REF!</definedName>
    <definedName name="farialima">#REF!</definedName>
    <definedName name="FAS" localSheetId="14" hidden="1">{"'Total'!$A$1","'Total'!$A$3"}</definedName>
    <definedName name="FAS" localSheetId="7" hidden="1">{"'Total'!$A$1","'Total'!$A$3"}</definedName>
    <definedName name="FAS" localSheetId="1" hidden="1">{"'Total'!$A$1","'Total'!$A$3"}</definedName>
    <definedName name="FAS" localSheetId="2" hidden="1">{"'Total'!$A$1","'Total'!$A$3"}</definedName>
    <definedName name="FAS" localSheetId="9" hidden="1">{"'Total'!$A$1","'Total'!$A$3"}</definedName>
    <definedName name="FAS" localSheetId="5" hidden="1">{"'Total'!$A$1","'Total'!$A$3"}</definedName>
    <definedName name="FAS" localSheetId="4" hidden="1">{"'Total'!$A$1","'Total'!$A$3"}</definedName>
    <definedName name="FAS" localSheetId="8" hidden="1">{"'Total'!$A$1","'Total'!$A$3"}</definedName>
    <definedName name="FAS" localSheetId="12" hidden="1">{"'Total'!$A$1","'Total'!$A$3"}</definedName>
    <definedName name="FAS" localSheetId="16" hidden="1">{"'Total'!$A$1","'Total'!$A$3"}</definedName>
    <definedName name="FAS" localSheetId="0" hidden="1">{"'Total'!$A$1","'Total'!$A$3"}</definedName>
    <definedName name="FAS" localSheetId="11" hidden="1">{"'Total'!$A$1","'Total'!$A$3"}</definedName>
    <definedName name="FAS" localSheetId="13" hidden="1">{"'Total'!$A$1","'Total'!$A$3"}</definedName>
    <definedName name="FAS" hidden="1">{"'Total'!$A$1","'Total'!$A$3"}</definedName>
    <definedName name="fasfasf" localSheetId="14" hidden="1">{#N/A,#N/A,TRUE,"Quinzena 01 à 15-04-98 "}</definedName>
    <definedName name="fasfasf" localSheetId="7" hidden="1">{#N/A,#N/A,TRUE,"Quinzena 01 à 15-04-98 "}</definedName>
    <definedName name="fasfasf" localSheetId="1" hidden="1">{#N/A,#N/A,TRUE,"Quinzena 01 à 15-04-98 "}</definedName>
    <definedName name="fasfasf" localSheetId="2" hidden="1">{#N/A,#N/A,TRUE,"Quinzena 01 à 15-04-98 "}</definedName>
    <definedName name="fasfasf" localSheetId="9" hidden="1">{#N/A,#N/A,TRUE,"Quinzena 01 à 15-04-98 "}</definedName>
    <definedName name="fasfasf" localSheetId="5" hidden="1">{#N/A,#N/A,TRUE,"Quinzena 01 à 15-04-98 "}</definedName>
    <definedName name="fasfasf" localSheetId="4" hidden="1">{#N/A,#N/A,TRUE,"Quinzena 01 à 15-04-98 "}</definedName>
    <definedName name="fasfasf" localSheetId="8" hidden="1">{#N/A,#N/A,TRUE,"Quinzena 01 à 15-04-98 "}</definedName>
    <definedName name="fasfasf" localSheetId="12" hidden="1">{#N/A,#N/A,TRUE,"Quinzena 01 à 15-04-98 "}</definedName>
    <definedName name="fasfasf" localSheetId="16" hidden="1">{#N/A,#N/A,TRUE,"Quinzena 01 à 15-04-98 "}</definedName>
    <definedName name="fasfasf" localSheetId="0" hidden="1">{#N/A,#N/A,TRUE,"Quinzena 01 à 15-04-98 "}</definedName>
    <definedName name="fasfasf" localSheetId="11" hidden="1">{#N/A,#N/A,TRUE,"Quinzena 01 à 15-04-98 "}</definedName>
    <definedName name="fasfasf" localSheetId="13" hidden="1">{#N/A,#N/A,TRUE,"Quinzena 01 à 15-04-98 "}</definedName>
    <definedName name="fasfasf" hidden="1">{#N/A,#N/A,TRUE,"Quinzena 01 à 15-04-98 "}</definedName>
    <definedName name="FATOR_K" localSheetId="2">#REF!</definedName>
    <definedName name="FATOR_K" localSheetId="5">#REF!</definedName>
    <definedName name="FATOR_K">#REF!</definedName>
    <definedName name="FATORK" localSheetId="2">#REF!</definedName>
    <definedName name="FATORK" localSheetId="5">#REF!</definedName>
    <definedName name="FATORK">#REF!</definedName>
    <definedName name="FBancaria" localSheetId="2">#REF!</definedName>
    <definedName name="FBancaria" localSheetId="5">#REF!</definedName>
    <definedName name="FBancaria">#REF!</definedName>
    <definedName name="fchart31" localSheetId="2" hidden="1">#REF!</definedName>
    <definedName name="fchart31" localSheetId="0" hidden="1">#REF!</definedName>
    <definedName name="fchart31" hidden="1">#REF!</definedName>
    <definedName name="fddhght" localSheetId="14" hidden="1">{#N/A,#N/A,FALSE,"Plan1";#N/A,#N/A,FALSE,"Plan2"}</definedName>
    <definedName name="fddhght" localSheetId="7" hidden="1">{#N/A,#N/A,FALSE,"Plan1";#N/A,#N/A,FALSE,"Plan2"}</definedName>
    <definedName name="fddhght" localSheetId="1" hidden="1">{#N/A,#N/A,FALSE,"Plan1";#N/A,#N/A,FALSE,"Plan2"}</definedName>
    <definedName name="fddhght" localSheetId="2" hidden="1">{#N/A,#N/A,FALSE,"Plan1";#N/A,#N/A,FALSE,"Plan2"}</definedName>
    <definedName name="fddhght" localSheetId="9" hidden="1">{#N/A,#N/A,FALSE,"Plan1";#N/A,#N/A,FALSE,"Plan2"}</definedName>
    <definedName name="fddhght" localSheetId="5" hidden="1">{#N/A,#N/A,FALSE,"Plan1";#N/A,#N/A,FALSE,"Plan2"}</definedName>
    <definedName name="fddhght" localSheetId="4" hidden="1">{#N/A,#N/A,FALSE,"Plan1";#N/A,#N/A,FALSE,"Plan2"}</definedName>
    <definedName name="fddhght" localSheetId="8" hidden="1">{#N/A,#N/A,FALSE,"Plan1";#N/A,#N/A,FALSE,"Plan2"}</definedName>
    <definedName name="fddhght" localSheetId="12" hidden="1">{#N/A,#N/A,FALSE,"Plan1";#N/A,#N/A,FALSE,"Plan2"}</definedName>
    <definedName name="fddhght" localSheetId="16" hidden="1">{#N/A,#N/A,FALSE,"Plan1";#N/A,#N/A,FALSE,"Plan2"}</definedName>
    <definedName name="fddhght" localSheetId="0" hidden="1">{#N/A,#N/A,FALSE,"Plan1";#N/A,#N/A,FALSE,"Plan2"}</definedName>
    <definedName name="fddhght" localSheetId="11" hidden="1">{#N/A,#N/A,FALSE,"Plan1";#N/A,#N/A,FALSE,"Plan2"}</definedName>
    <definedName name="fddhght" localSheetId="13" hidden="1">{#N/A,#N/A,FALSE,"Plan1";#N/A,#N/A,FALSE,"Plan2"}</definedName>
    <definedName name="fddhght" hidden="1">{#N/A,#N/A,FALSE,"Plan1";#N/A,#N/A,FALSE,"Plan2"}</definedName>
    <definedName name="fdfgd" localSheetId="14" hidden="1">{#N/A,#N/A,FALSE,"Plan1";#N/A,#N/A,FALSE,"Plan2"}</definedName>
    <definedName name="fdfgd" localSheetId="7" hidden="1">{#N/A,#N/A,FALSE,"Plan1";#N/A,#N/A,FALSE,"Plan2"}</definedName>
    <definedName name="fdfgd" localSheetId="1" hidden="1">{#N/A,#N/A,FALSE,"Plan1";#N/A,#N/A,FALSE,"Plan2"}</definedName>
    <definedName name="fdfgd" localSheetId="2" hidden="1">{#N/A,#N/A,FALSE,"Plan1";#N/A,#N/A,FALSE,"Plan2"}</definedName>
    <definedName name="fdfgd" localSheetId="9" hidden="1">{#N/A,#N/A,FALSE,"Plan1";#N/A,#N/A,FALSE,"Plan2"}</definedName>
    <definedName name="fdfgd" localSheetId="5" hidden="1">{#N/A,#N/A,FALSE,"Plan1";#N/A,#N/A,FALSE,"Plan2"}</definedName>
    <definedName name="fdfgd" localSheetId="4" hidden="1">{#N/A,#N/A,FALSE,"Plan1";#N/A,#N/A,FALSE,"Plan2"}</definedName>
    <definedName name="fdfgd" localSheetId="8" hidden="1">{#N/A,#N/A,FALSE,"Plan1";#N/A,#N/A,FALSE,"Plan2"}</definedName>
    <definedName name="fdfgd" localSheetId="12" hidden="1">{#N/A,#N/A,FALSE,"Plan1";#N/A,#N/A,FALSE,"Plan2"}</definedName>
    <definedName name="fdfgd" localSheetId="16" hidden="1">{#N/A,#N/A,FALSE,"Plan1";#N/A,#N/A,FALSE,"Plan2"}</definedName>
    <definedName name="fdfgd" localSheetId="0" hidden="1">{#N/A,#N/A,FALSE,"Plan1";#N/A,#N/A,FALSE,"Plan2"}</definedName>
    <definedName name="fdfgd" localSheetId="11" hidden="1">{#N/A,#N/A,FALSE,"Plan1";#N/A,#N/A,FALSE,"Plan2"}</definedName>
    <definedName name="fdfgd" localSheetId="13" hidden="1">{#N/A,#N/A,FALSE,"Plan1";#N/A,#N/A,FALSE,"Plan2"}</definedName>
    <definedName name="fdfgd" hidden="1">{#N/A,#N/A,FALSE,"Plan1";#N/A,#N/A,FALSE,"Plan2"}</definedName>
    <definedName name="fdf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4" hidden="1">{#N/A,#N/A,FALSE,"Plan1";#N/A,#N/A,FALSE,"Plan2"}</definedName>
    <definedName name="fdgaf" localSheetId="7" hidden="1">{#N/A,#N/A,FALSE,"Plan1";#N/A,#N/A,FALSE,"Plan2"}</definedName>
    <definedName name="fdgaf" localSheetId="1" hidden="1">{#N/A,#N/A,FALSE,"Plan1";#N/A,#N/A,FALSE,"Plan2"}</definedName>
    <definedName name="fdgaf" localSheetId="2" hidden="1">{#N/A,#N/A,FALSE,"Plan1";#N/A,#N/A,FALSE,"Plan2"}</definedName>
    <definedName name="fdgaf" localSheetId="9" hidden="1">{#N/A,#N/A,FALSE,"Plan1";#N/A,#N/A,FALSE,"Plan2"}</definedName>
    <definedName name="fdgaf" localSheetId="5" hidden="1">{#N/A,#N/A,FALSE,"Plan1";#N/A,#N/A,FALSE,"Plan2"}</definedName>
    <definedName name="fdgaf" localSheetId="4" hidden="1">{#N/A,#N/A,FALSE,"Plan1";#N/A,#N/A,FALSE,"Plan2"}</definedName>
    <definedName name="fdgaf" localSheetId="8" hidden="1">{#N/A,#N/A,FALSE,"Plan1";#N/A,#N/A,FALSE,"Plan2"}</definedName>
    <definedName name="fdgaf" localSheetId="12" hidden="1">{#N/A,#N/A,FALSE,"Plan1";#N/A,#N/A,FALSE,"Plan2"}</definedName>
    <definedName name="fdgaf" localSheetId="16" hidden="1">{#N/A,#N/A,FALSE,"Plan1";#N/A,#N/A,FALSE,"Plan2"}</definedName>
    <definedName name="fdgaf" localSheetId="0" hidden="1">{#N/A,#N/A,FALSE,"Plan1";#N/A,#N/A,FALSE,"Plan2"}</definedName>
    <definedName name="fdgaf" localSheetId="11" hidden="1">{#N/A,#N/A,FALSE,"Plan1";#N/A,#N/A,FALSE,"Plan2"}</definedName>
    <definedName name="fdgaf" localSheetId="13" hidden="1">{#N/A,#N/A,FALSE,"Plan1";#N/A,#N/A,FALSE,"Plan2"}</definedName>
    <definedName name="fdgaf" hidden="1">{#N/A,#N/A,FALSE,"Plan1";#N/A,#N/A,FALSE,"Plan2"}</definedName>
    <definedName name="fdgdf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4" hidden="1">{#N/A,#N/A,FALSE,"Plan1";#N/A,#N/A,FALSE,"Plan2"}</definedName>
    <definedName name="FDGFDJHGZEDR" localSheetId="7" hidden="1">{#N/A,#N/A,FALSE,"Plan1";#N/A,#N/A,FALSE,"Plan2"}</definedName>
    <definedName name="FDGFDJHGZEDR" localSheetId="1" hidden="1">{#N/A,#N/A,FALSE,"Plan1";#N/A,#N/A,FALSE,"Plan2"}</definedName>
    <definedName name="FDGFDJHGZEDR" localSheetId="2" hidden="1">{#N/A,#N/A,FALSE,"Plan1";#N/A,#N/A,FALSE,"Plan2"}</definedName>
    <definedName name="FDGFDJHGZEDR" localSheetId="9" hidden="1">{#N/A,#N/A,FALSE,"Plan1";#N/A,#N/A,FALSE,"Plan2"}</definedName>
    <definedName name="FDGFDJHGZEDR" localSheetId="5" hidden="1">{#N/A,#N/A,FALSE,"Plan1";#N/A,#N/A,FALSE,"Plan2"}</definedName>
    <definedName name="FDGFDJHGZEDR" localSheetId="4" hidden="1">{#N/A,#N/A,FALSE,"Plan1";#N/A,#N/A,FALSE,"Plan2"}</definedName>
    <definedName name="FDGFDJHGZEDR" localSheetId="8" hidden="1">{#N/A,#N/A,FALSE,"Plan1";#N/A,#N/A,FALSE,"Plan2"}</definedName>
    <definedName name="FDGFDJHGZEDR" localSheetId="12" hidden="1">{#N/A,#N/A,FALSE,"Plan1";#N/A,#N/A,FALSE,"Plan2"}</definedName>
    <definedName name="FDGFDJHGZEDR" localSheetId="16" hidden="1">{#N/A,#N/A,FALSE,"Plan1";#N/A,#N/A,FALSE,"Plan2"}</definedName>
    <definedName name="FDGFDJHGZEDR" localSheetId="0" hidden="1">{#N/A,#N/A,FALSE,"Plan1";#N/A,#N/A,FALSE,"Plan2"}</definedName>
    <definedName name="FDGFDJHGZEDR" localSheetId="11" hidden="1">{#N/A,#N/A,FALSE,"Plan1";#N/A,#N/A,FALSE,"Plan2"}</definedName>
    <definedName name="FDGFDJHGZEDR" localSheetId="13" hidden="1">{#N/A,#N/A,FALSE,"Plan1";#N/A,#N/A,FALSE,"Plan2"}</definedName>
    <definedName name="FDGFDJHGZEDR" hidden="1">{#N/A,#N/A,FALSE,"Plan1";#N/A,#N/A,FALSE,"Plan2"}</definedName>
    <definedName name="fdgfyhygfuj" localSheetId="14" hidden="1">{#N/A,#N/A,FALSE,"Plan1";#N/A,#N/A,FALSE,"Plan2"}</definedName>
    <definedName name="fdgfyhygfuj" localSheetId="7" hidden="1">{#N/A,#N/A,FALSE,"Plan1";#N/A,#N/A,FALSE,"Plan2"}</definedName>
    <definedName name="fdgfyhygfuj" localSheetId="1" hidden="1">{#N/A,#N/A,FALSE,"Plan1";#N/A,#N/A,FALSE,"Plan2"}</definedName>
    <definedName name="fdgfyhygfuj" localSheetId="2" hidden="1">{#N/A,#N/A,FALSE,"Plan1";#N/A,#N/A,FALSE,"Plan2"}</definedName>
    <definedName name="fdgfyhygfuj" localSheetId="9" hidden="1">{#N/A,#N/A,FALSE,"Plan1";#N/A,#N/A,FALSE,"Plan2"}</definedName>
    <definedName name="fdgfyhygfuj" localSheetId="5" hidden="1">{#N/A,#N/A,FALSE,"Plan1";#N/A,#N/A,FALSE,"Plan2"}</definedName>
    <definedName name="fdgfyhygfuj" localSheetId="4" hidden="1">{#N/A,#N/A,FALSE,"Plan1";#N/A,#N/A,FALSE,"Plan2"}</definedName>
    <definedName name="fdgfyhygfuj" localSheetId="8" hidden="1">{#N/A,#N/A,FALSE,"Plan1";#N/A,#N/A,FALSE,"Plan2"}</definedName>
    <definedName name="fdgfyhygfuj" localSheetId="12" hidden="1">{#N/A,#N/A,FALSE,"Plan1";#N/A,#N/A,FALSE,"Plan2"}</definedName>
    <definedName name="fdgfyhygfuj" localSheetId="16" hidden="1">{#N/A,#N/A,FALSE,"Plan1";#N/A,#N/A,FALSE,"Plan2"}</definedName>
    <definedName name="fdgfyhygfuj" localSheetId="0" hidden="1">{#N/A,#N/A,FALSE,"Plan1";#N/A,#N/A,FALSE,"Plan2"}</definedName>
    <definedName name="fdgfyhygfuj" localSheetId="11" hidden="1">{#N/A,#N/A,FALSE,"Plan1";#N/A,#N/A,FALSE,"Plan2"}</definedName>
    <definedName name="fdgfyhygfuj" localSheetId="13" hidden="1">{#N/A,#N/A,FALSE,"Plan1";#N/A,#N/A,FALSE,"Plan2"}</definedName>
    <definedName name="fdgfyhygfuj" hidden="1">{#N/A,#N/A,FALSE,"Plan1";#N/A,#N/A,FALSE,"Plan2"}</definedName>
    <definedName name="fdhgfdf" localSheetId="14" hidden="1">{#N/A,#N/A,FALSE,"Plan1";#N/A,#N/A,FALSE,"Plan2"}</definedName>
    <definedName name="fdhgfdf" localSheetId="7" hidden="1">{#N/A,#N/A,FALSE,"Plan1";#N/A,#N/A,FALSE,"Plan2"}</definedName>
    <definedName name="fdhgfdf" localSheetId="1" hidden="1">{#N/A,#N/A,FALSE,"Plan1";#N/A,#N/A,FALSE,"Plan2"}</definedName>
    <definedName name="fdhgfdf" localSheetId="2" hidden="1">{#N/A,#N/A,FALSE,"Plan1";#N/A,#N/A,FALSE,"Plan2"}</definedName>
    <definedName name="fdhgfdf" localSheetId="9" hidden="1">{#N/A,#N/A,FALSE,"Plan1";#N/A,#N/A,FALSE,"Plan2"}</definedName>
    <definedName name="fdhgfdf" localSheetId="5" hidden="1">{#N/A,#N/A,FALSE,"Plan1";#N/A,#N/A,FALSE,"Plan2"}</definedName>
    <definedName name="fdhgfdf" localSheetId="4" hidden="1">{#N/A,#N/A,FALSE,"Plan1";#N/A,#N/A,FALSE,"Plan2"}</definedName>
    <definedName name="fdhgfdf" localSheetId="8" hidden="1">{#N/A,#N/A,FALSE,"Plan1";#N/A,#N/A,FALSE,"Plan2"}</definedName>
    <definedName name="fdhgfdf" localSheetId="12" hidden="1">{#N/A,#N/A,FALSE,"Plan1";#N/A,#N/A,FALSE,"Plan2"}</definedName>
    <definedName name="fdhgfdf" localSheetId="16" hidden="1">{#N/A,#N/A,FALSE,"Plan1";#N/A,#N/A,FALSE,"Plan2"}</definedName>
    <definedName name="fdhgfdf" localSheetId="0" hidden="1">{#N/A,#N/A,FALSE,"Plan1";#N/A,#N/A,FALSE,"Plan2"}</definedName>
    <definedName name="fdhgfdf" localSheetId="11" hidden="1">{#N/A,#N/A,FALSE,"Plan1";#N/A,#N/A,FALSE,"Plan2"}</definedName>
    <definedName name="fdhgfdf" localSheetId="13" hidden="1">{#N/A,#N/A,FALSE,"Plan1";#N/A,#N/A,FALSE,"Plan2"}</definedName>
    <definedName name="fdhgfdf" hidden="1">{#N/A,#N/A,FALSE,"Plan1";#N/A,#N/A,FALSE,"Plan2"}</definedName>
    <definedName name="fdjfgdfjg" localSheetId="14" hidden="1">{#N/A,#N/A,FALSE,"Plan1";#N/A,#N/A,FALSE,"Plan2"}</definedName>
    <definedName name="fdjfgdfjg" localSheetId="7" hidden="1">{#N/A,#N/A,FALSE,"Plan1";#N/A,#N/A,FALSE,"Plan2"}</definedName>
    <definedName name="fdjfgdfjg" localSheetId="1" hidden="1">{#N/A,#N/A,FALSE,"Plan1";#N/A,#N/A,FALSE,"Plan2"}</definedName>
    <definedName name="fdjfgdfjg" localSheetId="2" hidden="1">{#N/A,#N/A,FALSE,"Plan1";#N/A,#N/A,FALSE,"Plan2"}</definedName>
    <definedName name="fdjfgdfjg" localSheetId="9" hidden="1">{#N/A,#N/A,FALSE,"Plan1";#N/A,#N/A,FALSE,"Plan2"}</definedName>
    <definedName name="fdjfgdfjg" localSheetId="5" hidden="1">{#N/A,#N/A,FALSE,"Plan1";#N/A,#N/A,FALSE,"Plan2"}</definedName>
    <definedName name="fdjfgdfjg" localSheetId="4" hidden="1">{#N/A,#N/A,FALSE,"Plan1";#N/A,#N/A,FALSE,"Plan2"}</definedName>
    <definedName name="fdjfgdfjg" localSheetId="8" hidden="1">{#N/A,#N/A,FALSE,"Plan1";#N/A,#N/A,FALSE,"Plan2"}</definedName>
    <definedName name="fdjfgdfjg" localSheetId="12" hidden="1">{#N/A,#N/A,FALSE,"Plan1";#N/A,#N/A,FALSE,"Plan2"}</definedName>
    <definedName name="fdjfgdfjg" localSheetId="16" hidden="1">{#N/A,#N/A,FALSE,"Plan1";#N/A,#N/A,FALSE,"Plan2"}</definedName>
    <definedName name="fdjfgdfjg" localSheetId="0" hidden="1">{#N/A,#N/A,FALSE,"Plan1";#N/A,#N/A,FALSE,"Plan2"}</definedName>
    <definedName name="fdjfgdfjg" localSheetId="11" hidden="1">{#N/A,#N/A,FALSE,"Plan1";#N/A,#N/A,FALSE,"Plan2"}</definedName>
    <definedName name="fdjfgdfjg" localSheetId="13" hidden="1">{#N/A,#N/A,FALSE,"Plan1";#N/A,#N/A,FALSE,"Plan2"}</definedName>
    <definedName name="fdjfgdfjg" hidden="1">{#N/A,#N/A,FALSE,"Plan1";#N/A,#N/A,FALSE,"Plan2"}</definedName>
    <definedName name="fdjghkshtygt" localSheetId="14" hidden="1">{#N/A,#N/A,FALSE,"Plan1";#N/A,#N/A,FALSE,"Plan2"}</definedName>
    <definedName name="fdjghkshtygt" localSheetId="7" hidden="1">{#N/A,#N/A,FALSE,"Plan1";#N/A,#N/A,FALSE,"Plan2"}</definedName>
    <definedName name="fdjghkshtygt" localSheetId="1" hidden="1">{#N/A,#N/A,FALSE,"Plan1";#N/A,#N/A,FALSE,"Plan2"}</definedName>
    <definedName name="fdjghkshtygt" localSheetId="2" hidden="1">{#N/A,#N/A,FALSE,"Plan1";#N/A,#N/A,FALSE,"Plan2"}</definedName>
    <definedName name="fdjghkshtygt" localSheetId="9" hidden="1">{#N/A,#N/A,FALSE,"Plan1";#N/A,#N/A,FALSE,"Plan2"}</definedName>
    <definedName name="fdjghkshtygt" localSheetId="5" hidden="1">{#N/A,#N/A,FALSE,"Plan1";#N/A,#N/A,FALSE,"Plan2"}</definedName>
    <definedName name="fdjghkshtygt" localSheetId="4" hidden="1">{#N/A,#N/A,FALSE,"Plan1";#N/A,#N/A,FALSE,"Plan2"}</definedName>
    <definedName name="fdjghkshtygt" localSheetId="8" hidden="1">{#N/A,#N/A,FALSE,"Plan1";#N/A,#N/A,FALSE,"Plan2"}</definedName>
    <definedName name="fdjghkshtygt" localSheetId="12" hidden="1">{#N/A,#N/A,FALSE,"Plan1";#N/A,#N/A,FALSE,"Plan2"}</definedName>
    <definedName name="fdjghkshtygt" localSheetId="16" hidden="1">{#N/A,#N/A,FALSE,"Plan1";#N/A,#N/A,FALSE,"Plan2"}</definedName>
    <definedName name="fdjghkshtygt" localSheetId="0" hidden="1">{#N/A,#N/A,FALSE,"Plan1";#N/A,#N/A,FALSE,"Plan2"}</definedName>
    <definedName name="fdjghkshtygt" localSheetId="11" hidden="1">{#N/A,#N/A,FALSE,"Plan1";#N/A,#N/A,FALSE,"Plan2"}</definedName>
    <definedName name="fdjghkshtygt" localSheetId="13" hidden="1">{#N/A,#N/A,FALSE,"Plan1";#N/A,#N/A,FALSE,"Plan2"}</definedName>
    <definedName name="fdjghkshtygt" hidden="1">{#N/A,#N/A,FALSE,"Plan1";#N/A,#N/A,FALSE,"Plan2"}</definedName>
    <definedName name="fdnhgf" localSheetId="14" hidden="1">{"'Estimativa de Lançamento-JAN'!$A$1:$AI$85"}</definedName>
    <definedName name="fdnhgf" localSheetId="7" hidden="1">{"'Estimativa de Lançamento-JAN'!$A$1:$AI$85"}</definedName>
    <definedName name="fdnhgf" localSheetId="1" hidden="1">{"'Estimativa de Lançamento-JAN'!$A$1:$AI$85"}</definedName>
    <definedName name="fdnhgf" localSheetId="2" hidden="1">{"'Estimativa de Lançamento-JAN'!$A$1:$AI$85"}</definedName>
    <definedName name="fdnhgf" localSheetId="9" hidden="1">{"'Estimativa de Lançamento-JAN'!$A$1:$AI$85"}</definedName>
    <definedName name="fdnhgf" localSheetId="5" hidden="1">{"'Estimativa de Lançamento-JAN'!$A$1:$AI$85"}</definedName>
    <definedName name="fdnhgf" localSheetId="4" hidden="1">{"'Estimativa de Lançamento-JAN'!$A$1:$AI$85"}</definedName>
    <definedName name="fdnhgf" localSheetId="8" hidden="1">{"'Estimativa de Lançamento-JAN'!$A$1:$AI$85"}</definedName>
    <definedName name="fdnhgf" localSheetId="12" hidden="1">{"'Estimativa de Lançamento-JAN'!$A$1:$AI$85"}</definedName>
    <definedName name="fdnhgf" localSheetId="16" hidden="1">{"'Estimativa de Lançamento-JAN'!$A$1:$AI$85"}</definedName>
    <definedName name="fdnhgf" localSheetId="0" hidden="1">{"'Estimativa de Lançamento-JAN'!$A$1:$AI$85"}</definedName>
    <definedName name="fdnhgf" localSheetId="11" hidden="1">{"'Estimativa de Lançamento-JAN'!$A$1:$AI$85"}</definedName>
    <definedName name="fdnhgf" localSheetId="13" hidden="1">{"'Estimativa de Lançamento-JAN'!$A$1:$AI$85"}</definedName>
    <definedName name="fdnhgf" hidden="1">{"'Estimativa de Lançamento-JAN'!$A$1:$AI$85"}</definedName>
    <definedName name="fdsf" localSheetId="14" hidden="1">{#N/A,#N/A,FALSE,"Plan1";#N/A,#N/A,FALSE,"Plan2"}</definedName>
    <definedName name="fdsf" localSheetId="7" hidden="1">{#N/A,#N/A,FALSE,"Plan1";#N/A,#N/A,FALSE,"Plan2"}</definedName>
    <definedName name="fdsf" localSheetId="1" hidden="1">{#N/A,#N/A,FALSE,"Plan1";#N/A,#N/A,FALSE,"Plan2"}</definedName>
    <definedName name="fdsf" localSheetId="2" hidden="1">{#N/A,#N/A,FALSE,"Plan1";#N/A,#N/A,FALSE,"Plan2"}</definedName>
    <definedName name="fdsf" localSheetId="9" hidden="1">{#N/A,#N/A,FALSE,"Plan1";#N/A,#N/A,FALSE,"Plan2"}</definedName>
    <definedName name="fdsf" localSheetId="5" hidden="1">{#N/A,#N/A,FALSE,"Plan1";#N/A,#N/A,FALSE,"Plan2"}</definedName>
    <definedName name="fdsf" localSheetId="4" hidden="1">{#N/A,#N/A,FALSE,"Plan1";#N/A,#N/A,FALSE,"Plan2"}</definedName>
    <definedName name="fdsf" localSheetId="8" hidden="1">{#N/A,#N/A,FALSE,"Plan1";#N/A,#N/A,FALSE,"Plan2"}</definedName>
    <definedName name="fdsf" localSheetId="12" hidden="1">{#N/A,#N/A,FALSE,"Plan1";#N/A,#N/A,FALSE,"Plan2"}</definedName>
    <definedName name="fdsf" localSheetId="16" hidden="1">{#N/A,#N/A,FALSE,"Plan1";#N/A,#N/A,FALSE,"Plan2"}</definedName>
    <definedName name="fdsf" localSheetId="0" hidden="1">{#N/A,#N/A,FALSE,"Plan1";#N/A,#N/A,FALSE,"Plan2"}</definedName>
    <definedName name="fdsf" localSheetId="11" hidden="1">{#N/A,#N/A,FALSE,"Plan1";#N/A,#N/A,FALSE,"Plan2"}</definedName>
    <definedName name="fdsf" localSheetId="13" hidden="1">{#N/A,#N/A,FALSE,"Plan1";#N/A,#N/A,FALSE,"Plan2"}</definedName>
    <definedName name="fdsf" hidden="1">{#N/A,#N/A,FALSE,"Plan1";#N/A,#N/A,FALSE,"Plan2"}</definedName>
    <definedName name="FE" localSheetId="2">#REF!</definedName>
    <definedName name="FE" localSheetId="5">#REF!</definedName>
    <definedName name="FE">#REF!</definedName>
    <definedName name="fefefefe" localSheetId="2">#REF!</definedName>
    <definedName name="fefefefe" localSheetId="5">#REF!</definedName>
    <definedName name="fefefefe">#REF!</definedName>
    <definedName name="FER" localSheetId="2" hidden="1">#REF!</definedName>
    <definedName name="FER" localSheetId="0" hidden="1">#REF!</definedName>
    <definedName name="FER" hidden="1">#REF!</definedName>
    <definedName name="fev17RJ" localSheetId="2">#REF!</definedName>
    <definedName name="fev17RJ" localSheetId="5">#REF!</definedName>
    <definedName name="fev17RJ">#REF!</definedName>
    <definedName name="FEVEREIRO2001" localSheetId="2">#REF!</definedName>
    <definedName name="FEVEREIRO2001" localSheetId="5">#REF!</definedName>
    <definedName name="FEVEREIRO2001">#REF!</definedName>
    <definedName name="ff" localSheetId="2">#REF!</definedName>
    <definedName name="ff" localSheetId="5">#REF!</definedName>
    <definedName name="ff" localSheetId="24">#REF!</definedName>
    <definedName name="ff">#REF!</definedName>
    <definedName name="fffefes" localSheetId="2">#REF!</definedName>
    <definedName name="fffefes" localSheetId="5">#REF!</definedName>
    <definedName name="fffefes">#REF!</definedName>
    <definedName name="fffff" localSheetId="14" hidden="1">{#N/A,#N/A,FALSE,"Plan1";#N/A,#N/A,FALSE,"Plan2"}</definedName>
    <definedName name="fffff" localSheetId="7" hidden="1">{#N/A,#N/A,FALSE,"Plan1";#N/A,#N/A,FALSE,"Plan2"}</definedName>
    <definedName name="fffff" localSheetId="1" hidden="1">{#N/A,#N/A,FALSE,"Plan1";#N/A,#N/A,FALSE,"Plan2"}</definedName>
    <definedName name="fffff" localSheetId="2" hidden="1">{#N/A,#N/A,FALSE,"Plan1";#N/A,#N/A,FALSE,"Plan2"}</definedName>
    <definedName name="fffff" localSheetId="9" hidden="1">{#N/A,#N/A,FALSE,"Plan1";#N/A,#N/A,FALSE,"Plan2"}</definedName>
    <definedName name="fffff" localSheetId="5" hidden="1">{#N/A,#N/A,FALSE,"Plan1";#N/A,#N/A,FALSE,"Plan2"}</definedName>
    <definedName name="fffff" localSheetId="4" hidden="1">{#N/A,#N/A,FALSE,"Plan1";#N/A,#N/A,FALSE,"Plan2"}</definedName>
    <definedName name="fffff" localSheetId="8" hidden="1">{#N/A,#N/A,FALSE,"Plan1";#N/A,#N/A,FALSE,"Plan2"}</definedName>
    <definedName name="fffff" localSheetId="12" hidden="1">{#N/A,#N/A,FALSE,"Plan1";#N/A,#N/A,FALSE,"Plan2"}</definedName>
    <definedName name="fffff" localSheetId="16" hidden="1">{#N/A,#N/A,FALSE,"Plan1";#N/A,#N/A,FALSE,"Plan2"}</definedName>
    <definedName name="fffff" localSheetId="0" hidden="1">{#N/A,#N/A,FALSE,"Plan1";#N/A,#N/A,FALSE,"Plan2"}</definedName>
    <definedName name="fffff" localSheetId="11" hidden="1">{#N/A,#N/A,FALSE,"Plan1";#N/A,#N/A,FALSE,"Plan2"}</definedName>
    <definedName name="fffff" localSheetId="13" hidden="1">{#N/A,#N/A,FALSE,"Plan1";#N/A,#N/A,FALSE,"Plan2"}</definedName>
    <definedName name="fffff" hidden="1">{#N/A,#N/A,FALSE,"Plan1";#N/A,#N/A,FALSE,"Plan2"}</definedName>
    <definedName name="FFFFFFF" localSheetId="14">#REF!</definedName>
    <definedName name="FFFFFFF" localSheetId="2">#REF!</definedName>
    <definedName name="FFFFFFF" localSheetId="5">#REF!</definedName>
    <definedName name="FFFFFFF" localSheetId="15">#REF!</definedName>
    <definedName name="FFFFFFF" localSheetId="12">#REF!</definedName>
    <definedName name="FFFFFFF" localSheetId="0">#REF!</definedName>
    <definedName name="FFFFFFF">#REF!</definedName>
    <definedName name="FFTY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4" hidden="1">{#N/A,#N/A,FALSE,"Plan1";#N/A,#N/A,FALSE,"Plan2"}</definedName>
    <definedName name="fg" localSheetId="7" hidden="1">{#N/A,#N/A,FALSE,"Plan1";#N/A,#N/A,FALSE,"Plan2"}</definedName>
    <definedName name="fg" localSheetId="1" hidden="1">{#N/A,#N/A,FALSE,"Plan1";#N/A,#N/A,FALSE,"Plan2"}</definedName>
    <definedName name="fg" localSheetId="2" hidden="1">{#N/A,#N/A,FALSE,"Plan1";#N/A,#N/A,FALSE,"Plan2"}</definedName>
    <definedName name="fg" localSheetId="9" hidden="1">{#N/A,#N/A,FALSE,"Plan1";#N/A,#N/A,FALSE,"Plan2"}</definedName>
    <definedName name="fg" localSheetId="5" hidden="1">{#N/A,#N/A,FALSE,"Plan1";#N/A,#N/A,FALSE,"Plan2"}</definedName>
    <definedName name="fg" localSheetId="4" hidden="1">{#N/A,#N/A,FALSE,"Plan1";#N/A,#N/A,FALSE,"Plan2"}</definedName>
    <definedName name="fg" localSheetId="8" hidden="1">{#N/A,#N/A,FALSE,"Plan1";#N/A,#N/A,FALSE,"Plan2"}</definedName>
    <definedName name="fg" localSheetId="12" hidden="1">{#N/A,#N/A,FALSE,"Plan1";#N/A,#N/A,FALSE,"Plan2"}</definedName>
    <definedName name="fg" localSheetId="16" hidden="1">{#N/A,#N/A,FALSE,"Plan1";#N/A,#N/A,FALSE,"Plan2"}</definedName>
    <definedName name="fg" localSheetId="0" hidden="1">{#N/A,#N/A,FALSE,"Plan1";#N/A,#N/A,FALSE,"Plan2"}</definedName>
    <definedName name="fg" localSheetId="11" hidden="1">{#N/A,#N/A,FALSE,"Plan1";#N/A,#N/A,FALSE,"Plan2"}</definedName>
    <definedName name="fg" localSheetId="13" hidden="1">{#N/A,#N/A,FALSE,"Plan1";#N/A,#N/A,FALSE,"Plan2"}</definedName>
    <definedName name="fg" hidden="1">{#N/A,#N/A,FALSE,"Plan1";#N/A,#N/A,FALSE,"Plan2"}</definedName>
    <definedName name="fgg" localSheetId="14" hidden="1">{"'장비'!$A$3:$M$12"}</definedName>
    <definedName name="fgg" localSheetId="7" hidden="1">{"'장비'!$A$3:$M$12"}</definedName>
    <definedName name="fgg" localSheetId="1" hidden="1">{"'장비'!$A$3:$M$12"}</definedName>
    <definedName name="fgg" localSheetId="2" hidden="1">{"'장비'!$A$3:$M$12"}</definedName>
    <definedName name="fgg" localSheetId="9" hidden="1">{"'장비'!$A$3:$M$12"}</definedName>
    <definedName name="fgg" localSheetId="5" hidden="1">{"'장비'!$A$3:$M$12"}</definedName>
    <definedName name="fgg" localSheetId="4" hidden="1">{"'장비'!$A$3:$M$12"}</definedName>
    <definedName name="fgg" localSheetId="8" hidden="1">{"'장비'!$A$3:$M$12"}</definedName>
    <definedName name="fgg" localSheetId="12" hidden="1">{"'장비'!$A$3:$M$12"}</definedName>
    <definedName name="fgg" localSheetId="16" hidden="1">{"'장비'!$A$3:$M$12"}</definedName>
    <definedName name="fgg" localSheetId="0" hidden="1">{"'장비'!$A$3:$M$12"}</definedName>
    <definedName name="fgg" localSheetId="11" hidden="1">{"'장비'!$A$3:$M$12"}</definedName>
    <definedName name="fgg" localSheetId="13" hidden="1">{"'장비'!$A$3:$M$12"}</definedName>
    <definedName name="fgg" hidden="1">{"'장비'!$A$3:$M$12"}</definedName>
    <definedName name="fghfh" localSheetId="14" hidden="1">{"'Estimativa de Lançamento-JAN'!$A$1:$AI$85"}</definedName>
    <definedName name="fghfh" localSheetId="7" hidden="1">{"'Estimativa de Lançamento-JAN'!$A$1:$AI$85"}</definedName>
    <definedName name="fghfh" localSheetId="1" hidden="1">{"'Estimativa de Lançamento-JAN'!$A$1:$AI$85"}</definedName>
    <definedName name="fghfh" localSheetId="2" hidden="1">{"'Estimativa de Lançamento-JAN'!$A$1:$AI$85"}</definedName>
    <definedName name="fghfh" localSheetId="9" hidden="1">{"'Estimativa de Lançamento-JAN'!$A$1:$AI$85"}</definedName>
    <definedName name="fghfh" localSheetId="5" hidden="1">{"'Estimativa de Lançamento-JAN'!$A$1:$AI$85"}</definedName>
    <definedName name="fghfh" localSheetId="4" hidden="1">{"'Estimativa de Lançamento-JAN'!$A$1:$AI$85"}</definedName>
    <definedName name="fghfh" localSheetId="8" hidden="1">{"'Estimativa de Lançamento-JAN'!$A$1:$AI$85"}</definedName>
    <definedName name="fghfh" localSheetId="12" hidden="1">{"'Estimativa de Lançamento-JAN'!$A$1:$AI$85"}</definedName>
    <definedName name="fghfh" localSheetId="16" hidden="1">{"'Estimativa de Lançamento-JAN'!$A$1:$AI$85"}</definedName>
    <definedName name="fghfh" localSheetId="0" hidden="1">{"'Estimativa de Lançamento-JAN'!$A$1:$AI$85"}</definedName>
    <definedName name="fghfh" localSheetId="11" hidden="1">{"'Estimativa de Lançamento-JAN'!$A$1:$AI$85"}</definedName>
    <definedName name="fghfh" localSheetId="13" hidden="1">{"'Estimativa de Lançamento-JAN'!$A$1:$AI$85"}</definedName>
    <definedName name="fghfh" hidden="1">{"'Estimativa de Lançamento-JAN'!$A$1:$AI$85"}</definedName>
    <definedName name="fghgfh" localSheetId="14" hidden="1">{#N/A,#N/A,FALSE,"Plan1";#N/A,#N/A,FALSE,"Plan2"}</definedName>
    <definedName name="fghgfh" localSheetId="7" hidden="1">{#N/A,#N/A,FALSE,"Plan1";#N/A,#N/A,FALSE,"Plan2"}</definedName>
    <definedName name="fghgfh" localSheetId="1" hidden="1">{#N/A,#N/A,FALSE,"Plan1";#N/A,#N/A,FALSE,"Plan2"}</definedName>
    <definedName name="fghgfh" localSheetId="2" hidden="1">{#N/A,#N/A,FALSE,"Plan1";#N/A,#N/A,FALSE,"Plan2"}</definedName>
    <definedName name="fghgfh" localSheetId="9" hidden="1">{#N/A,#N/A,FALSE,"Plan1";#N/A,#N/A,FALSE,"Plan2"}</definedName>
    <definedName name="fghgfh" localSheetId="5" hidden="1">{#N/A,#N/A,FALSE,"Plan1";#N/A,#N/A,FALSE,"Plan2"}</definedName>
    <definedName name="fghgfh" localSheetId="4" hidden="1">{#N/A,#N/A,FALSE,"Plan1";#N/A,#N/A,FALSE,"Plan2"}</definedName>
    <definedName name="fghgfh" localSheetId="8" hidden="1">{#N/A,#N/A,FALSE,"Plan1";#N/A,#N/A,FALSE,"Plan2"}</definedName>
    <definedName name="fghgfh" localSheetId="12" hidden="1">{#N/A,#N/A,FALSE,"Plan1";#N/A,#N/A,FALSE,"Plan2"}</definedName>
    <definedName name="fghgfh" localSheetId="16" hidden="1">{#N/A,#N/A,FALSE,"Plan1";#N/A,#N/A,FALSE,"Plan2"}</definedName>
    <definedName name="fghgfh" localSheetId="0" hidden="1">{#N/A,#N/A,FALSE,"Plan1";#N/A,#N/A,FALSE,"Plan2"}</definedName>
    <definedName name="fghgfh" localSheetId="11" hidden="1">{#N/A,#N/A,FALSE,"Plan1";#N/A,#N/A,FALSE,"Plan2"}</definedName>
    <definedName name="fghgfh" localSheetId="13" hidden="1">{#N/A,#N/A,FALSE,"Plan1";#N/A,#N/A,FALSE,"Plan2"}</definedName>
    <definedName name="fghgfh" hidden="1">{#N/A,#N/A,FALSE,"Plan1";#N/A,#N/A,FALSE,"Plan2"}</definedName>
    <definedName name="FGJHFGK" localSheetId="14" hidden="1">{#N/A,#N/A,FALSE,"Plan1";#N/A,#N/A,FALSE,"Plan2"}</definedName>
    <definedName name="FGJHFGK" localSheetId="7" hidden="1">{#N/A,#N/A,FALSE,"Plan1";#N/A,#N/A,FALSE,"Plan2"}</definedName>
    <definedName name="FGJHFGK" localSheetId="1" hidden="1">{#N/A,#N/A,FALSE,"Plan1";#N/A,#N/A,FALSE,"Plan2"}</definedName>
    <definedName name="FGJHFGK" localSheetId="2" hidden="1">{#N/A,#N/A,FALSE,"Plan1";#N/A,#N/A,FALSE,"Plan2"}</definedName>
    <definedName name="FGJHFGK" localSheetId="9" hidden="1">{#N/A,#N/A,FALSE,"Plan1";#N/A,#N/A,FALSE,"Plan2"}</definedName>
    <definedName name="FGJHFGK" localSheetId="5" hidden="1">{#N/A,#N/A,FALSE,"Plan1";#N/A,#N/A,FALSE,"Plan2"}</definedName>
    <definedName name="FGJHFGK" localSheetId="4" hidden="1">{#N/A,#N/A,FALSE,"Plan1";#N/A,#N/A,FALSE,"Plan2"}</definedName>
    <definedName name="FGJHFGK" localSheetId="8" hidden="1">{#N/A,#N/A,FALSE,"Plan1";#N/A,#N/A,FALSE,"Plan2"}</definedName>
    <definedName name="FGJHFGK" localSheetId="12" hidden="1">{#N/A,#N/A,FALSE,"Plan1";#N/A,#N/A,FALSE,"Plan2"}</definedName>
    <definedName name="FGJHFGK" localSheetId="16" hidden="1">{#N/A,#N/A,FALSE,"Plan1";#N/A,#N/A,FALSE,"Plan2"}</definedName>
    <definedName name="FGJHFGK" localSheetId="0" hidden="1">{#N/A,#N/A,FALSE,"Plan1";#N/A,#N/A,FALSE,"Plan2"}</definedName>
    <definedName name="FGJHFGK" localSheetId="11" hidden="1">{#N/A,#N/A,FALSE,"Plan1";#N/A,#N/A,FALSE,"Plan2"}</definedName>
    <definedName name="FGJHFGK" localSheetId="13" hidden="1">{#N/A,#N/A,FALSE,"Plan1";#N/A,#N/A,FALSE,"Plan2"}</definedName>
    <definedName name="FGJHFGK" hidden="1">{#N/A,#N/A,FALSE,"Plan1";#N/A,#N/A,FALSE,"Plan2"}</definedName>
    <definedName name="fgktyhd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4" hidden="1">{#N/A,#N/A,FALSE,"Plan1";#N/A,#N/A,FALSE,"Plan2"}</definedName>
    <definedName name="fgtrgty" localSheetId="7" hidden="1">{#N/A,#N/A,FALSE,"Plan1";#N/A,#N/A,FALSE,"Plan2"}</definedName>
    <definedName name="fgtrgty" localSheetId="1" hidden="1">{#N/A,#N/A,FALSE,"Plan1";#N/A,#N/A,FALSE,"Plan2"}</definedName>
    <definedName name="fgtrgty" localSheetId="2" hidden="1">{#N/A,#N/A,FALSE,"Plan1";#N/A,#N/A,FALSE,"Plan2"}</definedName>
    <definedName name="fgtrgty" localSheetId="9" hidden="1">{#N/A,#N/A,FALSE,"Plan1";#N/A,#N/A,FALSE,"Plan2"}</definedName>
    <definedName name="fgtrgty" localSheetId="5" hidden="1">{#N/A,#N/A,FALSE,"Plan1";#N/A,#N/A,FALSE,"Plan2"}</definedName>
    <definedName name="fgtrgty" localSheetId="4" hidden="1">{#N/A,#N/A,FALSE,"Plan1";#N/A,#N/A,FALSE,"Plan2"}</definedName>
    <definedName name="fgtrgty" localSheetId="8" hidden="1">{#N/A,#N/A,FALSE,"Plan1";#N/A,#N/A,FALSE,"Plan2"}</definedName>
    <definedName name="fgtrgty" localSheetId="12" hidden="1">{#N/A,#N/A,FALSE,"Plan1";#N/A,#N/A,FALSE,"Plan2"}</definedName>
    <definedName name="fgtrgty" localSheetId="16" hidden="1">{#N/A,#N/A,FALSE,"Plan1";#N/A,#N/A,FALSE,"Plan2"}</definedName>
    <definedName name="fgtrgty" localSheetId="0" hidden="1">{#N/A,#N/A,FALSE,"Plan1";#N/A,#N/A,FALSE,"Plan2"}</definedName>
    <definedName name="fgtrgty" localSheetId="11" hidden="1">{#N/A,#N/A,FALSE,"Plan1";#N/A,#N/A,FALSE,"Plan2"}</definedName>
    <definedName name="fgtrgty" localSheetId="13" hidden="1">{#N/A,#N/A,FALSE,"Plan1";#N/A,#N/A,FALSE,"Plan2"}</definedName>
    <definedName name="fgtrgty" hidden="1">{#N/A,#N/A,FALSE,"Plan1";#N/A,#N/A,FALSE,"Plan2"}</definedName>
    <definedName name="fgty" localSheetId="2" hidden="1">#REF!</definedName>
    <definedName name="fgty" localSheetId="5" hidden="1">#REF!</definedName>
    <definedName name="fgty" localSheetId="0" hidden="1">#REF!</definedName>
    <definedName name="fgty" hidden="1">#REF!</definedName>
    <definedName name="fhgjfgyt" localSheetId="14" hidden="1">{#N/A,#N/A,FALSE,"Plan1";#N/A,#N/A,FALSE,"Plan2"}</definedName>
    <definedName name="fhgjfgyt" localSheetId="7" hidden="1">{#N/A,#N/A,FALSE,"Plan1";#N/A,#N/A,FALSE,"Plan2"}</definedName>
    <definedName name="fhgjfgyt" localSheetId="1" hidden="1">{#N/A,#N/A,FALSE,"Plan1";#N/A,#N/A,FALSE,"Plan2"}</definedName>
    <definedName name="fhgjfgyt" localSheetId="2" hidden="1">{#N/A,#N/A,FALSE,"Plan1";#N/A,#N/A,FALSE,"Plan2"}</definedName>
    <definedName name="fhgjfgyt" localSheetId="9" hidden="1">{#N/A,#N/A,FALSE,"Plan1";#N/A,#N/A,FALSE,"Plan2"}</definedName>
    <definedName name="fhgjfgyt" localSheetId="5" hidden="1">{#N/A,#N/A,FALSE,"Plan1";#N/A,#N/A,FALSE,"Plan2"}</definedName>
    <definedName name="fhgjfgyt" localSheetId="4" hidden="1">{#N/A,#N/A,FALSE,"Plan1";#N/A,#N/A,FALSE,"Plan2"}</definedName>
    <definedName name="fhgjfgyt" localSheetId="8" hidden="1">{#N/A,#N/A,FALSE,"Plan1";#N/A,#N/A,FALSE,"Plan2"}</definedName>
    <definedName name="fhgjfgyt" localSheetId="12" hidden="1">{#N/A,#N/A,FALSE,"Plan1";#N/A,#N/A,FALSE,"Plan2"}</definedName>
    <definedName name="fhgjfgyt" localSheetId="16" hidden="1">{#N/A,#N/A,FALSE,"Plan1";#N/A,#N/A,FALSE,"Plan2"}</definedName>
    <definedName name="fhgjfgyt" localSheetId="0" hidden="1">{#N/A,#N/A,FALSE,"Plan1";#N/A,#N/A,FALSE,"Plan2"}</definedName>
    <definedName name="fhgjfgyt" localSheetId="11" hidden="1">{#N/A,#N/A,FALSE,"Plan1";#N/A,#N/A,FALSE,"Plan2"}</definedName>
    <definedName name="fhgjfgyt" localSheetId="13" hidden="1">{#N/A,#N/A,FALSE,"Plan1";#N/A,#N/A,FALSE,"Plan2"}</definedName>
    <definedName name="fhgjfgyt" hidden="1">{#N/A,#N/A,FALSE,"Plan1";#N/A,#N/A,FALSE,"Plan2"}</definedName>
    <definedName name="fhgjkhtrfg" localSheetId="14" hidden="1">{#N/A,#N/A,FALSE,"Plan1";#N/A,#N/A,FALSE,"Plan2"}</definedName>
    <definedName name="fhgjkhtrfg" localSheetId="7" hidden="1">{#N/A,#N/A,FALSE,"Plan1";#N/A,#N/A,FALSE,"Plan2"}</definedName>
    <definedName name="fhgjkhtrfg" localSheetId="1" hidden="1">{#N/A,#N/A,FALSE,"Plan1";#N/A,#N/A,FALSE,"Plan2"}</definedName>
    <definedName name="fhgjkhtrfg" localSheetId="2" hidden="1">{#N/A,#N/A,FALSE,"Plan1";#N/A,#N/A,FALSE,"Plan2"}</definedName>
    <definedName name="fhgjkhtrfg" localSheetId="9" hidden="1">{#N/A,#N/A,FALSE,"Plan1";#N/A,#N/A,FALSE,"Plan2"}</definedName>
    <definedName name="fhgjkhtrfg" localSheetId="5" hidden="1">{#N/A,#N/A,FALSE,"Plan1";#N/A,#N/A,FALSE,"Plan2"}</definedName>
    <definedName name="fhgjkhtrfg" localSheetId="4" hidden="1">{#N/A,#N/A,FALSE,"Plan1";#N/A,#N/A,FALSE,"Plan2"}</definedName>
    <definedName name="fhgjkhtrfg" localSheetId="8" hidden="1">{#N/A,#N/A,FALSE,"Plan1";#N/A,#N/A,FALSE,"Plan2"}</definedName>
    <definedName name="fhgjkhtrfg" localSheetId="12" hidden="1">{#N/A,#N/A,FALSE,"Plan1";#N/A,#N/A,FALSE,"Plan2"}</definedName>
    <definedName name="fhgjkhtrfg" localSheetId="16" hidden="1">{#N/A,#N/A,FALSE,"Plan1";#N/A,#N/A,FALSE,"Plan2"}</definedName>
    <definedName name="fhgjkhtrfg" localSheetId="0" hidden="1">{#N/A,#N/A,FALSE,"Plan1";#N/A,#N/A,FALSE,"Plan2"}</definedName>
    <definedName name="fhgjkhtrfg" localSheetId="11" hidden="1">{#N/A,#N/A,FALSE,"Plan1";#N/A,#N/A,FALSE,"Plan2"}</definedName>
    <definedName name="fhgjkhtrfg" localSheetId="13" hidden="1">{#N/A,#N/A,FALSE,"Plan1";#N/A,#N/A,FALSE,"Plan2"}</definedName>
    <definedName name="fhgjkhtrfg" hidden="1">{#N/A,#N/A,FALSE,"Plan1";#N/A,#N/A,FALSE,"Plan2"}</definedName>
    <definedName name="FHGTGSRSG" localSheetId="14" hidden="1">{#N/A,#N/A,FALSE,"Plan1";#N/A,#N/A,FALSE,"Plan2"}</definedName>
    <definedName name="FHGTGSRSG" localSheetId="7" hidden="1">{#N/A,#N/A,FALSE,"Plan1";#N/A,#N/A,FALSE,"Plan2"}</definedName>
    <definedName name="FHGTGSRSG" localSheetId="1" hidden="1">{#N/A,#N/A,FALSE,"Plan1";#N/A,#N/A,FALSE,"Plan2"}</definedName>
    <definedName name="FHGTGSRSG" localSheetId="2" hidden="1">{#N/A,#N/A,FALSE,"Plan1";#N/A,#N/A,FALSE,"Plan2"}</definedName>
    <definedName name="FHGTGSRSG" localSheetId="9" hidden="1">{#N/A,#N/A,FALSE,"Plan1";#N/A,#N/A,FALSE,"Plan2"}</definedName>
    <definedName name="FHGTGSRSG" localSheetId="5" hidden="1">{#N/A,#N/A,FALSE,"Plan1";#N/A,#N/A,FALSE,"Plan2"}</definedName>
    <definedName name="FHGTGSRSG" localSheetId="4" hidden="1">{#N/A,#N/A,FALSE,"Plan1";#N/A,#N/A,FALSE,"Plan2"}</definedName>
    <definedName name="FHGTGSRSG" localSheetId="8" hidden="1">{#N/A,#N/A,FALSE,"Plan1";#N/A,#N/A,FALSE,"Plan2"}</definedName>
    <definedName name="FHGTGSRSG" localSheetId="12" hidden="1">{#N/A,#N/A,FALSE,"Plan1";#N/A,#N/A,FALSE,"Plan2"}</definedName>
    <definedName name="FHGTGSRSG" localSheetId="16" hidden="1">{#N/A,#N/A,FALSE,"Plan1";#N/A,#N/A,FALSE,"Plan2"}</definedName>
    <definedName name="FHGTGSRSG" localSheetId="0" hidden="1">{#N/A,#N/A,FALSE,"Plan1";#N/A,#N/A,FALSE,"Plan2"}</definedName>
    <definedName name="FHGTGSRSG" localSheetId="11" hidden="1">{#N/A,#N/A,FALSE,"Plan1";#N/A,#N/A,FALSE,"Plan2"}</definedName>
    <definedName name="FHGTGSRSG" localSheetId="13" hidden="1">{#N/A,#N/A,FALSE,"Plan1";#N/A,#N/A,FALSE,"Plan2"}</definedName>
    <definedName name="FHGTGSRSG" hidden="1">{#N/A,#N/A,FALSE,"Plan1";#N/A,#N/A,FALSE,"Plan2"}</definedName>
    <definedName name="FIELD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4" hidden="1">{#N/A,#N/A,TRUE,"Quinzena 01 à 15-04-98 "}</definedName>
    <definedName name="FILTRO" localSheetId="7" hidden="1">{#N/A,#N/A,TRUE,"Quinzena 01 à 15-04-98 "}</definedName>
    <definedName name="FILTRO" localSheetId="1" hidden="1">{#N/A,#N/A,TRUE,"Quinzena 01 à 15-04-98 "}</definedName>
    <definedName name="FILTRO" localSheetId="2" hidden="1">{#N/A,#N/A,TRUE,"Quinzena 01 à 15-04-98 "}</definedName>
    <definedName name="FILTRO" localSheetId="9" hidden="1">{#N/A,#N/A,TRUE,"Quinzena 01 à 15-04-98 "}</definedName>
    <definedName name="FILTRO" localSheetId="5" hidden="1">{#N/A,#N/A,TRUE,"Quinzena 01 à 15-04-98 "}</definedName>
    <definedName name="FILTRO" localSheetId="4" hidden="1">{#N/A,#N/A,TRUE,"Quinzena 01 à 15-04-98 "}</definedName>
    <definedName name="FILTRO" localSheetId="8" hidden="1">{#N/A,#N/A,TRUE,"Quinzena 01 à 15-04-98 "}</definedName>
    <definedName name="FILTRO" localSheetId="12" hidden="1">{#N/A,#N/A,TRUE,"Quinzena 01 à 15-04-98 "}</definedName>
    <definedName name="FILTRO" localSheetId="16" hidden="1">{#N/A,#N/A,TRUE,"Quinzena 01 à 15-04-98 "}</definedName>
    <definedName name="FILTRO" localSheetId="0" hidden="1">{#N/A,#N/A,TRUE,"Quinzena 01 à 15-04-98 "}</definedName>
    <definedName name="FILTRO" localSheetId="11" hidden="1">{#N/A,#N/A,TRUE,"Quinzena 01 à 15-04-98 "}</definedName>
    <definedName name="FILTRO" localSheetId="13" hidden="1">{#N/A,#N/A,TRUE,"Quinzena 01 à 15-04-98 "}</definedName>
    <definedName name="FILTRO" hidden="1">{#N/A,#N/A,TRUE,"Quinzena 01 à 15-04-98 "}</definedName>
    <definedName name="Filtro_Rel_Sienge" localSheetId="2">#REF!</definedName>
    <definedName name="Filtro_Rel_Sienge" localSheetId="5">#REF!</definedName>
    <definedName name="Filtro_Rel_Sienge">#REF!</definedName>
    <definedName name="Firs_hist" localSheetId="2">#REF!</definedName>
    <definedName name="Firs_hist" localSheetId="5">#REF!</definedName>
    <definedName name="Firs_hist">#REF!</definedName>
    <definedName name="First_cdi" localSheetId="2">#REF!</definedName>
    <definedName name="First_cdi" localSheetId="5">#REF!</definedName>
    <definedName name="First_cdi">#REF!</definedName>
    <definedName name="First_uss" localSheetId="2">#REF!</definedName>
    <definedName name="First_uss" localSheetId="5">#REF!</definedName>
    <definedName name="First_uss">#REF!</definedName>
    <definedName name="fjdhfgjdhtgu" localSheetId="14" hidden="1">{#N/A,#N/A,FALSE,"Plan1";#N/A,#N/A,FALSE,"Plan2"}</definedName>
    <definedName name="fjdhfgjdhtgu" localSheetId="7" hidden="1">{#N/A,#N/A,FALSE,"Plan1";#N/A,#N/A,FALSE,"Plan2"}</definedName>
    <definedName name="fjdhfgjdhtgu" localSheetId="1" hidden="1">{#N/A,#N/A,FALSE,"Plan1";#N/A,#N/A,FALSE,"Plan2"}</definedName>
    <definedName name="fjdhfgjdhtgu" localSheetId="2" hidden="1">{#N/A,#N/A,FALSE,"Plan1";#N/A,#N/A,FALSE,"Plan2"}</definedName>
    <definedName name="fjdhfgjdhtgu" localSheetId="9" hidden="1">{#N/A,#N/A,FALSE,"Plan1";#N/A,#N/A,FALSE,"Plan2"}</definedName>
    <definedName name="fjdhfgjdhtgu" localSheetId="5" hidden="1">{#N/A,#N/A,FALSE,"Plan1";#N/A,#N/A,FALSE,"Plan2"}</definedName>
    <definedName name="fjdhfgjdhtgu" localSheetId="4" hidden="1">{#N/A,#N/A,FALSE,"Plan1";#N/A,#N/A,FALSE,"Plan2"}</definedName>
    <definedName name="fjdhfgjdhtgu" localSheetId="8" hidden="1">{#N/A,#N/A,FALSE,"Plan1";#N/A,#N/A,FALSE,"Plan2"}</definedName>
    <definedName name="fjdhfgjdhtgu" localSheetId="12" hidden="1">{#N/A,#N/A,FALSE,"Plan1";#N/A,#N/A,FALSE,"Plan2"}</definedName>
    <definedName name="fjdhfgjdhtgu" localSheetId="16" hidden="1">{#N/A,#N/A,FALSE,"Plan1";#N/A,#N/A,FALSE,"Plan2"}</definedName>
    <definedName name="fjdhfgjdhtgu" localSheetId="0" hidden="1">{#N/A,#N/A,FALSE,"Plan1";#N/A,#N/A,FALSE,"Plan2"}</definedName>
    <definedName name="fjdhfgjdhtgu" localSheetId="11" hidden="1">{#N/A,#N/A,FALSE,"Plan1";#N/A,#N/A,FALSE,"Plan2"}</definedName>
    <definedName name="fjdhfgjdhtgu" localSheetId="13" hidden="1">{#N/A,#N/A,FALSE,"Plan1";#N/A,#N/A,FALSE,"Plan2"}</definedName>
    <definedName name="fjdhfgjdhtgu" hidden="1">{#N/A,#N/A,FALSE,"Plan1";#N/A,#N/A,FALSE,"Plan2"}</definedName>
    <definedName name="fjfjg" localSheetId="14" hidden="1">{#N/A,#N/A,FALSE,"명세표"}</definedName>
    <definedName name="fjfjg" localSheetId="7" hidden="1">{#N/A,#N/A,FALSE,"명세표"}</definedName>
    <definedName name="fjfjg" localSheetId="1" hidden="1">{#N/A,#N/A,FALSE,"명세표"}</definedName>
    <definedName name="fjfjg" localSheetId="2" hidden="1">{#N/A,#N/A,FALSE,"명세표"}</definedName>
    <definedName name="fjfjg" localSheetId="9" hidden="1">{#N/A,#N/A,FALSE,"명세표"}</definedName>
    <definedName name="fjfjg" localSheetId="5" hidden="1">{#N/A,#N/A,FALSE,"명세표"}</definedName>
    <definedName name="fjfjg" localSheetId="4" hidden="1">{#N/A,#N/A,FALSE,"명세표"}</definedName>
    <definedName name="fjfjg" localSheetId="8" hidden="1">{#N/A,#N/A,FALSE,"명세표"}</definedName>
    <definedName name="fjfjg" localSheetId="12" hidden="1">{#N/A,#N/A,FALSE,"명세표"}</definedName>
    <definedName name="fjfjg" localSheetId="16" hidden="1">{#N/A,#N/A,FALSE,"명세표"}</definedName>
    <definedName name="fjfjg" localSheetId="0" hidden="1">{#N/A,#N/A,FALSE,"명세표"}</definedName>
    <definedName name="fjfjg" localSheetId="11" hidden="1">{#N/A,#N/A,FALSE,"명세표"}</definedName>
    <definedName name="fjfjg" localSheetId="13" hidden="1">{#N/A,#N/A,FALSE,"명세표"}</definedName>
    <definedName name="fjfjg" hidden="1">{#N/A,#N/A,FALSE,"명세표"}</definedName>
    <definedName name="FJG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4" hidden="1">{#N/A,#N/A,FALSE,"Plan1";#N/A,#N/A,FALSE,"Plan2"}</definedName>
    <definedName name="FJHJHG" localSheetId="7" hidden="1">{#N/A,#N/A,FALSE,"Plan1";#N/A,#N/A,FALSE,"Plan2"}</definedName>
    <definedName name="FJHJHG" localSheetId="1" hidden="1">{#N/A,#N/A,FALSE,"Plan1";#N/A,#N/A,FALSE,"Plan2"}</definedName>
    <definedName name="FJHJHG" localSheetId="2" hidden="1">{#N/A,#N/A,FALSE,"Plan1";#N/A,#N/A,FALSE,"Plan2"}</definedName>
    <definedName name="FJHJHG" localSheetId="9" hidden="1">{#N/A,#N/A,FALSE,"Plan1";#N/A,#N/A,FALSE,"Plan2"}</definedName>
    <definedName name="FJHJHG" localSheetId="5" hidden="1">{#N/A,#N/A,FALSE,"Plan1";#N/A,#N/A,FALSE,"Plan2"}</definedName>
    <definedName name="FJHJHG" localSheetId="4" hidden="1">{#N/A,#N/A,FALSE,"Plan1";#N/A,#N/A,FALSE,"Plan2"}</definedName>
    <definedName name="FJHJHG" localSheetId="8" hidden="1">{#N/A,#N/A,FALSE,"Plan1";#N/A,#N/A,FALSE,"Plan2"}</definedName>
    <definedName name="FJHJHG" localSheetId="12" hidden="1">{#N/A,#N/A,FALSE,"Plan1";#N/A,#N/A,FALSE,"Plan2"}</definedName>
    <definedName name="FJHJHG" localSheetId="16" hidden="1">{#N/A,#N/A,FALSE,"Plan1";#N/A,#N/A,FALSE,"Plan2"}</definedName>
    <definedName name="FJHJHG" localSheetId="0" hidden="1">{#N/A,#N/A,FALSE,"Plan1";#N/A,#N/A,FALSE,"Plan2"}</definedName>
    <definedName name="FJHJHG" localSheetId="11" hidden="1">{#N/A,#N/A,FALSE,"Plan1";#N/A,#N/A,FALSE,"Plan2"}</definedName>
    <definedName name="FJHJHG" localSheetId="13" hidden="1">{#N/A,#N/A,FALSE,"Plan1";#N/A,#N/A,FALSE,"Plan2"}</definedName>
    <definedName name="FJHJHG" hidden="1">{#N/A,#N/A,FALSE,"Plan1";#N/A,#N/A,FALSE,"Plan2"}</definedName>
    <definedName name="fjtgfh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4" hidden="1">{#N/A,#N/A,FALSE,"Plan1";#N/A,#N/A,FALSE,"Plan2"}</definedName>
    <definedName name="fkfw" localSheetId="7" hidden="1">{#N/A,#N/A,FALSE,"Plan1";#N/A,#N/A,FALSE,"Plan2"}</definedName>
    <definedName name="fkfw" localSheetId="1" hidden="1">{#N/A,#N/A,FALSE,"Plan1";#N/A,#N/A,FALSE,"Plan2"}</definedName>
    <definedName name="fkfw" localSheetId="2" hidden="1">{#N/A,#N/A,FALSE,"Plan1";#N/A,#N/A,FALSE,"Plan2"}</definedName>
    <definedName name="fkfw" localSheetId="9" hidden="1">{#N/A,#N/A,FALSE,"Plan1";#N/A,#N/A,FALSE,"Plan2"}</definedName>
    <definedName name="fkfw" localSheetId="5" hidden="1">{#N/A,#N/A,FALSE,"Plan1";#N/A,#N/A,FALSE,"Plan2"}</definedName>
    <definedName name="fkfw" localSheetId="4" hidden="1">{#N/A,#N/A,FALSE,"Plan1";#N/A,#N/A,FALSE,"Plan2"}</definedName>
    <definedName name="fkfw" localSheetId="8" hidden="1">{#N/A,#N/A,FALSE,"Plan1";#N/A,#N/A,FALSE,"Plan2"}</definedName>
    <definedName name="fkfw" localSheetId="12" hidden="1">{#N/A,#N/A,FALSE,"Plan1";#N/A,#N/A,FALSE,"Plan2"}</definedName>
    <definedName name="fkfw" localSheetId="16" hidden="1">{#N/A,#N/A,FALSE,"Plan1";#N/A,#N/A,FALSE,"Plan2"}</definedName>
    <definedName name="fkfw" localSheetId="0" hidden="1">{#N/A,#N/A,FALSE,"Plan1";#N/A,#N/A,FALSE,"Plan2"}</definedName>
    <definedName name="fkfw" localSheetId="11" hidden="1">{#N/A,#N/A,FALSE,"Plan1";#N/A,#N/A,FALSE,"Plan2"}</definedName>
    <definedName name="fkfw" localSheetId="13" hidden="1">{#N/A,#N/A,FALSE,"Plan1";#N/A,#N/A,FALSE,"Plan2"}</definedName>
    <definedName name="fkfw" hidden="1">{#N/A,#N/A,FALSE,"Plan1";#N/A,#N/A,FALSE,"Plan2"}</definedName>
    <definedName name="f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5">#REF!</definedName>
    <definedName name="f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24">#REF!</definedName>
    <definedName name="fl" localSheetId="23">#REF!</definedName>
    <definedName name="fl">#REF!</definedName>
    <definedName name="FL_1" localSheetId="2">#REF!</definedName>
    <definedName name="FL_1" localSheetId="9">#REF!</definedName>
    <definedName name="FL_1" localSheetId="5">#REF!</definedName>
    <definedName name="FL_1" localSheetId="24">#REF!</definedName>
    <definedName name="FL_1" localSheetId="23">#REF!</definedName>
    <definedName name="FL_1">#REF!</definedName>
    <definedName name="FL_2" localSheetId="2">#REF!</definedName>
    <definedName name="FL_2" localSheetId="5">#REF!</definedName>
    <definedName name="FL_2" localSheetId="24">#REF!</definedName>
    <definedName name="FL_2" localSheetId="23">#REF!</definedName>
    <definedName name="FL_2">#REF!</definedName>
    <definedName name="FL_3" localSheetId="2">#REF!</definedName>
    <definedName name="FL_3" localSheetId="5">#REF!</definedName>
    <definedName name="FL_3" localSheetId="24">#REF!</definedName>
    <definedName name="FL_3" localSheetId="23">#REF!</definedName>
    <definedName name="FL_3">#REF!</definedName>
    <definedName name="Fluxo_captação" localSheetId="2">#REF!</definedName>
    <definedName name="Fluxo_captação" localSheetId="5">#REF!</definedName>
    <definedName name="Fluxo_captação">#REF!</definedName>
    <definedName name="FOLHA2" localSheetId="2">#REF!</definedName>
    <definedName name="FOLHA2" localSheetId="5">#REF!</definedName>
    <definedName name="FOLHA2">#REF!</definedName>
    <definedName name="Format" localSheetId="2">#REF!</definedName>
    <definedName name="Format" localSheetId="5">#REF!</definedName>
    <definedName name="Format">#REF!</definedName>
    <definedName name="Formato_da_Loja" localSheetId="2">#REF!</definedName>
    <definedName name="Formato_da_Loja" localSheetId="5">#REF!</definedName>
    <definedName name="Formato_da_Loja">#REF!</definedName>
    <definedName name="FORMULA" localSheetId="2">#REF!</definedName>
    <definedName name="FORMULA" localSheetId="5">#REF!</definedName>
    <definedName name="FORMULA">#REF!</definedName>
    <definedName name="FORNECEDOR" localSheetId="2">OFFSET(#REF!,6,0,COUNTA(#REF!))</definedName>
    <definedName name="FORNECEDOR" localSheetId="5">OFFSET(#REF!,6,0,COUNTA(#REF!))</definedName>
    <definedName name="FORNECEDOR">OFFSET(#REF!,6,0,COUNTA(#REF!))</definedName>
    <definedName name="FORNECEDOR_2" localSheetId="2">OFFSET(#REF!,6,0,COUNTA(#REF!))</definedName>
    <definedName name="FORNECEDOR_2" localSheetId="5">OFFSET(#REF!,6,0,COUNTA(#REF!))</definedName>
    <definedName name="FORNECEDOR_2">OFFSET(#REF!,6,0,COUNTA(#REF!))</definedName>
    <definedName name="FORNECEDOR_3" localSheetId="2">OFFSET(#REF!,6,0,COUNTA(#REF!))</definedName>
    <definedName name="FORNECEDOR_3" localSheetId="5">OFFSET(#REF!,6,0,COUNTA(#REF!))</definedName>
    <definedName name="FORNECEDOR_3">OFFSET(#REF!,6,0,COUNTA(#REF!))</definedName>
    <definedName name="FORNECEDOR_4" localSheetId="2">OFFSET(#REF!,6,0,COUNTA(#REF!))</definedName>
    <definedName name="FORNECEDOR_4" localSheetId="5">OFFSET(#REF!,6,0,COUNTA(#REF!))</definedName>
    <definedName name="FORNECEDOR_4">OFFSET(#REF!,6,0,COUNTA(#REF!))</definedName>
    <definedName name="FORNECEDOR_5" localSheetId="2">OFFSET(#REF!,6,0,COUNTA(#REF!))</definedName>
    <definedName name="FORNECEDOR_5" localSheetId="5">OFFSET(#REF!,6,0,COUNTA(#REF!))</definedName>
    <definedName name="FORNECEDOR_5">OFFSET(#REF!,6,0,COUNTA(#REF!))</definedName>
    <definedName name="FORNECEDOR_7" localSheetId="2">OFFSET(#REF!,6,0,COUNTA(#REF!))</definedName>
    <definedName name="FORNECEDOR_7" localSheetId="5">OFFSET(#REF!,6,0,COUNTA(#REF!))</definedName>
    <definedName name="FORNECEDOR_7">OFFSET(#REF!,6,0,COUNTA(#REF!))</definedName>
    <definedName name="FORNECEDOR_8" localSheetId="2">OFFSET(#REF!,6,0,COUNTA(#REF!))</definedName>
    <definedName name="FORNECEDOR_8" localSheetId="5">OFFSET(#REF!,6,0,COUNTA(#REF!))</definedName>
    <definedName name="FORNECEDOR_8">OFFSET(#REF!,6,0,COUNTA(#REF!))</definedName>
    <definedName name="frçt4r" localSheetId="14" hidden="1">{#N/A,#N/A,FALSE,"Plan1";#N/A,#N/A,FALSE,"Plan2"}</definedName>
    <definedName name="frçt4r" localSheetId="7" hidden="1">{#N/A,#N/A,FALSE,"Plan1";#N/A,#N/A,FALSE,"Plan2"}</definedName>
    <definedName name="frçt4r" localSheetId="1" hidden="1">{#N/A,#N/A,FALSE,"Plan1";#N/A,#N/A,FALSE,"Plan2"}</definedName>
    <definedName name="frçt4r" localSheetId="2" hidden="1">{#N/A,#N/A,FALSE,"Plan1";#N/A,#N/A,FALSE,"Plan2"}</definedName>
    <definedName name="frçt4r" localSheetId="9" hidden="1">{#N/A,#N/A,FALSE,"Plan1";#N/A,#N/A,FALSE,"Plan2"}</definedName>
    <definedName name="frçt4r" localSheetId="5" hidden="1">{#N/A,#N/A,FALSE,"Plan1";#N/A,#N/A,FALSE,"Plan2"}</definedName>
    <definedName name="frçt4r" localSheetId="4" hidden="1">{#N/A,#N/A,FALSE,"Plan1";#N/A,#N/A,FALSE,"Plan2"}</definedName>
    <definedName name="frçt4r" localSheetId="8" hidden="1">{#N/A,#N/A,FALSE,"Plan1";#N/A,#N/A,FALSE,"Plan2"}</definedName>
    <definedName name="frçt4r" localSheetId="12" hidden="1">{#N/A,#N/A,FALSE,"Plan1";#N/A,#N/A,FALSE,"Plan2"}</definedName>
    <definedName name="frçt4r" localSheetId="16" hidden="1">{#N/A,#N/A,FALSE,"Plan1";#N/A,#N/A,FALSE,"Plan2"}</definedName>
    <definedName name="frçt4r" localSheetId="0" hidden="1">{#N/A,#N/A,FALSE,"Plan1";#N/A,#N/A,FALSE,"Plan2"}</definedName>
    <definedName name="frçt4r" localSheetId="11" hidden="1">{#N/A,#N/A,FALSE,"Plan1";#N/A,#N/A,FALSE,"Plan2"}</definedName>
    <definedName name="frçt4r" localSheetId="13" hidden="1">{#N/A,#N/A,FALSE,"Plan1";#N/A,#N/A,FALSE,"Plan2"}</definedName>
    <definedName name="frçt4r" hidden="1">{#N/A,#N/A,FALSE,"Plan1";#N/A,#N/A,FALSE,"Plan2"}</definedName>
    <definedName name="frdtty" localSheetId="14" hidden="1">{#N/A,#N/A,FALSE,"Plan1";#N/A,#N/A,FALSE,"Plan2"}</definedName>
    <definedName name="frdtty" localSheetId="7" hidden="1">{#N/A,#N/A,FALSE,"Plan1";#N/A,#N/A,FALSE,"Plan2"}</definedName>
    <definedName name="frdtty" localSheetId="1" hidden="1">{#N/A,#N/A,FALSE,"Plan1";#N/A,#N/A,FALSE,"Plan2"}</definedName>
    <definedName name="frdtty" localSheetId="2" hidden="1">{#N/A,#N/A,FALSE,"Plan1";#N/A,#N/A,FALSE,"Plan2"}</definedName>
    <definedName name="frdtty" localSheetId="9" hidden="1">{#N/A,#N/A,FALSE,"Plan1";#N/A,#N/A,FALSE,"Plan2"}</definedName>
    <definedName name="frdtty" localSheetId="5" hidden="1">{#N/A,#N/A,FALSE,"Plan1";#N/A,#N/A,FALSE,"Plan2"}</definedName>
    <definedName name="frdtty" localSheetId="4" hidden="1">{#N/A,#N/A,FALSE,"Plan1";#N/A,#N/A,FALSE,"Plan2"}</definedName>
    <definedName name="frdtty" localSheetId="8" hidden="1">{#N/A,#N/A,FALSE,"Plan1";#N/A,#N/A,FALSE,"Plan2"}</definedName>
    <definedName name="frdtty" localSheetId="12" hidden="1">{#N/A,#N/A,FALSE,"Plan1";#N/A,#N/A,FALSE,"Plan2"}</definedName>
    <definedName name="frdtty" localSheetId="16" hidden="1">{#N/A,#N/A,FALSE,"Plan1";#N/A,#N/A,FALSE,"Plan2"}</definedName>
    <definedName name="frdtty" localSheetId="0" hidden="1">{#N/A,#N/A,FALSE,"Plan1";#N/A,#N/A,FALSE,"Plan2"}</definedName>
    <definedName name="frdtty" localSheetId="11" hidden="1">{#N/A,#N/A,FALSE,"Plan1";#N/A,#N/A,FALSE,"Plan2"}</definedName>
    <definedName name="frdtty" localSheetId="13" hidden="1">{#N/A,#N/A,FALSE,"Plan1";#N/A,#N/A,FALSE,"Plan2"}</definedName>
    <definedName name="frdtty" hidden="1">{#N/A,#N/A,FALSE,"Plan1";#N/A,#N/A,FALSE,"Plan2"}</definedName>
    <definedName name="fsdfs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4" hidden="1">{#N/A,#N/A,FALSE,"Plan1";#N/A,#N/A,FALSE,"Plan2"}</definedName>
    <definedName name="fuihgjk" localSheetId="7" hidden="1">{#N/A,#N/A,FALSE,"Plan1";#N/A,#N/A,FALSE,"Plan2"}</definedName>
    <definedName name="fuihgjk" localSheetId="1" hidden="1">{#N/A,#N/A,FALSE,"Plan1";#N/A,#N/A,FALSE,"Plan2"}</definedName>
    <definedName name="fuihgjk" localSheetId="2" hidden="1">{#N/A,#N/A,FALSE,"Plan1";#N/A,#N/A,FALSE,"Plan2"}</definedName>
    <definedName name="fuihgjk" localSheetId="9" hidden="1">{#N/A,#N/A,FALSE,"Plan1";#N/A,#N/A,FALSE,"Plan2"}</definedName>
    <definedName name="fuihgjk" localSheetId="5" hidden="1">{#N/A,#N/A,FALSE,"Plan1";#N/A,#N/A,FALSE,"Plan2"}</definedName>
    <definedName name="fuihgjk" localSheetId="4" hidden="1">{#N/A,#N/A,FALSE,"Plan1";#N/A,#N/A,FALSE,"Plan2"}</definedName>
    <definedName name="fuihgjk" localSheetId="8" hidden="1">{#N/A,#N/A,FALSE,"Plan1";#N/A,#N/A,FALSE,"Plan2"}</definedName>
    <definedName name="fuihgjk" localSheetId="12" hidden="1">{#N/A,#N/A,FALSE,"Plan1";#N/A,#N/A,FALSE,"Plan2"}</definedName>
    <definedName name="fuihgjk" localSheetId="16" hidden="1">{#N/A,#N/A,FALSE,"Plan1";#N/A,#N/A,FALSE,"Plan2"}</definedName>
    <definedName name="fuihgjk" localSheetId="0" hidden="1">{#N/A,#N/A,FALSE,"Plan1";#N/A,#N/A,FALSE,"Plan2"}</definedName>
    <definedName name="fuihgjk" localSheetId="11" hidden="1">{#N/A,#N/A,FALSE,"Plan1";#N/A,#N/A,FALSE,"Plan2"}</definedName>
    <definedName name="fuihgjk" localSheetId="13" hidden="1">{#N/A,#N/A,FALSE,"Plan1";#N/A,#N/A,FALSE,"Plan2"}</definedName>
    <definedName name="fuihgjk" hidden="1">{#N/A,#N/A,FALSE,"Plan1";#N/A,#N/A,FALSE,"Plan2"}</definedName>
    <definedName name="fuste" localSheetId="2">#REF!</definedName>
    <definedName name="fuste" localSheetId="5">#REF!</definedName>
    <definedName name="fuste">#REF!</definedName>
    <definedName name="fxjghkfg" localSheetId="14" hidden="1">{#N/A,#N/A,FALSE,"Plan1";#N/A,#N/A,FALSE,"Plan2"}</definedName>
    <definedName name="fxjghkfg" localSheetId="7" hidden="1">{#N/A,#N/A,FALSE,"Plan1";#N/A,#N/A,FALSE,"Plan2"}</definedName>
    <definedName name="fxjghkfg" localSheetId="1" hidden="1">{#N/A,#N/A,FALSE,"Plan1";#N/A,#N/A,FALSE,"Plan2"}</definedName>
    <definedName name="fxjghkfg" localSheetId="2" hidden="1">{#N/A,#N/A,FALSE,"Plan1";#N/A,#N/A,FALSE,"Plan2"}</definedName>
    <definedName name="fxjghkfg" localSheetId="9" hidden="1">{#N/A,#N/A,FALSE,"Plan1";#N/A,#N/A,FALSE,"Plan2"}</definedName>
    <definedName name="fxjghkfg" localSheetId="5" hidden="1">{#N/A,#N/A,FALSE,"Plan1";#N/A,#N/A,FALSE,"Plan2"}</definedName>
    <definedName name="fxjghkfg" localSheetId="4" hidden="1">{#N/A,#N/A,FALSE,"Plan1";#N/A,#N/A,FALSE,"Plan2"}</definedName>
    <definedName name="fxjghkfg" localSheetId="8" hidden="1">{#N/A,#N/A,FALSE,"Plan1";#N/A,#N/A,FALSE,"Plan2"}</definedName>
    <definedName name="fxjghkfg" localSheetId="12" hidden="1">{#N/A,#N/A,FALSE,"Plan1";#N/A,#N/A,FALSE,"Plan2"}</definedName>
    <definedName name="fxjghkfg" localSheetId="16" hidden="1">{#N/A,#N/A,FALSE,"Plan1";#N/A,#N/A,FALSE,"Plan2"}</definedName>
    <definedName name="fxjghkfg" localSheetId="0" hidden="1">{#N/A,#N/A,FALSE,"Plan1";#N/A,#N/A,FALSE,"Plan2"}</definedName>
    <definedName name="fxjghkfg" localSheetId="11" hidden="1">{#N/A,#N/A,FALSE,"Plan1";#N/A,#N/A,FALSE,"Plan2"}</definedName>
    <definedName name="fxjghkfg" localSheetId="13" hidden="1">{#N/A,#N/A,FALSE,"Plan1";#N/A,#N/A,FALSE,"Plan2"}</definedName>
    <definedName name="fxjghkfg" hidden="1">{#N/A,#N/A,FALSE,"Plan1";#N/A,#N/A,FALSE,"Plan2"}</definedName>
    <definedName name="g_10" localSheetId="2">#REF!</definedName>
    <definedName name="g_10" localSheetId="5">#REF!</definedName>
    <definedName name="g_10">#REF!</definedName>
    <definedName name="g_11" localSheetId="2">#REF!</definedName>
    <definedName name="g_11" localSheetId="5">#REF!</definedName>
    <definedName name="g_11">#REF!</definedName>
    <definedName name="g_12" localSheetId="2">#REF!</definedName>
    <definedName name="g_12" localSheetId="5">#REF!</definedName>
    <definedName name="g_12">#REF!</definedName>
    <definedName name="g_13" localSheetId="2">#REF!</definedName>
    <definedName name="g_13" localSheetId="5">#REF!</definedName>
    <definedName name="g_13">#REF!</definedName>
    <definedName name="g_15" localSheetId="2">#REF!</definedName>
    <definedName name="g_15" localSheetId="5">#REF!</definedName>
    <definedName name="g_15">#REF!</definedName>
    <definedName name="g_16" localSheetId="2">#REF!</definedName>
    <definedName name="g_16" localSheetId="5">#REF!</definedName>
    <definedName name="g_16">#REF!</definedName>
    <definedName name="g_17" localSheetId="2">#REF!</definedName>
    <definedName name="g_17" localSheetId="5">#REF!</definedName>
    <definedName name="g_17">#REF!</definedName>
    <definedName name="g_19" localSheetId="2">#REF!</definedName>
    <definedName name="g_19" localSheetId="5">#REF!</definedName>
    <definedName name="g_19">#REF!</definedName>
    <definedName name="g_21" localSheetId="2">#REF!</definedName>
    <definedName name="g_21" localSheetId="5">#REF!</definedName>
    <definedName name="g_21">#REF!</definedName>
    <definedName name="g_25" localSheetId="2">#REF!</definedName>
    <definedName name="g_25" localSheetId="5">#REF!</definedName>
    <definedName name="g_25">#REF!</definedName>
    <definedName name="g_27" localSheetId="2">#REF!</definedName>
    <definedName name="g_27" localSheetId="5">#REF!</definedName>
    <definedName name="g_27">#REF!</definedName>
    <definedName name="g_31" localSheetId="2">#REF!</definedName>
    <definedName name="g_31" localSheetId="5">#REF!</definedName>
    <definedName name="g_31">#REF!</definedName>
    <definedName name="g_32" localSheetId="2">#REF!</definedName>
    <definedName name="g_32" localSheetId="5">#REF!</definedName>
    <definedName name="g_32">#REF!</definedName>
    <definedName name="g_33" localSheetId="2">#REF!</definedName>
    <definedName name="g_33" localSheetId="5">#REF!</definedName>
    <definedName name="g_33">#REF!</definedName>
    <definedName name="g_34" localSheetId="2">#REF!</definedName>
    <definedName name="g_34" localSheetId="5">#REF!</definedName>
    <definedName name="g_34">#REF!</definedName>
    <definedName name="G_35" localSheetId="2">#REF!</definedName>
    <definedName name="G_35" localSheetId="5">#REF!</definedName>
    <definedName name="G_35">#REF!</definedName>
    <definedName name="g_37" localSheetId="2">#REF!</definedName>
    <definedName name="g_37" localSheetId="5">#REF!</definedName>
    <definedName name="g_37">#REF!</definedName>
    <definedName name="g_41" localSheetId="2">#REF!</definedName>
    <definedName name="g_41" localSheetId="5">#REF!</definedName>
    <definedName name="g_41">#REF!</definedName>
    <definedName name="g_42" localSheetId="2">#REF!</definedName>
    <definedName name="g_42" localSheetId="5">#REF!</definedName>
    <definedName name="g_42">#REF!</definedName>
    <definedName name="g_45" localSheetId="2">#REF!</definedName>
    <definedName name="g_45" localSheetId="5">#REF!</definedName>
    <definedName name="g_45">#REF!</definedName>
    <definedName name="g_47" localSheetId="2">#REF!</definedName>
    <definedName name="g_47" localSheetId="5">#REF!</definedName>
    <definedName name="g_47">#REF!</definedName>
    <definedName name="g_51" localSheetId="2">#REF!</definedName>
    <definedName name="g_51" localSheetId="5">#REF!</definedName>
    <definedName name="g_51">#REF!</definedName>
    <definedName name="g_52" localSheetId="2">#REF!</definedName>
    <definedName name="g_52" localSheetId="5">#REF!</definedName>
    <definedName name="g_52">#REF!</definedName>
    <definedName name="g_53" localSheetId="2">#REF!</definedName>
    <definedName name="g_53" localSheetId="5">#REF!</definedName>
    <definedName name="g_53">#REF!</definedName>
    <definedName name="G_54" localSheetId="2">#REF!</definedName>
    <definedName name="G_54" localSheetId="5">#REF!</definedName>
    <definedName name="G_54">#REF!</definedName>
    <definedName name="G_55" localSheetId="2">#REF!</definedName>
    <definedName name="G_55" localSheetId="5">#REF!</definedName>
    <definedName name="G_55">#REF!</definedName>
    <definedName name="G_56" localSheetId="2">#REF!</definedName>
    <definedName name="G_56" localSheetId="5">#REF!</definedName>
    <definedName name="G_56">#REF!</definedName>
    <definedName name="G_57" localSheetId="2">#REF!</definedName>
    <definedName name="G_57" localSheetId="5">#REF!</definedName>
    <definedName name="G_57">#REF!</definedName>
    <definedName name="G_58" localSheetId="2">#REF!</definedName>
    <definedName name="G_58" localSheetId="5">#REF!</definedName>
    <definedName name="G_58">#REF!</definedName>
    <definedName name="G_59" localSheetId="2">#REF!</definedName>
    <definedName name="G_59" localSheetId="5">#REF!</definedName>
    <definedName name="G_59">#REF!</definedName>
    <definedName name="G_61" localSheetId="2">#REF!</definedName>
    <definedName name="G_61" localSheetId="5">#REF!</definedName>
    <definedName name="G_61">#REF!</definedName>
    <definedName name="G_63" localSheetId="2">#REF!</definedName>
    <definedName name="G_63" localSheetId="5">#REF!</definedName>
    <definedName name="G_63">#REF!</definedName>
    <definedName name="G_65" localSheetId="2">#REF!</definedName>
    <definedName name="G_65" localSheetId="5">#REF!</definedName>
    <definedName name="G_65">#REF!</definedName>
    <definedName name="G_67" localSheetId="2">#REF!</definedName>
    <definedName name="G_67" localSheetId="5">#REF!</definedName>
    <definedName name="G_67">#REF!</definedName>
    <definedName name="g_68" localSheetId="2">#REF!</definedName>
    <definedName name="g_68" localSheetId="5">#REF!</definedName>
    <definedName name="g_68">#REF!</definedName>
    <definedName name="g_69" localSheetId="2">#REF!</definedName>
    <definedName name="g_69" localSheetId="5">#REF!</definedName>
    <definedName name="g_69">#REF!</definedName>
    <definedName name="G_71" localSheetId="2">#REF!</definedName>
    <definedName name="G_71" localSheetId="5">#REF!</definedName>
    <definedName name="G_71">#REF!</definedName>
    <definedName name="G_73" localSheetId="2">#REF!</definedName>
    <definedName name="G_73" localSheetId="5">#REF!</definedName>
    <definedName name="G_73">#REF!</definedName>
    <definedName name="G_75" localSheetId="2">#REF!</definedName>
    <definedName name="G_75" localSheetId="5">#REF!</definedName>
    <definedName name="G_75">#REF!</definedName>
    <definedName name="G_77" localSheetId="2">#REF!</definedName>
    <definedName name="G_77" localSheetId="5">#REF!</definedName>
    <definedName name="G_77">#REF!</definedName>
    <definedName name="G_78" localSheetId="2">#REF!</definedName>
    <definedName name="G_78" localSheetId="5">#REF!</definedName>
    <definedName name="G_78">#REF!</definedName>
    <definedName name="G_81" localSheetId="2">#REF!</definedName>
    <definedName name="G_81" localSheetId="5">#REF!</definedName>
    <definedName name="G_81">#REF!</definedName>
    <definedName name="G_83" localSheetId="2">#REF!</definedName>
    <definedName name="G_83" localSheetId="5">#REF!</definedName>
    <definedName name="G_83">#REF!</definedName>
    <definedName name="G_85" localSheetId="2">#REF!</definedName>
    <definedName name="G_85" localSheetId="5">#REF!</definedName>
    <definedName name="G_85">#REF!</definedName>
    <definedName name="G_87" localSheetId="2">#REF!</definedName>
    <definedName name="G_87" localSheetId="5">#REF!</definedName>
    <definedName name="G_87">#REF!</definedName>
    <definedName name="G_90" localSheetId="2">#REF!</definedName>
    <definedName name="G_90" localSheetId="5">#REF!</definedName>
    <definedName name="G_90">#REF!</definedName>
    <definedName name="G_91" localSheetId="2">#REF!</definedName>
    <definedName name="G_91" localSheetId="5">#REF!</definedName>
    <definedName name="G_91">#REF!</definedName>
    <definedName name="G_92" localSheetId="2">#REF!</definedName>
    <definedName name="G_92" localSheetId="5">#REF!</definedName>
    <definedName name="G_92">#REF!</definedName>
    <definedName name="G_94" localSheetId="2">#REF!</definedName>
    <definedName name="G_94" localSheetId="5">#REF!</definedName>
    <definedName name="G_94">#REF!</definedName>
    <definedName name="G_95" localSheetId="2">#REF!</definedName>
    <definedName name="G_95" localSheetId="5">#REF!</definedName>
    <definedName name="G_95">#REF!</definedName>
    <definedName name="G_96" localSheetId="2">#REF!</definedName>
    <definedName name="G_96" localSheetId="5">#REF!</definedName>
    <definedName name="G_96">#REF!</definedName>
    <definedName name="gal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2">#REF!</definedName>
    <definedName name="GARAGEM" localSheetId="5">#REF!</definedName>
    <definedName name="GARAGEM">#REF!</definedName>
    <definedName name="garcia" localSheetId="2">#REF!</definedName>
    <definedName name="garcia" localSheetId="5">#REF!</definedName>
    <definedName name="garcia">#REF!</definedName>
    <definedName name="GASTOS_JULHO" localSheetId="2">#REF!</definedName>
    <definedName name="GASTOS_JULHO" localSheetId="5">#REF!</definedName>
    <definedName name="GASTOS_JULHO">#REF!</definedName>
    <definedName name="gbdjkvhgd" localSheetId="14" hidden="1">{#N/A,#N/A,FALSE,"Plan1";#N/A,#N/A,FALSE,"Plan2"}</definedName>
    <definedName name="gbdjkvhgd" localSheetId="7" hidden="1">{#N/A,#N/A,FALSE,"Plan1";#N/A,#N/A,FALSE,"Plan2"}</definedName>
    <definedName name="gbdjkvhgd" localSheetId="1" hidden="1">{#N/A,#N/A,FALSE,"Plan1";#N/A,#N/A,FALSE,"Plan2"}</definedName>
    <definedName name="gbdjkvhgd" localSheetId="2" hidden="1">{#N/A,#N/A,FALSE,"Plan1";#N/A,#N/A,FALSE,"Plan2"}</definedName>
    <definedName name="gbdjkvhgd" localSheetId="9" hidden="1">{#N/A,#N/A,FALSE,"Plan1";#N/A,#N/A,FALSE,"Plan2"}</definedName>
    <definedName name="gbdjkvhgd" localSheetId="5" hidden="1">{#N/A,#N/A,FALSE,"Plan1";#N/A,#N/A,FALSE,"Plan2"}</definedName>
    <definedName name="gbdjkvhgd" localSheetId="4" hidden="1">{#N/A,#N/A,FALSE,"Plan1";#N/A,#N/A,FALSE,"Plan2"}</definedName>
    <definedName name="gbdjkvhgd" localSheetId="8" hidden="1">{#N/A,#N/A,FALSE,"Plan1";#N/A,#N/A,FALSE,"Plan2"}</definedName>
    <definedName name="gbdjkvhgd" localSheetId="12" hidden="1">{#N/A,#N/A,FALSE,"Plan1";#N/A,#N/A,FALSE,"Plan2"}</definedName>
    <definedName name="gbdjkvhgd" localSheetId="16" hidden="1">{#N/A,#N/A,FALSE,"Plan1";#N/A,#N/A,FALSE,"Plan2"}</definedName>
    <definedName name="gbdjkvhgd" localSheetId="0" hidden="1">{#N/A,#N/A,FALSE,"Plan1";#N/A,#N/A,FALSE,"Plan2"}</definedName>
    <definedName name="gbdjkvhgd" localSheetId="11" hidden="1">{#N/A,#N/A,FALSE,"Plan1";#N/A,#N/A,FALSE,"Plan2"}</definedName>
    <definedName name="gbdjkvhgd" localSheetId="13" hidden="1">{#N/A,#N/A,FALSE,"Plan1";#N/A,#N/A,FALSE,"Plan2"}</definedName>
    <definedName name="gbdjkvhgd" hidden="1">{#N/A,#N/A,FALSE,"Plan1";#N/A,#N/A,FALSE,"Plan2"}</definedName>
    <definedName name="gbdsjgsjfdgj" localSheetId="14" hidden="1">{#N/A,#N/A,FALSE,"Plan1";#N/A,#N/A,FALSE,"Plan2"}</definedName>
    <definedName name="gbdsjgsjfdgj" localSheetId="7" hidden="1">{#N/A,#N/A,FALSE,"Plan1";#N/A,#N/A,FALSE,"Plan2"}</definedName>
    <definedName name="gbdsjgsjfdgj" localSheetId="1" hidden="1">{#N/A,#N/A,FALSE,"Plan1";#N/A,#N/A,FALSE,"Plan2"}</definedName>
    <definedName name="gbdsjgsjfdgj" localSheetId="2" hidden="1">{#N/A,#N/A,FALSE,"Plan1";#N/A,#N/A,FALSE,"Plan2"}</definedName>
    <definedName name="gbdsjgsjfdgj" localSheetId="9" hidden="1">{#N/A,#N/A,FALSE,"Plan1";#N/A,#N/A,FALSE,"Plan2"}</definedName>
    <definedName name="gbdsjgsjfdgj" localSheetId="5" hidden="1">{#N/A,#N/A,FALSE,"Plan1";#N/A,#N/A,FALSE,"Plan2"}</definedName>
    <definedName name="gbdsjgsjfdgj" localSheetId="4" hidden="1">{#N/A,#N/A,FALSE,"Plan1";#N/A,#N/A,FALSE,"Plan2"}</definedName>
    <definedName name="gbdsjgsjfdgj" localSheetId="8" hidden="1">{#N/A,#N/A,FALSE,"Plan1";#N/A,#N/A,FALSE,"Plan2"}</definedName>
    <definedName name="gbdsjgsjfdgj" localSheetId="12" hidden="1">{#N/A,#N/A,FALSE,"Plan1";#N/A,#N/A,FALSE,"Plan2"}</definedName>
    <definedName name="gbdsjgsjfdgj" localSheetId="16" hidden="1">{#N/A,#N/A,FALSE,"Plan1";#N/A,#N/A,FALSE,"Plan2"}</definedName>
    <definedName name="gbdsjgsjfdgj" localSheetId="0" hidden="1">{#N/A,#N/A,FALSE,"Plan1";#N/A,#N/A,FALSE,"Plan2"}</definedName>
    <definedName name="gbdsjgsjfdgj" localSheetId="11" hidden="1">{#N/A,#N/A,FALSE,"Plan1";#N/A,#N/A,FALSE,"Plan2"}</definedName>
    <definedName name="gbdsjgsjfdgj" localSheetId="13" hidden="1">{#N/A,#N/A,FALSE,"Plan1";#N/A,#N/A,FALSE,"Plan2"}</definedName>
    <definedName name="gbdsjgsjfdgj" hidden="1">{#N/A,#N/A,FALSE,"Plan1";#N/A,#N/A,FALSE,"Plan2"}</definedName>
    <definedName name="gdfdhgfjgj" localSheetId="14" hidden="1">{#N/A,#N/A,FALSE,"Plan1";#N/A,#N/A,FALSE,"Plan2"}</definedName>
    <definedName name="gdfdhgfjgj" localSheetId="7" hidden="1">{#N/A,#N/A,FALSE,"Plan1";#N/A,#N/A,FALSE,"Plan2"}</definedName>
    <definedName name="gdfdhgfjgj" localSheetId="1" hidden="1">{#N/A,#N/A,FALSE,"Plan1";#N/A,#N/A,FALSE,"Plan2"}</definedName>
    <definedName name="gdfdhgfjgj" localSheetId="2" hidden="1">{#N/A,#N/A,FALSE,"Plan1";#N/A,#N/A,FALSE,"Plan2"}</definedName>
    <definedName name="gdfdhgfjgj" localSheetId="9" hidden="1">{#N/A,#N/A,FALSE,"Plan1";#N/A,#N/A,FALSE,"Plan2"}</definedName>
    <definedName name="gdfdhgfjgj" localSheetId="5" hidden="1">{#N/A,#N/A,FALSE,"Plan1";#N/A,#N/A,FALSE,"Plan2"}</definedName>
    <definedName name="gdfdhgfjgj" localSheetId="4" hidden="1">{#N/A,#N/A,FALSE,"Plan1";#N/A,#N/A,FALSE,"Plan2"}</definedName>
    <definedName name="gdfdhgfjgj" localSheetId="8" hidden="1">{#N/A,#N/A,FALSE,"Plan1";#N/A,#N/A,FALSE,"Plan2"}</definedName>
    <definedName name="gdfdhgfjgj" localSheetId="12" hidden="1">{#N/A,#N/A,FALSE,"Plan1";#N/A,#N/A,FALSE,"Plan2"}</definedName>
    <definedName name="gdfdhgfjgj" localSheetId="16" hidden="1">{#N/A,#N/A,FALSE,"Plan1";#N/A,#N/A,FALSE,"Plan2"}</definedName>
    <definedName name="gdfdhgfjgj" localSheetId="0" hidden="1">{#N/A,#N/A,FALSE,"Plan1";#N/A,#N/A,FALSE,"Plan2"}</definedName>
    <definedName name="gdfdhgfjgj" localSheetId="11" hidden="1">{#N/A,#N/A,FALSE,"Plan1";#N/A,#N/A,FALSE,"Plan2"}</definedName>
    <definedName name="gdfdhgfjgj" localSheetId="13" hidden="1">{#N/A,#N/A,FALSE,"Plan1";#N/A,#N/A,FALSE,"Plan2"}</definedName>
    <definedName name="gdfdhgfjgj" hidden="1">{#N/A,#N/A,FALSE,"Plan1";#N/A,#N/A,FALSE,"Plan2"}</definedName>
    <definedName name="gdfgdstggt" localSheetId="14" hidden="1">{#N/A,#N/A,FALSE,"Plan1";#N/A,#N/A,FALSE,"Plan2"}</definedName>
    <definedName name="gdfgdstggt" localSheetId="7" hidden="1">{#N/A,#N/A,FALSE,"Plan1";#N/A,#N/A,FALSE,"Plan2"}</definedName>
    <definedName name="gdfgdstggt" localSheetId="1" hidden="1">{#N/A,#N/A,FALSE,"Plan1";#N/A,#N/A,FALSE,"Plan2"}</definedName>
    <definedName name="gdfgdstggt" localSheetId="2" hidden="1">{#N/A,#N/A,FALSE,"Plan1";#N/A,#N/A,FALSE,"Plan2"}</definedName>
    <definedName name="gdfgdstggt" localSheetId="9" hidden="1">{#N/A,#N/A,FALSE,"Plan1";#N/A,#N/A,FALSE,"Plan2"}</definedName>
    <definedName name="gdfgdstggt" localSheetId="5" hidden="1">{#N/A,#N/A,FALSE,"Plan1";#N/A,#N/A,FALSE,"Plan2"}</definedName>
    <definedName name="gdfgdstggt" localSheetId="4" hidden="1">{#N/A,#N/A,FALSE,"Plan1";#N/A,#N/A,FALSE,"Plan2"}</definedName>
    <definedName name="gdfgdstggt" localSheetId="8" hidden="1">{#N/A,#N/A,FALSE,"Plan1";#N/A,#N/A,FALSE,"Plan2"}</definedName>
    <definedName name="gdfgdstggt" localSheetId="12" hidden="1">{#N/A,#N/A,FALSE,"Plan1";#N/A,#N/A,FALSE,"Plan2"}</definedName>
    <definedName name="gdfgdstggt" localSheetId="16" hidden="1">{#N/A,#N/A,FALSE,"Plan1";#N/A,#N/A,FALSE,"Plan2"}</definedName>
    <definedName name="gdfgdstggt" localSheetId="0" hidden="1">{#N/A,#N/A,FALSE,"Plan1";#N/A,#N/A,FALSE,"Plan2"}</definedName>
    <definedName name="gdfgdstggt" localSheetId="11" hidden="1">{#N/A,#N/A,FALSE,"Plan1";#N/A,#N/A,FALSE,"Plan2"}</definedName>
    <definedName name="gdfgdstggt" localSheetId="13" hidden="1">{#N/A,#N/A,FALSE,"Plan1";#N/A,#N/A,FALSE,"Plan2"}</definedName>
    <definedName name="gdfgdstggt" hidden="1">{#N/A,#N/A,FALSE,"Plan1";#N/A,#N/A,FALSE,"Plan2"}</definedName>
    <definedName name="GDFHGRJGFJDRF" localSheetId="14" hidden="1">{"Econ Consolidado",#N/A,FALSE,"Econ Consol";"Fluxo de Caixa",#N/A,FALSE,"Fluxo Caixa";"Investimentos",#N/A,FALSE,"Investimentos"}</definedName>
    <definedName name="GDFHGRJGFJDRF" localSheetId="7" hidden="1">{"Econ Consolidado",#N/A,FALSE,"Econ Consol";"Fluxo de Caixa",#N/A,FALSE,"Fluxo Caixa";"Investimentos",#N/A,FALSE,"Investimentos"}</definedName>
    <definedName name="GDFHGRJGFJDRF" localSheetId="1" hidden="1">{"Econ Consolidado",#N/A,FALSE,"Econ Consol";"Fluxo de Caixa",#N/A,FALSE,"Fluxo Caixa";"Investimentos",#N/A,FALSE,"Investimentos"}</definedName>
    <definedName name="GDFHGRJGFJDRF" localSheetId="2" hidden="1">{"Econ Consolidado",#N/A,FALSE,"Econ Consol";"Fluxo de Caixa",#N/A,FALSE,"Fluxo Caixa";"Investimentos",#N/A,FALSE,"Investimentos"}</definedName>
    <definedName name="GDFHGRJGFJDRF" localSheetId="9" hidden="1">{"Econ Consolidado",#N/A,FALSE,"Econ Consol";"Fluxo de Caixa",#N/A,FALSE,"Fluxo Caixa";"Investimentos",#N/A,FALSE,"Investimentos"}</definedName>
    <definedName name="GDFHGRJGFJDRF" localSheetId="5" hidden="1">{"Econ Consolidado",#N/A,FALSE,"Econ Consol";"Fluxo de Caixa",#N/A,FALSE,"Fluxo Caixa";"Investimentos",#N/A,FALSE,"Investimentos"}</definedName>
    <definedName name="GDFHGRJGFJDRF" localSheetId="4" hidden="1">{"Econ Consolidado",#N/A,FALSE,"Econ Consol";"Fluxo de Caixa",#N/A,FALSE,"Fluxo Caixa";"Investimentos",#N/A,FALSE,"Investimentos"}</definedName>
    <definedName name="GDFHGRJGFJDRF" localSheetId="8" hidden="1">{"Econ Consolidado",#N/A,FALSE,"Econ Consol";"Fluxo de Caixa",#N/A,FALSE,"Fluxo Caixa";"Investimentos",#N/A,FALSE,"Investimentos"}</definedName>
    <definedName name="GDFHGRJGFJDRF" localSheetId="12" hidden="1">{"Econ Consolidado",#N/A,FALSE,"Econ Consol";"Fluxo de Caixa",#N/A,FALSE,"Fluxo Caixa";"Investimentos",#N/A,FALSE,"Investimentos"}</definedName>
    <definedName name="GDFHGRJGFJDRF" localSheetId="16" hidden="1">{"Econ Consolidado",#N/A,FALSE,"Econ Consol";"Fluxo de Caixa",#N/A,FALSE,"Fluxo Caixa";"Investimentos",#N/A,FALSE,"Investimentos"}</definedName>
    <definedName name="GDFHGRJGFJDRF" localSheetId="0" hidden="1">{"Econ Consolidado",#N/A,FALSE,"Econ Consol";"Fluxo de Caixa",#N/A,FALSE,"Fluxo Caixa";"Investimentos",#N/A,FALSE,"Investimentos"}</definedName>
    <definedName name="GDFHGRJGFJDRF" localSheetId="11" hidden="1">{"Econ Consolidado",#N/A,FALSE,"Econ Consol";"Fluxo de Caixa",#N/A,FALSE,"Fluxo Caixa";"Investimentos",#N/A,FALSE,"Investimentos"}</definedName>
    <definedName name="GDFHGRJGFJDRF" localSheetId="13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14" hidden="1">{#N/A,#N/A,FALSE,"Plan1";#N/A,#N/A,FALSE,"Plan2"}</definedName>
    <definedName name="gdfigfhuyuy" localSheetId="7" hidden="1">{#N/A,#N/A,FALSE,"Plan1";#N/A,#N/A,FALSE,"Plan2"}</definedName>
    <definedName name="gdfigfhuyuy" localSheetId="1" hidden="1">{#N/A,#N/A,FALSE,"Plan1";#N/A,#N/A,FALSE,"Plan2"}</definedName>
    <definedName name="gdfigfhuyuy" localSheetId="2" hidden="1">{#N/A,#N/A,FALSE,"Plan1";#N/A,#N/A,FALSE,"Plan2"}</definedName>
    <definedName name="gdfigfhuyuy" localSheetId="9" hidden="1">{#N/A,#N/A,FALSE,"Plan1";#N/A,#N/A,FALSE,"Plan2"}</definedName>
    <definedName name="gdfigfhuyuy" localSheetId="5" hidden="1">{#N/A,#N/A,FALSE,"Plan1";#N/A,#N/A,FALSE,"Plan2"}</definedName>
    <definedName name="gdfigfhuyuy" localSheetId="4" hidden="1">{#N/A,#N/A,FALSE,"Plan1";#N/A,#N/A,FALSE,"Plan2"}</definedName>
    <definedName name="gdfigfhuyuy" localSheetId="8" hidden="1">{#N/A,#N/A,FALSE,"Plan1";#N/A,#N/A,FALSE,"Plan2"}</definedName>
    <definedName name="gdfigfhuyuy" localSheetId="12" hidden="1">{#N/A,#N/A,FALSE,"Plan1";#N/A,#N/A,FALSE,"Plan2"}</definedName>
    <definedName name="gdfigfhuyuy" localSheetId="16" hidden="1">{#N/A,#N/A,FALSE,"Plan1";#N/A,#N/A,FALSE,"Plan2"}</definedName>
    <definedName name="gdfigfhuyuy" localSheetId="0" hidden="1">{#N/A,#N/A,FALSE,"Plan1";#N/A,#N/A,FALSE,"Plan2"}</definedName>
    <definedName name="gdfigfhuyuy" localSheetId="11" hidden="1">{#N/A,#N/A,FALSE,"Plan1";#N/A,#N/A,FALSE,"Plan2"}</definedName>
    <definedName name="gdfigfhuyuy" localSheetId="13" hidden="1">{#N/A,#N/A,FALSE,"Plan1";#N/A,#N/A,FALSE,"Plan2"}</definedName>
    <definedName name="gdfigfhuyuy" hidden="1">{#N/A,#N/A,FALSE,"Plan1";#N/A,#N/A,FALSE,"Plan2"}</definedName>
    <definedName name="gdfsgfew" localSheetId="14" hidden="1">{#N/A,#N/A,FALSE,"Plan1";#N/A,#N/A,FALSE,"Plan2"}</definedName>
    <definedName name="gdfsgfew" localSheetId="7" hidden="1">{#N/A,#N/A,FALSE,"Plan1";#N/A,#N/A,FALSE,"Plan2"}</definedName>
    <definedName name="gdfsgfew" localSheetId="1" hidden="1">{#N/A,#N/A,FALSE,"Plan1";#N/A,#N/A,FALSE,"Plan2"}</definedName>
    <definedName name="gdfsgfew" localSheetId="2" hidden="1">{#N/A,#N/A,FALSE,"Plan1";#N/A,#N/A,FALSE,"Plan2"}</definedName>
    <definedName name="gdfsgfew" localSheetId="9" hidden="1">{#N/A,#N/A,FALSE,"Plan1";#N/A,#N/A,FALSE,"Plan2"}</definedName>
    <definedName name="gdfsgfew" localSheetId="5" hidden="1">{#N/A,#N/A,FALSE,"Plan1";#N/A,#N/A,FALSE,"Plan2"}</definedName>
    <definedName name="gdfsgfew" localSheetId="4" hidden="1">{#N/A,#N/A,FALSE,"Plan1";#N/A,#N/A,FALSE,"Plan2"}</definedName>
    <definedName name="gdfsgfew" localSheetId="8" hidden="1">{#N/A,#N/A,FALSE,"Plan1";#N/A,#N/A,FALSE,"Plan2"}</definedName>
    <definedName name="gdfsgfew" localSheetId="12" hidden="1">{#N/A,#N/A,FALSE,"Plan1";#N/A,#N/A,FALSE,"Plan2"}</definedName>
    <definedName name="gdfsgfew" localSheetId="16" hidden="1">{#N/A,#N/A,FALSE,"Plan1";#N/A,#N/A,FALSE,"Plan2"}</definedName>
    <definedName name="gdfsgfew" localSheetId="0" hidden="1">{#N/A,#N/A,FALSE,"Plan1";#N/A,#N/A,FALSE,"Plan2"}</definedName>
    <definedName name="gdfsgfew" localSheetId="11" hidden="1">{#N/A,#N/A,FALSE,"Plan1";#N/A,#N/A,FALSE,"Plan2"}</definedName>
    <definedName name="gdfsgfew" localSheetId="13" hidden="1">{#N/A,#N/A,FALSE,"Plan1";#N/A,#N/A,FALSE,"Plan2"}</definedName>
    <definedName name="gdfsgfew" hidden="1">{#N/A,#N/A,FALSE,"Plan1";#N/A,#N/A,FALSE,"Plan2"}</definedName>
    <definedName name="gdhfgdhfgf" localSheetId="14" hidden="1">{#N/A,#N/A,FALSE,"Plan1";#N/A,#N/A,FALSE,"Plan2"}</definedName>
    <definedName name="gdhfgdhfgf" localSheetId="7" hidden="1">{#N/A,#N/A,FALSE,"Plan1";#N/A,#N/A,FALSE,"Plan2"}</definedName>
    <definedName name="gdhfgdhfgf" localSheetId="1" hidden="1">{#N/A,#N/A,FALSE,"Plan1";#N/A,#N/A,FALSE,"Plan2"}</definedName>
    <definedName name="gdhfgdhfgf" localSheetId="2" hidden="1">{#N/A,#N/A,FALSE,"Plan1";#N/A,#N/A,FALSE,"Plan2"}</definedName>
    <definedName name="gdhfgdhfgf" localSheetId="9" hidden="1">{#N/A,#N/A,FALSE,"Plan1";#N/A,#N/A,FALSE,"Plan2"}</definedName>
    <definedName name="gdhfgdhfgf" localSheetId="5" hidden="1">{#N/A,#N/A,FALSE,"Plan1";#N/A,#N/A,FALSE,"Plan2"}</definedName>
    <definedName name="gdhfgdhfgf" localSheetId="4" hidden="1">{#N/A,#N/A,FALSE,"Plan1";#N/A,#N/A,FALSE,"Plan2"}</definedName>
    <definedName name="gdhfgdhfgf" localSheetId="8" hidden="1">{#N/A,#N/A,FALSE,"Plan1";#N/A,#N/A,FALSE,"Plan2"}</definedName>
    <definedName name="gdhfgdhfgf" localSheetId="12" hidden="1">{#N/A,#N/A,FALSE,"Plan1";#N/A,#N/A,FALSE,"Plan2"}</definedName>
    <definedName name="gdhfgdhfgf" localSheetId="16" hidden="1">{#N/A,#N/A,FALSE,"Plan1";#N/A,#N/A,FALSE,"Plan2"}</definedName>
    <definedName name="gdhfgdhfgf" localSheetId="0" hidden="1">{#N/A,#N/A,FALSE,"Plan1";#N/A,#N/A,FALSE,"Plan2"}</definedName>
    <definedName name="gdhfgdhfgf" localSheetId="11" hidden="1">{#N/A,#N/A,FALSE,"Plan1";#N/A,#N/A,FALSE,"Plan2"}</definedName>
    <definedName name="gdhfgdhfgf" localSheetId="13" hidden="1">{#N/A,#N/A,FALSE,"Plan1";#N/A,#N/A,FALSE,"Plan2"}</definedName>
    <definedName name="gdhfgdhfgf" hidden="1">{#N/A,#N/A,FALSE,"Plan1";#N/A,#N/A,FALSE,"Plan2"}</definedName>
    <definedName name="gdsfhefrwrw" localSheetId="14" hidden="1">{#N/A,#N/A,FALSE,"Plan1";#N/A,#N/A,FALSE,"Plan2"}</definedName>
    <definedName name="gdsfhefrwrw" localSheetId="7" hidden="1">{#N/A,#N/A,FALSE,"Plan1";#N/A,#N/A,FALSE,"Plan2"}</definedName>
    <definedName name="gdsfhefrwrw" localSheetId="1" hidden="1">{#N/A,#N/A,FALSE,"Plan1";#N/A,#N/A,FALSE,"Plan2"}</definedName>
    <definedName name="gdsfhefrwrw" localSheetId="2" hidden="1">{#N/A,#N/A,FALSE,"Plan1";#N/A,#N/A,FALSE,"Plan2"}</definedName>
    <definedName name="gdsfhefrwrw" localSheetId="9" hidden="1">{#N/A,#N/A,FALSE,"Plan1";#N/A,#N/A,FALSE,"Plan2"}</definedName>
    <definedName name="gdsfhefrwrw" localSheetId="5" hidden="1">{#N/A,#N/A,FALSE,"Plan1";#N/A,#N/A,FALSE,"Plan2"}</definedName>
    <definedName name="gdsfhefrwrw" localSheetId="4" hidden="1">{#N/A,#N/A,FALSE,"Plan1";#N/A,#N/A,FALSE,"Plan2"}</definedName>
    <definedName name="gdsfhefrwrw" localSheetId="8" hidden="1">{#N/A,#N/A,FALSE,"Plan1";#N/A,#N/A,FALSE,"Plan2"}</definedName>
    <definedName name="gdsfhefrwrw" localSheetId="12" hidden="1">{#N/A,#N/A,FALSE,"Plan1";#N/A,#N/A,FALSE,"Plan2"}</definedName>
    <definedName name="gdsfhefrwrw" localSheetId="16" hidden="1">{#N/A,#N/A,FALSE,"Plan1";#N/A,#N/A,FALSE,"Plan2"}</definedName>
    <definedName name="gdsfhefrwrw" localSheetId="0" hidden="1">{#N/A,#N/A,FALSE,"Plan1";#N/A,#N/A,FALSE,"Plan2"}</definedName>
    <definedName name="gdsfhefrwrw" localSheetId="11" hidden="1">{#N/A,#N/A,FALSE,"Plan1";#N/A,#N/A,FALSE,"Plan2"}</definedName>
    <definedName name="gdsfhefrwrw" localSheetId="13" hidden="1">{#N/A,#N/A,FALSE,"Plan1";#N/A,#N/A,FALSE,"Plan2"}</definedName>
    <definedName name="gdsfhefrwrw" hidden="1">{#N/A,#N/A,FALSE,"Plan1";#N/A,#N/A,FALSE,"Plan2"}</definedName>
    <definedName name="GER_TECNICO" localSheetId="2">#REF!</definedName>
    <definedName name="GER_TECNICO" localSheetId="5">#REF!</definedName>
    <definedName name="GER_TECNICO">#REF!</definedName>
    <definedName name="Gerentes" localSheetId="2">#REF!</definedName>
    <definedName name="Gerentes" localSheetId="5">#REF!</definedName>
    <definedName name="Gerentes">#REF!</definedName>
    <definedName name="geshrjhed" localSheetId="14" hidden="1">{#N/A,#N/A,FALSE,"Plan1";#N/A,#N/A,FALSE,"Plan2"}</definedName>
    <definedName name="geshrjhed" localSheetId="7" hidden="1">{#N/A,#N/A,FALSE,"Plan1";#N/A,#N/A,FALSE,"Plan2"}</definedName>
    <definedName name="geshrjhed" localSheetId="1" hidden="1">{#N/A,#N/A,FALSE,"Plan1";#N/A,#N/A,FALSE,"Plan2"}</definedName>
    <definedName name="geshrjhed" localSheetId="2" hidden="1">{#N/A,#N/A,FALSE,"Plan1";#N/A,#N/A,FALSE,"Plan2"}</definedName>
    <definedName name="geshrjhed" localSheetId="9" hidden="1">{#N/A,#N/A,FALSE,"Plan1";#N/A,#N/A,FALSE,"Plan2"}</definedName>
    <definedName name="geshrjhed" localSheetId="5" hidden="1">{#N/A,#N/A,FALSE,"Plan1";#N/A,#N/A,FALSE,"Plan2"}</definedName>
    <definedName name="geshrjhed" localSheetId="4" hidden="1">{#N/A,#N/A,FALSE,"Plan1";#N/A,#N/A,FALSE,"Plan2"}</definedName>
    <definedName name="geshrjhed" localSheetId="8" hidden="1">{#N/A,#N/A,FALSE,"Plan1";#N/A,#N/A,FALSE,"Plan2"}</definedName>
    <definedName name="geshrjhed" localSheetId="12" hidden="1">{#N/A,#N/A,FALSE,"Plan1";#N/A,#N/A,FALSE,"Plan2"}</definedName>
    <definedName name="geshrjhed" localSheetId="16" hidden="1">{#N/A,#N/A,FALSE,"Plan1";#N/A,#N/A,FALSE,"Plan2"}</definedName>
    <definedName name="geshrjhed" localSheetId="0" hidden="1">{#N/A,#N/A,FALSE,"Plan1";#N/A,#N/A,FALSE,"Plan2"}</definedName>
    <definedName name="geshrjhed" localSheetId="11" hidden="1">{#N/A,#N/A,FALSE,"Plan1";#N/A,#N/A,FALSE,"Plan2"}</definedName>
    <definedName name="geshrjhed" localSheetId="13" hidden="1">{#N/A,#N/A,FALSE,"Plan1";#N/A,#N/A,FALSE,"Plan2"}</definedName>
    <definedName name="geshrjhed" hidden="1">{#N/A,#N/A,FALSE,"Plan1";#N/A,#N/A,FALSE,"Plan2"}</definedName>
    <definedName name="gestao" localSheetId="2" hidden="1">OFFSET(INDEX(#REF!,MATCH(#REF!,#REF!,0)),1,0,COUNTA(#REF!)-1)</definedName>
    <definedName name="gestao" localSheetId="5" hidden="1">OFFSET(INDEX(#REF!,MATCH(#REF!,#REF!,0)),1,0,COUNTA(#REF!)-1)</definedName>
    <definedName name="gestao" localSheetId="0" hidden="1">OFFSET(INDEX(#REF!,MATCH(#REF!,#REF!,0)),1,0,COUNTA(#REF!)-1)</definedName>
    <definedName name="gestao" hidden="1">OFFSET(INDEX(#REF!,MATCH(#REF!,#REF!,0)),1,0,COUNTA(#REF!)-1)</definedName>
    <definedName name="gfdcgnkf" localSheetId="14" hidden="1">{#N/A,#N/A,FALSE,"Plan1";#N/A,#N/A,FALSE,"Plan2"}</definedName>
    <definedName name="gfdcgnkf" localSheetId="7" hidden="1">{#N/A,#N/A,FALSE,"Plan1";#N/A,#N/A,FALSE,"Plan2"}</definedName>
    <definedName name="gfdcgnkf" localSheetId="1" hidden="1">{#N/A,#N/A,FALSE,"Plan1";#N/A,#N/A,FALSE,"Plan2"}</definedName>
    <definedName name="gfdcgnkf" localSheetId="2" hidden="1">{#N/A,#N/A,FALSE,"Plan1";#N/A,#N/A,FALSE,"Plan2"}</definedName>
    <definedName name="gfdcgnkf" localSheetId="9" hidden="1">{#N/A,#N/A,FALSE,"Plan1";#N/A,#N/A,FALSE,"Plan2"}</definedName>
    <definedName name="gfdcgnkf" localSheetId="5" hidden="1">{#N/A,#N/A,FALSE,"Plan1";#N/A,#N/A,FALSE,"Plan2"}</definedName>
    <definedName name="gfdcgnkf" localSheetId="4" hidden="1">{#N/A,#N/A,FALSE,"Plan1";#N/A,#N/A,FALSE,"Plan2"}</definedName>
    <definedName name="gfdcgnkf" localSheetId="8" hidden="1">{#N/A,#N/A,FALSE,"Plan1";#N/A,#N/A,FALSE,"Plan2"}</definedName>
    <definedName name="gfdcgnkf" localSheetId="12" hidden="1">{#N/A,#N/A,FALSE,"Plan1";#N/A,#N/A,FALSE,"Plan2"}</definedName>
    <definedName name="gfdcgnkf" localSheetId="16" hidden="1">{#N/A,#N/A,FALSE,"Plan1";#N/A,#N/A,FALSE,"Plan2"}</definedName>
    <definedName name="gfdcgnkf" localSheetId="0" hidden="1">{#N/A,#N/A,FALSE,"Plan1";#N/A,#N/A,FALSE,"Plan2"}</definedName>
    <definedName name="gfdcgnkf" localSheetId="11" hidden="1">{#N/A,#N/A,FALSE,"Plan1";#N/A,#N/A,FALSE,"Plan2"}</definedName>
    <definedName name="gfdcgnkf" localSheetId="13" hidden="1">{#N/A,#N/A,FALSE,"Plan1";#N/A,#N/A,FALSE,"Plan2"}</definedName>
    <definedName name="gfdcgnkf" hidden="1">{#N/A,#N/A,FALSE,"Plan1";#N/A,#N/A,FALSE,"Plan2"}</definedName>
    <definedName name="gfdjtgur" localSheetId="14" hidden="1">{#N/A,#N/A,FALSE,"Plan1";#N/A,#N/A,FALSE,"Plan2"}</definedName>
    <definedName name="gfdjtgur" localSheetId="7" hidden="1">{#N/A,#N/A,FALSE,"Plan1";#N/A,#N/A,FALSE,"Plan2"}</definedName>
    <definedName name="gfdjtgur" localSheetId="1" hidden="1">{#N/A,#N/A,FALSE,"Plan1";#N/A,#N/A,FALSE,"Plan2"}</definedName>
    <definedName name="gfdjtgur" localSheetId="2" hidden="1">{#N/A,#N/A,FALSE,"Plan1";#N/A,#N/A,FALSE,"Plan2"}</definedName>
    <definedName name="gfdjtgur" localSheetId="9" hidden="1">{#N/A,#N/A,FALSE,"Plan1";#N/A,#N/A,FALSE,"Plan2"}</definedName>
    <definedName name="gfdjtgur" localSheetId="5" hidden="1">{#N/A,#N/A,FALSE,"Plan1";#N/A,#N/A,FALSE,"Plan2"}</definedName>
    <definedName name="gfdjtgur" localSheetId="4" hidden="1">{#N/A,#N/A,FALSE,"Plan1";#N/A,#N/A,FALSE,"Plan2"}</definedName>
    <definedName name="gfdjtgur" localSheetId="8" hidden="1">{#N/A,#N/A,FALSE,"Plan1";#N/A,#N/A,FALSE,"Plan2"}</definedName>
    <definedName name="gfdjtgur" localSheetId="12" hidden="1">{#N/A,#N/A,FALSE,"Plan1";#N/A,#N/A,FALSE,"Plan2"}</definedName>
    <definedName name="gfdjtgur" localSheetId="16" hidden="1">{#N/A,#N/A,FALSE,"Plan1";#N/A,#N/A,FALSE,"Plan2"}</definedName>
    <definedName name="gfdjtgur" localSheetId="0" hidden="1">{#N/A,#N/A,FALSE,"Plan1";#N/A,#N/A,FALSE,"Plan2"}</definedName>
    <definedName name="gfdjtgur" localSheetId="11" hidden="1">{#N/A,#N/A,FALSE,"Plan1";#N/A,#N/A,FALSE,"Plan2"}</definedName>
    <definedName name="gfdjtgur" localSheetId="13" hidden="1">{#N/A,#N/A,FALSE,"Plan1";#N/A,#N/A,FALSE,"Plan2"}</definedName>
    <definedName name="gfdjtgur" hidden="1">{#N/A,#N/A,FALSE,"Plan1";#N/A,#N/A,FALSE,"Plan2"}</definedName>
    <definedName name="gfdrtg" localSheetId="2" hidden="1">#REF!</definedName>
    <definedName name="gfdrtg" localSheetId="5" hidden="1">#REF!</definedName>
    <definedName name="gfdrtg" localSheetId="0" hidden="1">#REF!</definedName>
    <definedName name="gfdrtg" hidden="1">#REF!</definedName>
    <definedName name="gfgdhxgfdhf" localSheetId="14" hidden="1">{#N/A,#N/A,FALSE,"Plan1";#N/A,#N/A,FALSE,"Plan2"}</definedName>
    <definedName name="gfgdhxgfdhf" localSheetId="7" hidden="1">{#N/A,#N/A,FALSE,"Plan1";#N/A,#N/A,FALSE,"Plan2"}</definedName>
    <definedName name="gfgdhxgfdhf" localSheetId="1" hidden="1">{#N/A,#N/A,FALSE,"Plan1";#N/A,#N/A,FALSE,"Plan2"}</definedName>
    <definedName name="gfgdhxgfdhf" localSheetId="2" hidden="1">{#N/A,#N/A,FALSE,"Plan1";#N/A,#N/A,FALSE,"Plan2"}</definedName>
    <definedName name="gfgdhxgfdhf" localSheetId="9" hidden="1">{#N/A,#N/A,FALSE,"Plan1";#N/A,#N/A,FALSE,"Plan2"}</definedName>
    <definedName name="gfgdhxgfdhf" localSheetId="5" hidden="1">{#N/A,#N/A,FALSE,"Plan1";#N/A,#N/A,FALSE,"Plan2"}</definedName>
    <definedName name="gfgdhxgfdhf" localSheetId="4" hidden="1">{#N/A,#N/A,FALSE,"Plan1";#N/A,#N/A,FALSE,"Plan2"}</definedName>
    <definedName name="gfgdhxgfdhf" localSheetId="8" hidden="1">{#N/A,#N/A,FALSE,"Plan1";#N/A,#N/A,FALSE,"Plan2"}</definedName>
    <definedName name="gfgdhxgfdhf" localSheetId="12" hidden="1">{#N/A,#N/A,FALSE,"Plan1";#N/A,#N/A,FALSE,"Plan2"}</definedName>
    <definedName name="gfgdhxgfdhf" localSheetId="16" hidden="1">{#N/A,#N/A,FALSE,"Plan1";#N/A,#N/A,FALSE,"Plan2"}</definedName>
    <definedName name="gfgdhxgfdhf" localSheetId="0" hidden="1">{#N/A,#N/A,FALSE,"Plan1";#N/A,#N/A,FALSE,"Plan2"}</definedName>
    <definedName name="gfgdhxgfdhf" localSheetId="11" hidden="1">{#N/A,#N/A,FALSE,"Plan1";#N/A,#N/A,FALSE,"Plan2"}</definedName>
    <definedName name="gfgdhxgfdhf" localSheetId="13" hidden="1">{#N/A,#N/A,FALSE,"Plan1";#N/A,#N/A,FALSE,"Plan2"}</definedName>
    <definedName name="gfgdhxgfdhf" hidden="1">{#N/A,#N/A,FALSE,"Plan1";#N/A,#N/A,FALSE,"Plan2"}</definedName>
    <definedName name="gfhfdtgjb" localSheetId="14" hidden="1">{#N/A,#N/A,FALSE,"Plan1";#N/A,#N/A,FALSE,"Plan2"}</definedName>
    <definedName name="gfhfdtgjb" localSheetId="7" hidden="1">{#N/A,#N/A,FALSE,"Plan1";#N/A,#N/A,FALSE,"Plan2"}</definedName>
    <definedName name="gfhfdtgjb" localSheetId="1" hidden="1">{#N/A,#N/A,FALSE,"Plan1";#N/A,#N/A,FALSE,"Plan2"}</definedName>
    <definedName name="gfhfdtgjb" localSheetId="2" hidden="1">{#N/A,#N/A,FALSE,"Plan1";#N/A,#N/A,FALSE,"Plan2"}</definedName>
    <definedName name="gfhfdtgjb" localSheetId="9" hidden="1">{#N/A,#N/A,FALSE,"Plan1";#N/A,#N/A,FALSE,"Plan2"}</definedName>
    <definedName name="gfhfdtgjb" localSheetId="5" hidden="1">{#N/A,#N/A,FALSE,"Plan1";#N/A,#N/A,FALSE,"Plan2"}</definedName>
    <definedName name="gfhfdtgjb" localSheetId="4" hidden="1">{#N/A,#N/A,FALSE,"Plan1";#N/A,#N/A,FALSE,"Plan2"}</definedName>
    <definedName name="gfhfdtgjb" localSheetId="8" hidden="1">{#N/A,#N/A,FALSE,"Plan1";#N/A,#N/A,FALSE,"Plan2"}</definedName>
    <definedName name="gfhfdtgjb" localSheetId="12" hidden="1">{#N/A,#N/A,FALSE,"Plan1";#N/A,#N/A,FALSE,"Plan2"}</definedName>
    <definedName name="gfhfdtgjb" localSheetId="16" hidden="1">{#N/A,#N/A,FALSE,"Plan1";#N/A,#N/A,FALSE,"Plan2"}</definedName>
    <definedName name="gfhfdtgjb" localSheetId="0" hidden="1">{#N/A,#N/A,FALSE,"Plan1";#N/A,#N/A,FALSE,"Plan2"}</definedName>
    <definedName name="gfhfdtgjb" localSheetId="11" hidden="1">{#N/A,#N/A,FALSE,"Plan1";#N/A,#N/A,FALSE,"Plan2"}</definedName>
    <definedName name="gfhfdtgjb" localSheetId="13" hidden="1">{#N/A,#N/A,FALSE,"Plan1";#N/A,#N/A,FALSE,"Plan2"}</definedName>
    <definedName name="gfhfdtgjb" hidden="1">{#N/A,#N/A,FALSE,"Plan1";#N/A,#N/A,FALSE,"Plan2"}</definedName>
    <definedName name="gfjdshrtjhtged" localSheetId="14" hidden="1">{#N/A,#N/A,FALSE,"Plan1";#N/A,#N/A,FALSE,"Plan2"}</definedName>
    <definedName name="gfjdshrtjhtged" localSheetId="7" hidden="1">{#N/A,#N/A,FALSE,"Plan1";#N/A,#N/A,FALSE,"Plan2"}</definedName>
    <definedName name="gfjdshrtjhtged" localSheetId="1" hidden="1">{#N/A,#N/A,FALSE,"Plan1";#N/A,#N/A,FALSE,"Plan2"}</definedName>
    <definedName name="gfjdshrtjhtged" localSheetId="2" hidden="1">{#N/A,#N/A,FALSE,"Plan1";#N/A,#N/A,FALSE,"Plan2"}</definedName>
    <definedName name="gfjdshrtjhtged" localSheetId="9" hidden="1">{#N/A,#N/A,FALSE,"Plan1";#N/A,#N/A,FALSE,"Plan2"}</definedName>
    <definedName name="gfjdshrtjhtged" localSheetId="5" hidden="1">{#N/A,#N/A,FALSE,"Plan1";#N/A,#N/A,FALSE,"Plan2"}</definedName>
    <definedName name="gfjdshrtjhtged" localSheetId="4" hidden="1">{#N/A,#N/A,FALSE,"Plan1";#N/A,#N/A,FALSE,"Plan2"}</definedName>
    <definedName name="gfjdshrtjhtged" localSheetId="8" hidden="1">{#N/A,#N/A,FALSE,"Plan1";#N/A,#N/A,FALSE,"Plan2"}</definedName>
    <definedName name="gfjdshrtjhtged" localSheetId="12" hidden="1">{#N/A,#N/A,FALSE,"Plan1";#N/A,#N/A,FALSE,"Plan2"}</definedName>
    <definedName name="gfjdshrtjhtged" localSheetId="16" hidden="1">{#N/A,#N/A,FALSE,"Plan1";#N/A,#N/A,FALSE,"Plan2"}</definedName>
    <definedName name="gfjdshrtjhtged" localSheetId="0" hidden="1">{#N/A,#N/A,FALSE,"Plan1";#N/A,#N/A,FALSE,"Plan2"}</definedName>
    <definedName name="gfjdshrtjhtged" localSheetId="11" hidden="1">{#N/A,#N/A,FALSE,"Plan1";#N/A,#N/A,FALSE,"Plan2"}</definedName>
    <definedName name="gfjdshrtjhtged" localSheetId="13" hidden="1">{#N/A,#N/A,FALSE,"Plan1";#N/A,#N/A,FALSE,"Plan2"}</definedName>
    <definedName name="gfjdshrtjhtged" hidden="1">{#N/A,#N/A,FALSE,"Plan1";#N/A,#N/A,FALSE,"Plan2"}</definedName>
    <definedName name="gfjgkddgfd" localSheetId="14" hidden="1">{#N/A,#N/A,FALSE,"Plan1";#N/A,#N/A,FALSE,"Plan2"}</definedName>
    <definedName name="gfjgkddgfd" localSheetId="7" hidden="1">{#N/A,#N/A,FALSE,"Plan1";#N/A,#N/A,FALSE,"Plan2"}</definedName>
    <definedName name="gfjgkddgfd" localSheetId="1" hidden="1">{#N/A,#N/A,FALSE,"Plan1";#N/A,#N/A,FALSE,"Plan2"}</definedName>
    <definedName name="gfjgkddgfd" localSheetId="2" hidden="1">{#N/A,#N/A,FALSE,"Plan1";#N/A,#N/A,FALSE,"Plan2"}</definedName>
    <definedName name="gfjgkddgfd" localSheetId="9" hidden="1">{#N/A,#N/A,FALSE,"Plan1";#N/A,#N/A,FALSE,"Plan2"}</definedName>
    <definedName name="gfjgkddgfd" localSheetId="5" hidden="1">{#N/A,#N/A,FALSE,"Plan1";#N/A,#N/A,FALSE,"Plan2"}</definedName>
    <definedName name="gfjgkddgfd" localSheetId="4" hidden="1">{#N/A,#N/A,FALSE,"Plan1";#N/A,#N/A,FALSE,"Plan2"}</definedName>
    <definedName name="gfjgkddgfd" localSheetId="8" hidden="1">{#N/A,#N/A,FALSE,"Plan1";#N/A,#N/A,FALSE,"Plan2"}</definedName>
    <definedName name="gfjgkddgfd" localSheetId="12" hidden="1">{#N/A,#N/A,FALSE,"Plan1";#N/A,#N/A,FALSE,"Plan2"}</definedName>
    <definedName name="gfjgkddgfd" localSheetId="16" hidden="1">{#N/A,#N/A,FALSE,"Plan1";#N/A,#N/A,FALSE,"Plan2"}</definedName>
    <definedName name="gfjgkddgfd" localSheetId="0" hidden="1">{#N/A,#N/A,FALSE,"Plan1";#N/A,#N/A,FALSE,"Plan2"}</definedName>
    <definedName name="gfjgkddgfd" localSheetId="11" hidden="1">{#N/A,#N/A,FALSE,"Plan1";#N/A,#N/A,FALSE,"Plan2"}</definedName>
    <definedName name="gfjgkddgfd" localSheetId="13" hidden="1">{#N/A,#N/A,FALSE,"Plan1";#N/A,#N/A,FALSE,"Plan2"}</definedName>
    <definedName name="gfjgkddgfd" hidden="1">{#N/A,#N/A,FALSE,"Plan1";#N/A,#N/A,FALSE,"Plan2"}</definedName>
    <definedName name="gfsghjdgygr" localSheetId="14" hidden="1">{#N/A,#N/A,FALSE,"Plan1";#N/A,#N/A,FALSE,"Plan2"}</definedName>
    <definedName name="gfsghjdgygr" localSheetId="7" hidden="1">{#N/A,#N/A,FALSE,"Plan1";#N/A,#N/A,FALSE,"Plan2"}</definedName>
    <definedName name="gfsghjdgygr" localSheetId="1" hidden="1">{#N/A,#N/A,FALSE,"Plan1";#N/A,#N/A,FALSE,"Plan2"}</definedName>
    <definedName name="gfsghjdgygr" localSheetId="2" hidden="1">{#N/A,#N/A,FALSE,"Plan1";#N/A,#N/A,FALSE,"Plan2"}</definedName>
    <definedName name="gfsghjdgygr" localSheetId="9" hidden="1">{#N/A,#N/A,FALSE,"Plan1";#N/A,#N/A,FALSE,"Plan2"}</definedName>
    <definedName name="gfsghjdgygr" localSheetId="5" hidden="1">{#N/A,#N/A,FALSE,"Plan1";#N/A,#N/A,FALSE,"Plan2"}</definedName>
    <definedName name="gfsghjdgygr" localSheetId="4" hidden="1">{#N/A,#N/A,FALSE,"Plan1";#N/A,#N/A,FALSE,"Plan2"}</definedName>
    <definedName name="gfsghjdgygr" localSheetId="8" hidden="1">{#N/A,#N/A,FALSE,"Plan1";#N/A,#N/A,FALSE,"Plan2"}</definedName>
    <definedName name="gfsghjdgygr" localSheetId="12" hidden="1">{#N/A,#N/A,FALSE,"Plan1";#N/A,#N/A,FALSE,"Plan2"}</definedName>
    <definedName name="gfsghjdgygr" localSheetId="16" hidden="1">{#N/A,#N/A,FALSE,"Plan1";#N/A,#N/A,FALSE,"Plan2"}</definedName>
    <definedName name="gfsghjdgygr" localSheetId="0" hidden="1">{#N/A,#N/A,FALSE,"Plan1";#N/A,#N/A,FALSE,"Plan2"}</definedName>
    <definedName name="gfsghjdgygr" localSheetId="11" hidden="1">{#N/A,#N/A,FALSE,"Plan1";#N/A,#N/A,FALSE,"Plan2"}</definedName>
    <definedName name="gfsghjdgygr" localSheetId="13" hidden="1">{#N/A,#N/A,FALSE,"Plan1";#N/A,#N/A,FALSE,"Plan2"}</definedName>
    <definedName name="gfsghjdgygr" hidden="1">{#N/A,#N/A,FALSE,"Plan1";#N/A,#N/A,FALSE,"Plan2"}</definedName>
    <definedName name="gftfy" localSheetId="14" hidden="1">{#N/A,#N/A,FALSE,"Plan1";#N/A,#N/A,FALSE,"Plan2"}</definedName>
    <definedName name="gftfy" localSheetId="7" hidden="1">{#N/A,#N/A,FALSE,"Plan1";#N/A,#N/A,FALSE,"Plan2"}</definedName>
    <definedName name="gftfy" localSheetId="1" hidden="1">{#N/A,#N/A,FALSE,"Plan1";#N/A,#N/A,FALSE,"Plan2"}</definedName>
    <definedName name="gftfy" localSheetId="2" hidden="1">{#N/A,#N/A,FALSE,"Plan1";#N/A,#N/A,FALSE,"Plan2"}</definedName>
    <definedName name="gftfy" localSheetId="9" hidden="1">{#N/A,#N/A,FALSE,"Plan1";#N/A,#N/A,FALSE,"Plan2"}</definedName>
    <definedName name="gftfy" localSheetId="5" hidden="1">{#N/A,#N/A,FALSE,"Plan1";#N/A,#N/A,FALSE,"Plan2"}</definedName>
    <definedName name="gftfy" localSheetId="4" hidden="1">{#N/A,#N/A,FALSE,"Plan1";#N/A,#N/A,FALSE,"Plan2"}</definedName>
    <definedName name="gftfy" localSheetId="8" hidden="1">{#N/A,#N/A,FALSE,"Plan1";#N/A,#N/A,FALSE,"Plan2"}</definedName>
    <definedName name="gftfy" localSheetId="12" hidden="1">{#N/A,#N/A,FALSE,"Plan1";#N/A,#N/A,FALSE,"Plan2"}</definedName>
    <definedName name="gftfy" localSheetId="16" hidden="1">{#N/A,#N/A,FALSE,"Plan1";#N/A,#N/A,FALSE,"Plan2"}</definedName>
    <definedName name="gftfy" localSheetId="0" hidden="1">{#N/A,#N/A,FALSE,"Plan1";#N/A,#N/A,FALSE,"Plan2"}</definedName>
    <definedName name="gftfy" localSheetId="11" hidden="1">{#N/A,#N/A,FALSE,"Plan1";#N/A,#N/A,FALSE,"Plan2"}</definedName>
    <definedName name="gftfy" localSheetId="13" hidden="1">{#N/A,#N/A,FALSE,"Plan1";#N/A,#N/A,FALSE,"Plan2"}</definedName>
    <definedName name="gftfy" hidden="1">{#N/A,#N/A,FALSE,"Plan1";#N/A,#N/A,FALSE,"Plan2"}</definedName>
    <definedName name="gfty" localSheetId="14" hidden="1">{#N/A,#N/A,FALSE,"Plan1";#N/A,#N/A,FALSE,"Plan2"}</definedName>
    <definedName name="gfty" localSheetId="7" hidden="1">{#N/A,#N/A,FALSE,"Plan1";#N/A,#N/A,FALSE,"Plan2"}</definedName>
    <definedName name="gfty" localSheetId="1" hidden="1">{#N/A,#N/A,FALSE,"Plan1";#N/A,#N/A,FALSE,"Plan2"}</definedName>
    <definedName name="gfty" localSheetId="2" hidden="1">{#N/A,#N/A,FALSE,"Plan1";#N/A,#N/A,FALSE,"Plan2"}</definedName>
    <definedName name="gfty" localSheetId="9" hidden="1">{#N/A,#N/A,FALSE,"Plan1";#N/A,#N/A,FALSE,"Plan2"}</definedName>
    <definedName name="gfty" localSheetId="5" hidden="1">{#N/A,#N/A,FALSE,"Plan1";#N/A,#N/A,FALSE,"Plan2"}</definedName>
    <definedName name="gfty" localSheetId="4" hidden="1">{#N/A,#N/A,FALSE,"Plan1";#N/A,#N/A,FALSE,"Plan2"}</definedName>
    <definedName name="gfty" localSheetId="8" hidden="1">{#N/A,#N/A,FALSE,"Plan1";#N/A,#N/A,FALSE,"Plan2"}</definedName>
    <definedName name="gfty" localSheetId="12" hidden="1">{#N/A,#N/A,FALSE,"Plan1";#N/A,#N/A,FALSE,"Plan2"}</definedName>
    <definedName name="gfty" localSheetId="16" hidden="1">{#N/A,#N/A,FALSE,"Plan1";#N/A,#N/A,FALSE,"Plan2"}</definedName>
    <definedName name="gfty" localSheetId="0" hidden="1">{#N/A,#N/A,FALSE,"Plan1";#N/A,#N/A,FALSE,"Plan2"}</definedName>
    <definedName name="gfty" localSheetId="11" hidden="1">{#N/A,#N/A,FALSE,"Plan1";#N/A,#N/A,FALSE,"Plan2"}</definedName>
    <definedName name="gfty" localSheetId="13" hidden="1">{#N/A,#N/A,FALSE,"Plan1";#N/A,#N/A,FALSE,"Plan2"}</definedName>
    <definedName name="gfty" hidden="1">{#N/A,#N/A,FALSE,"Plan1";#N/A,#N/A,FALSE,"Plan2"}</definedName>
    <definedName name="GFUJU9" localSheetId="14" hidden="1">{#N/A,#N/A,FALSE,"Plan1";#N/A,#N/A,FALSE,"Plan2"}</definedName>
    <definedName name="GFUJU9" localSheetId="7" hidden="1">{#N/A,#N/A,FALSE,"Plan1";#N/A,#N/A,FALSE,"Plan2"}</definedName>
    <definedName name="GFUJU9" localSheetId="1" hidden="1">{#N/A,#N/A,FALSE,"Plan1";#N/A,#N/A,FALSE,"Plan2"}</definedName>
    <definedName name="GFUJU9" localSheetId="2" hidden="1">{#N/A,#N/A,FALSE,"Plan1";#N/A,#N/A,FALSE,"Plan2"}</definedName>
    <definedName name="GFUJU9" localSheetId="9" hidden="1">{#N/A,#N/A,FALSE,"Plan1";#N/A,#N/A,FALSE,"Plan2"}</definedName>
    <definedName name="GFUJU9" localSheetId="5" hidden="1">{#N/A,#N/A,FALSE,"Plan1";#N/A,#N/A,FALSE,"Plan2"}</definedName>
    <definedName name="GFUJU9" localSheetId="4" hidden="1">{#N/A,#N/A,FALSE,"Plan1";#N/A,#N/A,FALSE,"Plan2"}</definedName>
    <definedName name="GFUJU9" localSheetId="8" hidden="1">{#N/A,#N/A,FALSE,"Plan1";#N/A,#N/A,FALSE,"Plan2"}</definedName>
    <definedName name="GFUJU9" localSheetId="12" hidden="1">{#N/A,#N/A,FALSE,"Plan1";#N/A,#N/A,FALSE,"Plan2"}</definedName>
    <definedName name="GFUJU9" localSheetId="16" hidden="1">{#N/A,#N/A,FALSE,"Plan1";#N/A,#N/A,FALSE,"Plan2"}</definedName>
    <definedName name="GFUJU9" localSheetId="0" hidden="1">{#N/A,#N/A,FALSE,"Plan1";#N/A,#N/A,FALSE,"Plan2"}</definedName>
    <definedName name="GFUJU9" localSheetId="11" hidden="1">{#N/A,#N/A,FALSE,"Plan1";#N/A,#N/A,FALSE,"Plan2"}</definedName>
    <definedName name="GFUJU9" localSheetId="13" hidden="1">{#N/A,#N/A,FALSE,"Plan1";#N/A,#N/A,FALSE,"Plan2"}</definedName>
    <definedName name="GFUJU9" hidden="1">{#N/A,#N/A,FALSE,"Plan1";#N/A,#N/A,FALSE,"Plan2"}</definedName>
    <definedName name="ggg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4" hidden="1">{#N/A,#N/A,FALSE,"Plan1";#N/A,#N/A,FALSE,"Plan2"}</definedName>
    <definedName name="gggg" localSheetId="7" hidden="1">{"'장비'!$A$3:$M$12"}</definedName>
    <definedName name="GGGG" localSheetId="1" hidden="1">{#N/A,#N/A,FALSE,"Plan1";#N/A,#N/A,FALSE,"Plan2"}</definedName>
    <definedName name="GGGG" localSheetId="2" hidden="1">{#N/A,#N/A,FALSE,"Plan1";#N/A,#N/A,FALSE,"Plan2"}</definedName>
    <definedName name="gggg" localSheetId="9" hidden="1">{"'장비'!$A$3:$M$12"}</definedName>
    <definedName name="GGGG" localSheetId="5" hidden="1">{#N/A,#N/A,FALSE,"Plan1";#N/A,#N/A,FALSE,"Plan2"}</definedName>
    <definedName name="GGGG" localSheetId="4" hidden="1">{#N/A,#N/A,FALSE,"Plan1";#N/A,#N/A,FALSE,"Plan2"}</definedName>
    <definedName name="gggg" localSheetId="8" hidden="1">{"'장비'!$A$3:$M$12"}</definedName>
    <definedName name="GGGG" localSheetId="12" hidden="1">{#N/A,#N/A,FALSE,"Plan1";#N/A,#N/A,FALSE,"Plan2"}</definedName>
    <definedName name="GGGG" localSheetId="16" hidden="1">{#N/A,#N/A,FALSE,"Plan1";#N/A,#N/A,FALSE,"Plan2"}</definedName>
    <definedName name="GGGG" localSheetId="0" hidden="1">{#N/A,#N/A,FALSE,"Plan1";#N/A,#N/A,FALSE,"Plan2"}</definedName>
    <definedName name="GGGG" localSheetId="11" hidden="1">{#N/A,#N/A,FALSE,"Plan1";#N/A,#N/A,FALSE,"Plan2"}</definedName>
    <definedName name="GGGG" localSheetId="13" hidden="1">{#N/A,#N/A,FALSE,"Plan1";#N/A,#N/A,FALSE,"Plan2"}</definedName>
    <definedName name="GGGG" hidden="1">{#N/A,#N/A,FALSE,"Plan1";#N/A,#N/A,FALSE,"Plan2"}</definedName>
    <definedName name="ggggggggg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4" hidden="1">{"'장비'!$A$3:$M$12"}</definedName>
    <definedName name="gh" localSheetId="7" hidden="1">{"'장비'!$A$3:$M$12"}</definedName>
    <definedName name="gh" localSheetId="1" hidden="1">{"'장비'!$A$3:$M$12"}</definedName>
    <definedName name="gh" localSheetId="2" hidden="1">{"'장비'!$A$3:$M$12"}</definedName>
    <definedName name="gh" localSheetId="9" hidden="1">{"'장비'!$A$3:$M$12"}</definedName>
    <definedName name="gh" localSheetId="5" hidden="1">{"'장비'!$A$3:$M$12"}</definedName>
    <definedName name="gh" localSheetId="4" hidden="1">{"'장비'!$A$3:$M$12"}</definedName>
    <definedName name="gh" localSheetId="8" hidden="1">{"'장비'!$A$3:$M$12"}</definedName>
    <definedName name="gh" localSheetId="12" hidden="1">{"'장비'!$A$3:$M$12"}</definedName>
    <definedName name="gh" localSheetId="16" hidden="1">{"'장비'!$A$3:$M$12"}</definedName>
    <definedName name="gh" localSheetId="0" hidden="1">{"'장비'!$A$3:$M$12"}</definedName>
    <definedName name="gh" localSheetId="11" hidden="1">{"'장비'!$A$3:$M$12"}</definedName>
    <definedName name="gh" localSheetId="13" hidden="1">{"'장비'!$A$3:$M$12"}</definedName>
    <definedName name="gh" hidden="1">{"'장비'!$A$3:$M$12"}</definedName>
    <definedName name="ghfgdfrtert" localSheetId="14" hidden="1">{#N/A,#N/A,FALSE,"Plan1";#N/A,#N/A,FALSE,"Plan2"}</definedName>
    <definedName name="ghfgdfrtert" localSheetId="7" hidden="1">{#N/A,#N/A,FALSE,"Plan1";#N/A,#N/A,FALSE,"Plan2"}</definedName>
    <definedName name="ghfgdfrtert" localSheetId="1" hidden="1">{#N/A,#N/A,FALSE,"Plan1";#N/A,#N/A,FALSE,"Plan2"}</definedName>
    <definedName name="ghfgdfrtert" localSheetId="2" hidden="1">{#N/A,#N/A,FALSE,"Plan1";#N/A,#N/A,FALSE,"Plan2"}</definedName>
    <definedName name="ghfgdfrtert" localSheetId="9" hidden="1">{#N/A,#N/A,FALSE,"Plan1";#N/A,#N/A,FALSE,"Plan2"}</definedName>
    <definedName name="ghfgdfrtert" localSheetId="5" hidden="1">{#N/A,#N/A,FALSE,"Plan1";#N/A,#N/A,FALSE,"Plan2"}</definedName>
    <definedName name="ghfgdfrtert" localSheetId="4" hidden="1">{#N/A,#N/A,FALSE,"Plan1";#N/A,#N/A,FALSE,"Plan2"}</definedName>
    <definedName name="ghfgdfrtert" localSheetId="8" hidden="1">{#N/A,#N/A,FALSE,"Plan1";#N/A,#N/A,FALSE,"Plan2"}</definedName>
    <definedName name="ghfgdfrtert" localSheetId="12" hidden="1">{#N/A,#N/A,FALSE,"Plan1";#N/A,#N/A,FALSE,"Plan2"}</definedName>
    <definedName name="ghfgdfrtert" localSheetId="16" hidden="1">{#N/A,#N/A,FALSE,"Plan1";#N/A,#N/A,FALSE,"Plan2"}</definedName>
    <definedName name="ghfgdfrtert" localSheetId="0" hidden="1">{#N/A,#N/A,FALSE,"Plan1";#N/A,#N/A,FALSE,"Plan2"}</definedName>
    <definedName name="ghfgdfrtert" localSheetId="11" hidden="1">{#N/A,#N/A,FALSE,"Plan1";#N/A,#N/A,FALSE,"Plan2"}</definedName>
    <definedName name="ghfgdfrtert" localSheetId="13" hidden="1">{#N/A,#N/A,FALSE,"Plan1";#N/A,#N/A,FALSE,"Plan2"}</definedName>
    <definedName name="ghfgdfrtert" hidden="1">{#N/A,#N/A,FALSE,"Plan1";#N/A,#N/A,FALSE,"Plan2"}</definedName>
    <definedName name="ghfhghft" localSheetId="14" hidden="1">{#N/A,#N/A,FALSE,"Plan1";#N/A,#N/A,FALSE,"Plan2"}</definedName>
    <definedName name="ghfhghft" localSheetId="7" hidden="1">{#N/A,#N/A,FALSE,"Plan1";#N/A,#N/A,FALSE,"Plan2"}</definedName>
    <definedName name="ghfhghft" localSheetId="1" hidden="1">{#N/A,#N/A,FALSE,"Plan1";#N/A,#N/A,FALSE,"Plan2"}</definedName>
    <definedName name="ghfhghft" localSheetId="2" hidden="1">{#N/A,#N/A,FALSE,"Plan1";#N/A,#N/A,FALSE,"Plan2"}</definedName>
    <definedName name="ghfhghft" localSheetId="9" hidden="1">{#N/A,#N/A,FALSE,"Plan1";#N/A,#N/A,FALSE,"Plan2"}</definedName>
    <definedName name="ghfhghft" localSheetId="5" hidden="1">{#N/A,#N/A,FALSE,"Plan1";#N/A,#N/A,FALSE,"Plan2"}</definedName>
    <definedName name="ghfhghft" localSheetId="4" hidden="1">{#N/A,#N/A,FALSE,"Plan1";#N/A,#N/A,FALSE,"Plan2"}</definedName>
    <definedName name="ghfhghft" localSheetId="8" hidden="1">{#N/A,#N/A,FALSE,"Plan1";#N/A,#N/A,FALSE,"Plan2"}</definedName>
    <definedName name="ghfhghft" localSheetId="12" hidden="1">{#N/A,#N/A,FALSE,"Plan1";#N/A,#N/A,FALSE,"Plan2"}</definedName>
    <definedName name="ghfhghft" localSheetId="16" hidden="1">{#N/A,#N/A,FALSE,"Plan1";#N/A,#N/A,FALSE,"Plan2"}</definedName>
    <definedName name="ghfhghft" localSheetId="0" hidden="1">{#N/A,#N/A,FALSE,"Plan1";#N/A,#N/A,FALSE,"Plan2"}</definedName>
    <definedName name="ghfhghft" localSheetId="11" hidden="1">{#N/A,#N/A,FALSE,"Plan1";#N/A,#N/A,FALSE,"Plan2"}</definedName>
    <definedName name="ghfhghft" localSheetId="13" hidden="1">{#N/A,#N/A,FALSE,"Plan1";#N/A,#N/A,FALSE,"Plan2"}</definedName>
    <definedName name="ghfhghft" hidden="1">{#N/A,#N/A,FALSE,"Plan1";#N/A,#N/A,FALSE,"Plan2"}</definedName>
    <definedName name="ghjg" localSheetId="14" hidden="1">{"'Estimativa de Lançamento-JAN'!$A$1:$AI$85"}</definedName>
    <definedName name="ghjg" localSheetId="7" hidden="1">{"'Estimativa de Lançamento-JAN'!$A$1:$AI$85"}</definedName>
    <definedName name="ghjg" localSheetId="1" hidden="1">{"'Estimativa de Lançamento-JAN'!$A$1:$AI$85"}</definedName>
    <definedName name="ghjg" localSheetId="2" hidden="1">{"'Estimativa de Lançamento-JAN'!$A$1:$AI$85"}</definedName>
    <definedName name="ghjg" localSheetId="9" hidden="1">{"'Estimativa de Lançamento-JAN'!$A$1:$AI$85"}</definedName>
    <definedName name="ghjg" localSheetId="5" hidden="1">{"'Estimativa de Lançamento-JAN'!$A$1:$AI$85"}</definedName>
    <definedName name="ghjg" localSheetId="4" hidden="1">{"'Estimativa de Lançamento-JAN'!$A$1:$AI$85"}</definedName>
    <definedName name="ghjg" localSheetId="8" hidden="1">{"'Estimativa de Lançamento-JAN'!$A$1:$AI$85"}</definedName>
    <definedName name="ghjg" localSheetId="12" hidden="1">{"'Estimativa de Lançamento-JAN'!$A$1:$AI$85"}</definedName>
    <definedName name="ghjg" localSheetId="16" hidden="1">{"'Estimativa de Lançamento-JAN'!$A$1:$AI$85"}</definedName>
    <definedName name="ghjg" localSheetId="0" hidden="1">{"'Estimativa de Lançamento-JAN'!$A$1:$AI$85"}</definedName>
    <definedName name="ghjg" localSheetId="11" hidden="1">{"'Estimativa de Lançamento-JAN'!$A$1:$AI$85"}</definedName>
    <definedName name="ghjg" localSheetId="13" hidden="1">{"'Estimativa de Lançamento-JAN'!$A$1:$AI$85"}</definedName>
    <definedName name="ghjg" hidden="1">{"'Estimativa de Lançamento-JAN'!$A$1:$AI$85"}</definedName>
    <definedName name="ghkfhgh" localSheetId="14" hidden="1">{#N/A,#N/A,FALSE,"Plan1";#N/A,#N/A,FALSE,"Plan2"}</definedName>
    <definedName name="ghkfhgh" localSheetId="7" hidden="1">{#N/A,#N/A,FALSE,"Plan1";#N/A,#N/A,FALSE,"Plan2"}</definedName>
    <definedName name="ghkfhgh" localSheetId="1" hidden="1">{#N/A,#N/A,FALSE,"Plan1";#N/A,#N/A,FALSE,"Plan2"}</definedName>
    <definedName name="ghkfhgh" localSheetId="2" hidden="1">{#N/A,#N/A,FALSE,"Plan1";#N/A,#N/A,FALSE,"Plan2"}</definedName>
    <definedName name="ghkfhgh" localSheetId="9" hidden="1">{#N/A,#N/A,FALSE,"Plan1";#N/A,#N/A,FALSE,"Plan2"}</definedName>
    <definedName name="ghkfhgh" localSheetId="5" hidden="1">{#N/A,#N/A,FALSE,"Plan1";#N/A,#N/A,FALSE,"Plan2"}</definedName>
    <definedName name="ghkfhgh" localSheetId="4" hidden="1">{#N/A,#N/A,FALSE,"Plan1";#N/A,#N/A,FALSE,"Plan2"}</definedName>
    <definedName name="ghkfhgh" localSheetId="8" hidden="1">{#N/A,#N/A,FALSE,"Plan1";#N/A,#N/A,FALSE,"Plan2"}</definedName>
    <definedName name="ghkfhgh" localSheetId="12" hidden="1">{#N/A,#N/A,FALSE,"Plan1";#N/A,#N/A,FALSE,"Plan2"}</definedName>
    <definedName name="ghkfhgh" localSheetId="16" hidden="1">{#N/A,#N/A,FALSE,"Plan1";#N/A,#N/A,FALSE,"Plan2"}</definedName>
    <definedName name="ghkfhgh" localSheetId="0" hidden="1">{#N/A,#N/A,FALSE,"Plan1";#N/A,#N/A,FALSE,"Plan2"}</definedName>
    <definedName name="ghkfhgh" localSheetId="11" hidden="1">{#N/A,#N/A,FALSE,"Plan1";#N/A,#N/A,FALSE,"Plan2"}</definedName>
    <definedName name="ghkfhgh" localSheetId="13" hidden="1">{#N/A,#N/A,FALSE,"Plan1";#N/A,#N/A,FALSE,"Plan2"}</definedName>
    <definedName name="ghkfhgh" hidden="1">{#N/A,#N/A,FALSE,"Plan1";#N/A,#N/A,FALSE,"Plan2"}</definedName>
    <definedName name="ghkjh" localSheetId="14" hidden="1">{#N/A,#N/A,FALSE,"ENG'G(보호계전기)"}</definedName>
    <definedName name="ghkjh" localSheetId="7" hidden="1">{#N/A,#N/A,FALSE,"ENG'G(보호계전기)"}</definedName>
    <definedName name="ghkjh" localSheetId="1" hidden="1">{#N/A,#N/A,FALSE,"ENG'G(보호계전기)"}</definedName>
    <definedName name="ghkjh" localSheetId="2" hidden="1">{#N/A,#N/A,FALSE,"ENG'G(보호계전기)"}</definedName>
    <definedName name="ghkjh" localSheetId="9" hidden="1">{#N/A,#N/A,FALSE,"ENG'G(보호계전기)"}</definedName>
    <definedName name="ghkjh" localSheetId="5" hidden="1">{#N/A,#N/A,FALSE,"ENG'G(보호계전기)"}</definedName>
    <definedName name="ghkjh" localSheetId="4" hidden="1">{#N/A,#N/A,FALSE,"ENG'G(보호계전기)"}</definedName>
    <definedName name="ghkjh" localSheetId="8" hidden="1">{#N/A,#N/A,FALSE,"ENG'G(보호계전기)"}</definedName>
    <definedName name="ghkjh" localSheetId="12" hidden="1">{#N/A,#N/A,FALSE,"ENG'G(보호계전기)"}</definedName>
    <definedName name="ghkjh" localSheetId="16" hidden="1">{#N/A,#N/A,FALSE,"ENG'G(보호계전기)"}</definedName>
    <definedName name="ghkjh" localSheetId="0" hidden="1">{#N/A,#N/A,FALSE,"ENG'G(보호계전기)"}</definedName>
    <definedName name="ghkjh" localSheetId="11" hidden="1">{#N/A,#N/A,FALSE,"ENG'G(보호계전기)"}</definedName>
    <definedName name="ghkjh" localSheetId="13" hidden="1">{#N/A,#N/A,FALSE,"ENG'G(보호계전기)"}</definedName>
    <definedName name="ghkjh" hidden="1">{#N/A,#N/A,FALSE,"ENG'G(보호계전기)"}</definedName>
    <definedName name="GJ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4" hidden="1">{#N/A,#N/A,FALSE,"Plan1";#N/A,#N/A,FALSE,"Plan2"}</definedName>
    <definedName name="gjfhjktgcf" localSheetId="7" hidden="1">{#N/A,#N/A,FALSE,"Plan1";#N/A,#N/A,FALSE,"Plan2"}</definedName>
    <definedName name="gjfhjktgcf" localSheetId="1" hidden="1">{#N/A,#N/A,FALSE,"Plan1";#N/A,#N/A,FALSE,"Plan2"}</definedName>
    <definedName name="gjfhjktgcf" localSheetId="2" hidden="1">{#N/A,#N/A,FALSE,"Plan1";#N/A,#N/A,FALSE,"Plan2"}</definedName>
    <definedName name="gjfhjktgcf" localSheetId="9" hidden="1">{#N/A,#N/A,FALSE,"Plan1";#N/A,#N/A,FALSE,"Plan2"}</definedName>
    <definedName name="gjfhjktgcf" localSheetId="5" hidden="1">{#N/A,#N/A,FALSE,"Plan1";#N/A,#N/A,FALSE,"Plan2"}</definedName>
    <definedName name="gjfhjktgcf" localSheetId="4" hidden="1">{#N/A,#N/A,FALSE,"Plan1";#N/A,#N/A,FALSE,"Plan2"}</definedName>
    <definedName name="gjfhjktgcf" localSheetId="8" hidden="1">{#N/A,#N/A,FALSE,"Plan1";#N/A,#N/A,FALSE,"Plan2"}</definedName>
    <definedName name="gjfhjktgcf" localSheetId="12" hidden="1">{#N/A,#N/A,FALSE,"Plan1";#N/A,#N/A,FALSE,"Plan2"}</definedName>
    <definedName name="gjfhjktgcf" localSheetId="16" hidden="1">{#N/A,#N/A,FALSE,"Plan1";#N/A,#N/A,FALSE,"Plan2"}</definedName>
    <definedName name="gjfhjktgcf" localSheetId="0" hidden="1">{#N/A,#N/A,FALSE,"Plan1";#N/A,#N/A,FALSE,"Plan2"}</definedName>
    <definedName name="gjfhjktgcf" localSheetId="11" hidden="1">{#N/A,#N/A,FALSE,"Plan1";#N/A,#N/A,FALSE,"Plan2"}</definedName>
    <definedName name="gjfhjktgcf" localSheetId="13" hidden="1">{#N/A,#N/A,FALSE,"Plan1";#N/A,#N/A,FALSE,"Plan2"}</definedName>
    <definedName name="gjfhjktgcf" hidden="1">{#N/A,#N/A,FALSE,"Plan1";#N/A,#N/A,FALSE,"Plan2"}</definedName>
    <definedName name="GJ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4" hidden="1">{#N/A,#N/A,FALSE,"Plan1";#N/A,#N/A,FALSE,"Plan2"}</definedName>
    <definedName name="gjkhgjhjfggfjhfg" localSheetId="7" hidden="1">{#N/A,#N/A,FALSE,"Plan1";#N/A,#N/A,FALSE,"Plan2"}</definedName>
    <definedName name="gjkhgjhjfggfjhfg" localSheetId="1" hidden="1">{#N/A,#N/A,FALSE,"Plan1";#N/A,#N/A,FALSE,"Plan2"}</definedName>
    <definedName name="gjkhgjhjfggfjhfg" localSheetId="2" hidden="1">{#N/A,#N/A,FALSE,"Plan1";#N/A,#N/A,FALSE,"Plan2"}</definedName>
    <definedName name="gjkhgjhjfggfjhfg" localSheetId="9" hidden="1">{#N/A,#N/A,FALSE,"Plan1";#N/A,#N/A,FALSE,"Plan2"}</definedName>
    <definedName name="gjkhgjhjfggfjhfg" localSheetId="5" hidden="1">{#N/A,#N/A,FALSE,"Plan1";#N/A,#N/A,FALSE,"Plan2"}</definedName>
    <definedName name="gjkhgjhjfggfjhfg" localSheetId="4" hidden="1">{#N/A,#N/A,FALSE,"Plan1";#N/A,#N/A,FALSE,"Plan2"}</definedName>
    <definedName name="gjkhgjhjfggfjhfg" localSheetId="8" hidden="1">{#N/A,#N/A,FALSE,"Plan1";#N/A,#N/A,FALSE,"Plan2"}</definedName>
    <definedName name="gjkhgjhjfggfjhfg" localSheetId="12" hidden="1">{#N/A,#N/A,FALSE,"Plan1";#N/A,#N/A,FALSE,"Plan2"}</definedName>
    <definedName name="gjkhgjhjfggfjhfg" localSheetId="16" hidden="1">{#N/A,#N/A,FALSE,"Plan1";#N/A,#N/A,FALSE,"Plan2"}</definedName>
    <definedName name="gjkhgjhjfggfjhfg" localSheetId="0" hidden="1">{#N/A,#N/A,FALSE,"Plan1";#N/A,#N/A,FALSE,"Plan2"}</definedName>
    <definedName name="gjkhgjhjfggfjhfg" localSheetId="11" hidden="1">{#N/A,#N/A,FALSE,"Plan1";#N/A,#N/A,FALSE,"Plan2"}</definedName>
    <definedName name="gjkhgjhjfggfjhfg" localSheetId="13" hidden="1">{#N/A,#N/A,FALSE,"Plan1";#N/A,#N/A,FALSE,"Plan2"}</definedName>
    <definedName name="gjkhgjhjfggfjhfg" hidden="1">{#N/A,#N/A,FALSE,"Plan1";#N/A,#N/A,FALSE,"Plan2"}</definedName>
    <definedName name="glgl" localSheetId="14" hidden="1">{#N/A,#N/A,FALSE,"Plan1";#N/A,#N/A,FALSE,"Plan2"}</definedName>
    <definedName name="glgl" localSheetId="7" hidden="1">{#N/A,#N/A,FALSE,"Plan1";#N/A,#N/A,FALSE,"Plan2"}</definedName>
    <definedName name="glgl" localSheetId="1" hidden="1">{#N/A,#N/A,FALSE,"Plan1";#N/A,#N/A,FALSE,"Plan2"}</definedName>
    <definedName name="glgl" localSheetId="2" hidden="1">{#N/A,#N/A,FALSE,"Plan1";#N/A,#N/A,FALSE,"Plan2"}</definedName>
    <definedName name="glgl" localSheetId="9" hidden="1">{#N/A,#N/A,FALSE,"Plan1";#N/A,#N/A,FALSE,"Plan2"}</definedName>
    <definedName name="glgl" localSheetId="5" hidden="1">{#N/A,#N/A,FALSE,"Plan1";#N/A,#N/A,FALSE,"Plan2"}</definedName>
    <definedName name="glgl" localSheetId="4" hidden="1">{#N/A,#N/A,FALSE,"Plan1";#N/A,#N/A,FALSE,"Plan2"}</definedName>
    <definedName name="glgl" localSheetId="8" hidden="1">{#N/A,#N/A,FALSE,"Plan1";#N/A,#N/A,FALSE,"Plan2"}</definedName>
    <definedName name="glgl" localSheetId="12" hidden="1">{#N/A,#N/A,FALSE,"Plan1";#N/A,#N/A,FALSE,"Plan2"}</definedName>
    <definedName name="glgl" localSheetId="16" hidden="1">{#N/A,#N/A,FALSE,"Plan1";#N/A,#N/A,FALSE,"Plan2"}</definedName>
    <definedName name="glgl" localSheetId="0" hidden="1">{#N/A,#N/A,FALSE,"Plan1";#N/A,#N/A,FALSE,"Plan2"}</definedName>
    <definedName name="glgl" localSheetId="11" hidden="1">{#N/A,#N/A,FALSE,"Plan1";#N/A,#N/A,FALSE,"Plan2"}</definedName>
    <definedName name="glgl" localSheetId="13" hidden="1">{#N/A,#N/A,FALSE,"Plan1";#N/A,#N/A,FALSE,"Plan2"}</definedName>
    <definedName name="glgl" hidden="1">{#N/A,#N/A,FALSE,"Plan1";#N/A,#N/A,FALSE,"Plan2"}</definedName>
    <definedName name="global" localSheetId="7" hidden="1">{"'Estimativa de Lançamento-JAN'!$A$1:$AI$85"}</definedName>
    <definedName name="global" localSheetId="2" hidden="1">{"'Estimativa de Lançamento-JAN'!$A$1:$AI$85"}</definedName>
    <definedName name="global" localSheetId="9" hidden="1">{"'Estimativa de Lançamento-JAN'!$A$1:$AI$85"}</definedName>
    <definedName name="GLOBAL" localSheetId="5">#REF!</definedName>
    <definedName name="global" localSheetId="8" hidden="1">{"'Estimativa de Lançamento-JAN'!$A$1:$AI$85"}</definedName>
    <definedName name="global" localSheetId="0" hidden="1">{"'Estimativa de Lançamento-JAN'!$A$1:$AI$85"}</definedName>
    <definedName name="GLOBAL">#REF!</definedName>
    <definedName name="gnfrt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2">#REF!</definedName>
    <definedName name="grec_cdi" localSheetId="5">#REF!</definedName>
    <definedName name="grec_cdi">#REF!</definedName>
    <definedName name="grec_hist" localSheetId="2">#REF!</definedName>
    <definedName name="grec_hist" localSheetId="5">#REF!</definedName>
    <definedName name="grec_hist">#REF!</definedName>
    <definedName name="grec_uss" localSheetId="2">#REF!</definedName>
    <definedName name="grec_uss" localSheetId="5">#REF!</definedName>
    <definedName name="grec_uss">#REF!</definedName>
    <definedName name="grua" localSheetId="2">#REF!</definedName>
    <definedName name="grua" localSheetId="5">#REF!</definedName>
    <definedName name="grua">#REF!</definedName>
    <definedName name="GSDWJSTG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4" hidden="1">{#N/A,#N/A,FALSE,"Plan1";#N/A,#N/A,FALSE,"Plan2"}</definedName>
    <definedName name="gtuigsdyugsdf" localSheetId="7" hidden="1">{#N/A,#N/A,FALSE,"Plan1";#N/A,#N/A,FALSE,"Plan2"}</definedName>
    <definedName name="gtuigsdyugsdf" localSheetId="1" hidden="1">{#N/A,#N/A,FALSE,"Plan1";#N/A,#N/A,FALSE,"Plan2"}</definedName>
    <definedName name="gtuigsdyugsdf" localSheetId="2" hidden="1">{#N/A,#N/A,FALSE,"Plan1";#N/A,#N/A,FALSE,"Plan2"}</definedName>
    <definedName name="gtuigsdyugsdf" localSheetId="9" hidden="1">{#N/A,#N/A,FALSE,"Plan1";#N/A,#N/A,FALSE,"Plan2"}</definedName>
    <definedName name="gtuigsdyugsdf" localSheetId="5" hidden="1">{#N/A,#N/A,FALSE,"Plan1";#N/A,#N/A,FALSE,"Plan2"}</definedName>
    <definedName name="gtuigsdyugsdf" localSheetId="4" hidden="1">{#N/A,#N/A,FALSE,"Plan1";#N/A,#N/A,FALSE,"Plan2"}</definedName>
    <definedName name="gtuigsdyugsdf" localSheetId="8" hidden="1">{#N/A,#N/A,FALSE,"Plan1";#N/A,#N/A,FALSE,"Plan2"}</definedName>
    <definedName name="gtuigsdyugsdf" localSheetId="12" hidden="1">{#N/A,#N/A,FALSE,"Plan1";#N/A,#N/A,FALSE,"Plan2"}</definedName>
    <definedName name="gtuigsdyugsdf" localSheetId="16" hidden="1">{#N/A,#N/A,FALSE,"Plan1";#N/A,#N/A,FALSE,"Plan2"}</definedName>
    <definedName name="gtuigsdyugsdf" localSheetId="0" hidden="1">{#N/A,#N/A,FALSE,"Plan1";#N/A,#N/A,FALSE,"Plan2"}</definedName>
    <definedName name="gtuigsdyugsdf" localSheetId="11" hidden="1">{#N/A,#N/A,FALSE,"Plan1";#N/A,#N/A,FALSE,"Plan2"}</definedName>
    <definedName name="gtuigsdyugsdf" localSheetId="13" hidden="1">{#N/A,#N/A,FALSE,"Plan1";#N/A,#N/A,FALSE,"Plan2"}</definedName>
    <definedName name="gtuigsdyugsdf" hidden="1">{#N/A,#N/A,FALSE,"Plan1";#N/A,#N/A,FALSE,"Plan2"}</definedName>
    <definedName name="GU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4" hidden="1">{#N/A,#N/A,FALSE,"CCTV"}</definedName>
    <definedName name="GV" localSheetId="7" hidden="1">{#N/A,#N/A,FALSE,"CCTV"}</definedName>
    <definedName name="GV" localSheetId="1" hidden="1">{#N/A,#N/A,FALSE,"CCTV"}</definedName>
    <definedName name="GV" localSheetId="2" hidden="1">{#N/A,#N/A,FALSE,"CCTV"}</definedName>
    <definedName name="GV" localSheetId="9" hidden="1">{#N/A,#N/A,FALSE,"CCTV"}</definedName>
    <definedName name="GV" localSheetId="5" hidden="1">{#N/A,#N/A,FALSE,"CCTV"}</definedName>
    <definedName name="GV" localSheetId="4" hidden="1">{#N/A,#N/A,FALSE,"CCTV"}</definedName>
    <definedName name="GV" localSheetId="8" hidden="1">{#N/A,#N/A,FALSE,"CCTV"}</definedName>
    <definedName name="GV" localSheetId="12" hidden="1">{#N/A,#N/A,FALSE,"CCTV"}</definedName>
    <definedName name="GV" localSheetId="16" hidden="1">{#N/A,#N/A,FALSE,"CCTV"}</definedName>
    <definedName name="GV" localSheetId="0" hidden="1">{#N/A,#N/A,FALSE,"CCTV"}</definedName>
    <definedName name="GV" localSheetId="11" hidden="1">{#N/A,#N/A,FALSE,"CCTV"}</definedName>
    <definedName name="GV" localSheetId="13" hidden="1">{#N/A,#N/A,FALSE,"CCTV"}</definedName>
    <definedName name="GV" hidden="1">{#N/A,#N/A,FALSE,"CCTV"}</definedName>
    <definedName name="h" localSheetId="2">#REF!</definedName>
    <definedName name="h" localSheetId="5">#REF!</definedName>
    <definedName name="h">#REF!</definedName>
    <definedName name="hbjgjuae" localSheetId="2">#REF!</definedName>
    <definedName name="hbjgjuae" localSheetId="5">#REF!</definedName>
    <definedName name="hbjgjuae">#REF!</definedName>
    <definedName name="hcjfkhdghfktg" localSheetId="14" hidden="1">{#N/A,#N/A,FALSE,"Plan1";#N/A,#N/A,FALSE,"Plan2"}</definedName>
    <definedName name="hcjfkhdghfktg" localSheetId="7" hidden="1">{#N/A,#N/A,FALSE,"Plan1";#N/A,#N/A,FALSE,"Plan2"}</definedName>
    <definedName name="hcjfkhdghfktg" localSheetId="1" hidden="1">{#N/A,#N/A,FALSE,"Plan1";#N/A,#N/A,FALSE,"Plan2"}</definedName>
    <definedName name="hcjfkhdghfktg" localSheetId="2" hidden="1">{#N/A,#N/A,FALSE,"Plan1";#N/A,#N/A,FALSE,"Plan2"}</definedName>
    <definedName name="hcjfkhdghfktg" localSheetId="9" hidden="1">{#N/A,#N/A,FALSE,"Plan1";#N/A,#N/A,FALSE,"Plan2"}</definedName>
    <definedName name="hcjfkhdghfktg" localSheetId="5" hidden="1">{#N/A,#N/A,FALSE,"Plan1";#N/A,#N/A,FALSE,"Plan2"}</definedName>
    <definedName name="hcjfkhdghfktg" localSheetId="4" hidden="1">{#N/A,#N/A,FALSE,"Plan1";#N/A,#N/A,FALSE,"Plan2"}</definedName>
    <definedName name="hcjfkhdghfktg" localSheetId="8" hidden="1">{#N/A,#N/A,FALSE,"Plan1";#N/A,#N/A,FALSE,"Plan2"}</definedName>
    <definedName name="hcjfkhdghfktg" localSheetId="12" hidden="1">{#N/A,#N/A,FALSE,"Plan1";#N/A,#N/A,FALSE,"Plan2"}</definedName>
    <definedName name="hcjfkhdghfktg" localSheetId="16" hidden="1">{#N/A,#N/A,FALSE,"Plan1";#N/A,#N/A,FALSE,"Plan2"}</definedName>
    <definedName name="hcjfkhdghfktg" localSheetId="0" hidden="1">{#N/A,#N/A,FALSE,"Plan1";#N/A,#N/A,FALSE,"Plan2"}</definedName>
    <definedName name="hcjfkhdghfktg" localSheetId="11" hidden="1">{#N/A,#N/A,FALSE,"Plan1";#N/A,#N/A,FALSE,"Plan2"}</definedName>
    <definedName name="hcjfkhdghfktg" localSheetId="13" hidden="1">{#N/A,#N/A,FALSE,"Plan1";#N/A,#N/A,FALSE,"Plan2"}</definedName>
    <definedName name="hcjfkhdghfktg" hidden="1">{#N/A,#N/A,FALSE,"Plan1";#N/A,#N/A,FALSE,"Plan2"}</definedName>
    <definedName name="hckhjfdkgfdg" localSheetId="2" hidden="1">#REF!</definedName>
    <definedName name="hckhjfdkgfdg" localSheetId="5" hidden="1">#REF!</definedName>
    <definedName name="hckhjfdkgfdg" localSheetId="0" hidden="1">#REF!</definedName>
    <definedName name="hckhjfdkgfdg" hidden="1">#REF!</definedName>
    <definedName name="hddfndgdf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4" hidden="1">{#N/A,#N/A,FALSE,"Plan1";#N/A,#N/A,FALSE,"Plan2"}</definedName>
    <definedName name="HDFGHGST" localSheetId="7" hidden="1">{#N/A,#N/A,FALSE,"Plan1";#N/A,#N/A,FALSE,"Plan2"}</definedName>
    <definedName name="HDFGHGST" localSheetId="1" hidden="1">{#N/A,#N/A,FALSE,"Plan1";#N/A,#N/A,FALSE,"Plan2"}</definedName>
    <definedName name="HDFGHGST" localSheetId="2" hidden="1">{#N/A,#N/A,FALSE,"Plan1";#N/A,#N/A,FALSE,"Plan2"}</definedName>
    <definedName name="HDFGHGST" localSheetId="9" hidden="1">{#N/A,#N/A,FALSE,"Plan1";#N/A,#N/A,FALSE,"Plan2"}</definedName>
    <definedName name="HDFGHGST" localSheetId="5" hidden="1">{#N/A,#N/A,FALSE,"Plan1";#N/A,#N/A,FALSE,"Plan2"}</definedName>
    <definedName name="HDFGHGST" localSheetId="4" hidden="1">{#N/A,#N/A,FALSE,"Plan1";#N/A,#N/A,FALSE,"Plan2"}</definedName>
    <definedName name="HDFGHGST" localSheetId="8" hidden="1">{#N/A,#N/A,FALSE,"Plan1";#N/A,#N/A,FALSE,"Plan2"}</definedName>
    <definedName name="HDFGHGST" localSheetId="12" hidden="1">{#N/A,#N/A,FALSE,"Plan1";#N/A,#N/A,FALSE,"Plan2"}</definedName>
    <definedName name="HDFGHGST" localSheetId="16" hidden="1">{#N/A,#N/A,FALSE,"Plan1";#N/A,#N/A,FALSE,"Plan2"}</definedName>
    <definedName name="HDFGHGST" localSheetId="0" hidden="1">{#N/A,#N/A,FALSE,"Plan1";#N/A,#N/A,FALSE,"Plan2"}</definedName>
    <definedName name="HDFGHGST" localSheetId="11" hidden="1">{#N/A,#N/A,FALSE,"Plan1";#N/A,#N/A,FALSE,"Plan2"}</definedName>
    <definedName name="HDFGHGST" localSheetId="13" hidden="1">{#N/A,#N/A,FALSE,"Plan1";#N/A,#N/A,FALSE,"Plan2"}</definedName>
    <definedName name="HDFGHGST" hidden="1">{#N/A,#N/A,FALSE,"Plan1";#N/A,#N/A,FALSE,"Plan2"}</definedName>
    <definedName name="HDFGJKHKFDHTY" localSheetId="14" hidden="1">{#N/A,#N/A,FALSE,"Plan1";#N/A,#N/A,FALSE,"Plan2"}</definedName>
    <definedName name="HDFGJKHKFDHTY" localSheetId="7" hidden="1">{#N/A,#N/A,FALSE,"Plan1";#N/A,#N/A,FALSE,"Plan2"}</definedName>
    <definedName name="HDFGJKHKFDHTY" localSheetId="1" hidden="1">{#N/A,#N/A,FALSE,"Plan1";#N/A,#N/A,FALSE,"Plan2"}</definedName>
    <definedName name="HDFGJKHKFDHTY" localSheetId="2" hidden="1">{#N/A,#N/A,FALSE,"Plan1";#N/A,#N/A,FALSE,"Plan2"}</definedName>
    <definedName name="HDFGJKHKFDHTY" localSheetId="9" hidden="1">{#N/A,#N/A,FALSE,"Plan1";#N/A,#N/A,FALSE,"Plan2"}</definedName>
    <definedName name="HDFGJKHKFDHTY" localSheetId="5" hidden="1">{#N/A,#N/A,FALSE,"Plan1";#N/A,#N/A,FALSE,"Plan2"}</definedName>
    <definedName name="HDFGJKHKFDHTY" localSheetId="4" hidden="1">{#N/A,#N/A,FALSE,"Plan1";#N/A,#N/A,FALSE,"Plan2"}</definedName>
    <definedName name="HDFGJKHKFDHTY" localSheetId="8" hidden="1">{#N/A,#N/A,FALSE,"Plan1";#N/A,#N/A,FALSE,"Plan2"}</definedName>
    <definedName name="HDFGJKHKFDHTY" localSheetId="12" hidden="1">{#N/A,#N/A,FALSE,"Plan1";#N/A,#N/A,FALSE,"Plan2"}</definedName>
    <definedName name="HDFGJKHKFDHTY" localSheetId="16" hidden="1">{#N/A,#N/A,FALSE,"Plan1";#N/A,#N/A,FALSE,"Plan2"}</definedName>
    <definedName name="HDFGJKHKFDHTY" localSheetId="0" hidden="1">{#N/A,#N/A,FALSE,"Plan1";#N/A,#N/A,FALSE,"Plan2"}</definedName>
    <definedName name="HDFGJKHKFDHTY" localSheetId="11" hidden="1">{#N/A,#N/A,FALSE,"Plan1";#N/A,#N/A,FALSE,"Plan2"}</definedName>
    <definedName name="HDFGJKHKFDHTY" localSheetId="13" hidden="1">{#N/A,#N/A,FALSE,"Plan1";#N/A,#N/A,FALSE,"Plan2"}</definedName>
    <definedName name="HDFGJKHKFDHTY" hidden="1">{#N/A,#N/A,FALSE,"Plan1";#N/A,#N/A,FALSE,"Plan2"}</definedName>
    <definedName name="hdfhdhrtgd" localSheetId="14" hidden="1">{#N/A,#N/A,FALSE,"Plan1";#N/A,#N/A,FALSE,"Plan2"}</definedName>
    <definedName name="hdfhdhrtgd" localSheetId="7" hidden="1">{#N/A,#N/A,FALSE,"Plan1";#N/A,#N/A,FALSE,"Plan2"}</definedName>
    <definedName name="hdfhdhrtgd" localSheetId="1" hidden="1">{#N/A,#N/A,FALSE,"Plan1";#N/A,#N/A,FALSE,"Plan2"}</definedName>
    <definedName name="hdfhdhrtgd" localSheetId="2" hidden="1">{#N/A,#N/A,FALSE,"Plan1";#N/A,#N/A,FALSE,"Plan2"}</definedName>
    <definedName name="hdfhdhrtgd" localSheetId="9" hidden="1">{#N/A,#N/A,FALSE,"Plan1";#N/A,#N/A,FALSE,"Plan2"}</definedName>
    <definedName name="hdfhdhrtgd" localSheetId="5" hidden="1">{#N/A,#N/A,FALSE,"Plan1";#N/A,#N/A,FALSE,"Plan2"}</definedName>
    <definedName name="hdfhdhrtgd" localSheetId="4" hidden="1">{#N/A,#N/A,FALSE,"Plan1";#N/A,#N/A,FALSE,"Plan2"}</definedName>
    <definedName name="hdfhdhrtgd" localSheetId="8" hidden="1">{#N/A,#N/A,FALSE,"Plan1";#N/A,#N/A,FALSE,"Plan2"}</definedName>
    <definedName name="hdfhdhrtgd" localSheetId="12" hidden="1">{#N/A,#N/A,FALSE,"Plan1";#N/A,#N/A,FALSE,"Plan2"}</definedName>
    <definedName name="hdfhdhrtgd" localSheetId="16" hidden="1">{#N/A,#N/A,FALSE,"Plan1";#N/A,#N/A,FALSE,"Plan2"}</definedName>
    <definedName name="hdfhdhrtgd" localSheetId="0" hidden="1">{#N/A,#N/A,FALSE,"Plan1";#N/A,#N/A,FALSE,"Plan2"}</definedName>
    <definedName name="hdfhdhrtgd" localSheetId="11" hidden="1">{#N/A,#N/A,FALSE,"Plan1";#N/A,#N/A,FALSE,"Plan2"}</definedName>
    <definedName name="hdfhdhrtgd" localSheetId="13" hidden="1">{#N/A,#N/A,FALSE,"Plan1";#N/A,#N/A,FALSE,"Plan2"}</definedName>
    <definedName name="hdfhdhrtgd" hidden="1">{#N/A,#N/A,FALSE,"Plan1";#N/A,#N/A,FALSE,"Plan2"}</definedName>
    <definedName name="hdfhftde" localSheetId="14" hidden="1">{#N/A,#N/A,FALSE,"Plan1";#N/A,#N/A,FALSE,"Plan2"}</definedName>
    <definedName name="hdfhftde" localSheetId="7" hidden="1">{#N/A,#N/A,FALSE,"Plan1";#N/A,#N/A,FALSE,"Plan2"}</definedName>
    <definedName name="hdfhftde" localSheetId="1" hidden="1">{#N/A,#N/A,FALSE,"Plan1";#N/A,#N/A,FALSE,"Plan2"}</definedName>
    <definedName name="hdfhftde" localSheetId="2" hidden="1">{#N/A,#N/A,FALSE,"Plan1";#N/A,#N/A,FALSE,"Plan2"}</definedName>
    <definedName name="hdfhftde" localSheetId="9" hidden="1">{#N/A,#N/A,FALSE,"Plan1";#N/A,#N/A,FALSE,"Plan2"}</definedName>
    <definedName name="hdfhftde" localSheetId="5" hidden="1">{#N/A,#N/A,FALSE,"Plan1";#N/A,#N/A,FALSE,"Plan2"}</definedName>
    <definedName name="hdfhftde" localSheetId="4" hidden="1">{#N/A,#N/A,FALSE,"Plan1";#N/A,#N/A,FALSE,"Plan2"}</definedName>
    <definedName name="hdfhftde" localSheetId="8" hidden="1">{#N/A,#N/A,FALSE,"Plan1";#N/A,#N/A,FALSE,"Plan2"}</definedName>
    <definedName name="hdfhftde" localSheetId="12" hidden="1">{#N/A,#N/A,FALSE,"Plan1";#N/A,#N/A,FALSE,"Plan2"}</definedName>
    <definedName name="hdfhftde" localSheetId="16" hidden="1">{#N/A,#N/A,FALSE,"Plan1";#N/A,#N/A,FALSE,"Plan2"}</definedName>
    <definedName name="hdfhftde" localSheetId="0" hidden="1">{#N/A,#N/A,FALSE,"Plan1";#N/A,#N/A,FALSE,"Plan2"}</definedName>
    <definedName name="hdfhftde" localSheetId="11" hidden="1">{#N/A,#N/A,FALSE,"Plan1";#N/A,#N/A,FALSE,"Plan2"}</definedName>
    <definedName name="hdfhftde" localSheetId="13" hidden="1">{#N/A,#N/A,FALSE,"Plan1";#N/A,#N/A,FALSE,"Plan2"}</definedName>
    <definedName name="hdfhftde" hidden="1">{#N/A,#N/A,FALSE,"Plan1";#N/A,#N/A,FALSE,"Plan2"}</definedName>
    <definedName name="hdfhgkdhgtrf" localSheetId="14" hidden="1">{#N/A,#N/A,FALSE,"Plan1";#N/A,#N/A,FALSE,"Plan2"}</definedName>
    <definedName name="hdfhgkdhgtrf" localSheetId="7" hidden="1">{#N/A,#N/A,FALSE,"Plan1";#N/A,#N/A,FALSE,"Plan2"}</definedName>
    <definedName name="hdfhgkdhgtrf" localSheetId="1" hidden="1">{#N/A,#N/A,FALSE,"Plan1";#N/A,#N/A,FALSE,"Plan2"}</definedName>
    <definedName name="hdfhgkdhgtrf" localSheetId="2" hidden="1">{#N/A,#N/A,FALSE,"Plan1";#N/A,#N/A,FALSE,"Plan2"}</definedName>
    <definedName name="hdfhgkdhgtrf" localSheetId="9" hidden="1">{#N/A,#N/A,FALSE,"Plan1";#N/A,#N/A,FALSE,"Plan2"}</definedName>
    <definedName name="hdfhgkdhgtrf" localSheetId="5" hidden="1">{#N/A,#N/A,FALSE,"Plan1";#N/A,#N/A,FALSE,"Plan2"}</definedName>
    <definedName name="hdfhgkdhgtrf" localSheetId="4" hidden="1">{#N/A,#N/A,FALSE,"Plan1";#N/A,#N/A,FALSE,"Plan2"}</definedName>
    <definedName name="hdfhgkdhgtrf" localSheetId="8" hidden="1">{#N/A,#N/A,FALSE,"Plan1";#N/A,#N/A,FALSE,"Plan2"}</definedName>
    <definedName name="hdfhgkdhgtrf" localSheetId="12" hidden="1">{#N/A,#N/A,FALSE,"Plan1";#N/A,#N/A,FALSE,"Plan2"}</definedName>
    <definedName name="hdfhgkdhgtrf" localSheetId="16" hidden="1">{#N/A,#N/A,FALSE,"Plan1";#N/A,#N/A,FALSE,"Plan2"}</definedName>
    <definedName name="hdfhgkdhgtrf" localSheetId="0" hidden="1">{#N/A,#N/A,FALSE,"Plan1";#N/A,#N/A,FALSE,"Plan2"}</definedName>
    <definedName name="hdfhgkdhgtrf" localSheetId="11" hidden="1">{#N/A,#N/A,FALSE,"Plan1";#N/A,#N/A,FALSE,"Plan2"}</definedName>
    <definedName name="hdfhgkdhgtrf" localSheetId="13" hidden="1">{#N/A,#N/A,FALSE,"Plan1";#N/A,#N/A,FALSE,"Plan2"}</definedName>
    <definedName name="hdfhgkdhgtrf" hidden="1">{#N/A,#N/A,FALSE,"Plan1";#N/A,#N/A,FALSE,"Plan2"}</definedName>
    <definedName name="hdfjhdkzhgdr" localSheetId="14" hidden="1">{#N/A,#N/A,FALSE,"Plan1";#N/A,#N/A,FALSE,"Plan2"}</definedName>
    <definedName name="hdfjhdkzhgdr" localSheetId="7" hidden="1">{#N/A,#N/A,FALSE,"Plan1";#N/A,#N/A,FALSE,"Plan2"}</definedName>
    <definedName name="hdfjhdkzhgdr" localSheetId="1" hidden="1">{#N/A,#N/A,FALSE,"Plan1";#N/A,#N/A,FALSE,"Plan2"}</definedName>
    <definedName name="hdfjhdkzhgdr" localSheetId="2" hidden="1">{#N/A,#N/A,FALSE,"Plan1";#N/A,#N/A,FALSE,"Plan2"}</definedName>
    <definedName name="hdfjhdkzhgdr" localSheetId="9" hidden="1">{#N/A,#N/A,FALSE,"Plan1";#N/A,#N/A,FALSE,"Plan2"}</definedName>
    <definedName name="hdfjhdkzhgdr" localSheetId="5" hidden="1">{#N/A,#N/A,FALSE,"Plan1";#N/A,#N/A,FALSE,"Plan2"}</definedName>
    <definedName name="hdfjhdkzhgdr" localSheetId="4" hidden="1">{#N/A,#N/A,FALSE,"Plan1";#N/A,#N/A,FALSE,"Plan2"}</definedName>
    <definedName name="hdfjhdkzhgdr" localSheetId="8" hidden="1">{#N/A,#N/A,FALSE,"Plan1";#N/A,#N/A,FALSE,"Plan2"}</definedName>
    <definedName name="hdfjhdkzhgdr" localSheetId="12" hidden="1">{#N/A,#N/A,FALSE,"Plan1";#N/A,#N/A,FALSE,"Plan2"}</definedName>
    <definedName name="hdfjhdkzhgdr" localSheetId="16" hidden="1">{#N/A,#N/A,FALSE,"Plan1";#N/A,#N/A,FALSE,"Plan2"}</definedName>
    <definedName name="hdfjhdkzhgdr" localSheetId="0" hidden="1">{#N/A,#N/A,FALSE,"Plan1";#N/A,#N/A,FALSE,"Plan2"}</definedName>
    <definedName name="hdfjhdkzhgdr" localSheetId="11" hidden="1">{#N/A,#N/A,FALSE,"Plan1";#N/A,#N/A,FALSE,"Plan2"}</definedName>
    <definedName name="hdfjhdkzhgdr" localSheetId="13" hidden="1">{#N/A,#N/A,FALSE,"Plan1";#N/A,#N/A,FALSE,"Plan2"}</definedName>
    <definedName name="hdfjhdkzhgdr" hidden="1">{#N/A,#N/A,FALSE,"Plan1";#N/A,#N/A,FALSE,"Plan2"}</definedName>
    <definedName name="hdfjkgvjgtd" localSheetId="14" hidden="1">{#N/A,#N/A,FALSE,"Plan1";#N/A,#N/A,FALSE,"Plan2"}</definedName>
    <definedName name="hdfjkgvjgtd" localSheetId="7" hidden="1">{#N/A,#N/A,FALSE,"Plan1";#N/A,#N/A,FALSE,"Plan2"}</definedName>
    <definedName name="hdfjkgvjgtd" localSheetId="1" hidden="1">{#N/A,#N/A,FALSE,"Plan1";#N/A,#N/A,FALSE,"Plan2"}</definedName>
    <definedName name="hdfjkgvjgtd" localSheetId="2" hidden="1">{#N/A,#N/A,FALSE,"Plan1";#N/A,#N/A,FALSE,"Plan2"}</definedName>
    <definedName name="hdfjkgvjgtd" localSheetId="9" hidden="1">{#N/A,#N/A,FALSE,"Plan1";#N/A,#N/A,FALSE,"Plan2"}</definedName>
    <definedName name="hdfjkgvjgtd" localSheetId="5" hidden="1">{#N/A,#N/A,FALSE,"Plan1";#N/A,#N/A,FALSE,"Plan2"}</definedName>
    <definedName name="hdfjkgvjgtd" localSheetId="4" hidden="1">{#N/A,#N/A,FALSE,"Plan1";#N/A,#N/A,FALSE,"Plan2"}</definedName>
    <definedName name="hdfjkgvjgtd" localSheetId="8" hidden="1">{#N/A,#N/A,FALSE,"Plan1";#N/A,#N/A,FALSE,"Plan2"}</definedName>
    <definedName name="hdfjkgvjgtd" localSheetId="12" hidden="1">{#N/A,#N/A,FALSE,"Plan1";#N/A,#N/A,FALSE,"Plan2"}</definedName>
    <definedName name="hdfjkgvjgtd" localSheetId="16" hidden="1">{#N/A,#N/A,FALSE,"Plan1";#N/A,#N/A,FALSE,"Plan2"}</definedName>
    <definedName name="hdfjkgvjgtd" localSheetId="0" hidden="1">{#N/A,#N/A,FALSE,"Plan1";#N/A,#N/A,FALSE,"Plan2"}</definedName>
    <definedName name="hdfjkgvjgtd" localSheetId="11" hidden="1">{#N/A,#N/A,FALSE,"Plan1";#N/A,#N/A,FALSE,"Plan2"}</definedName>
    <definedName name="hdfjkgvjgtd" localSheetId="13" hidden="1">{#N/A,#N/A,FALSE,"Plan1";#N/A,#N/A,FALSE,"Plan2"}</definedName>
    <definedName name="hdfjkgvjgtd" hidden="1">{#N/A,#N/A,FALSE,"Plan1";#N/A,#N/A,FALSE,"Plan2"}</definedName>
    <definedName name="hdfjkhdhrute" localSheetId="14" hidden="1">{#N/A,#N/A,FALSE,"Plan1";#N/A,#N/A,FALSE,"Plan2"}</definedName>
    <definedName name="hdfjkhdhrute" localSheetId="7" hidden="1">{#N/A,#N/A,FALSE,"Plan1";#N/A,#N/A,FALSE,"Plan2"}</definedName>
    <definedName name="hdfjkhdhrute" localSheetId="1" hidden="1">{#N/A,#N/A,FALSE,"Plan1";#N/A,#N/A,FALSE,"Plan2"}</definedName>
    <definedName name="hdfjkhdhrute" localSheetId="2" hidden="1">{#N/A,#N/A,FALSE,"Plan1";#N/A,#N/A,FALSE,"Plan2"}</definedName>
    <definedName name="hdfjkhdhrute" localSheetId="9" hidden="1">{#N/A,#N/A,FALSE,"Plan1";#N/A,#N/A,FALSE,"Plan2"}</definedName>
    <definedName name="hdfjkhdhrute" localSheetId="5" hidden="1">{#N/A,#N/A,FALSE,"Plan1";#N/A,#N/A,FALSE,"Plan2"}</definedName>
    <definedName name="hdfjkhdhrute" localSheetId="4" hidden="1">{#N/A,#N/A,FALSE,"Plan1";#N/A,#N/A,FALSE,"Plan2"}</definedName>
    <definedName name="hdfjkhdhrute" localSheetId="8" hidden="1">{#N/A,#N/A,FALSE,"Plan1";#N/A,#N/A,FALSE,"Plan2"}</definedName>
    <definedName name="hdfjkhdhrute" localSheetId="12" hidden="1">{#N/A,#N/A,FALSE,"Plan1";#N/A,#N/A,FALSE,"Plan2"}</definedName>
    <definedName name="hdfjkhdhrute" localSheetId="16" hidden="1">{#N/A,#N/A,FALSE,"Plan1";#N/A,#N/A,FALSE,"Plan2"}</definedName>
    <definedName name="hdfjkhdhrute" localSheetId="0" hidden="1">{#N/A,#N/A,FALSE,"Plan1";#N/A,#N/A,FALSE,"Plan2"}</definedName>
    <definedName name="hdfjkhdhrute" localSheetId="11" hidden="1">{#N/A,#N/A,FALSE,"Plan1";#N/A,#N/A,FALSE,"Plan2"}</definedName>
    <definedName name="hdfjkhdhrute" localSheetId="13" hidden="1">{#N/A,#N/A,FALSE,"Plan1";#N/A,#N/A,FALSE,"Plan2"}</definedName>
    <definedName name="hdfjkhdhrute" hidden="1">{#N/A,#N/A,FALSE,"Plan1";#N/A,#N/A,FALSE,"Plan2"}</definedName>
    <definedName name="HDFKGVF" localSheetId="14" hidden="1">{#N/A,#N/A,FALSE,"Plan1";#N/A,#N/A,FALSE,"Plan2"}</definedName>
    <definedName name="HDFKGVF" localSheetId="7" hidden="1">{#N/A,#N/A,FALSE,"Plan1";#N/A,#N/A,FALSE,"Plan2"}</definedName>
    <definedName name="HDFKGVF" localSheetId="1" hidden="1">{#N/A,#N/A,FALSE,"Plan1";#N/A,#N/A,FALSE,"Plan2"}</definedName>
    <definedName name="HDFKGVF" localSheetId="2" hidden="1">{#N/A,#N/A,FALSE,"Plan1";#N/A,#N/A,FALSE,"Plan2"}</definedName>
    <definedName name="HDFKGVF" localSheetId="9" hidden="1">{#N/A,#N/A,FALSE,"Plan1";#N/A,#N/A,FALSE,"Plan2"}</definedName>
    <definedName name="HDFKGVF" localSheetId="5" hidden="1">{#N/A,#N/A,FALSE,"Plan1";#N/A,#N/A,FALSE,"Plan2"}</definedName>
    <definedName name="HDFKGVF" localSheetId="4" hidden="1">{#N/A,#N/A,FALSE,"Plan1";#N/A,#N/A,FALSE,"Plan2"}</definedName>
    <definedName name="HDFKGVF" localSheetId="8" hidden="1">{#N/A,#N/A,FALSE,"Plan1";#N/A,#N/A,FALSE,"Plan2"}</definedName>
    <definedName name="HDFKGVF" localSheetId="12" hidden="1">{#N/A,#N/A,FALSE,"Plan1";#N/A,#N/A,FALSE,"Plan2"}</definedName>
    <definedName name="HDFKGVF" localSheetId="16" hidden="1">{#N/A,#N/A,FALSE,"Plan1";#N/A,#N/A,FALSE,"Plan2"}</definedName>
    <definedName name="HDFKGVF" localSheetId="0" hidden="1">{#N/A,#N/A,FALSE,"Plan1";#N/A,#N/A,FALSE,"Plan2"}</definedName>
    <definedName name="HDFKGVF" localSheetId="11" hidden="1">{#N/A,#N/A,FALSE,"Plan1";#N/A,#N/A,FALSE,"Plan2"}</definedName>
    <definedName name="HDFKGVF" localSheetId="13" hidden="1">{#N/A,#N/A,FALSE,"Plan1";#N/A,#N/A,FALSE,"Plan2"}</definedName>
    <definedName name="HDFKGVF" hidden="1">{#N/A,#N/A,FALSE,"Plan1";#N/A,#N/A,FALSE,"Plan2"}</definedName>
    <definedName name="hdgfhdgtdrt" localSheetId="14" hidden="1">{#N/A,#N/A,FALSE,"Plan1";#N/A,#N/A,FALSE,"Plan2"}</definedName>
    <definedName name="hdgfhdgtdrt" localSheetId="7" hidden="1">{#N/A,#N/A,FALSE,"Plan1";#N/A,#N/A,FALSE,"Plan2"}</definedName>
    <definedName name="hdgfhdgtdrt" localSheetId="1" hidden="1">{#N/A,#N/A,FALSE,"Plan1";#N/A,#N/A,FALSE,"Plan2"}</definedName>
    <definedName name="hdgfhdgtdrt" localSheetId="2" hidden="1">{#N/A,#N/A,FALSE,"Plan1";#N/A,#N/A,FALSE,"Plan2"}</definedName>
    <definedName name="hdgfhdgtdrt" localSheetId="9" hidden="1">{#N/A,#N/A,FALSE,"Plan1";#N/A,#N/A,FALSE,"Plan2"}</definedName>
    <definedName name="hdgfhdgtdrt" localSheetId="5" hidden="1">{#N/A,#N/A,FALSE,"Plan1";#N/A,#N/A,FALSE,"Plan2"}</definedName>
    <definedName name="hdgfhdgtdrt" localSheetId="4" hidden="1">{#N/A,#N/A,FALSE,"Plan1";#N/A,#N/A,FALSE,"Plan2"}</definedName>
    <definedName name="hdgfhdgtdrt" localSheetId="8" hidden="1">{#N/A,#N/A,FALSE,"Plan1";#N/A,#N/A,FALSE,"Plan2"}</definedName>
    <definedName name="hdgfhdgtdrt" localSheetId="12" hidden="1">{#N/A,#N/A,FALSE,"Plan1";#N/A,#N/A,FALSE,"Plan2"}</definedName>
    <definedName name="hdgfhdgtdrt" localSheetId="16" hidden="1">{#N/A,#N/A,FALSE,"Plan1";#N/A,#N/A,FALSE,"Plan2"}</definedName>
    <definedName name="hdgfhdgtdrt" localSheetId="0" hidden="1">{#N/A,#N/A,FALSE,"Plan1";#N/A,#N/A,FALSE,"Plan2"}</definedName>
    <definedName name="hdgfhdgtdrt" localSheetId="11" hidden="1">{#N/A,#N/A,FALSE,"Plan1";#N/A,#N/A,FALSE,"Plan2"}</definedName>
    <definedName name="hdgfhdgtdrt" localSheetId="13" hidden="1">{#N/A,#N/A,FALSE,"Plan1";#N/A,#N/A,FALSE,"Plan2"}</definedName>
    <definedName name="hdgfhdgtdrt" hidden="1">{#N/A,#N/A,FALSE,"Plan1";#N/A,#N/A,FALSE,"Plan2"}</definedName>
    <definedName name="hdghgtgtrgd" localSheetId="14" hidden="1">{#N/A,#N/A,FALSE,"Plan1";#N/A,#N/A,FALSE,"Plan2"}</definedName>
    <definedName name="hdghgtgtrgd" localSheetId="7" hidden="1">{#N/A,#N/A,FALSE,"Plan1";#N/A,#N/A,FALSE,"Plan2"}</definedName>
    <definedName name="hdghgtgtrgd" localSheetId="1" hidden="1">{#N/A,#N/A,FALSE,"Plan1";#N/A,#N/A,FALSE,"Plan2"}</definedName>
    <definedName name="hdghgtgtrgd" localSheetId="2" hidden="1">{#N/A,#N/A,FALSE,"Plan1";#N/A,#N/A,FALSE,"Plan2"}</definedName>
    <definedName name="hdghgtgtrgd" localSheetId="9" hidden="1">{#N/A,#N/A,FALSE,"Plan1";#N/A,#N/A,FALSE,"Plan2"}</definedName>
    <definedName name="hdghgtgtrgd" localSheetId="5" hidden="1">{#N/A,#N/A,FALSE,"Plan1";#N/A,#N/A,FALSE,"Plan2"}</definedName>
    <definedName name="hdghgtgtrgd" localSheetId="4" hidden="1">{#N/A,#N/A,FALSE,"Plan1";#N/A,#N/A,FALSE,"Plan2"}</definedName>
    <definedName name="hdghgtgtrgd" localSheetId="8" hidden="1">{#N/A,#N/A,FALSE,"Plan1";#N/A,#N/A,FALSE,"Plan2"}</definedName>
    <definedName name="hdghgtgtrgd" localSheetId="12" hidden="1">{#N/A,#N/A,FALSE,"Plan1";#N/A,#N/A,FALSE,"Plan2"}</definedName>
    <definedName name="hdghgtgtrgd" localSheetId="16" hidden="1">{#N/A,#N/A,FALSE,"Plan1";#N/A,#N/A,FALSE,"Plan2"}</definedName>
    <definedName name="hdghgtgtrgd" localSheetId="0" hidden="1">{#N/A,#N/A,FALSE,"Plan1";#N/A,#N/A,FALSE,"Plan2"}</definedName>
    <definedName name="hdghgtgtrgd" localSheetId="11" hidden="1">{#N/A,#N/A,FALSE,"Plan1";#N/A,#N/A,FALSE,"Plan2"}</definedName>
    <definedName name="hdghgtgtrgd" localSheetId="13" hidden="1">{#N/A,#N/A,FALSE,"Plan1";#N/A,#N/A,FALSE,"Plan2"}</definedName>
    <definedName name="hdghgtgtrgd" hidden="1">{#N/A,#N/A,FALSE,"Plan1";#N/A,#N/A,FALSE,"Plan2"}</definedName>
    <definedName name="HDHDGHTUHDTG" localSheetId="14" hidden="1">{#N/A,#N/A,FALSE,"Plan1";#N/A,#N/A,FALSE,"Plan2"}</definedName>
    <definedName name="HDHDGHTUHDTG" localSheetId="7" hidden="1">{#N/A,#N/A,FALSE,"Plan1";#N/A,#N/A,FALSE,"Plan2"}</definedName>
    <definedName name="HDHDGHTUHDTG" localSheetId="1" hidden="1">{#N/A,#N/A,FALSE,"Plan1";#N/A,#N/A,FALSE,"Plan2"}</definedName>
    <definedName name="HDHDGHTUHDTG" localSheetId="2" hidden="1">{#N/A,#N/A,FALSE,"Plan1";#N/A,#N/A,FALSE,"Plan2"}</definedName>
    <definedName name="HDHDGHTUHDTG" localSheetId="9" hidden="1">{#N/A,#N/A,FALSE,"Plan1";#N/A,#N/A,FALSE,"Plan2"}</definedName>
    <definedName name="HDHDGHTUHDTG" localSheetId="5" hidden="1">{#N/A,#N/A,FALSE,"Plan1";#N/A,#N/A,FALSE,"Plan2"}</definedName>
    <definedName name="HDHDGHTUHDTG" localSheetId="4" hidden="1">{#N/A,#N/A,FALSE,"Plan1";#N/A,#N/A,FALSE,"Plan2"}</definedName>
    <definedName name="HDHDGHTUHDTG" localSheetId="8" hidden="1">{#N/A,#N/A,FALSE,"Plan1";#N/A,#N/A,FALSE,"Plan2"}</definedName>
    <definedName name="HDHDGHTUHDTG" localSheetId="12" hidden="1">{#N/A,#N/A,FALSE,"Plan1";#N/A,#N/A,FALSE,"Plan2"}</definedName>
    <definedName name="HDHDGHTUHDTG" localSheetId="16" hidden="1">{#N/A,#N/A,FALSE,"Plan1";#N/A,#N/A,FALSE,"Plan2"}</definedName>
    <definedName name="HDHDGHTUHDTG" localSheetId="0" hidden="1">{#N/A,#N/A,FALSE,"Plan1";#N/A,#N/A,FALSE,"Plan2"}</definedName>
    <definedName name="HDHDGHTUHDTG" localSheetId="11" hidden="1">{#N/A,#N/A,FALSE,"Plan1";#N/A,#N/A,FALSE,"Plan2"}</definedName>
    <definedName name="HDHDGHTUHDTG" localSheetId="13" hidden="1">{#N/A,#N/A,FALSE,"Plan1";#N/A,#N/A,FALSE,"Plan2"}</definedName>
    <definedName name="HDHDGHTUHDTG" hidden="1">{#N/A,#N/A,FALSE,"Plan1";#N/A,#N/A,FALSE,"Plan2"}</definedName>
    <definedName name="hdhghfthrrhy" localSheetId="14" hidden="1">{#N/A,#N/A,FALSE,"Plan1";#N/A,#N/A,FALSE,"Plan2"}</definedName>
    <definedName name="hdhghfthrrhy" localSheetId="7" hidden="1">{#N/A,#N/A,FALSE,"Plan1";#N/A,#N/A,FALSE,"Plan2"}</definedName>
    <definedName name="hdhghfthrrhy" localSheetId="1" hidden="1">{#N/A,#N/A,FALSE,"Plan1";#N/A,#N/A,FALSE,"Plan2"}</definedName>
    <definedName name="hdhghfthrrhy" localSheetId="2" hidden="1">{#N/A,#N/A,FALSE,"Plan1";#N/A,#N/A,FALSE,"Plan2"}</definedName>
    <definedName name="hdhghfthrrhy" localSheetId="9" hidden="1">{#N/A,#N/A,FALSE,"Plan1";#N/A,#N/A,FALSE,"Plan2"}</definedName>
    <definedName name="hdhghfthrrhy" localSheetId="5" hidden="1">{#N/A,#N/A,FALSE,"Plan1";#N/A,#N/A,FALSE,"Plan2"}</definedName>
    <definedName name="hdhghfthrrhy" localSheetId="4" hidden="1">{#N/A,#N/A,FALSE,"Plan1";#N/A,#N/A,FALSE,"Plan2"}</definedName>
    <definedName name="hdhghfthrrhy" localSheetId="8" hidden="1">{#N/A,#N/A,FALSE,"Plan1";#N/A,#N/A,FALSE,"Plan2"}</definedName>
    <definedName name="hdhghfthrrhy" localSheetId="12" hidden="1">{#N/A,#N/A,FALSE,"Plan1";#N/A,#N/A,FALSE,"Plan2"}</definedName>
    <definedName name="hdhghfthrrhy" localSheetId="16" hidden="1">{#N/A,#N/A,FALSE,"Plan1";#N/A,#N/A,FALSE,"Plan2"}</definedName>
    <definedName name="hdhghfthrrhy" localSheetId="0" hidden="1">{#N/A,#N/A,FALSE,"Plan1";#N/A,#N/A,FALSE,"Plan2"}</definedName>
    <definedName name="hdhghfthrrhy" localSheetId="11" hidden="1">{#N/A,#N/A,FALSE,"Plan1";#N/A,#N/A,FALSE,"Plan2"}</definedName>
    <definedName name="hdhghfthrrhy" localSheetId="13" hidden="1">{#N/A,#N/A,FALSE,"Plan1";#N/A,#N/A,FALSE,"Plan2"}</definedName>
    <definedName name="hdhghfthrrhy" hidden="1">{#N/A,#N/A,FALSE,"Plan1";#N/A,#N/A,FALSE,"Plan2"}</definedName>
    <definedName name="hdkfjhydjh" localSheetId="14" hidden="1">{#N/A,#N/A,FALSE,"Plan1";#N/A,#N/A,FALSE,"Plan2"}</definedName>
    <definedName name="hdkfjhydjh" localSheetId="7" hidden="1">{#N/A,#N/A,FALSE,"Plan1";#N/A,#N/A,FALSE,"Plan2"}</definedName>
    <definedName name="hdkfjhydjh" localSheetId="1" hidden="1">{#N/A,#N/A,FALSE,"Plan1";#N/A,#N/A,FALSE,"Plan2"}</definedName>
    <definedName name="hdkfjhydjh" localSheetId="2" hidden="1">{#N/A,#N/A,FALSE,"Plan1";#N/A,#N/A,FALSE,"Plan2"}</definedName>
    <definedName name="hdkfjhydjh" localSheetId="9" hidden="1">{#N/A,#N/A,FALSE,"Plan1";#N/A,#N/A,FALSE,"Plan2"}</definedName>
    <definedName name="hdkfjhydjh" localSheetId="5" hidden="1">{#N/A,#N/A,FALSE,"Plan1";#N/A,#N/A,FALSE,"Plan2"}</definedName>
    <definedName name="hdkfjhydjh" localSheetId="4" hidden="1">{#N/A,#N/A,FALSE,"Plan1";#N/A,#N/A,FALSE,"Plan2"}</definedName>
    <definedName name="hdkfjhydjh" localSheetId="8" hidden="1">{#N/A,#N/A,FALSE,"Plan1";#N/A,#N/A,FALSE,"Plan2"}</definedName>
    <definedName name="hdkfjhydjh" localSheetId="12" hidden="1">{#N/A,#N/A,FALSE,"Plan1";#N/A,#N/A,FALSE,"Plan2"}</definedName>
    <definedName name="hdkfjhydjh" localSheetId="16" hidden="1">{#N/A,#N/A,FALSE,"Plan1";#N/A,#N/A,FALSE,"Plan2"}</definedName>
    <definedName name="hdkfjhydjh" localSheetId="0" hidden="1">{#N/A,#N/A,FALSE,"Plan1";#N/A,#N/A,FALSE,"Plan2"}</definedName>
    <definedName name="hdkfjhydjh" localSheetId="11" hidden="1">{#N/A,#N/A,FALSE,"Plan1";#N/A,#N/A,FALSE,"Plan2"}</definedName>
    <definedName name="hdkfjhydjh" localSheetId="13" hidden="1">{#N/A,#N/A,FALSE,"Plan1";#N/A,#N/A,FALSE,"Plan2"}</definedName>
    <definedName name="hdkfjhydjh" hidden="1">{#N/A,#N/A,FALSE,"Plan1";#N/A,#N/A,FALSE,"Plan2"}</definedName>
    <definedName name="hdsgfgrrdgr" localSheetId="14" hidden="1">{#N/A,#N/A,FALSE,"Plan1";#N/A,#N/A,FALSE,"Plan2"}</definedName>
    <definedName name="hdsgfgrrdgr" localSheetId="7" hidden="1">{#N/A,#N/A,FALSE,"Plan1";#N/A,#N/A,FALSE,"Plan2"}</definedName>
    <definedName name="hdsgfgrrdgr" localSheetId="1" hidden="1">{#N/A,#N/A,FALSE,"Plan1";#N/A,#N/A,FALSE,"Plan2"}</definedName>
    <definedName name="hdsgfgrrdgr" localSheetId="2" hidden="1">{#N/A,#N/A,FALSE,"Plan1";#N/A,#N/A,FALSE,"Plan2"}</definedName>
    <definedName name="hdsgfgrrdgr" localSheetId="9" hidden="1">{#N/A,#N/A,FALSE,"Plan1";#N/A,#N/A,FALSE,"Plan2"}</definedName>
    <definedName name="hdsgfgrrdgr" localSheetId="5" hidden="1">{#N/A,#N/A,FALSE,"Plan1";#N/A,#N/A,FALSE,"Plan2"}</definedName>
    <definedName name="hdsgfgrrdgr" localSheetId="4" hidden="1">{#N/A,#N/A,FALSE,"Plan1";#N/A,#N/A,FALSE,"Plan2"}</definedName>
    <definedName name="hdsgfgrrdgr" localSheetId="8" hidden="1">{#N/A,#N/A,FALSE,"Plan1";#N/A,#N/A,FALSE,"Plan2"}</definedName>
    <definedName name="hdsgfgrrdgr" localSheetId="12" hidden="1">{#N/A,#N/A,FALSE,"Plan1";#N/A,#N/A,FALSE,"Plan2"}</definedName>
    <definedName name="hdsgfgrrdgr" localSheetId="16" hidden="1">{#N/A,#N/A,FALSE,"Plan1";#N/A,#N/A,FALSE,"Plan2"}</definedName>
    <definedName name="hdsgfgrrdgr" localSheetId="0" hidden="1">{#N/A,#N/A,FALSE,"Plan1";#N/A,#N/A,FALSE,"Plan2"}</definedName>
    <definedName name="hdsgfgrrdgr" localSheetId="11" hidden="1">{#N/A,#N/A,FALSE,"Plan1";#N/A,#N/A,FALSE,"Plan2"}</definedName>
    <definedName name="hdsgfgrrdgr" localSheetId="13" hidden="1">{#N/A,#N/A,FALSE,"Plan1";#N/A,#N/A,FALSE,"Plan2"}</definedName>
    <definedName name="hdsgfgrrdgr" hidden="1">{#N/A,#N/A,FALSE,"Plan1";#N/A,#N/A,FALSE,"Plan2"}</definedName>
    <definedName name="hdtertkkdsa" localSheetId="14" hidden="1">{#N/A,#N/A,FALSE,"Plan1";#N/A,#N/A,FALSE,"Plan2"}</definedName>
    <definedName name="hdtertkkdsa" localSheetId="7" hidden="1">{#N/A,#N/A,FALSE,"Plan1";#N/A,#N/A,FALSE,"Plan2"}</definedName>
    <definedName name="hdtertkkdsa" localSheetId="1" hidden="1">{#N/A,#N/A,FALSE,"Plan1";#N/A,#N/A,FALSE,"Plan2"}</definedName>
    <definedName name="hdtertkkdsa" localSheetId="2" hidden="1">{#N/A,#N/A,FALSE,"Plan1";#N/A,#N/A,FALSE,"Plan2"}</definedName>
    <definedName name="hdtertkkdsa" localSheetId="9" hidden="1">{#N/A,#N/A,FALSE,"Plan1";#N/A,#N/A,FALSE,"Plan2"}</definedName>
    <definedName name="hdtertkkdsa" localSheetId="5" hidden="1">{#N/A,#N/A,FALSE,"Plan1";#N/A,#N/A,FALSE,"Plan2"}</definedName>
    <definedName name="hdtertkkdsa" localSheetId="4" hidden="1">{#N/A,#N/A,FALSE,"Plan1";#N/A,#N/A,FALSE,"Plan2"}</definedName>
    <definedName name="hdtertkkdsa" localSheetId="8" hidden="1">{#N/A,#N/A,FALSE,"Plan1";#N/A,#N/A,FALSE,"Plan2"}</definedName>
    <definedName name="hdtertkkdsa" localSheetId="12" hidden="1">{#N/A,#N/A,FALSE,"Plan1";#N/A,#N/A,FALSE,"Plan2"}</definedName>
    <definedName name="hdtertkkdsa" localSheetId="16" hidden="1">{#N/A,#N/A,FALSE,"Plan1";#N/A,#N/A,FALSE,"Plan2"}</definedName>
    <definedName name="hdtertkkdsa" localSheetId="0" hidden="1">{#N/A,#N/A,FALSE,"Plan1";#N/A,#N/A,FALSE,"Plan2"}</definedName>
    <definedName name="hdtertkkdsa" localSheetId="11" hidden="1">{#N/A,#N/A,FALSE,"Plan1";#N/A,#N/A,FALSE,"Plan2"}</definedName>
    <definedName name="hdtertkkdsa" localSheetId="13" hidden="1">{#N/A,#N/A,FALSE,"Plan1";#N/A,#N/A,FALSE,"Plan2"}</definedName>
    <definedName name="hdtertkkdsa" hidden="1">{#N/A,#N/A,FALSE,"Plan1";#N/A,#N/A,FALSE,"Plan2"}</definedName>
    <definedName name="Header" localSheetId="2">#REF!</definedName>
    <definedName name="Header" localSheetId="5">#REF!</definedName>
    <definedName name="Header">#REF!</definedName>
    <definedName name="HEDHA" localSheetId="14" hidden="1">{#N/A,#N/A,FALSE,"Plan1";#N/A,#N/A,FALSE,"Plan2"}</definedName>
    <definedName name="HEDHA" localSheetId="7" hidden="1">{#N/A,#N/A,FALSE,"Plan1";#N/A,#N/A,FALSE,"Plan2"}</definedName>
    <definedName name="HEDHA" localSheetId="1" hidden="1">{#N/A,#N/A,FALSE,"Plan1";#N/A,#N/A,FALSE,"Plan2"}</definedName>
    <definedName name="HEDHA" localSheetId="2" hidden="1">{#N/A,#N/A,FALSE,"Plan1";#N/A,#N/A,FALSE,"Plan2"}</definedName>
    <definedName name="HEDHA" localSheetId="9" hidden="1">{#N/A,#N/A,FALSE,"Plan1";#N/A,#N/A,FALSE,"Plan2"}</definedName>
    <definedName name="HEDHA" localSheetId="5" hidden="1">{#N/A,#N/A,FALSE,"Plan1";#N/A,#N/A,FALSE,"Plan2"}</definedName>
    <definedName name="HEDHA" localSheetId="4" hidden="1">{#N/A,#N/A,FALSE,"Plan1";#N/A,#N/A,FALSE,"Plan2"}</definedName>
    <definedName name="HEDHA" localSheetId="8" hidden="1">{#N/A,#N/A,FALSE,"Plan1";#N/A,#N/A,FALSE,"Plan2"}</definedName>
    <definedName name="HEDHA" localSheetId="12" hidden="1">{#N/A,#N/A,FALSE,"Plan1";#N/A,#N/A,FALSE,"Plan2"}</definedName>
    <definedName name="HEDHA" localSheetId="16" hidden="1">{#N/A,#N/A,FALSE,"Plan1";#N/A,#N/A,FALSE,"Plan2"}</definedName>
    <definedName name="HEDHA" localSheetId="0" hidden="1">{#N/A,#N/A,FALSE,"Plan1";#N/A,#N/A,FALSE,"Plan2"}</definedName>
    <definedName name="HEDHA" localSheetId="11" hidden="1">{#N/A,#N/A,FALSE,"Plan1";#N/A,#N/A,FALSE,"Plan2"}</definedName>
    <definedName name="HEDHA" localSheetId="13" hidden="1">{#N/A,#N/A,FALSE,"Plan1";#N/A,#N/A,FALSE,"Plan2"}</definedName>
    <definedName name="HEDHA" hidden="1">{#N/A,#N/A,FALSE,"Plan1";#N/A,#N/A,FALSE,"Plan2"}</definedName>
    <definedName name="heif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2">#REF!</definedName>
    <definedName name="HELP" localSheetId="5">#REF!</definedName>
    <definedName name="HELP">#REF!</definedName>
    <definedName name="herkfdshfker" localSheetId="14" hidden="1">{#N/A,#N/A,FALSE,"Plan1";#N/A,#N/A,FALSE,"Plan2"}</definedName>
    <definedName name="herkfdshfker" localSheetId="7" hidden="1">{#N/A,#N/A,FALSE,"Plan1";#N/A,#N/A,FALSE,"Plan2"}</definedName>
    <definedName name="herkfdshfker" localSheetId="1" hidden="1">{#N/A,#N/A,FALSE,"Plan1";#N/A,#N/A,FALSE,"Plan2"}</definedName>
    <definedName name="herkfdshfker" localSheetId="2" hidden="1">{#N/A,#N/A,FALSE,"Plan1";#N/A,#N/A,FALSE,"Plan2"}</definedName>
    <definedName name="herkfdshfker" localSheetId="9" hidden="1">{#N/A,#N/A,FALSE,"Plan1";#N/A,#N/A,FALSE,"Plan2"}</definedName>
    <definedName name="herkfdshfker" localSheetId="5" hidden="1">{#N/A,#N/A,FALSE,"Plan1";#N/A,#N/A,FALSE,"Plan2"}</definedName>
    <definedName name="herkfdshfker" localSheetId="4" hidden="1">{#N/A,#N/A,FALSE,"Plan1";#N/A,#N/A,FALSE,"Plan2"}</definedName>
    <definedName name="herkfdshfker" localSheetId="8" hidden="1">{#N/A,#N/A,FALSE,"Plan1";#N/A,#N/A,FALSE,"Plan2"}</definedName>
    <definedName name="herkfdshfker" localSheetId="12" hidden="1">{#N/A,#N/A,FALSE,"Plan1";#N/A,#N/A,FALSE,"Plan2"}</definedName>
    <definedName name="herkfdshfker" localSheetId="16" hidden="1">{#N/A,#N/A,FALSE,"Plan1";#N/A,#N/A,FALSE,"Plan2"}</definedName>
    <definedName name="herkfdshfker" localSheetId="0" hidden="1">{#N/A,#N/A,FALSE,"Plan1";#N/A,#N/A,FALSE,"Plan2"}</definedName>
    <definedName name="herkfdshfker" localSheetId="11" hidden="1">{#N/A,#N/A,FALSE,"Plan1";#N/A,#N/A,FALSE,"Plan2"}</definedName>
    <definedName name="herkfdshfker" localSheetId="13" hidden="1">{#N/A,#N/A,FALSE,"Plan1";#N/A,#N/A,FALSE,"Plan2"}</definedName>
    <definedName name="herkfdshfker" hidden="1">{#N/A,#N/A,FALSE,"Plan1";#N/A,#N/A,FALSE,"Plan2"}</definedName>
    <definedName name="hersdtretyt" localSheetId="14" hidden="1">{#N/A,#N/A,FALSE,"Plan1";#N/A,#N/A,FALSE,"Plan2"}</definedName>
    <definedName name="hersdtretyt" localSheetId="7" hidden="1">{#N/A,#N/A,FALSE,"Plan1";#N/A,#N/A,FALSE,"Plan2"}</definedName>
    <definedName name="hersdtretyt" localSheetId="1" hidden="1">{#N/A,#N/A,FALSE,"Plan1";#N/A,#N/A,FALSE,"Plan2"}</definedName>
    <definedName name="hersdtretyt" localSheetId="2" hidden="1">{#N/A,#N/A,FALSE,"Plan1";#N/A,#N/A,FALSE,"Plan2"}</definedName>
    <definedName name="hersdtretyt" localSheetId="9" hidden="1">{#N/A,#N/A,FALSE,"Plan1";#N/A,#N/A,FALSE,"Plan2"}</definedName>
    <definedName name="hersdtretyt" localSheetId="5" hidden="1">{#N/A,#N/A,FALSE,"Plan1";#N/A,#N/A,FALSE,"Plan2"}</definedName>
    <definedName name="hersdtretyt" localSheetId="4" hidden="1">{#N/A,#N/A,FALSE,"Plan1";#N/A,#N/A,FALSE,"Plan2"}</definedName>
    <definedName name="hersdtretyt" localSheetId="8" hidden="1">{#N/A,#N/A,FALSE,"Plan1";#N/A,#N/A,FALSE,"Plan2"}</definedName>
    <definedName name="hersdtretyt" localSheetId="12" hidden="1">{#N/A,#N/A,FALSE,"Plan1";#N/A,#N/A,FALSE,"Plan2"}</definedName>
    <definedName name="hersdtretyt" localSheetId="16" hidden="1">{#N/A,#N/A,FALSE,"Plan1";#N/A,#N/A,FALSE,"Plan2"}</definedName>
    <definedName name="hersdtretyt" localSheetId="0" hidden="1">{#N/A,#N/A,FALSE,"Plan1";#N/A,#N/A,FALSE,"Plan2"}</definedName>
    <definedName name="hersdtretyt" localSheetId="11" hidden="1">{#N/A,#N/A,FALSE,"Plan1";#N/A,#N/A,FALSE,"Plan2"}</definedName>
    <definedName name="hersdtretyt" localSheetId="13" hidden="1">{#N/A,#N/A,FALSE,"Plan1";#N/A,#N/A,FALSE,"Plan2"}</definedName>
    <definedName name="hersdtretyt" hidden="1">{#N/A,#N/A,FALSE,"Plan1";#N/A,#N/A,FALSE,"Plan2"}</definedName>
    <definedName name="HFDJTHTRS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4" hidden="1">{#N/A,#N/A,FALSE,"Plan1";#N/A,#N/A,FALSE,"Plan2"}</definedName>
    <definedName name="HFDKHGFR" localSheetId="7" hidden="1">{#N/A,#N/A,FALSE,"Plan1";#N/A,#N/A,FALSE,"Plan2"}</definedName>
    <definedName name="HFDKHGFR" localSheetId="1" hidden="1">{#N/A,#N/A,FALSE,"Plan1";#N/A,#N/A,FALSE,"Plan2"}</definedName>
    <definedName name="HFDKHGFR" localSheetId="2" hidden="1">{#N/A,#N/A,FALSE,"Plan1";#N/A,#N/A,FALSE,"Plan2"}</definedName>
    <definedName name="HFDKHGFR" localSheetId="9" hidden="1">{#N/A,#N/A,FALSE,"Plan1";#N/A,#N/A,FALSE,"Plan2"}</definedName>
    <definedName name="HFDKHGFR" localSheetId="5" hidden="1">{#N/A,#N/A,FALSE,"Plan1";#N/A,#N/A,FALSE,"Plan2"}</definedName>
    <definedName name="HFDKHGFR" localSheetId="4" hidden="1">{#N/A,#N/A,FALSE,"Plan1";#N/A,#N/A,FALSE,"Plan2"}</definedName>
    <definedName name="HFDKHGFR" localSheetId="8" hidden="1">{#N/A,#N/A,FALSE,"Plan1";#N/A,#N/A,FALSE,"Plan2"}</definedName>
    <definedName name="HFDKHGFR" localSheetId="12" hidden="1">{#N/A,#N/A,FALSE,"Plan1";#N/A,#N/A,FALSE,"Plan2"}</definedName>
    <definedName name="HFDKHGFR" localSheetId="16" hidden="1">{#N/A,#N/A,FALSE,"Plan1";#N/A,#N/A,FALSE,"Plan2"}</definedName>
    <definedName name="HFDKHGFR" localSheetId="0" hidden="1">{#N/A,#N/A,FALSE,"Plan1";#N/A,#N/A,FALSE,"Plan2"}</definedName>
    <definedName name="HFDKHGFR" localSheetId="11" hidden="1">{#N/A,#N/A,FALSE,"Plan1";#N/A,#N/A,FALSE,"Plan2"}</definedName>
    <definedName name="HFDKHGFR" localSheetId="13" hidden="1">{#N/A,#N/A,FALSE,"Plan1";#N/A,#N/A,FALSE,"Plan2"}</definedName>
    <definedName name="HFDKHGFR" hidden="1">{#N/A,#N/A,FALSE,"Plan1";#N/A,#N/A,FALSE,"Plan2"}</definedName>
    <definedName name="hfdkhgkfdhtj" localSheetId="14" hidden="1">{#N/A,#N/A,FALSE,"Plan1";#N/A,#N/A,FALSE,"Plan2"}</definedName>
    <definedName name="hfdkhgkfdhtj" localSheetId="7" hidden="1">{#N/A,#N/A,FALSE,"Plan1";#N/A,#N/A,FALSE,"Plan2"}</definedName>
    <definedName name="hfdkhgkfdhtj" localSheetId="1" hidden="1">{#N/A,#N/A,FALSE,"Plan1";#N/A,#N/A,FALSE,"Plan2"}</definedName>
    <definedName name="hfdkhgkfdhtj" localSheetId="2" hidden="1">{#N/A,#N/A,FALSE,"Plan1";#N/A,#N/A,FALSE,"Plan2"}</definedName>
    <definedName name="hfdkhgkfdhtj" localSheetId="9" hidden="1">{#N/A,#N/A,FALSE,"Plan1";#N/A,#N/A,FALSE,"Plan2"}</definedName>
    <definedName name="hfdkhgkfdhtj" localSheetId="5" hidden="1">{#N/A,#N/A,FALSE,"Plan1";#N/A,#N/A,FALSE,"Plan2"}</definedName>
    <definedName name="hfdkhgkfdhtj" localSheetId="4" hidden="1">{#N/A,#N/A,FALSE,"Plan1";#N/A,#N/A,FALSE,"Plan2"}</definedName>
    <definedName name="hfdkhgkfdhtj" localSheetId="8" hidden="1">{#N/A,#N/A,FALSE,"Plan1";#N/A,#N/A,FALSE,"Plan2"}</definedName>
    <definedName name="hfdkhgkfdhtj" localSheetId="12" hidden="1">{#N/A,#N/A,FALSE,"Plan1";#N/A,#N/A,FALSE,"Plan2"}</definedName>
    <definedName name="hfdkhgkfdhtj" localSheetId="16" hidden="1">{#N/A,#N/A,FALSE,"Plan1";#N/A,#N/A,FALSE,"Plan2"}</definedName>
    <definedName name="hfdkhgkfdhtj" localSheetId="0" hidden="1">{#N/A,#N/A,FALSE,"Plan1";#N/A,#N/A,FALSE,"Plan2"}</definedName>
    <definedName name="hfdkhgkfdhtj" localSheetId="11" hidden="1">{#N/A,#N/A,FALSE,"Plan1";#N/A,#N/A,FALSE,"Plan2"}</definedName>
    <definedName name="hfdkhgkfdhtj" localSheetId="13" hidden="1">{#N/A,#N/A,FALSE,"Plan1";#N/A,#N/A,FALSE,"Plan2"}</definedName>
    <definedName name="hfdkhgkfdhtj" hidden="1">{#N/A,#N/A,FALSE,"Plan1";#N/A,#N/A,FALSE,"Plan2"}</definedName>
    <definedName name="hfgfktgkhyt" localSheetId="14" hidden="1">{#N/A,#N/A,FALSE,"Plan1";#N/A,#N/A,FALSE,"Plan2"}</definedName>
    <definedName name="hfgfktgkhyt" localSheetId="7" hidden="1">{#N/A,#N/A,FALSE,"Plan1";#N/A,#N/A,FALSE,"Plan2"}</definedName>
    <definedName name="hfgfktgkhyt" localSheetId="1" hidden="1">{#N/A,#N/A,FALSE,"Plan1";#N/A,#N/A,FALSE,"Plan2"}</definedName>
    <definedName name="hfgfktgkhyt" localSheetId="2" hidden="1">{#N/A,#N/A,FALSE,"Plan1";#N/A,#N/A,FALSE,"Plan2"}</definedName>
    <definedName name="hfgfktgkhyt" localSheetId="9" hidden="1">{#N/A,#N/A,FALSE,"Plan1";#N/A,#N/A,FALSE,"Plan2"}</definedName>
    <definedName name="hfgfktgkhyt" localSheetId="5" hidden="1">{#N/A,#N/A,FALSE,"Plan1";#N/A,#N/A,FALSE,"Plan2"}</definedName>
    <definedName name="hfgfktgkhyt" localSheetId="4" hidden="1">{#N/A,#N/A,FALSE,"Plan1";#N/A,#N/A,FALSE,"Plan2"}</definedName>
    <definedName name="hfgfktgkhyt" localSheetId="8" hidden="1">{#N/A,#N/A,FALSE,"Plan1";#N/A,#N/A,FALSE,"Plan2"}</definedName>
    <definedName name="hfgfktgkhyt" localSheetId="12" hidden="1">{#N/A,#N/A,FALSE,"Plan1";#N/A,#N/A,FALSE,"Plan2"}</definedName>
    <definedName name="hfgfktgkhyt" localSheetId="16" hidden="1">{#N/A,#N/A,FALSE,"Plan1";#N/A,#N/A,FALSE,"Plan2"}</definedName>
    <definedName name="hfgfktgkhyt" localSheetId="0" hidden="1">{#N/A,#N/A,FALSE,"Plan1";#N/A,#N/A,FALSE,"Plan2"}</definedName>
    <definedName name="hfgfktgkhyt" localSheetId="11" hidden="1">{#N/A,#N/A,FALSE,"Plan1";#N/A,#N/A,FALSE,"Plan2"}</definedName>
    <definedName name="hfgfktgkhyt" localSheetId="13" hidden="1">{#N/A,#N/A,FALSE,"Plan1";#N/A,#N/A,FALSE,"Plan2"}</definedName>
    <definedName name="hfgfktgkhyt" hidden="1">{#N/A,#N/A,FALSE,"Plan1";#N/A,#N/A,FALSE,"Plan2"}</definedName>
    <definedName name="hfghdkhrgkjg" localSheetId="14" hidden="1">{#N/A,#N/A,FALSE,"Plan1";#N/A,#N/A,FALSE,"Plan2"}</definedName>
    <definedName name="hfghdkhrgkjg" localSheetId="7" hidden="1">{#N/A,#N/A,FALSE,"Plan1";#N/A,#N/A,FALSE,"Plan2"}</definedName>
    <definedName name="hfghdkhrgkjg" localSheetId="1" hidden="1">{#N/A,#N/A,FALSE,"Plan1";#N/A,#N/A,FALSE,"Plan2"}</definedName>
    <definedName name="hfghdkhrgkjg" localSheetId="2" hidden="1">{#N/A,#N/A,FALSE,"Plan1";#N/A,#N/A,FALSE,"Plan2"}</definedName>
    <definedName name="hfghdkhrgkjg" localSheetId="9" hidden="1">{#N/A,#N/A,FALSE,"Plan1";#N/A,#N/A,FALSE,"Plan2"}</definedName>
    <definedName name="hfghdkhrgkjg" localSheetId="5" hidden="1">{#N/A,#N/A,FALSE,"Plan1";#N/A,#N/A,FALSE,"Plan2"}</definedName>
    <definedName name="hfghdkhrgkjg" localSheetId="4" hidden="1">{#N/A,#N/A,FALSE,"Plan1";#N/A,#N/A,FALSE,"Plan2"}</definedName>
    <definedName name="hfghdkhrgkjg" localSheetId="8" hidden="1">{#N/A,#N/A,FALSE,"Plan1";#N/A,#N/A,FALSE,"Plan2"}</definedName>
    <definedName name="hfghdkhrgkjg" localSheetId="12" hidden="1">{#N/A,#N/A,FALSE,"Plan1";#N/A,#N/A,FALSE,"Plan2"}</definedName>
    <definedName name="hfghdkhrgkjg" localSheetId="16" hidden="1">{#N/A,#N/A,FALSE,"Plan1";#N/A,#N/A,FALSE,"Plan2"}</definedName>
    <definedName name="hfghdkhrgkjg" localSheetId="0" hidden="1">{#N/A,#N/A,FALSE,"Plan1";#N/A,#N/A,FALSE,"Plan2"}</definedName>
    <definedName name="hfghdkhrgkjg" localSheetId="11" hidden="1">{#N/A,#N/A,FALSE,"Plan1";#N/A,#N/A,FALSE,"Plan2"}</definedName>
    <definedName name="hfghdkhrgkjg" localSheetId="13" hidden="1">{#N/A,#N/A,FALSE,"Plan1";#N/A,#N/A,FALSE,"Plan2"}</definedName>
    <definedName name="hfghdkhrgkjg" hidden="1">{#N/A,#N/A,FALSE,"Plan1";#N/A,#N/A,FALSE,"Plan2"}</definedName>
    <definedName name="hfighfth" localSheetId="14" hidden="1">{#N/A,#N/A,FALSE,"Plan1";#N/A,#N/A,FALSE,"Plan2"}</definedName>
    <definedName name="hfighfth" localSheetId="7" hidden="1">{#N/A,#N/A,FALSE,"Plan1";#N/A,#N/A,FALSE,"Plan2"}</definedName>
    <definedName name="hfighfth" localSheetId="1" hidden="1">{#N/A,#N/A,FALSE,"Plan1";#N/A,#N/A,FALSE,"Plan2"}</definedName>
    <definedName name="hfighfth" localSheetId="2" hidden="1">{#N/A,#N/A,FALSE,"Plan1";#N/A,#N/A,FALSE,"Plan2"}</definedName>
    <definedName name="hfighfth" localSheetId="9" hidden="1">{#N/A,#N/A,FALSE,"Plan1";#N/A,#N/A,FALSE,"Plan2"}</definedName>
    <definedName name="hfighfth" localSheetId="5" hidden="1">{#N/A,#N/A,FALSE,"Plan1";#N/A,#N/A,FALSE,"Plan2"}</definedName>
    <definedName name="hfighfth" localSheetId="4" hidden="1">{#N/A,#N/A,FALSE,"Plan1";#N/A,#N/A,FALSE,"Plan2"}</definedName>
    <definedName name="hfighfth" localSheetId="8" hidden="1">{#N/A,#N/A,FALSE,"Plan1";#N/A,#N/A,FALSE,"Plan2"}</definedName>
    <definedName name="hfighfth" localSheetId="12" hidden="1">{#N/A,#N/A,FALSE,"Plan1";#N/A,#N/A,FALSE,"Plan2"}</definedName>
    <definedName name="hfighfth" localSheetId="16" hidden="1">{#N/A,#N/A,FALSE,"Plan1";#N/A,#N/A,FALSE,"Plan2"}</definedName>
    <definedName name="hfighfth" localSheetId="0" hidden="1">{#N/A,#N/A,FALSE,"Plan1";#N/A,#N/A,FALSE,"Plan2"}</definedName>
    <definedName name="hfighfth" localSheetId="11" hidden="1">{#N/A,#N/A,FALSE,"Plan1";#N/A,#N/A,FALSE,"Plan2"}</definedName>
    <definedName name="hfighfth" localSheetId="13" hidden="1">{#N/A,#N/A,FALSE,"Plan1";#N/A,#N/A,FALSE,"Plan2"}</definedName>
    <definedName name="hfighfth" hidden="1">{#N/A,#N/A,FALSE,"Plan1";#N/A,#N/A,FALSE,"Plan2"}</definedName>
    <definedName name="hfjghtfuyrf" localSheetId="14" hidden="1">{#N/A,#N/A,FALSE,"Plan1";#N/A,#N/A,FALSE,"Plan2"}</definedName>
    <definedName name="hfjghtfuyrf" localSheetId="7" hidden="1">{#N/A,#N/A,FALSE,"Plan1";#N/A,#N/A,FALSE,"Plan2"}</definedName>
    <definedName name="hfjghtfuyrf" localSheetId="1" hidden="1">{#N/A,#N/A,FALSE,"Plan1";#N/A,#N/A,FALSE,"Plan2"}</definedName>
    <definedName name="hfjghtfuyrf" localSheetId="2" hidden="1">{#N/A,#N/A,FALSE,"Plan1";#N/A,#N/A,FALSE,"Plan2"}</definedName>
    <definedName name="hfjghtfuyrf" localSheetId="9" hidden="1">{#N/A,#N/A,FALSE,"Plan1";#N/A,#N/A,FALSE,"Plan2"}</definedName>
    <definedName name="hfjghtfuyrf" localSheetId="5" hidden="1">{#N/A,#N/A,FALSE,"Plan1";#N/A,#N/A,FALSE,"Plan2"}</definedName>
    <definedName name="hfjghtfuyrf" localSheetId="4" hidden="1">{#N/A,#N/A,FALSE,"Plan1";#N/A,#N/A,FALSE,"Plan2"}</definedName>
    <definedName name="hfjghtfuyrf" localSheetId="8" hidden="1">{#N/A,#N/A,FALSE,"Plan1";#N/A,#N/A,FALSE,"Plan2"}</definedName>
    <definedName name="hfjghtfuyrf" localSheetId="12" hidden="1">{#N/A,#N/A,FALSE,"Plan1";#N/A,#N/A,FALSE,"Plan2"}</definedName>
    <definedName name="hfjghtfuyrf" localSheetId="16" hidden="1">{#N/A,#N/A,FALSE,"Plan1";#N/A,#N/A,FALSE,"Plan2"}</definedName>
    <definedName name="hfjghtfuyrf" localSheetId="0" hidden="1">{#N/A,#N/A,FALSE,"Plan1";#N/A,#N/A,FALSE,"Plan2"}</definedName>
    <definedName name="hfjghtfuyrf" localSheetId="11" hidden="1">{#N/A,#N/A,FALSE,"Plan1";#N/A,#N/A,FALSE,"Plan2"}</definedName>
    <definedName name="hfjghtfuyrf" localSheetId="13" hidden="1">{#N/A,#N/A,FALSE,"Plan1";#N/A,#N/A,FALSE,"Plan2"}</definedName>
    <definedName name="hfjghtfuyrf" hidden="1">{#N/A,#N/A,FALSE,"Plan1";#N/A,#N/A,FALSE,"Plan2"}</definedName>
    <definedName name="HFKJHDJGHFJ" localSheetId="14" hidden="1">{#N/A,#N/A,FALSE,"Plan1";#N/A,#N/A,FALSE,"Plan2"}</definedName>
    <definedName name="HFKJHDJGHFJ" localSheetId="7" hidden="1">{#N/A,#N/A,FALSE,"Plan1";#N/A,#N/A,FALSE,"Plan2"}</definedName>
    <definedName name="HFKJHDJGHFJ" localSheetId="1" hidden="1">{#N/A,#N/A,FALSE,"Plan1";#N/A,#N/A,FALSE,"Plan2"}</definedName>
    <definedName name="HFKJHDJGHFJ" localSheetId="2" hidden="1">{#N/A,#N/A,FALSE,"Plan1";#N/A,#N/A,FALSE,"Plan2"}</definedName>
    <definedName name="HFKJHDJGHFJ" localSheetId="9" hidden="1">{#N/A,#N/A,FALSE,"Plan1";#N/A,#N/A,FALSE,"Plan2"}</definedName>
    <definedName name="HFKJHDJGHFJ" localSheetId="5" hidden="1">{#N/A,#N/A,FALSE,"Plan1";#N/A,#N/A,FALSE,"Plan2"}</definedName>
    <definedName name="HFKJHDJGHFJ" localSheetId="4" hidden="1">{#N/A,#N/A,FALSE,"Plan1";#N/A,#N/A,FALSE,"Plan2"}</definedName>
    <definedName name="HFKJHDJGHFJ" localSheetId="8" hidden="1">{#N/A,#N/A,FALSE,"Plan1";#N/A,#N/A,FALSE,"Plan2"}</definedName>
    <definedName name="HFKJHDJGHFJ" localSheetId="12" hidden="1">{#N/A,#N/A,FALSE,"Plan1";#N/A,#N/A,FALSE,"Plan2"}</definedName>
    <definedName name="HFKJHDJGHFJ" localSheetId="16" hidden="1">{#N/A,#N/A,FALSE,"Plan1";#N/A,#N/A,FALSE,"Plan2"}</definedName>
    <definedName name="HFKJHDJGHFJ" localSheetId="0" hidden="1">{#N/A,#N/A,FALSE,"Plan1";#N/A,#N/A,FALSE,"Plan2"}</definedName>
    <definedName name="HFKJHDJGHFJ" localSheetId="11" hidden="1">{#N/A,#N/A,FALSE,"Plan1";#N/A,#N/A,FALSE,"Plan2"}</definedName>
    <definedName name="HFKJHDJGHFJ" localSheetId="13" hidden="1">{#N/A,#N/A,FALSE,"Plan1";#N/A,#N/A,FALSE,"Plan2"}</definedName>
    <definedName name="HFKJHDJGHFJ" hidden="1">{#N/A,#N/A,FALSE,"Plan1";#N/A,#N/A,FALSE,"Plan2"}</definedName>
    <definedName name="hgdesgfgsj" localSheetId="14" hidden="1">{#N/A,#N/A,FALSE,"Plan1";#N/A,#N/A,FALSE,"Plan2"}</definedName>
    <definedName name="hgdesgfgsj" localSheetId="7" hidden="1">{#N/A,#N/A,FALSE,"Plan1";#N/A,#N/A,FALSE,"Plan2"}</definedName>
    <definedName name="hgdesgfgsj" localSheetId="1" hidden="1">{#N/A,#N/A,FALSE,"Plan1";#N/A,#N/A,FALSE,"Plan2"}</definedName>
    <definedName name="hgdesgfgsj" localSheetId="2" hidden="1">{#N/A,#N/A,FALSE,"Plan1";#N/A,#N/A,FALSE,"Plan2"}</definedName>
    <definedName name="hgdesgfgsj" localSheetId="9" hidden="1">{#N/A,#N/A,FALSE,"Plan1";#N/A,#N/A,FALSE,"Plan2"}</definedName>
    <definedName name="hgdesgfgsj" localSheetId="5" hidden="1">{#N/A,#N/A,FALSE,"Plan1";#N/A,#N/A,FALSE,"Plan2"}</definedName>
    <definedName name="hgdesgfgsj" localSheetId="4" hidden="1">{#N/A,#N/A,FALSE,"Plan1";#N/A,#N/A,FALSE,"Plan2"}</definedName>
    <definedName name="hgdesgfgsj" localSheetId="8" hidden="1">{#N/A,#N/A,FALSE,"Plan1";#N/A,#N/A,FALSE,"Plan2"}</definedName>
    <definedName name="hgdesgfgsj" localSheetId="12" hidden="1">{#N/A,#N/A,FALSE,"Plan1";#N/A,#N/A,FALSE,"Plan2"}</definedName>
    <definedName name="hgdesgfgsj" localSheetId="16" hidden="1">{#N/A,#N/A,FALSE,"Plan1";#N/A,#N/A,FALSE,"Plan2"}</definedName>
    <definedName name="hgdesgfgsj" localSheetId="0" hidden="1">{#N/A,#N/A,FALSE,"Plan1";#N/A,#N/A,FALSE,"Plan2"}</definedName>
    <definedName name="hgdesgfgsj" localSheetId="11" hidden="1">{#N/A,#N/A,FALSE,"Plan1";#N/A,#N/A,FALSE,"Plan2"}</definedName>
    <definedName name="hgdesgfgsj" localSheetId="13" hidden="1">{#N/A,#N/A,FALSE,"Plan1";#N/A,#N/A,FALSE,"Plan2"}</definedName>
    <definedName name="hgdesgfgsj" hidden="1">{#N/A,#N/A,FALSE,"Plan1";#N/A,#N/A,FALSE,"Plan2"}</definedName>
    <definedName name="hgdgfd" localSheetId="14" hidden="1">{#N/A,#N/A,FALSE,"Plan1";#N/A,#N/A,FALSE,"Plan2"}</definedName>
    <definedName name="hgdgfd" localSheetId="7" hidden="1">{#N/A,#N/A,FALSE,"Plan1";#N/A,#N/A,FALSE,"Plan2"}</definedName>
    <definedName name="hgdgfd" localSheetId="1" hidden="1">{#N/A,#N/A,FALSE,"Plan1";#N/A,#N/A,FALSE,"Plan2"}</definedName>
    <definedName name="hgdgfd" localSheetId="2" hidden="1">{#N/A,#N/A,FALSE,"Plan1";#N/A,#N/A,FALSE,"Plan2"}</definedName>
    <definedName name="hgdgfd" localSheetId="9" hidden="1">{#N/A,#N/A,FALSE,"Plan1";#N/A,#N/A,FALSE,"Plan2"}</definedName>
    <definedName name="hgdgfd" localSheetId="5" hidden="1">{#N/A,#N/A,FALSE,"Plan1";#N/A,#N/A,FALSE,"Plan2"}</definedName>
    <definedName name="hgdgfd" localSheetId="4" hidden="1">{#N/A,#N/A,FALSE,"Plan1";#N/A,#N/A,FALSE,"Plan2"}</definedName>
    <definedName name="hgdgfd" localSheetId="8" hidden="1">{#N/A,#N/A,FALSE,"Plan1";#N/A,#N/A,FALSE,"Plan2"}</definedName>
    <definedName name="hgdgfd" localSheetId="12" hidden="1">{#N/A,#N/A,FALSE,"Plan1";#N/A,#N/A,FALSE,"Plan2"}</definedName>
    <definedName name="hgdgfd" localSheetId="16" hidden="1">{#N/A,#N/A,FALSE,"Plan1";#N/A,#N/A,FALSE,"Plan2"}</definedName>
    <definedName name="hgdgfd" localSheetId="0" hidden="1">{#N/A,#N/A,FALSE,"Plan1";#N/A,#N/A,FALSE,"Plan2"}</definedName>
    <definedName name="hgdgfd" localSheetId="11" hidden="1">{#N/A,#N/A,FALSE,"Plan1";#N/A,#N/A,FALSE,"Plan2"}</definedName>
    <definedName name="hgdgfd" localSheetId="13" hidden="1">{#N/A,#N/A,FALSE,"Plan1";#N/A,#N/A,FALSE,"Plan2"}</definedName>
    <definedName name="hgdgfd" hidden="1">{#N/A,#N/A,FALSE,"Plan1";#N/A,#N/A,FALSE,"Plan2"}</definedName>
    <definedName name="hgfhjkdfhj" localSheetId="14" hidden="1">{#N/A,#N/A,FALSE,"Plan1";#N/A,#N/A,FALSE,"Plan2"}</definedName>
    <definedName name="hgfhjkdfhj" localSheetId="7" hidden="1">{#N/A,#N/A,FALSE,"Plan1";#N/A,#N/A,FALSE,"Plan2"}</definedName>
    <definedName name="hgfhjkdfhj" localSheetId="1" hidden="1">{#N/A,#N/A,FALSE,"Plan1";#N/A,#N/A,FALSE,"Plan2"}</definedName>
    <definedName name="hgfhjkdfhj" localSheetId="2" hidden="1">{#N/A,#N/A,FALSE,"Plan1";#N/A,#N/A,FALSE,"Plan2"}</definedName>
    <definedName name="hgfhjkdfhj" localSheetId="9" hidden="1">{#N/A,#N/A,FALSE,"Plan1";#N/A,#N/A,FALSE,"Plan2"}</definedName>
    <definedName name="hgfhjkdfhj" localSheetId="5" hidden="1">{#N/A,#N/A,FALSE,"Plan1";#N/A,#N/A,FALSE,"Plan2"}</definedName>
    <definedName name="hgfhjkdfhj" localSheetId="4" hidden="1">{#N/A,#N/A,FALSE,"Plan1";#N/A,#N/A,FALSE,"Plan2"}</definedName>
    <definedName name="hgfhjkdfhj" localSheetId="8" hidden="1">{#N/A,#N/A,FALSE,"Plan1";#N/A,#N/A,FALSE,"Plan2"}</definedName>
    <definedName name="hgfhjkdfhj" localSheetId="12" hidden="1">{#N/A,#N/A,FALSE,"Plan1";#N/A,#N/A,FALSE,"Plan2"}</definedName>
    <definedName name="hgfhjkdfhj" localSheetId="16" hidden="1">{#N/A,#N/A,FALSE,"Plan1";#N/A,#N/A,FALSE,"Plan2"}</definedName>
    <definedName name="hgfhjkdfhj" localSheetId="0" hidden="1">{#N/A,#N/A,FALSE,"Plan1";#N/A,#N/A,FALSE,"Plan2"}</definedName>
    <definedName name="hgfhjkdfhj" localSheetId="11" hidden="1">{#N/A,#N/A,FALSE,"Plan1";#N/A,#N/A,FALSE,"Plan2"}</definedName>
    <definedName name="hgfhjkdfhj" localSheetId="13" hidden="1">{#N/A,#N/A,FALSE,"Plan1";#N/A,#N/A,FALSE,"Plan2"}</definedName>
    <definedName name="hgfhjkdfhj" hidden="1">{#N/A,#N/A,FALSE,"Plan1";#N/A,#N/A,FALSE,"Plan2"}</definedName>
    <definedName name="hgg" localSheetId="14" hidden="1">{#N/A,#N/A,FALSE,"Plan1";#N/A,#N/A,FALSE,"Plan2"}</definedName>
    <definedName name="hgg" localSheetId="7" hidden="1">{#N/A,#N/A,FALSE,"Plan1";#N/A,#N/A,FALSE,"Plan2"}</definedName>
    <definedName name="hgg" localSheetId="1" hidden="1">{#N/A,#N/A,FALSE,"Plan1";#N/A,#N/A,FALSE,"Plan2"}</definedName>
    <definedName name="hgg" localSheetId="2" hidden="1">{#N/A,#N/A,FALSE,"Plan1";#N/A,#N/A,FALSE,"Plan2"}</definedName>
    <definedName name="hgg" localSheetId="9" hidden="1">{#N/A,#N/A,FALSE,"Plan1";#N/A,#N/A,FALSE,"Plan2"}</definedName>
    <definedName name="hgg" localSheetId="5" hidden="1">{#N/A,#N/A,FALSE,"Plan1";#N/A,#N/A,FALSE,"Plan2"}</definedName>
    <definedName name="hgg" localSheetId="4" hidden="1">{#N/A,#N/A,FALSE,"Plan1";#N/A,#N/A,FALSE,"Plan2"}</definedName>
    <definedName name="hgg" localSheetId="8" hidden="1">{#N/A,#N/A,FALSE,"Plan1";#N/A,#N/A,FALSE,"Plan2"}</definedName>
    <definedName name="hgg" localSheetId="12" hidden="1">{#N/A,#N/A,FALSE,"Plan1";#N/A,#N/A,FALSE,"Plan2"}</definedName>
    <definedName name="hgg" localSheetId="16" hidden="1">{#N/A,#N/A,FALSE,"Plan1";#N/A,#N/A,FALSE,"Plan2"}</definedName>
    <definedName name="hgg" localSheetId="0" hidden="1">{#N/A,#N/A,FALSE,"Plan1";#N/A,#N/A,FALSE,"Plan2"}</definedName>
    <definedName name="hgg" localSheetId="11" hidden="1">{#N/A,#N/A,FALSE,"Plan1";#N/A,#N/A,FALSE,"Plan2"}</definedName>
    <definedName name="hgg" localSheetId="13" hidden="1">{#N/A,#N/A,FALSE,"Plan1";#N/A,#N/A,FALSE,"Plan2"}</definedName>
    <definedName name="hgg" hidden="1">{#N/A,#N/A,FALSE,"Plan1";#N/A,#N/A,FALSE,"Plan2"}</definedName>
    <definedName name="hgjdfgghg" localSheetId="14" hidden="1">{#N/A,#N/A,FALSE,"Plan1";#N/A,#N/A,FALSE,"Plan2"}</definedName>
    <definedName name="hgjdfgghg" localSheetId="7" hidden="1">{#N/A,#N/A,FALSE,"Plan1";#N/A,#N/A,FALSE,"Plan2"}</definedName>
    <definedName name="hgjdfgghg" localSheetId="1" hidden="1">{#N/A,#N/A,FALSE,"Plan1";#N/A,#N/A,FALSE,"Plan2"}</definedName>
    <definedName name="hgjdfgghg" localSheetId="2" hidden="1">{#N/A,#N/A,FALSE,"Plan1";#N/A,#N/A,FALSE,"Plan2"}</definedName>
    <definedName name="hgjdfgghg" localSheetId="9" hidden="1">{#N/A,#N/A,FALSE,"Plan1";#N/A,#N/A,FALSE,"Plan2"}</definedName>
    <definedName name="hgjdfgghg" localSheetId="5" hidden="1">{#N/A,#N/A,FALSE,"Plan1";#N/A,#N/A,FALSE,"Plan2"}</definedName>
    <definedName name="hgjdfgghg" localSheetId="4" hidden="1">{#N/A,#N/A,FALSE,"Plan1";#N/A,#N/A,FALSE,"Plan2"}</definedName>
    <definedName name="hgjdfgghg" localSheetId="8" hidden="1">{#N/A,#N/A,FALSE,"Plan1";#N/A,#N/A,FALSE,"Plan2"}</definedName>
    <definedName name="hgjdfgghg" localSheetId="12" hidden="1">{#N/A,#N/A,FALSE,"Plan1";#N/A,#N/A,FALSE,"Plan2"}</definedName>
    <definedName name="hgjdfgghg" localSheetId="16" hidden="1">{#N/A,#N/A,FALSE,"Plan1";#N/A,#N/A,FALSE,"Plan2"}</definedName>
    <definedName name="hgjdfgghg" localSheetId="0" hidden="1">{#N/A,#N/A,FALSE,"Plan1";#N/A,#N/A,FALSE,"Plan2"}</definedName>
    <definedName name="hgjdfgghg" localSheetId="11" hidden="1">{#N/A,#N/A,FALSE,"Plan1";#N/A,#N/A,FALSE,"Plan2"}</definedName>
    <definedName name="hgjdfgghg" localSheetId="13" hidden="1">{#N/A,#N/A,FALSE,"Plan1";#N/A,#N/A,FALSE,"Plan2"}</definedName>
    <definedName name="hgjdfgghg" hidden="1">{#N/A,#N/A,FALSE,"Plan1";#N/A,#N/A,FALSE,"Plan2"}</definedName>
    <definedName name="hgjkfdhg" localSheetId="14" hidden="1">{#N/A,#N/A,FALSE,"Plan1";#N/A,#N/A,FALSE,"Plan2"}</definedName>
    <definedName name="hgjkfdhg" localSheetId="7" hidden="1">{#N/A,#N/A,FALSE,"Plan1";#N/A,#N/A,FALSE,"Plan2"}</definedName>
    <definedName name="hgjkfdhg" localSheetId="1" hidden="1">{#N/A,#N/A,FALSE,"Plan1";#N/A,#N/A,FALSE,"Plan2"}</definedName>
    <definedName name="hgjkfdhg" localSheetId="2" hidden="1">{#N/A,#N/A,FALSE,"Plan1";#N/A,#N/A,FALSE,"Plan2"}</definedName>
    <definedName name="hgjkfdhg" localSheetId="9" hidden="1">{#N/A,#N/A,FALSE,"Plan1";#N/A,#N/A,FALSE,"Plan2"}</definedName>
    <definedName name="hgjkfdhg" localSheetId="5" hidden="1">{#N/A,#N/A,FALSE,"Plan1";#N/A,#N/A,FALSE,"Plan2"}</definedName>
    <definedName name="hgjkfdhg" localSheetId="4" hidden="1">{#N/A,#N/A,FALSE,"Plan1";#N/A,#N/A,FALSE,"Plan2"}</definedName>
    <definedName name="hgjkfdhg" localSheetId="8" hidden="1">{#N/A,#N/A,FALSE,"Plan1";#N/A,#N/A,FALSE,"Plan2"}</definedName>
    <definedName name="hgjkfdhg" localSheetId="12" hidden="1">{#N/A,#N/A,FALSE,"Plan1";#N/A,#N/A,FALSE,"Plan2"}</definedName>
    <definedName name="hgjkfdhg" localSheetId="16" hidden="1">{#N/A,#N/A,FALSE,"Plan1";#N/A,#N/A,FALSE,"Plan2"}</definedName>
    <definedName name="hgjkfdhg" localSheetId="0" hidden="1">{#N/A,#N/A,FALSE,"Plan1";#N/A,#N/A,FALSE,"Plan2"}</definedName>
    <definedName name="hgjkfdhg" localSheetId="11" hidden="1">{#N/A,#N/A,FALSE,"Plan1";#N/A,#N/A,FALSE,"Plan2"}</definedName>
    <definedName name="hgjkfdhg" localSheetId="13" hidden="1">{#N/A,#N/A,FALSE,"Plan1";#N/A,#N/A,FALSE,"Plan2"}</definedName>
    <definedName name="hgjkfdhg" hidden="1">{#N/A,#N/A,FALSE,"Plan1";#N/A,#N/A,FALSE,"Plan2"}</definedName>
    <definedName name="hgkdfhkfk" localSheetId="14" hidden="1">{#N/A,#N/A,FALSE,"Plan1";#N/A,#N/A,FALSE,"Plan2"}</definedName>
    <definedName name="hgkdfhkfk" localSheetId="7" hidden="1">{#N/A,#N/A,FALSE,"Plan1";#N/A,#N/A,FALSE,"Plan2"}</definedName>
    <definedName name="hgkdfhkfk" localSheetId="1" hidden="1">{#N/A,#N/A,FALSE,"Plan1";#N/A,#N/A,FALSE,"Plan2"}</definedName>
    <definedName name="hgkdfhkfk" localSheetId="2" hidden="1">{#N/A,#N/A,FALSE,"Plan1";#N/A,#N/A,FALSE,"Plan2"}</definedName>
    <definedName name="hgkdfhkfk" localSheetId="9" hidden="1">{#N/A,#N/A,FALSE,"Plan1";#N/A,#N/A,FALSE,"Plan2"}</definedName>
    <definedName name="hgkdfhkfk" localSheetId="5" hidden="1">{#N/A,#N/A,FALSE,"Plan1";#N/A,#N/A,FALSE,"Plan2"}</definedName>
    <definedName name="hgkdfhkfk" localSheetId="4" hidden="1">{#N/A,#N/A,FALSE,"Plan1";#N/A,#N/A,FALSE,"Plan2"}</definedName>
    <definedName name="hgkdfhkfk" localSheetId="8" hidden="1">{#N/A,#N/A,FALSE,"Plan1";#N/A,#N/A,FALSE,"Plan2"}</definedName>
    <definedName name="hgkdfhkfk" localSheetId="12" hidden="1">{#N/A,#N/A,FALSE,"Plan1";#N/A,#N/A,FALSE,"Plan2"}</definedName>
    <definedName name="hgkdfhkfk" localSheetId="16" hidden="1">{#N/A,#N/A,FALSE,"Plan1";#N/A,#N/A,FALSE,"Plan2"}</definedName>
    <definedName name="hgkdfhkfk" localSheetId="0" hidden="1">{#N/A,#N/A,FALSE,"Plan1";#N/A,#N/A,FALSE,"Plan2"}</definedName>
    <definedName name="hgkdfhkfk" localSheetId="11" hidden="1">{#N/A,#N/A,FALSE,"Plan1";#N/A,#N/A,FALSE,"Plan2"}</definedName>
    <definedName name="hgkdfhkfk" localSheetId="13" hidden="1">{#N/A,#N/A,FALSE,"Plan1";#N/A,#N/A,FALSE,"Plan2"}</definedName>
    <definedName name="hgkdfhkfk" hidden="1">{#N/A,#N/A,FALSE,"Plan1";#N/A,#N/A,FALSE,"Plan2"}</definedName>
    <definedName name="hgkjhdfhtrdyt" localSheetId="14" hidden="1">{#N/A,#N/A,FALSE,"Plan1";#N/A,#N/A,FALSE,"Plan2"}</definedName>
    <definedName name="hgkjhdfhtrdyt" localSheetId="7" hidden="1">{#N/A,#N/A,FALSE,"Plan1";#N/A,#N/A,FALSE,"Plan2"}</definedName>
    <definedName name="hgkjhdfhtrdyt" localSheetId="1" hidden="1">{#N/A,#N/A,FALSE,"Plan1";#N/A,#N/A,FALSE,"Plan2"}</definedName>
    <definedName name="hgkjhdfhtrdyt" localSheetId="2" hidden="1">{#N/A,#N/A,FALSE,"Plan1";#N/A,#N/A,FALSE,"Plan2"}</definedName>
    <definedName name="hgkjhdfhtrdyt" localSheetId="9" hidden="1">{#N/A,#N/A,FALSE,"Plan1";#N/A,#N/A,FALSE,"Plan2"}</definedName>
    <definedName name="hgkjhdfhtrdyt" localSheetId="5" hidden="1">{#N/A,#N/A,FALSE,"Plan1";#N/A,#N/A,FALSE,"Plan2"}</definedName>
    <definedName name="hgkjhdfhtrdyt" localSheetId="4" hidden="1">{#N/A,#N/A,FALSE,"Plan1";#N/A,#N/A,FALSE,"Plan2"}</definedName>
    <definedName name="hgkjhdfhtrdyt" localSheetId="8" hidden="1">{#N/A,#N/A,FALSE,"Plan1";#N/A,#N/A,FALSE,"Plan2"}</definedName>
    <definedName name="hgkjhdfhtrdyt" localSheetId="12" hidden="1">{#N/A,#N/A,FALSE,"Plan1";#N/A,#N/A,FALSE,"Plan2"}</definedName>
    <definedName name="hgkjhdfhtrdyt" localSheetId="16" hidden="1">{#N/A,#N/A,FALSE,"Plan1";#N/A,#N/A,FALSE,"Plan2"}</definedName>
    <definedName name="hgkjhdfhtrdyt" localSheetId="0" hidden="1">{#N/A,#N/A,FALSE,"Plan1";#N/A,#N/A,FALSE,"Plan2"}</definedName>
    <definedName name="hgkjhdfhtrdyt" localSheetId="11" hidden="1">{#N/A,#N/A,FALSE,"Plan1";#N/A,#N/A,FALSE,"Plan2"}</definedName>
    <definedName name="hgkjhdfhtrdyt" localSheetId="13" hidden="1">{#N/A,#N/A,FALSE,"Plan1";#N/A,#N/A,FALSE,"Plan2"}</definedName>
    <definedName name="hgkjhdfhtrdyt" hidden="1">{#N/A,#N/A,FALSE,"Plan1";#N/A,#N/A,FALSE,"Plan2"}</definedName>
    <definedName name="hgkjhdfkhgtfhg" localSheetId="14" hidden="1">{#N/A,#N/A,FALSE,"Plan1";#N/A,#N/A,FALSE,"Plan2"}</definedName>
    <definedName name="hgkjhdfkhgtfhg" localSheetId="7" hidden="1">{#N/A,#N/A,FALSE,"Plan1";#N/A,#N/A,FALSE,"Plan2"}</definedName>
    <definedName name="hgkjhdfkhgtfhg" localSheetId="1" hidden="1">{#N/A,#N/A,FALSE,"Plan1";#N/A,#N/A,FALSE,"Plan2"}</definedName>
    <definedName name="hgkjhdfkhgtfhg" localSheetId="2" hidden="1">{#N/A,#N/A,FALSE,"Plan1";#N/A,#N/A,FALSE,"Plan2"}</definedName>
    <definedName name="hgkjhdfkhgtfhg" localSheetId="9" hidden="1">{#N/A,#N/A,FALSE,"Plan1";#N/A,#N/A,FALSE,"Plan2"}</definedName>
    <definedName name="hgkjhdfkhgtfhg" localSheetId="5" hidden="1">{#N/A,#N/A,FALSE,"Plan1";#N/A,#N/A,FALSE,"Plan2"}</definedName>
    <definedName name="hgkjhdfkhgtfhg" localSheetId="4" hidden="1">{#N/A,#N/A,FALSE,"Plan1";#N/A,#N/A,FALSE,"Plan2"}</definedName>
    <definedName name="hgkjhdfkhgtfhg" localSheetId="8" hidden="1">{#N/A,#N/A,FALSE,"Plan1";#N/A,#N/A,FALSE,"Plan2"}</definedName>
    <definedName name="hgkjhdfkhgtfhg" localSheetId="12" hidden="1">{#N/A,#N/A,FALSE,"Plan1";#N/A,#N/A,FALSE,"Plan2"}</definedName>
    <definedName name="hgkjhdfkhgtfhg" localSheetId="16" hidden="1">{#N/A,#N/A,FALSE,"Plan1";#N/A,#N/A,FALSE,"Plan2"}</definedName>
    <definedName name="hgkjhdfkhgtfhg" localSheetId="0" hidden="1">{#N/A,#N/A,FALSE,"Plan1";#N/A,#N/A,FALSE,"Plan2"}</definedName>
    <definedName name="hgkjhdfkhgtfhg" localSheetId="11" hidden="1">{#N/A,#N/A,FALSE,"Plan1";#N/A,#N/A,FALSE,"Plan2"}</definedName>
    <definedName name="hgkjhdfkhgtfhg" localSheetId="13" hidden="1">{#N/A,#N/A,FALSE,"Plan1";#N/A,#N/A,FALSE,"Plan2"}</definedName>
    <definedName name="hgkjhdfkhgtfhg" hidden="1">{#N/A,#N/A,FALSE,"Plan1";#N/A,#N/A,FALSE,"Plan2"}</definedName>
    <definedName name="hgkjhkfhsdkdhgk" localSheetId="14" hidden="1">{#N/A,#N/A,FALSE,"Plan1";#N/A,#N/A,FALSE,"Plan2"}</definedName>
    <definedName name="hgkjhkfhsdkdhgk" localSheetId="7" hidden="1">{#N/A,#N/A,FALSE,"Plan1";#N/A,#N/A,FALSE,"Plan2"}</definedName>
    <definedName name="hgkjhkfhsdkdhgk" localSheetId="1" hidden="1">{#N/A,#N/A,FALSE,"Plan1";#N/A,#N/A,FALSE,"Plan2"}</definedName>
    <definedName name="hgkjhkfhsdkdhgk" localSheetId="2" hidden="1">{#N/A,#N/A,FALSE,"Plan1";#N/A,#N/A,FALSE,"Plan2"}</definedName>
    <definedName name="hgkjhkfhsdkdhgk" localSheetId="9" hidden="1">{#N/A,#N/A,FALSE,"Plan1";#N/A,#N/A,FALSE,"Plan2"}</definedName>
    <definedName name="hgkjhkfhsdkdhgk" localSheetId="5" hidden="1">{#N/A,#N/A,FALSE,"Plan1";#N/A,#N/A,FALSE,"Plan2"}</definedName>
    <definedName name="hgkjhkfhsdkdhgk" localSheetId="4" hidden="1">{#N/A,#N/A,FALSE,"Plan1";#N/A,#N/A,FALSE,"Plan2"}</definedName>
    <definedName name="hgkjhkfhsdkdhgk" localSheetId="8" hidden="1">{#N/A,#N/A,FALSE,"Plan1";#N/A,#N/A,FALSE,"Plan2"}</definedName>
    <definedName name="hgkjhkfhsdkdhgk" localSheetId="12" hidden="1">{#N/A,#N/A,FALSE,"Plan1";#N/A,#N/A,FALSE,"Plan2"}</definedName>
    <definedName name="hgkjhkfhsdkdhgk" localSheetId="16" hidden="1">{#N/A,#N/A,FALSE,"Plan1";#N/A,#N/A,FALSE,"Plan2"}</definedName>
    <definedName name="hgkjhkfhsdkdhgk" localSheetId="0" hidden="1">{#N/A,#N/A,FALSE,"Plan1";#N/A,#N/A,FALSE,"Plan2"}</definedName>
    <definedName name="hgkjhkfhsdkdhgk" localSheetId="11" hidden="1">{#N/A,#N/A,FALSE,"Plan1";#N/A,#N/A,FALSE,"Plan2"}</definedName>
    <definedName name="hgkjhkfhsdkdhgk" localSheetId="13" hidden="1">{#N/A,#N/A,FALSE,"Plan1";#N/A,#N/A,FALSE,"Plan2"}</definedName>
    <definedName name="hgkjhkfhsdkdhgk" hidden="1">{#N/A,#N/A,FALSE,"Plan1";#N/A,#N/A,FALSE,"Plan2"}</definedName>
    <definedName name="hgsufgdhghd" localSheetId="14" hidden="1">{#N/A,#N/A,FALSE,"Plan1";#N/A,#N/A,FALSE,"Plan2"}</definedName>
    <definedName name="hgsufgdhghd" localSheetId="7" hidden="1">{#N/A,#N/A,FALSE,"Plan1";#N/A,#N/A,FALSE,"Plan2"}</definedName>
    <definedName name="hgsufgdhghd" localSheetId="1" hidden="1">{#N/A,#N/A,FALSE,"Plan1";#N/A,#N/A,FALSE,"Plan2"}</definedName>
    <definedName name="hgsufgdhghd" localSheetId="2" hidden="1">{#N/A,#N/A,FALSE,"Plan1";#N/A,#N/A,FALSE,"Plan2"}</definedName>
    <definedName name="hgsufgdhghd" localSheetId="9" hidden="1">{#N/A,#N/A,FALSE,"Plan1";#N/A,#N/A,FALSE,"Plan2"}</definedName>
    <definedName name="hgsufgdhghd" localSheetId="5" hidden="1">{#N/A,#N/A,FALSE,"Plan1";#N/A,#N/A,FALSE,"Plan2"}</definedName>
    <definedName name="hgsufgdhghd" localSheetId="4" hidden="1">{#N/A,#N/A,FALSE,"Plan1";#N/A,#N/A,FALSE,"Plan2"}</definedName>
    <definedName name="hgsufgdhghd" localSheetId="8" hidden="1">{#N/A,#N/A,FALSE,"Plan1";#N/A,#N/A,FALSE,"Plan2"}</definedName>
    <definedName name="hgsufgdhghd" localSheetId="12" hidden="1">{#N/A,#N/A,FALSE,"Plan1";#N/A,#N/A,FALSE,"Plan2"}</definedName>
    <definedName name="hgsufgdhghd" localSheetId="16" hidden="1">{#N/A,#N/A,FALSE,"Plan1";#N/A,#N/A,FALSE,"Plan2"}</definedName>
    <definedName name="hgsufgdhghd" localSheetId="0" hidden="1">{#N/A,#N/A,FALSE,"Plan1";#N/A,#N/A,FALSE,"Plan2"}</definedName>
    <definedName name="hgsufgdhghd" localSheetId="11" hidden="1">{#N/A,#N/A,FALSE,"Plan1";#N/A,#N/A,FALSE,"Plan2"}</definedName>
    <definedName name="hgsufgdhghd" localSheetId="13" hidden="1">{#N/A,#N/A,FALSE,"Plan1";#N/A,#N/A,FALSE,"Plan2"}</definedName>
    <definedName name="hgsufgdhghd" hidden="1">{#N/A,#N/A,FALSE,"Plan1";#N/A,#N/A,FALSE,"Plan2"}</definedName>
    <definedName name="HHGFHTYUT" localSheetId="14" hidden="1">{#N/A,#N/A,FALSE,"Plan1";#N/A,#N/A,FALSE,"Plan2"}</definedName>
    <definedName name="HHGFHTYUT" localSheetId="7" hidden="1">{#N/A,#N/A,FALSE,"Plan1";#N/A,#N/A,FALSE,"Plan2"}</definedName>
    <definedName name="HHGFHTYUT" localSheetId="1" hidden="1">{#N/A,#N/A,FALSE,"Plan1";#N/A,#N/A,FALSE,"Plan2"}</definedName>
    <definedName name="HHGFHTYUT" localSheetId="2" hidden="1">{#N/A,#N/A,FALSE,"Plan1";#N/A,#N/A,FALSE,"Plan2"}</definedName>
    <definedName name="HHGFHTYUT" localSheetId="9" hidden="1">{#N/A,#N/A,FALSE,"Plan1";#N/A,#N/A,FALSE,"Plan2"}</definedName>
    <definedName name="HHGFHTYUT" localSheetId="5" hidden="1">{#N/A,#N/A,FALSE,"Plan1";#N/A,#N/A,FALSE,"Plan2"}</definedName>
    <definedName name="HHGFHTYUT" localSheetId="4" hidden="1">{#N/A,#N/A,FALSE,"Plan1";#N/A,#N/A,FALSE,"Plan2"}</definedName>
    <definedName name="HHGFHTYUT" localSheetId="8" hidden="1">{#N/A,#N/A,FALSE,"Plan1";#N/A,#N/A,FALSE,"Plan2"}</definedName>
    <definedName name="HHGFHTYUT" localSheetId="12" hidden="1">{#N/A,#N/A,FALSE,"Plan1";#N/A,#N/A,FALSE,"Plan2"}</definedName>
    <definedName name="HHGFHTYUT" localSheetId="16" hidden="1">{#N/A,#N/A,FALSE,"Plan1";#N/A,#N/A,FALSE,"Plan2"}</definedName>
    <definedName name="HHGFHTYUT" localSheetId="0" hidden="1">{#N/A,#N/A,FALSE,"Plan1";#N/A,#N/A,FALSE,"Plan2"}</definedName>
    <definedName name="HHGFHTYUT" localSheetId="11" hidden="1">{#N/A,#N/A,FALSE,"Plan1";#N/A,#N/A,FALSE,"Plan2"}</definedName>
    <definedName name="HHGFHTYUT" localSheetId="13" hidden="1">{#N/A,#N/A,FALSE,"Plan1";#N/A,#N/A,FALSE,"Plan2"}</definedName>
    <definedName name="HHGFHTYUT" hidden="1">{#N/A,#N/A,FALSE,"Plan1";#N/A,#N/A,FALSE,"Plan2"}</definedName>
    <definedName name="hhh" localSheetId="14" hidden="1">{"'Total'!$A$1","'Total'!$A$3"}</definedName>
    <definedName name="hhh" localSheetId="7" hidden="1">{"'Total'!$A$1","'Total'!$A$3"}</definedName>
    <definedName name="hhh" localSheetId="1" hidden="1">{"'Total'!$A$1","'Total'!$A$3"}</definedName>
    <definedName name="hhh" localSheetId="2" hidden="1">{"'Total'!$A$1","'Total'!$A$3"}</definedName>
    <definedName name="hhh" localSheetId="9" hidden="1">{"'Total'!$A$1","'Total'!$A$3"}</definedName>
    <definedName name="hhh" localSheetId="5" hidden="1">{"'Total'!$A$1","'Total'!$A$3"}</definedName>
    <definedName name="hhh" localSheetId="4" hidden="1">{"'Total'!$A$1","'Total'!$A$3"}</definedName>
    <definedName name="hhh" localSheetId="8" hidden="1">{"'Total'!$A$1","'Total'!$A$3"}</definedName>
    <definedName name="hhh" localSheetId="12" hidden="1">{"'Total'!$A$1","'Total'!$A$3"}</definedName>
    <definedName name="hhh" localSheetId="16" hidden="1">{"'Total'!$A$1","'Total'!$A$3"}</definedName>
    <definedName name="hhh" localSheetId="0" hidden="1">{"'Total'!$A$1","'Total'!$A$3"}</definedName>
    <definedName name="hhh" localSheetId="11" hidden="1">{"'Total'!$A$1","'Total'!$A$3"}</definedName>
    <definedName name="hhh" localSheetId="13" hidden="1">{"'Total'!$A$1","'Total'!$A$3"}</definedName>
    <definedName name="hhh" hidden="1">{"'Total'!$A$1","'Total'!$A$3"}</definedName>
    <definedName name="HHIHLK" localSheetId="2" hidden="1">#REF!</definedName>
    <definedName name="HHIHLK" localSheetId="5" hidden="1">#REF!</definedName>
    <definedName name="HHIHLK" localSheetId="0" hidden="1">#REF!</definedName>
    <definedName name="HHIHLK" hidden="1">#REF!</definedName>
    <definedName name="hik" localSheetId="14" hidden="1">{#N/A,#N/A,FALSE,"TABLE"}</definedName>
    <definedName name="hik" localSheetId="7" hidden="1">{#N/A,#N/A,FALSE,"TABLE"}</definedName>
    <definedName name="hik" localSheetId="1" hidden="1">{#N/A,#N/A,FALSE,"TABLE"}</definedName>
    <definedName name="hik" localSheetId="2" hidden="1">{#N/A,#N/A,FALSE,"TABLE"}</definedName>
    <definedName name="hik" localSheetId="9" hidden="1">{#N/A,#N/A,FALSE,"TABLE"}</definedName>
    <definedName name="hik" localSheetId="5" hidden="1">{#N/A,#N/A,FALSE,"TABLE"}</definedName>
    <definedName name="hik" localSheetId="4" hidden="1">{#N/A,#N/A,FALSE,"TABLE"}</definedName>
    <definedName name="hik" localSheetId="8" hidden="1">{#N/A,#N/A,FALSE,"TABLE"}</definedName>
    <definedName name="hik" localSheetId="12" hidden="1">{#N/A,#N/A,FALSE,"TABLE"}</definedName>
    <definedName name="hik" localSheetId="16" hidden="1">{#N/A,#N/A,FALSE,"TABLE"}</definedName>
    <definedName name="hik" localSheetId="0" hidden="1">{#N/A,#N/A,FALSE,"TABLE"}</definedName>
    <definedName name="hik" localSheetId="11" hidden="1">{#N/A,#N/A,FALSE,"TABLE"}</definedName>
    <definedName name="hik" localSheetId="13" hidden="1">{#N/A,#N/A,FALSE,"TABLE"}</definedName>
    <definedName name="hik" hidden="1">{#N/A,#N/A,FALSE,"TABLE"}</definedName>
    <definedName name="hist" localSheetId="2">#REF!</definedName>
    <definedName name="hist" localSheetId="5">#REF!</definedName>
    <definedName name="hist">#REF!</definedName>
    <definedName name="HIST1" localSheetId="2">#REF!</definedName>
    <definedName name="HIST1" localSheetId="5">#REF!</definedName>
    <definedName name="HIST1">#REF!</definedName>
    <definedName name="HISTEQ" localSheetId="2">#REF!</definedName>
    <definedName name="HISTEQ" localSheetId="5">#REF!</definedName>
    <definedName name="HISTEQ">#REF!</definedName>
    <definedName name="HISTOGRAMA" localSheetId="2">#REF!</definedName>
    <definedName name="HISTOGRAMA" localSheetId="5">#REF!</definedName>
    <definedName name="HISTOGRAMA">#REF!</definedName>
    <definedName name="hjdgtjdjxrfg" localSheetId="14" hidden="1">{#N/A,#N/A,FALSE,"Plan1";#N/A,#N/A,FALSE,"Plan2"}</definedName>
    <definedName name="hjdgtjdjxrfg" localSheetId="7" hidden="1">{#N/A,#N/A,FALSE,"Plan1";#N/A,#N/A,FALSE,"Plan2"}</definedName>
    <definedName name="hjdgtjdjxrfg" localSheetId="1" hidden="1">{#N/A,#N/A,FALSE,"Plan1";#N/A,#N/A,FALSE,"Plan2"}</definedName>
    <definedName name="hjdgtjdjxrfg" localSheetId="2" hidden="1">{#N/A,#N/A,FALSE,"Plan1";#N/A,#N/A,FALSE,"Plan2"}</definedName>
    <definedName name="hjdgtjdjxrfg" localSheetId="9" hidden="1">{#N/A,#N/A,FALSE,"Plan1";#N/A,#N/A,FALSE,"Plan2"}</definedName>
    <definedName name="hjdgtjdjxrfg" localSheetId="5" hidden="1">{#N/A,#N/A,FALSE,"Plan1";#N/A,#N/A,FALSE,"Plan2"}</definedName>
    <definedName name="hjdgtjdjxrfg" localSheetId="4" hidden="1">{#N/A,#N/A,FALSE,"Plan1";#N/A,#N/A,FALSE,"Plan2"}</definedName>
    <definedName name="hjdgtjdjxrfg" localSheetId="8" hidden="1">{#N/A,#N/A,FALSE,"Plan1";#N/A,#N/A,FALSE,"Plan2"}</definedName>
    <definedName name="hjdgtjdjxrfg" localSheetId="12" hidden="1">{#N/A,#N/A,FALSE,"Plan1";#N/A,#N/A,FALSE,"Plan2"}</definedName>
    <definedName name="hjdgtjdjxrfg" localSheetId="16" hidden="1">{#N/A,#N/A,FALSE,"Plan1";#N/A,#N/A,FALSE,"Plan2"}</definedName>
    <definedName name="hjdgtjdjxrfg" localSheetId="0" hidden="1">{#N/A,#N/A,FALSE,"Plan1";#N/A,#N/A,FALSE,"Plan2"}</definedName>
    <definedName name="hjdgtjdjxrfg" localSheetId="11" hidden="1">{#N/A,#N/A,FALSE,"Plan1";#N/A,#N/A,FALSE,"Plan2"}</definedName>
    <definedName name="hjdgtjdjxrfg" localSheetId="13" hidden="1">{#N/A,#N/A,FALSE,"Plan1";#N/A,#N/A,FALSE,"Plan2"}</definedName>
    <definedName name="hjdgtjdjxrfg" hidden="1">{#N/A,#N/A,FALSE,"Plan1";#N/A,#N/A,FALSE,"Plan2"}</definedName>
    <definedName name="HJFDGD" localSheetId="14" hidden="1">{#N/A,#N/A,FALSE,"Plan1";#N/A,#N/A,FALSE,"Plan2"}</definedName>
    <definedName name="HJFDGD" localSheetId="7" hidden="1">{#N/A,#N/A,FALSE,"Plan1";#N/A,#N/A,FALSE,"Plan2"}</definedName>
    <definedName name="HJFDGD" localSheetId="1" hidden="1">{#N/A,#N/A,FALSE,"Plan1";#N/A,#N/A,FALSE,"Plan2"}</definedName>
    <definedName name="HJFDGD" localSheetId="2" hidden="1">{#N/A,#N/A,FALSE,"Plan1";#N/A,#N/A,FALSE,"Plan2"}</definedName>
    <definedName name="HJFDGD" localSheetId="9" hidden="1">{#N/A,#N/A,FALSE,"Plan1";#N/A,#N/A,FALSE,"Plan2"}</definedName>
    <definedName name="HJFDGD" localSheetId="5" hidden="1">{#N/A,#N/A,FALSE,"Plan1";#N/A,#N/A,FALSE,"Plan2"}</definedName>
    <definedName name="HJFDGD" localSheetId="4" hidden="1">{#N/A,#N/A,FALSE,"Plan1";#N/A,#N/A,FALSE,"Plan2"}</definedName>
    <definedName name="HJFDGD" localSheetId="8" hidden="1">{#N/A,#N/A,FALSE,"Plan1";#N/A,#N/A,FALSE,"Plan2"}</definedName>
    <definedName name="HJFDGD" localSheetId="12" hidden="1">{#N/A,#N/A,FALSE,"Plan1";#N/A,#N/A,FALSE,"Plan2"}</definedName>
    <definedName name="HJFDGD" localSheetId="16" hidden="1">{#N/A,#N/A,FALSE,"Plan1";#N/A,#N/A,FALSE,"Plan2"}</definedName>
    <definedName name="HJFDGD" localSheetId="0" hidden="1">{#N/A,#N/A,FALSE,"Plan1";#N/A,#N/A,FALSE,"Plan2"}</definedName>
    <definedName name="HJFDGD" localSheetId="11" hidden="1">{#N/A,#N/A,FALSE,"Plan1";#N/A,#N/A,FALSE,"Plan2"}</definedName>
    <definedName name="HJFDGD" localSheetId="13" hidden="1">{#N/A,#N/A,FALSE,"Plan1";#N/A,#N/A,FALSE,"Plan2"}</definedName>
    <definedName name="HJFDGD" hidden="1">{#N/A,#N/A,FALSE,"Plan1";#N/A,#N/A,FALSE,"Plan2"}</definedName>
    <definedName name="HJGASD" localSheetId="14" hidden="1">{#N/A,#N/A,FALSE,"Plan1";#N/A,#N/A,FALSE,"Plan2"}</definedName>
    <definedName name="HJGASD" localSheetId="7" hidden="1">{#N/A,#N/A,FALSE,"Plan1";#N/A,#N/A,FALSE,"Plan2"}</definedName>
    <definedName name="HJGASD" localSheetId="1" hidden="1">{#N/A,#N/A,FALSE,"Plan1";#N/A,#N/A,FALSE,"Plan2"}</definedName>
    <definedName name="HJGASD" localSheetId="2" hidden="1">{#N/A,#N/A,FALSE,"Plan1";#N/A,#N/A,FALSE,"Plan2"}</definedName>
    <definedName name="HJGASD" localSheetId="9" hidden="1">{#N/A,#N/A,FALSE,"Plan1";#N/A,#N/A,FALSE,"Plan2"}</definedName>
    <definedName name="HJGASD" localSheetId="5" hidden="1">{#N/A,#N/A,FALSE,"Plan1";#N/A,#N/A,FALSE,"Plan2"}</definedName>
    <definedName name="HJGASD" localSheetId="4" hidden="1">{#N/A,#N/A,FALSE,"Plan1";#N/A,#N/A,FALSE,"Plan2"}</definedName>
    <definedName name="HJGASD" localSheetId="8" hidden="1">{#N/A,#N/A,FALSE,"Plan1";#N/A,#N/A,FALSE,"Plan2"}</definedName>
    <definedName name="HJGASD" localSheetId="12" hidden="1">{#N/A,#N/A,FALSE,"Plan1";#N/A,#N/A,FALSE,"Plan2"}</definedName>
    <definedName name="HJGASD" localSheetId="16" hidden="1">{#N/A,#N/A,FALSE,"Plan1";#N/A,#N/A,FALSE,"Plan2"}</definedName>
    <definedName name="HJGASD" localSheetId="0" hidden="1">{#N/A,#N/A,FALSE,"Plan1";#N/A,#N/A,FALSE,"Plan2"}</definedName>
    <definedName name="HJGASD" localSheetId="11" hidden="1">{#N/A,#N/A,FALSE,"Plan1";#N/A,#N/A,FALSE,"Plan2"}</definedName>
    <definedName name="HJGASD" localSheetId="13" hidden="1">{#N/A,#N/A,FALSE,"Plan1";#N/A,#N/A,FALSE,"Plan2"}</definedName>
    <definedName name="HJGASD" hidden="1">{#N/A,#N/A,FALSE,"Plan1";#N/A,#N/A,FALSE,"Plan2"}</definedName>
    <definedName name="HJGFGTFDG" localSheetId="14" hidden="1">{#N/A,#N/A,FALSE,"Plan1";#N/A,#N/A,FALSE,"Plan2"}</definedName>
    <definedName name="HJGFGTFDG" localSheetId="7" hidden="1">{#N/A,#N/A,FALSE,"Plan1";#N/A,#N/A,FALSE,"Plan2"}</definedName>
    <definedName name="HJGFGTFDG" localSheetId="1" hidden="1">{#N/A,#N/A,FALSE,"Plan1";#N/A,#N/A,FALSE,"Plan2"}</definedName>
    <definedName name="HJGFGTFDG" localSheetId="2" hidden="1">{#N/A,#N/A,FALSE,"Plan1";#N/A,#N/A,FALSE,"Plan2"}</definedName>
    <definedName name="HJGFGTFDG" localSheetId="9" hidden="1">{#N/A,#N/A,FALSE,"Plan1";#N/A,#N/A,FALSE,"Plan2"}</definedName>
    <definedName name="HJGFGTFDG" localSheetId="5" hidden="1">{#N/A,#N/A,FALSE,"Plan1";#N/A,#N/A,FALSE,"Plan2"}</definedName>
    <definedName name="HJGFGTFDG" localSheetId="4" hidden="1">{#N/A,#N/A,FALSE,"Plan1";#N/A,#N/A,FALSE,"Plan2"}</definedName>
    <definedName name="HJGFGTFDG" localSheetId="8" hidden="1">{#N/A,#N/A,FALSE,"Plan1";#N/A,#N/A,FALSE,"Plan2"}</definedName>
    <definedName name="HJGFGTFDG" localSheetId="12" hidden="1">{#N/A,#N/A,FALSE,"Plan1";#N/A,#N/A,FALSE,"Plan2"}</definedName>
    <definedName name="HJGFGTFDG" localSheetId="16" hidden="1">{#N/A,#N/A,FALSE,"Plan1";#N/A,#N/A,FALSE,"Plan2"}</definedName>
    <definedName name="HJGFGTFDG" localSheetId="0" hidden="1">{#N/A,#N/A,FALSE,"Plan1";#N/A,#N/A,FALSE,"Plan2"}</definedName>
    <definedName name="HJGFGTFDG" localSheetId="11" hidden="1">{#N/A,#N/A,FALSE,"Plan1";#N/A,#N/A,FALSE,"Plan2"}</definedName>
    <definedName name="HJGFGTFDG" localSheetId="13" hidden="1">{#N/A,#N/A,FALSE,"Plan1";#N/A,#N/A,FALSE,"Plan2"}</definedName>
    <definedName name="HJGFGTFDG" hidden="1">{#N/A,#N/A,FALSE,"Plan1";#N/A,#N/A,FALSE,"Plan2"}</definedName>
    <definedName name="hjgfhdsgfhsd" localSheetId="14" hidden="1">{#N/A,#N/A,FALSE,"Plan1";#N/A,#N/A,FALSE,"Plan2"}</definedName>
    <definedName name="hjgfhdsgfhsd" localSheetId="7" hidden="1">{#N/A,#N/A,FALSE,"Plan1";#N/A,#N/A,FALSE,"Plan2"}</definedName>
    <definedName name="hjgfhdsgfhsd" localSheetId="1" hidden="1">{#N/A,#N/A,FALSE,"Plan1";#N/A,#N/A,FALSE,"Plan2"}</definedName>
    <definedName name="hjgfhdsgfhsd" localSheetId="2" hidden="1">{#N/A,#N/A,FALSE,"Plan1";#N/A,#N/A,FALSE,"Plan2"}</definedName>
    <definedName name="hjgfhdsgfhsd" localSheetId="9" hidden="1">{#N/A,#N/A,FALSE,"Plan1";#N/A,#N/A,FALSE,"Plan2"}</definedName>
    <definedName name="hjgfhdsgfhsd" localSheetId="5" hidden="1">{#N/A,#N/A,FALSE,"Plan1";#N/A,#N/A,FALSE,"Plan2"}</definedName>
    <definedName name="hjgfhdsgfhsd" localSheetId="4" hidden="1">{#N/A,#N/A,FALSE,"Plan1";#N/A,#N/A,FALSE,"Plan2"}</definedName>
    <definedName name="hjgfhdsgfhsd" localSheetId="8" hidden="1">{#N/A,#N/A,FALSE,"Plan1";#N/A,#N/A,FALSE,"Plan2"}</definedName>
    <definedName name="hjgfhdsgfhsd" localSheetId="12" hidden="1">{#N/A,#N/A,FALSE,"Plan1";#N/A,#N/A,FALSE,"Plan2"}</definedName>
    <definedName name="hjgfhdsgfhsd" localSheetId="16" hidden="1">{#N/A,#N/A,FALSE,"Plan1";#N/A,#N/A,FALSE,"Plan2"}</definedName>
    <definedName name="hjgfhdsgfhsd" localSheetId="0" hidden="1">{#N/A,#N/A,FALSE,"Plan1";#N/A,#N/A,FALSE,"Plan2"}</definedName>
    <definedName name="hjgfhdsgfhsd" localSheetId="11" hidden="1">{#N/A,#N/A,FALSE,"Plan1";#N/A,#N/A,FALSE,"Plan2"}</definedName>
    <definedName name="hjgfhdsgfhsd" localSheetId="13" hidden="1">{#N/A,#N/A,FALSE,"Plan1";#N/A,#N/A,FALSE,"Plan2"}</definedName>
    <definedName name="hjgfhdsgfhsd" hidden="1">{#N/A,#N/A,FALSE,"Plan1";#N/A,#N/A,FALSE,"Plan2"}</definedName>
    <definedName name="hjgxfjgdjyftr" localSheetId="14" hidden="1">{#N/A,#N/A,FALSE,"Plan1";#N/A,#N/A,FALSE,"Plan2"}</definedName>
    <definedName name="hjgxfjgdjyftr" localSheetId="7" hidden="1">{#N/A,#N/A,FALSE,"Plan1";#N/A,#N/A,FALSE,"Plan2"}</definedName>
    <definedName name="hjgxfjgdjyftr" localSheetId="1" hidden="1">{#N/A,#N/A,FALSE,"Plan1";#N/A,#N/A,FALSE,"Plan2"}</definedName>
    <definedName name="hjgxfjgdjyftr" localSheetId="2" hidden="1">{#N/A,#N/A,FALSE,"Plan1";#N/A,#N/A,FALSE,"Plan2"}</definedName>
    <definedName name="hjgxfjgdjyftr" localSheetId="9" hidden="1">{#N/A,#N/A,FALSE,"Plan1";#N/A,#N/A,FALSE,"Plan2"}</definedName>
    <definedName name="hjgxfjgdjyftr" localSheetId="5" hidden="1">{#N/A,#N/A,FALSE,"Plan1";#N/A,#N/A,FALSE,"Plan2"}</definedName>
    <definedName name="hjgxfjgdjyftr" localSheetId="4" hidden="1">{#N/A,#N/A,FALSE,"Plan1";#N/A,#N/A,FALSE,"Plan2"}</definedName>
    <definedName name="hjgxfjgdjyftr" localSheetId="8" hidden="1">{#N/A,#N/A,FALSE,"Plan1";#N/A,#N/A,FALSE,"Plan2"}</definedName>
    <definedName name="hjgxfjgdjyftr" localSheetId="12" hidden="1">{#N/A,#N/A,FALSE,"Plan1";#N/A,#N/A,FALSE,"Plan2"}</definedName>
    <definedName name="hjgxfjgdjyftr" localSheetId="16" hidden="1">{#N/A,#N/A,FALSE,"Plan1";#N/A,#N/A,FALSE,"Plan2"}</definedName>
    <definedName name="hjgxfjgdjyftr" localSheetId="0" hidden="1">{#N/A,#N/A,FALSE,"Plan1";#N/A,#N/A,FALSE,"Plan2"}</definedName>
    <definedName name="hjgxfjgdjyftr" localSheetId="11" hidden="1">{#N/A,#N/A,FALSE,"Plan1";#N/A,#N/A,FALSE,"Plan2"}</definedName>
    <definedName name="hjgxfjgdjyftr" localSheetId="13" hidden="1">{#N/A,#N/A,FALSE,"Plan1";#N/A,#N/A,FALSE,"Plan2"}</definedName>
    <definedName name="hjgxfjgdjyftr" hidden="1">{#N/A,#N/A,FALSE,"Plan1";#N/A,#N/A,FALSE,"Plan2"}</definedName>
    <definedName name="hjgyugasd" localSheetId="14" hidden="1">{#N/A,#N/A,FALSE,"Plan1";#N/A,#N/A,FALSE,"Plan2"}</definedName>
    <definedName name="hjgyugasd" localSheetId="7" hidden="1">{#N/A,#N/A,FALSE,"Plan1";#N/A,#N/A,FALSE,"Plan2"}</definedName>
    <definedName name="hjgyugasd" localSheetId="1" hidden="1">{#N/A,#N/A,FALSE,"Plan1";#N/A,#N/A,FALSE,"Plan2"}</definedName>
    <definedName name="hjgyugasd" localSheetId="2" hidden="1">{#N/A,#N/A,FALSE,"Plan1";#N/A,#N/A,FALSE,"Plan2"}</definedName>
    <definedName name="hjgyugasd" localSheetId="9" hidden="1">{#N/A,#N/A,FALSE,"Plan1";#N/A,#N/A,FALSE,"Plan2"}</definedName>
    <definedName name="hjgyugasd" localSheetId="5" hidden="1">{#N/A,#N/A,FALSE,"Plan1";#N/A,#N/A,FALSE,"Plan2"}</definedName>
    <definedName name="hjgyugasd" localSheetId="4" hidden="1">{#N/A,#N/A,FALSE,"Plan1";#N/A,#N/A,FALSE,"Plan2"}</definedName>
    <definedName name="hjgyugasd" localSheetId="8" hidden="1">{#N/A,#N/A,FALSE,"Plan1";#N/A,#N/A,FALSE,"Plan2"}</definedName>
    <definedName name="hjgyugasd" localSheetId="12" hidden="1">{#N/A,#N/A,FALSE,"Plan1";#N/A,#N/A,FALSE,"Plan2"}</definedName>
    <definedName name="hjgyugasd" localSheetId="16" hidden="1">{#N/A,#N/A,FALSE,"Plan1";#N/A,#N/A,FALSE,"Plan2"}</definedName>
    <definedName name="hjgyugasd" localSheetId="0" hidden="1">{#N/A,#N/A,FALSE,"Plan1";#N/A,#N/A,FALSE,"Plan2"}</definedName>
    <definedName name="hjgyugasd" localSheetId="11" hidden="1">{#N/A,#N/A,FALSE,"Plan1";#N/A,#N/A,FALSE,"Plan2"}</definedName>
    <definedName name="hjgyugasd" localSheetId="13" hidden="1">{#N/A,#N/A,FALSE,"Plan1";#N/A,#N/A,FALSE,"Plan2"}</definedName>
    <definedName name="hjgyugasd" hidden="1">{#N/A,#N/A,FALSE,"Plan1";#N/A,#N/A,FALSE,"Plan2"}</definedName>
    <definedName name="hjjfyfy" localSheetId="14" hidden="1">{#N/A,#N/A,FALSE,"Plan1";#N/A,#N/A,FALSE,"Plan2"}</definedName>
    <definedName name="hjjfyfy" localSheetId="7" hidden="1">{#N/A,#N/A,FALSE,"Plan1";#N/A,#N/A,FALSE,"Plan2"}</definedName>
    <definedName name="hjjfyfy" localSheetId="1" hidden="1">{#N/A,#N/A,FALSE,"Plan1";#N/A,#N/A,FALSE,"Plan2"}</definedName>
    <definedName name="hjjfyfy" localSheetId="2" hidden="1">{#N/A,#N/A,FALSE,"Plan1";#N/A,#N/A,FALSE,"Plan2"}</definedName>
    <definedName name="hjjfyfy" localSheetId="9" hidden="1">{#N/A,#N/A,FALSE,"Plan1";#N/A,#N/A,FALSE,"Plan2"}</definedName>
    <definedName name="hjjfyfy" localSheetId="5" hidden="1">{#N/A,#N/A,FALSE,"Plan1";#N/A,#N/A,FALSE,"Plan2"}</definedName>
    <definedName name="hjjfyfy" localSheetId="4" hidden="1">{#N/A,#N/A,FALSE,"Plan1";#N/A,#N/A,FALSE,"Plan2"}</definedName>
    <definedName name="hjjfyfy" localSheetId="8" hidden="1">{#N/A,#N/A,FALSE,"Plan1";#N/A,#N/A,FALSE,"Plan2"}</definedName>
    <definedName name="hjjfyfy" localSheetId="12" hidden="1">{#N/A,#N/A,FALSE,"Plan1";#N/A,#N/A,FALSE,"Plan2"}</definedName>
    <definedName name="hjjfyfy" localSheetId="16" hidden="1">{#N/A,#N/A,FALSE,"Plan1";#N/A,#N/A,FALSE,"Plan2"}</definedName>
    <definedName name="hjjfyfy" localSheetId="0" hidden="1">{#N/A,#N/A,FALSE,"Plan1";#N/A,#N/A,FALSE,"Plan2"}</definedName>
    <definedName name="hjjfyfy" localSheetId="11" hidden="1">{#N/A,#N/A,FALSE,"Plan1";#N/A,#N/A,FALSE,"Plan2"}</definedName>
    <definedName name="hjjfyfy" localSheetId="13" hidden="1">{#N/A,#N/A,FALSE,"Plan1";#N/A,#N/A,FALSE,"Plan2"}</definedName>
    <definedName name="hjjfyfy" hidden="1">{#N/A,#N/A,FALSE,"Plan1";#N/A,#N/A,FALSE,"Plan2"}</definedName>
    <definedName name="hjkchkvjhdjkgh" localSheetId="14" hidden="1">{#N/A,#N/A,FALSE,"Plan1";#N/A,#N/A,FALSE,"Plan2"}</definedName>
    <definedName name="hjkchkvjhdjkgh" localSheetId="7" hidden="1">{#N/A,#N/A,FALSE,"Plan1";#N/A,#N/A,FALSE,"Plan2"}</definedName>
    <definedName name="hjkchkvjhdjkgh" localSheetId="1" hidden="1">{#N/A,#N/A,FALSE,"Plan1";#N/A,#N/A,FALSE,"Plan2"}</definedName>
    <definedName name="hjkchkvjhdjkgh" localSheetId="2" hidden="1">{#N/A,#N/A,FALSE,"Plan1";#N/A,#N/A,FALSE,"Plan2"}</definedName>
    <definedName name="hjkchkvjhdjkgh" localSheetId="9" hidden="1">{#N/A,#N/A,FALSE,"Plan1";#N/A,#N/A,FALSE,"Plan2"}</definedName>
    <definedName name="hjkchkvjhdjkgh" localSheetId="5" hidden="1">{#N/A,#N/A,FALSE,"Plan1";#N/A,#N/A,FALSE,"Plan2"}</definedName>
    <definedName name="hjkchkvjhdjkgh" localSheetId="4" hidden="1">{#N/A,#N/A,FALSE,"Plan1";#N/A,#N/A,FALSE,"Plan2"}</definedName>
    <definedName name="hjkchkvjhdjkgh" localSheetId="8" hidden="1">{#N/A,#N/A,FALSE,"Plan1";#N/A,#N/A,FALSE,"Plan2"}</definedName>
    <definedName name="hjkchkvjhdjkgh" localSheetId="12" hidden="1">{#N/A,#N/A,FALSE,"Plan1";#N/A,#N/A,FALSE,"Plan2"}</definedName>
    <definedName name="hjkchkvjhdjkgh" localSheetId="16" hidden="1">{#N/A,#N/A,FALSE,"Plan1";#N/A,#N/A,FALSE,"Plan2"}</definedName>
    <definedName name="hjkchkvjhdjkgh" localSheetId="0" hidden="1">{#N/A,#N/A,FALSE,"Plan1";#N/A,#N/A,FALSE,"Plan2"}</definedName>
    <definedName name="hjkchkvjhdjkgh" localSheetId="11" hidden="1">{#N/A,#N/A,FALSE,"Plan1";#N/A,#N/A,FALSE,"Plan2"}</definedName>
    <definedName name="hjkchkvjhdjkgh" localSheetId="13" hidden="1">{#N/A,#N/A,FALSE,"Plan1";#N/A,#N/A,FALSE,"Plan2"}</definedName>
    <definedName name="hjkchkvjhdjkgh" hidden="1">{#N/A,#N/A,FALSE,"Plan1";#N/A,#N/A,FALSE,"Plan2"}</definedName>
    <definedName name="hjkfjdyht" localSheetId="14" hidden="1">{#N/A,#N/A,FALSE,"Plan1";#N/A,#N/A,FALSE,"Plan2"}</definedName>
    <definedName name="hjkfjdyht" localSheetId="7" hidden="1">{#N/A,#N/A,FALSE,"Plan1";#N/A,#N/A,FALSE,"Plan2"}</definedName>
    <definedName name="hjkfjdyht" localSheetId="1" hidden="1">{#N/A,#N/A,FALSE,"Plan1";#N/A,#N/A,FALSE,"Plan2"}</definedName>
    <definedName name="hjkfjdyht" localSheetId="2" hidden="1">{#N/A,#N/A,FALSE,"Plan1";#N/A,#N/A,FALSE,"Plan2"}</definedName>
    <definedName name="hjkfjdyht" localSheetId="9" hidden="1">{#N/A,#N/A,FALSE,"Plan1";#N/A,#N/A,FALSE,"Plan2"}</definedName>
    <definedName name="hjkfjdyht" localSheetId="5" hidden="1">{#N/A,#N/A,FALSE,"Plan1";#N/A,#N/A,FALSE,"Plan2"}</definedName>
    <definedName name="hjkfjdyht" localSheetId="4" hidden="1">{#N/A,#N/A,FALSE,"Plan1";#N/A,#N/A,FALSE,"Plan2"}</definedName>
    <definedName name="hjkfjdyht" localSheetId="8" hidden="1">{#N/A,#N/A,FALSE,"Plan1";#N/A,#N/A,FALSE,"Plan2"}</definedName>
    <definedName name="hjkfjdyht" localSheetId="12" hidden="1">{#N/A,#N/A,FALSE,"Plan1";#N/A,#N/A,FALSE,"Plan2"}</definedName>
    <definedName name="hjkfjdyht" localSheetId="16" hidden="1">{#N/A,#N/A,FALSE,"Plan1";#N/A,#N/A,FALSE,"Plan2"}</definedName>
    <definedName name="hjkfjdyht" localSheetId="0" hidden="1">{#N/A,#N/A,FALSE,"Plan1";#N/A,#N/A,FALSE,"Plan2"}</definedName>
    <definedName name="hjkfjdyht" localSheetId="11" hidden="1">{#N/A,#N/A,FALSE,"Plan1";#N/A,#N/A,FALSE,"Plan2"}</definedName>
    <definedName name="hjkfjdyht" localSheetId="13" hidden="1">{#N/A,#N/A,FALSE,"Plan1";#N/A,#N/A,FALSE,"Plan2"}</definedName>
    <definedName name="hjkfjdyht" hidden="1">{#N/A,#N/A,FALSE,"Plan1";#N/A,#N/A,FALSE,"Plan2"}</definedName>
    <definedName name="hjsdffe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4" hidden="1">{#N/A,#N/A,FALSE,"Plan1";#N/A,#N/A,FALSE,"Plan2"}</definedName>
    <definedName name="hjsdkhk" localSheetId="7" hidden="1">{#N/A,#N/A,FALSE,"Plan1";#N/A,#N/A,FALSE,"Plan2"}</definedName>
    <definedName name="hjsdkhk" localSheetId="1" hidden="1">{#N/A,#N/A,FALSE,"Plan1";#N/A,#N/A,FALSE,"Plan2"}</definedName>
    <definedName name="hjsdkhk" localSheetId="2" hidden="1">{#N/A,#N/A,FALSE,"Plan1";#N/A,#N/A,FALSE,"Plan2"}</definedName>
    <definedName name="hjsdkhk" localSheetId="9" hidden="1">{#N/A,#N/A,FALSE,"Plan1";#N/A,#N/A,FALSE,"Plan2"}</definedName>
    <definedName name="hjsdkhk" localSheetId="5" hidden="1">{#N/A,#N/A,FALSE,"Plan1";#N/A,#N/A,FALSE,"Plan2"}</definedName>
    <definedName name="hjsdkhk" localSheetId="4" hidden="1">{#N/A,#N/A,FALSE,"Plan1";#N/A,#N/A,FALSE,"Plan2"}</definedName>
    <definedName name="hjsdkhk" localSheetId="8" hidden="1">{#N/A,#N/A,FALSE,"Plan1";#N/A,#N/A,FALSE,"Plan2"}</definedName>
    <definedName name="hjsdkhk" localSheetId="12" hidden="1">{#N/A,#N/A,FALSE,"Plan1";#N/A,#N/A,FALSE,"Plan2"}</definedName>
    <definedName name="hjsdkhk" localSheetId="16" hidden="1">{#N/A,#N/A,FALSE,"Plan1";#N/A,#N/A,FALSE,"Plan2"}</definedName>
    <definedName name="hjsdkhk" localSheetId="0" hidden="1">{#N/A,#N/A,FALSE,"Plan1";#N/A,#N/A,FALSE,"Plan2"}</definedName>
    <definedName name="hjsdkhk" localSheetId="11" hidden="1">{#N/A,#N/A,FALSE,"Plan1";#N/A,#N/A,FALSE,"Plan2"}</definedName>
    <definedName name="hjsdkhk" localSheetId="13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14" hidden="1">{"Econ Consolidado",#N/A,FALSE,"Econ Consol";"Fluxo de Caixa",#N/A,FALSE,"Fluxo Caixa";"Investimentos",#N/A,FALSE,"Investimentos"}</definedName>
    <definedName name="hjsrdfre" localSheetId="7" hidden="1">{"Econ Consolidado",#N/A,FALSE,"Econ Consol";"Fluxo de Caixa",#N/A,FALSE,"Fluxo Caixa";"Investimentos",#N/A,FALSE,"Investimentos"}</definedName>
    <definedName name="hjsrdfre" localSheetId="1" hidden="1">{"Econ Consolidado",#N/A,FALSE,"Econ Consol";"Fluxo de Caixa",#N/A,FALSE,"Fluxo Caixa";"Investimentos",#N/A,FALSE,"Investimentos"}</definedName>
    <definedName name="hjsrdfre" localSheetId="2" hidden="1">{"Econ Consolidado",#N/A,FALSE,"Econ Consol";"Fluxo de Caixa",#N/A,FALSE,"Fluxo Caixa";"Investimentos",#N/A,FALSE,"Investimentos"}</definedName>
    <definedName name="hjsrdfre" localSheetId="9" hidden="1">{"Econ Consolidado",#N/A,FALSE,"Econ Consol";"Fluxo de Caixa",#N/A,FALSE,"Fluxo Caixa";"Investimentos",#N/A,FALSE,"Investimentos"}</definedName>
    <definedName name="hjsrdfre" localSheetId="5" hidden="1">{"Econ Consolidado",#N/A,FALSE,"Econ Consol";"Fluxo de Caixa",#N/A,FALSE,"Fluxo Caixa";"Investimentos",#N/A,FALSE,"Investimentos"}</definedName>
    <definedName name="hjsrdfre" localSheetId="4" hidden="1">{"Econ Consolidado",#N/A,FALSE,"Econ Consol";"Fluxo de Caixa",#N/A,FALSE,"Fluxo Caixa";"Investimentos",#N/A,FALSE,"Investimentos"}</definedName>
    <definedName name="hjsrdfre" localSheetId="8" hidden="1">{"Econ Consolidado",#N/A,FALSE,"Econ Consol";"Fluxo de Caixa",#N/A,FALSE,"Fluxo Caixa";"Investimentos",#N/A,FALSE,"Investimentos"}</definedName>
    <definedName name="hjsrdfre" localSheetId="12" hidden="1">{"Econ Consolidado",#N/A,FALSE,"Econ Consol";"Fluxo de Caixa",#N/A,FALSE,"Fluxo Caixa";"Investimentos",#N/A,FALSE,"Investimentos"}</definedName>
    <definedName name="hjsrdfre" localSheetId="16" hidden="1">{"Econ Consolidado",#N/A,FALSE,"Econ Consol";"Fluxo de Caixa",#N/A,FALSE,"Fluxo Caixa";"Investimentos",#N/A,FALSE,"Investimentos"}</definedName>
    <definedName name="hjsrdfre" localSheetId="0" hidden="1">{"Econ Consolidado",#N/A,FALSE,"Econ Consol";"Fluxo de Caixa",#N/A,FALSE,"Fluxo Caixa";"Investimentos",#N/A,FALSE,"Investimentos"}</definedName>
    <definedName name="hjsrdfre" localSheetId="11" hidden="1">{"Econ Consolidado",#N/A,FALSE,"Econ Consol";"Fluxo de Caixa",#N/A,FALSE,"Fluxo Caixa";"Investimentos",#N/A,FALSE,"Investimentos"}</definedName>
    <definedName name="hjsrdfre" localSheetId="13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14" hidden="1">{#N/A,#N/A,FALSE,"Plan1";#N/A,#N/A,FALSE,"Plan2"}</definedName>
    <definedName name="HKewewsr" localSheetId="7" hidden="1">{#N/A,#N/A,FALSE,"Plan1";#N/A,#N/A,FALSE,"Plan2"}</definedName>
    <definedName name="HKewewsr" localSheetId="1" hidden="1">{#N/A,#N/A,FALSE,"Plan1";#N/A,#N/A,FALSE,"Plan2"}</definedName>
    <definedName name="HKewewsr" localSheetId="2" hidden="1">{#N/A,#N/A,FALSE,"Plan1";#N/A,#N/A,FALSE,"Plan2"}</definedName>
    <definedName name="HKewewsr" localSheetId="9" hidden="1">{#N/A,#N/A,FALSE,"Plan1";#N/A,#N/A,FALSE,"Plan2"}</definedName>
    <definedName name="HKewewsr" localSheetId="5" hidden="1">{#N/A,#N/A,FALSE,"Plan1";#N/A,#N/A,FALSE,"Plan2"}</definedName>
    <definedName name="HKewewsr" localSheetId="4" hidden="1">{#N/A,#N/A,FALSE,"Plan1";#N/A,#N/A,FALSE,"Plan2"}</definedName>
    <definedName name="HKewewsr" localSheetId="8" hidden="1">{#N/A,#N/A,FALSE,"Plan1";#N/A,#N/A,FALSE,"Plan2"}</definedName>
    <definedName name="HKewewsr" localSheetId="12" hidden="1">{#N/A,#N/A,FALSE,"Plan1";#N/A,#N/A,FALSE,"Plan2"}</definedName>
    <definedName name="HKewewsr" localSheetId="16" hidden="1">{#N/A,#N/A,FALSE,"Plan1";#N/A,#N/A,FALSE,"Plan2"}</definedName>
    <definedName name="HKewewsr" localSheetId="0" hidden="1">{#N/A,#N/A,FALSE,"Plan1";#N/A,#N/A,FALSE,"Plan2"}</definedName>
    <definedName name="HKewewsr" localSheetId="11" hidden="1">{#N/A,#N/A,FALSE,"Plan1";#N/A,#N/A,FALSE,"Plan2"}</definedName>
    <definedName name="HKewewsr" localSheetId="13" hidden="1">{#N/A,#N/A,FALSE,"Plan1";#N/A,#N/A,FALSE,"Plan2"}</definedName>
    <definedName name="HKewewsr" hidden="1">{#N/A,#N/A,FALSE,"Plan1";#N/A,#N/A,FALSE,"Plan2"}</definedName>
    <definedName name="hkhdskacd" localSheetId="14" hidden="1">{#N/A,#N/A,FALSE,"Plan1";#N/A,#N/A,FALSE,"Plan2"}</definedName>
    <definedName name="hkhdskacd" localSheetId="7" hidden="1">{#N/A,#N/A,FALSE,"Plan1";#N/A,#N/A,FALSE,"Plan2"}</definedName>
    <definedName name="hkhdskacd" localSheetId="1" hidden="1">{#N/A,#N/A,FALSE,"Plan1";#N/A,#N/A,FALSE,"Plan2"}</definedName>
    <definedName name="hkhdskacd" localSheetId="2" hidden="1">{#N/A,#N/A,FALSE,"Plan1";#N/A,#N/A,FALSE,"Plan2"}</definedName>
    <definedName name="hkhdskacd" localSheetId="9" hidden="1">{#N/A,#N/A,FALSE,"Plan1";#N/A,#N/A,FALSE,"Plan2"}</definedName>
    <definedName name="hkhdskacd" localSheetId="5" hidden="1">{#N/A,#N/A,FALSE,"Plan1";#N/A,#N/A,FALSE,"Plan2"}</definedName>
    <definedName name="hkhdskacd" localSheetId="4" hidden="1">{#N/A,#N/A,FALSE,"Plan1";#N/A,#N/A,FALSE,"Plan2"}</definedName>
    <definedName name="hkhdskacd" localSheetId="8" hidden="1">{#N/A,#N/A,FALSE,"Plan1";#N/A,#N/A,FALSE,"Plan2"}</definedName>
    <definedName name="hkhdskacd" localSheetId="12" hidden="1">{#N/A,#N/A,FALSE,"Plan1";#N/A,#N/A,FALSE,"Plan2"}</definedName>
    <definedName name="hkhdskacd" localSheetId="16" hidden="1">{#N/A,#N/A,FALSE,"Plan1";#N/A,#N/A,FALSE,"Plan2"}</definedName>
    <definedName name="hkhdskacd" localSheetId="0" hidden="1">{#N/A,#N/A,FALSE,"Plan1";#N/A,#N/A,FALSE,"Plan2"}</definedName>
    <definedName name="hkhdskacd" localSheetId="11" hidden="1">{#N/A,#N/A,FALSE,"Plan1";#N/A,#N/A,FALSE,"Plan2"}</definedName>
    <definedName name="hkhdskacd" localSheetId="13" hidden="1">{#N/A,#N/A,FALSE,"Plan1";#N/A,#N/A,FALSE,"Plan2"}</definedName>
    <definedName name="hkhdskacd" hidden="1">{#N/A,#N/A,FALSE,"Plan1";#N/A,#N/A,FALSE,"Plan2"}</definedName>
    <definedName name="hkjfgfhgfh" localSheetId="14" hidden="1">{#N/A,#N/A,FALSE,"Plan1";#N/A,#N/A,FALSE,"Plan2"}</definedName>
    <definedName name="hkjfgfhgfh" localSheetId="7" hidden="1">{#N/A,#N/A,FALSE,"Plan1";#N/A,#N/A,FALSE,"Plan2"}</definedName>
    <definedName name="hkjfgfhgfh" localSheetId="1" hidden="1">{#N/A,#N/A,FALSE,"Plan1";#N/A,#N/A,FALSE,"Plan2"}</definedName>
    <definedName name="hkjfgfhgfh" localSheetId="2" hidden="1">{#N/A,#N/A,FALSE,"Plan1";#N/A,#N/A,FALSE,"Plan2"}</definedName>
    <definedName name="hkjfgfhgfh" localSheetId="9" hidden="1">{#N/A,#N/A,FALSE,"Plan1";#N/A,#N/A,FALSE,"Plan2"}</definedName>
    <definedName name="hkjfgfhgfh" localSheetId="5" hidden="1">{#N/A,#N/A,FALSE,"Plan1";#N/A,#N/A,FALSE,"Plan2"}</definedName>
    <definedName name="hkjfgfhgfh" localSheetId="4" hidden="1">{#N/A,#N/A,FALSE,"Plan1";#N/A,#N/A,FALSE,"Plan2"}</definedName>
    <definedName name="hkjfgfhgfh" localSheetId="8" hidden="1">{#N/A,#N/A,FALSE,"Plan1";#N/A,#N/A,FALSE,"Plan2"}</definedName>
    <definedName name="hkjfgfhgfh" localSheetId="12" hidden="1">{#N/A,#N/A,FALSE,"Plan1";#N/A,#N/A,FALSE,"Plan2"}</definedName>
    <definedName name="hkjfgfhgfh" localSheetId="16" hidden="1">{#N/A,#N/A,FALSE,"Plan1";#N/A,#N/A,FALSE,"Plan2"}</definedName>
    <definedName name="hkjfgfhgfh" localSheetId="0" hidden="1">{#N/A,#N/A,FALSE,"Plan1";#N/A,#N/A,FALSE,"Plan2"}</definedName>
    <definedName name="hkjfgfhgfh" localSheetId="11" hidden="1">{#N/A,#N/A,FALSE,"Plan1";#N/A,#N/A,FALSE,"Plan2"}</definedName>
    <definedName name="hkjfgfhgfh" localSheetId="13" hidden="1">{#N/A,#N/A,FALSE,"Plan1";#N/A,#N/A,FALSE,"Plan2"}</definedName>
    <definedName name="hkjfgfhgfh" hidden="1">{#N/A,#N/A,FALSE,"Plan1";#N/A,#N/A,FALSE,"Plan2"}</definedName>
    <definedName name="hkjfhgjkfhghfg" localSheetId="14" hidden="1">{#N/A,#N/A,FALSE,"Plan1";#N/A,#N/A,FALSE,"Plan2"}</definedName>
    <definedName name="hkjfhgjkfhghfg" localSheetId="7" hidden="1">{#N/A,#N/A,FALSE,"Plan1";#N/A,#N/A,FALSE,"Plan2"}</definedName>
    <definedName name="hkjfhgjkfhghfg" localSheetId="1" hidden="1">{#N/A,#N/A,FALSE,"Plan1";#N/A,#N/A,FALSE,"Plan2"}</definedName>
    <definedName name="hkjfhgjkfhghfg" localSheetId="2" hidden="1">{#N/A,#N/A,FALSE,"Plan1";#N/A,#N/A,FALSE,"Plan2"}</definedName>
    <definedName name="hkjfhgjkfhghfg" localSheetId="9" hidden="1">{#N/A,#N/A,FALSE,"Plan1";#N/A,#N/A,FALSE,"Plan2"}</definedName>
    <definedName name="hkjfhgjkfhghfg" localSheetId="5" hidden="1">{#N/A,#N/A,FALSE,"Plan1";#N/A,#N/A,FALSE,"Plan2"}</definedName>
    <definedName name="hkjfhgjkfhghfg" localSheetId="4" hidden="1">{#N/A,#N/A,FALSE,"Plan1";#N/A,#N/A,FALSE,"Plan2"}</definedName>
    <definedName name="hkjfhgjkfhghfg" localSheetId="8" hidden="1">{#N/A,#N/A,FALSE,"Plan1";#N/A,#N/A,FALSE,"Plan2"}</definedName>
    <definedName name="hkjfhgjkfhghfg" localSheetId="12" hidden="1">{#N/A,#N/A,FALSE,"Plan1";#N/A,#N/A,FALSE,"Plan2"}</definedName>
    <definedName name="hkjfhgjkfhghfg" localSheetId="16" hidden="1">{#N/A,#N/A,FALSE,"Plan1";#N/A,#N/A,FALSE,"Plan2"}</definedName>
    <definedName name="hkjfhgjkfhghfg" localSheetId="0" hidden="1">{#N/A,#N/A,FALSE,"Plan1";#N/A,#N/A,FALSE,"Plan2"}</definedName>
    <definedName name="hkjfhgjkfhghfg" localSheetId="11" hidden="1">{#N/A,#N/A,FALSE,"Plan1";#N/A,#N/A,FALSE,"Plan2"}</definedName>
    <definedName name="hkjfhgjkfhghfg" localSheetId="13" hidden="1">{#N/A,#N/A,FALSE,"Plan1";#N/A,#N/A,FALSE,"Plan2"}</definedName>
    <definedName name="hkjfhgjkfhghfg" hidden="1">{#N/A,#N/A,FALSE,"Plan1";#N/A,#N/A,FALSE,"Plan2"}</definedName>
    <definedName name="HKLZHFRH" localSheetId="14" hidden="1">{#N/A,#N/A,FALSE,"Plan1";#N/A,#N/A,FALSE,"Plan2"}</definedName>
    <definedName name="HKLZHFRH" localSheetId="7" hidden="1">{#N/A,#N/A,FALSE,"Plan1";#N/A,#N/A,FALSE,"Plan2"}</definedName>
    <definedName name="HKLZHFRH" localSheetId="1" hidden="1">{#N/A,#N/A,FALSE,"Plan1";#N/A,#N/A,FALSE,"Plan2"}</definedName>
    <definedName name="HKLZHFRH" localSheetId="2" hidden="1">{#N/A,#N/A,FALSE,"Plan1";#N/A,#N/A,FALSE,"Plan2"}</definedName>
    <definedName name="HKLZHFRH" localSheetId="9" hidden="1">{#N/A,#N/A,FALSE,"Plan1";#N/A,#N/A,FALSE,"Plan2"}</definedName>
    <definedName name="HKLZHFRH" localSheetId="5" hidden="1">{#N/A,#N/A,FALSE,"Plan1";#N/A,#N/A,FALSE,"Plan2"}</definedName>
    <definedName name="HKLZHFRH" localSheetId="4" hidden="1">{#N/A,#N/A,FALSE,"Plan1";#N/A,#N/A,FALSE,"Plan2"}</definedName>
    <definedName name="HKLZHFRH" localSheetId="8" hidden="1">{#N/A,#N/A,FALSE,"Plan1";#N/A,#N/A,FALSE,"Plan2"}</definedName>
    <definedName name="HKLZHFRH" localSheetId="12" hidden="1">{#N/A,#N/A,FALSE,"Plan1";#N/A,#N/A,FALSE,"Plan2"}</definedName>
    <definedName name="HKLZHFRH" localSheetId="16" hidden="1">{#N/A,#N/A,FALSE,"Plan1";#N/A,#N/A,FALSE,"Plan2"}</definedName>
    <definedName name="HKLZHFRH" localSheetId="0" hidden="1">{#N/A,#N/A,FALSE,"Plan1";#N/A,#N/A,FALSE,"Plan2"}</definedName>
    <definedName name="HKLZHFRH" localSheetId="11" hidden="1">{#N/A,#N/A,FALSE,"Plan1";#N/A,#N/A,FALSE,"Plan2"}</definedName>
    <definedName name="HKLZHFRH" localSheetId="13" hidden="1">{#N/A,#N/A,FALSE,"Plan1";#N/A,#N/A,FALSE,"Plan2"}</definedName>
    <definedName name="HKLZHFRH" hidden="1">{#N/A,#N/A,FALSE,"Plan1";#N/A,#N/A,FALSE,"Plan2"}</definedName>
    <definedName name="ho" localSheetId="14" hidden="1">{#N/A,#N/A,FALSE,"TABLE"}</definedName>
    <definedName name="ho" localSheetId="7" hidden="1">{#N/A,#N/A,FALSE,"TABLE"}</definedName>
    <definedName name="ho" localSheetId="1" hidden="1">{#N/A,#N/A,FALSE,"TABLE"}</definedName>
    <definedName name="ho" localSheetId="2" hidden="1">{#N/A,#N/A,FALSE,"TABLE"}</definedName>
    <definedName name="ho" localSheetId="9" hidden="1">{#N/A,#N/A,FALSE,"TABLE"}</definedName>
    <definedName name="ho" localSheetId="5" hidden="1">{#N/A,#N/A,FALSE,"TABLE"}</definedName>
    <definedName name="ho" localSheetId="4" hidden="1">{#N/A,#N/A,FALSE,"TABLE"}</definedName>
    <definedName name="ho" localSheetId="8" hidden="1">{#N/A,#N/A,FALSE,"TABLE"}</definedName>
    <definedName name="ho" localSheetId="12" hidden="1">{#N/A,#N/A,FALSE,"TABLE"}</definedName>
    <definedName name="ho" localSheetId="16" hidden="1">{#N/A,#N/A,FALSE,"TABLE"}</definedName>
    <definedName name="ho" localSheetId="0" hidden="1">{#N/A,#N/A,FALSE,"TABLE"}</definedName>
    <definedName name="ho" localSheetId="11" hidden="1">{#N/A,#N/A,FALSE,"TABLE"}</definedName>
    <definedName name="ho" localSheetId="13" hidden="1">{#N/A,#N/A,FALSE,"TABLE"}</definedName>
    <definedName name="ho" hidden="1">{#N/A,#N/A,FALSE,"TABLE"}</definedName>
    <definedName name="HOJE" localSheetId="2">#REF!</definedName>
    <definedName name="HOJE" localSheetId="5">#REF!</definedName>
    <definedName name="HOJE">#REF!</definedName>
    <definedName name="HONORARIOS" localSheetId="2">#REF!</definedName>
    <definedName name="HONORARIOS" localSheetId="5">#REF!</definedName>
    <definedName name="HONORARIOS">#REF!</definedName>
    <definedName name="HOSPEDES" localSheetId="2">#REF!</definedName>
    <definedName name="HOSPEDES" localSheetId="5">#REF!</definedName>
    <definedName name="HOSPEDES">#REF!</definedName>
    <definedName name="HOTEL" localSheetId="2">#REF!</definedName>
    <definedName name="HOTEL" localSheetId="5">#REF!</definedName>
    <definedName name="HOTEL">#REF!</definedName>
    <definedName name="hrterte" localSheetId="14" hidden="1">{#N/A,#N/A,FALSE,"Plan1";#N/A,#N/A,FALSE,"Plan2"}</definedName>
    <definedName name="hrterte" localSheetId="7" hidden="1">{#N/A,#N/A,FALSE,"Plan1";#N/A,#N/A,FALSE,"Plan2"}</definedName>
    <definedName name="hrterte" localSheetId="1" hidden="1">{#N/A,#N/A,FALSE,"Plan1";#N/A,#N/A,FALSE,"Plan2"}</definedName>
    <definedName name="hrterte" localSheetId="2" hidden="1">{#N/A,#N/A,FALSE,"Plan1";#N/A,#N/A,FALSE,"Plan2"}</definedName>
    <definedName name="hrterte" localSheetId="9" hidden="1">{#N/A,#N/A,FALSE,"Plan1";#N/A,#N/A,FALSE,"Plan2"}</definedName>
    <definedName name="hrterte" localSheetId="5" hidden="1">{#N/A,#N/A,FALSE,"Plan1";#N/A,#N/A,FALSE,"Plan2"}</definedName>
    <definedName name="hrterte" localSheetId="4" hidden="1">{#N/A,#N/A,FALSE,"Plan1";#N/A,#N/A,FALSE,"Plan2"}</definedName>
    <definedName name="hrterte" localSheetId="8" hidden="1">{#N/A,#N/A,FALSE,"Plan1";#N/A,#N/A,FALSE,"Plan2"}</definedName>
    <definedName name="hrterte" localSheetId="12" hidden="1">{#N/A,#N/A,FALSE,"Plan1";#N/A,#N/A,FALSE,"Plan2"}</definedName>
    <definedName name="hrterte" localSheetId="16" hidden="1">{#N/A,#N/A,FALSE,"Plan1";#N/A,#N/A,FALSE,"Plan2"}</definedName>
    <definedName name="hrterte" localSheetId="0" hidden="1">{#N/A,#N/A,FALSE,"Plan1";#N/A,#N/A,FALSE,"Plan2"}</definedName>
    <definedName name="hrterte" localSheetId="11" hidden="1">{#N/A,#N/A,FALSE,"Plan1";#N/A,#N/A,FALSE,"Plan2"}</definedName>
    <definedName name="hrterte" localSheetId="13" hidden="1">{#N/A,#N/A,FALSE,"Plan1";#N/A,#N/A,FALSE,"Plan2"}</definedName>
    <definedName name="hrterte" hidden="1">{#N/A,#N/A,FALSE,"Plan1";#N/A,#N/A,FALSE,"Plan2"}</definedName>
    <definedName name="hsdf" localSheetId="14" hidden="1">{#N/A,#N/A,FALSE,"Plan1";#N/A,#N/A,FALSE,"Plan2"}</definedName>
    <definedName name="hsdf" localSheetId="7" hidden="1">{#N/A,#N/A,FALSE,"Plan1";#N/A,#N/A,FALSE,"Plan2"}</definedName>
    <definedName name="hsdf" localSheetId="1" hidden="1">{#N/A,#N/A,FALSE,"Plan1";#N/A,#N/A,FALSE,"Plan2"}</definedName>
    <definedName name="hsdf" localSheetId="2" hidden="1">{#N/A,#N/A,FALSE,"Plan1";#N/A,#N/A,FALSE,"Plan2"}</definedName>
    <definedName name="hsdf" localSheetId="9" hidden="1">{#N/A,#N/A,FALSE,"Plan1";#N/A,#N/A,FALSE,"Plan2"}</definedName>
    <definedName name="hsdf" localSheetId="5" hidden="1">{#N/A,#N/A,FALSE,"Plan1";#N/A,#N/A,FALSE,"Plan2"}</definedName>
    <definedName name="hsdf" localSheetId="4" hidden="1">{#N/A,#N/A,FALSE,"Plan1";#N/A,#N/A,FALSE,"Plan2"}</definedName>
    <definedName name="hsdf" localSheetId="8" hidden="1">{#N/A,#N/A,FALSE,"Plan1";#N/A,#N/A,FALSE,"Plan2"}</definedName>
    <definedName name="hsdf" localSheetId="12" hidden="1">{#N/A,#N/A,FALSE,"Plan1";#N/A,#N/A,FALSE,"Plan2"}</definedName>
    <definedName name="hsdf" localSheetId="16" hidden="1">{#N/A,#N/A,FALSE,"Plan1";#N/A,#N/A,FALSE,"Plan2"}</definedName>
    <definedName name="hsdf" localSheetId="0" hidden="1">{#N/A,#N/A,FALSE,"Plan1";#N/A,#N/A,FALSE,"Plan2"}</definedName>
    <definedName name="hsdf" localSheetId="11" hidden="1">{#N/A,#N/A,FALSE,"Plan1";#N/A,#N/A,FALSE,"Plan2"}</definedName>
    <definedName name="hsdf" localSheetId="13" hidden="1">{#N/A,#N/A,FALSE,"Plan1";#N/A,#N/A,FALSE,"Plan2"}</definedName>
    <definedName name="hsdf" hidden="1">{#N/A,#N/A,FALSE,"Plan1";#N/A,#N/A,FALSE,"Plan2"}</definedName>
    <definedName name="hsdfgdgudrt" localSheetId="14" hidden="1">{#N/A,#N/A,FALSE,"Plan1";#N/A,#N/A,FALSE,"Plan2"}</definedName>
    <definedName name="hsdfgdgudrt" localSheetId="7" hidden="1">{#N/A,#N/A,FALSE,"Plan1";#N/A,#N/A,FALSE,"Plan2"}</definedName>
    <definedName name="hsdfgdgudrt" localSheetId="1" hidden="1">{#N/A,#N/A,FALSE,"Plan1";#N/A,#N/A,FALSE,"Plan2"}</definedName>
    <definedName name="hsdfgdgudrt" localSheetId="2" hidden="1">{#N/A,#N/A,FALSE,"Plan1";#N/A,#N/A,FALSE,"Plan2"}</definedName>
    <definedName name="hsdfgdgudrt" localSheetId="9" hidden="1">{#N/A,#N/A,FALSE,"Plan1";#N/A,#N/A,FALSE,"Plan2"}</definedName>
    <definedName name="hsdfgdgudrt" localSheetId="5" hidden="1">{#N/A,#N/A,FALSE,"Plan1";#N/A,#N/A,FALSE,"Plan2"}</definedName>
    <definedName name="hsdfgdgudrt" localSheetId="4" hidden="1">{#N/A,#N/A,FALSE,"Plan1";#N/A,#N/A,FALSE,"Plan2"}</definedName>
    <definedName name="hsdfgdgudrt" localSheetId="8" hidden="1">{#N/A,#N/A,FALSE,"Plan1";#N/A,#N/A,FALSE,"Plan2"}</definedName>
    <definedName name="hsdfgdgudrt" localSheetId="12" hidden="1">{#N/A,#N/A,FALSE,"Plan1";#N/A,#N/A,FALSE,"Plan2"}</definedName>
    <definedName name="hsdfgdgudrt" localSheetId="16" hidden="1">{#N/A,#N/A,FALSE,"Plan1";#N/A,#N/A,FALSE,"Plan2"}</definedName>
    <definedName name="hsdfgdgudrt" localSheetId="0" hidden="1">{#N/A,#N/A,FALSE,"Plan1";#N/A,#N/A,FALSE,"Plan2"}</definedName>
    <definedName name="hsdfgdgudrt" localSheetId="11" hidden="1">{#N/A,#N/A,FALSE,"Plan1";#N/A,#N/A,FALSE,"Plan2"}</definedName>
    <definedName name="hsdfgdgudrt" localSheetId="13" hidden="1">{#N/A,#N/A,FALSE,"Plan1";#N/A,#N/A,FALSE,"Plan2"}</definedName>
    <definedName name="hsdfgdgudrt" hidden="1">{#N/A,#N/A,FALSE,"Plan1";#N/A,#N/A,FALSE,"Plan2"}</definedName>
    <definedName name="hsdfjkdhur" localSheetId="14" hidden="1">{#N/A,#N/A,FALSE,"Plan1";#N/A,#N/A,FALSE,"Plan2"}</definedName>
    <definedName name="hsdfjkdhur" localSheetId="7" hidden="1">{#N/A,#N/A,FALSE,"Plan1";#N/A,#N/A,FALSE,"Plan2"}</definedName>
    <definedName name="hsdfjkdhur" localSheetId="1" hidden="1">{#N/A,#N/A,FALSE,"Plan1";#N/A,#N/A,FALSE,"Plan2"}</definedName>
    <definedName name="hsdfjkdhur" localSheetId="2" hidden="1">{#N/A,#N/A,FALSE,"Plan1";#N/A,#N/A,FALSE,"Plan2"}</definedName>
    <definedName name="hsdfjkdhur" localSheetId="9" hidden="1">{#N/A,#N/A,FALSE,"Plan1";#N/A,#N/A,FALSE,"Plan2"}</definedName>
    <definedName name="hsdfjkdhur" localSheetId="5" hidden="1">{#N/A,#N/A,FALSE,"Plan1";#N/A,#N/A,FALSE,"Plan2"}</definedName>
    <definedName name="hsdfjkdhur" localSheetId="4" hidden="1">{#N/A,#N/A,FALSE,"Plan1";#N/A,#N/A,FALSE,"Plan2"}</definedName>
    <definedName name="hsdfjkdhur" localSheetId="8" hidden="1">{#N/A,#N/A,FALSE,"Plan1";#N/A,#N/A,FALSE,"Plan2"}</definedName>
    <definedName name="hsdfjkdhur" localSheetId="12" hidden="1">{#N/A,#N/A,FALSE,"Plan1";#N/A,#N/A,FALSE,"Plan2"}</definedName>
    <definedName name="hsdfjkdhur" localSheetId="16" hidden="1">{#N/A,#N/A,FALSE,"Plan1";#N/A,#N/A,FALSE,"Plan2"}</definedName>
    <definedName name="hsdfjkdhur" localSheetId="0" hidden="1">{#N/A,#N/A,FALSE,"Plan1";#N/A,#N/A,FALSE,"Plan2"}</definedName>
    <definedName name="hsdfjkdhur" localSheetId="11" hidden="1">{#N/A,#N/A,FALSE,"Plan1";#N/A,#N/A,FALSE,"Plan2"}</definedName>
    <definedName name="hsdfjkdhur" localSheetId="13" hidden="1">{#N/A,#N/A,FALSE,"Plan1";#N/A,#N/A,FALSE,"Plan2"}</definedName>
    <definedName name="hsdfjkdhur" hidden="1">{#N/A,#N/A,FALSE,"Plan1";#N/A,#N/A,FALSE,"Plan2"}</definedName>
    <definedName name="hsdgftdh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4" hidden="1">{#N/A,#N/A,FALSE,"Plan1";#N/A,#N/A,FALSE,"Plan2"}</definedName>
    <definedName name="hsdjffd" localSheetId="7" hidden="1">{#N/A,#N/A,FALSE,"Plan1";#N/A,#N/A,FALSE,"Plan2"}</definedName>
    <definedName name="hsdjffd" localSheetId="1" hidden="1">{#N/A,#N/A,FALSE,"Plan1";#N/A,#N/A,FALSE,"Plan2"}</definedName>
    <definedName name="hsdjffd" localSheetId="2" hidden="1">{#N/A,#N/A,FALSE,"Plan1";#N/A,#N/A,FALSE,"Plan2"}</definedName>
    <definedName name="hsdjffd" localSheetId="9" hidden="1">{#N/A,#N/A,FALSE,"Plan1";#N/A,#N/A,FALSE,"Plan2"}</definedName>
    <definedName name="hsdjffd" localSheetId="5" hidden="1">{#N/A,#N/A,FALSE,"Plan1";#N/A,#N/A,FALSE,"Plan2"}</definedName>
    <definedName name="hsdjffd" localSheetId="4" hidden="1">{#N/A,#N/A,FALSE,"Plan1";#N/A,#N/A,FALSE,"Plan2"}</definedName>
    <definedName name="hsdjffd" localSheetId="8" hidden="1">{#N/A,#N/A,FALSE,"Plan1";#N/A,#N/A,FALSE,"Plan2"}</definedName>
    <definedName name="hsdjffd" localSheetId="12" hidden="1">{#N/A,#N/A,FALSE,"Plan1";#N/A,#N/A,FALSE,"Plan2"}</definedName>
    <definedName name="hsdjffd" localSheetId="16" hidden="1">{#N/A,#N/A,FALSE,"Plan1";#N/A,#N/A,FALSE,"Plan2"}</definedName>
    <definedName name="hsdjffd" localSheetId="0" hidden="1">{#N/A,#N/A,FALSE,"Plan1";#N/A,#N/A,FALSE,"Plan2"}</definedName>
    <definedName name="hsdjffd" localSheetId="11" hidden="1">{#N/A,#N/A,FALSE,"Plan1";#N/A,#N/A,FALSE,"Plan2"}</definedName>
    <definedName name="hsdjffd" localSheetId="13" hidden="1">{#N/A,#N/A,FALSE,"Plan1";#N/A,#N/A,FALSE,"Plan2"}</definedName>
    <definedName name="hsdjffd" hidden="1">{#N/A,#N/A,FALSE,"Plan1";#N/A,#N/A,FALSE,"Plan2"}</definedName>
    <definedName name="hsdjffe" localSheetId="14" hidden="1">{#N/A,#N/A,FALSE,"Plan1";#N/A,#N/A,FALSE,"Plan2"}</definedName>
    <definedName name="hsdjffe" localSheetId="7" hidden="1">{#N/A,#N/A,FALSE,"Plan1";#N/A,#N/A,FALSE,"Plan2"}</definedName>
    <definedName name="hsdjffe" localSheetId="1" hidden="1">{#N/A,#N/A,FALSE,"Plan1";#N/A,#N/A,FALSE,"Plan2"}</definedName>
    <definedName name="hsdjffe" localSheetId="2" hidden="1">{#N/A,#N/A,FALSE,"Plan1";#N/A,#N/A,FALSE,"Plan2"}</definedName>
    <definedName name="hsdjffe" localSheetId="9" hidden="1">{#N/A,#N/A,FALSE,"Plan1";#N/A,#N/A,FALSE,"Plan2"}</definedName>
    <definedName name="hsdjffe" localSheetId="5" hidden="1">{#N/A,#N/A,FALSE,"Plan1";#N/A,#N/A,FALSE,"Plan2"}</definedName>
    <definedName name="hsdjffe" localSheetId="4" hidden="1">{#N/A,#N/A,FALSE,"Plan1";#N/A,#N/A,FALSE,"Plan2"}</definedName>
    <definedName name="hsdjffe" localSheetId="8" hidden="1">{#N/A,#N/A,FALSE,"Plan1";#N/A,#N/A,FALSE,"Plan2"}</definedName>
    <definedName name="hsdjffe" localSheetId="12" hidden="1">{#N/A,#N/A,FALSE,"Plan1";#N/A,#N/A,FALSE,"Plan2"}</definedName>
    <definedName name="hsdjffe" localSheetId="16" hidden="1">{#N/A,#N/A,FALSE,"Plan1";#N/A,#N/A,FALSE,"Plan2"}</definedName>
    <definedName name="hsdjffe" localSheetId="0" hidden="1">{#N/A,#N/A,FALSE,"Plan1";#N/A,#N/A,FALSE,"Plan2"}</definedName>
    <definedName name="hsdjffe" localSheetId="11" hidden="1">{#N/A,#N/A,FALSE,"Plan1";#N/A,#N/A,FALSE,"Plan2"}</definedName>
    <definedName name="hsdjffe" localSheetId="13" hidden="1">{#N/A,#N/A,FALSE,"Plan1";#N/A,#N/A,FALSE,"Plan2"}</definedName>
    <definedName name="hsdjffe" hidden="1">{#N/A,#N/A,FALSE,"Plan1";#N/A,#N/A,FALSE,"Plan2"}</definedName>
    <definedName name="HSFIHDTR" localSheetId="14" hidden="1">{"Econ Consolidado",#N/A,FALSE,"Econ Consol";"Fluxo de Caixa",#N/A,FALSE,"Fluxo Caixa";"Investimentos",#N/A,FALSE,"Investimentos"}</definedName>
    <definedName name="HSFIHDTR" localSheetId="7" hidden="1">{"Econ Consolidado",#N/A,FALSE,"Econ Consol";"Fluxo de Caixa",#N/A,FALSE,"Fluxo Caixa";"Investimentos",#N/A,FALSE,"Investimentos"}</definedName>
    <definedName name="HSFIHDTR" localSheetId="1" hidden="1">{"Econ Consolidado",#N/A,FALSE,"Econ Consol";"Fluxo de Caixa",#N/A,FALSE,"Fluxo Caixa";"Investimentos",#N/A,FALSE,"Investimentos"}</definedName>
    <definedName name="HSFIHDTR" localSheetId="2" hidden="1">{"Econ Consolidado",#N/A,FALSE,"Econ Consol";"Fluxo de Caixa",#N/A,FALSE,"Fluxo Caixa";"Investimentos",#N/A,FALSE,"Investimentos"}</definedName>
    <definedName name="HSFIHDTR" localSheetId="9" hidden="1">{"Econ Consolidado",#N/A,FALSE,"Econ Consol";"Fluxo de Caixa",#N/A,FALSE,"Fluxo Caixa";"Investimentos",#N/A,FALSE,"Investimentos"}</definedName>
    <definedName name="HSFIHDTR" localSheetId="5" hidden="1">{"Econ Consolidado",#N/A,FALSE,"Econ Consol";"Fluxo de Caixa",#N/A,FALSE,"Fluxo Caixa";"Investimentos",#N/A,FALSE,"Investimentos"}</definedName>
    <definedName name="HSFIHDTR" localSheetId="4" hidden="1">{"Econ Consolidado",#N/A,FALSE,"Econ Consol";"Fluxo de Caixa",#N/A,FALSE,"Fluxo Caixa";"Investimentos",#N/A,FALSE,"Investimentos"}</definedName>
    <definedName name="HSFIHDTR" localSheetId="8" hidden="1">{"Econ Consolidado",#N/A,FALSE,"Econ Consol";"Fluxo de Caixa",#N/A,FALSE,"Fluxo Caixa";"Investimentos",#N/A,FALSE,"Investimentos"}</definedName>
    <definedName name="HSFIHDTR" localSheetId="12" hidden="1">{"Econ Consolidado",#N/A,FALSE,"Econ Consol";"Fluxo de Caixa",#N/A,FALSE,"Fluxo Caixa";"Investimentos",#N/A,FALSE,"Investimentos"}</definedName>
    <definedName name="HSFIHDTR" localSheetId="16" hidden="1">{"Econ Consolidado",#N/A,FALSE,"Econ Consol";"Fluxo de Caixa",#N/A,FALSE,"Fluxo Caixa";"Investimentos",#N/A,FALSE,"Investimentos"}</definedName>
    <definedName name="HSFIHDTR" localSheetId="0" hidden="1">{"Econ Consolidado",#N/A,FALSE,"Econ Consol";"Fluxo de Caixa",#N/A,FALSE,"Fluxo Caixa";"Investimentos",#N/A,FALSE,"Investimentos"}</definedName>
    <definedName name="HSFIHDTR" localSheetId="11" hidden="1">{"Econ Consolidado",#N/A,FALSE,"Econ Consol";"Fluxo de Caixa",#N/A,FALSE,"Fluxo Caixa";"Investimentos",#N/A,FALSE,"Investimentos"}</definedName>
    <definedName name="HSFIHDTR" localSheetId="13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14" hidden="1">{#N/A,#N/A,FALSE,"Plan1";#N/A,#N/A,FALSE,"Plan2"}</definedName>
    <definedName name="hsfjkdshrgf" localSheetId="7" hidden="1">{#N/A,#N/A,FALSE,"Plan1";#N/A,#N/A,FALSE,"Plan2"}</definedName>
    <definedName name="hsfjkdshrgf" localSheetId="1" hidden="1">{#N/A,#N/A,FALSE,"Plan1";#N/A,#N/A,FALSE,"Plan2"}</definedName>
    <definedName name="hsfjkdshrgf" localSheetId="2" hidden="1">{#N/A,#N/A,FALSE,"Plan1";#N/A,#N/A,FALSE,"Plan2"}</definedName>
    <definedName name="hsfjkdshrgf" localSheetId="9" hidden="1">{#N/A,#N/A,FALSE,"Plan1";#N/A,#N/A,FALSE,"Plan2"}</definedName>
    <definedName name="hsfjkdshrgf" localSheetId="5" hidden="1">{#N/A,#N/A,FALSE,"Plan1";#N/A,#N/A,FALSE,"Plan2"}</definedName>
    <definedName name="hsfjkdshrgf" localSheetId="4" hidden="1">{#N/A,#N/A,FALSE,"Plan1";#N/A,#N/A,FALSE,"Plan2"}</definedName>
    <definedName name="hsfjkdshrgf" localSheetId="8" hidden="1">{#N/A,#N/A,FALSE,"Plan1";#N/A,#N/A,FALSE,"Plan2"}</definedName>
    <definedName name="hsfjkdshrgf" localSheetId="12" hidden="1">{#N/A,#N/A,FALSE,"Plan1";#N/A,#N/A,FALSE,"Plan2"}</definedName>
    <definedName name="hsfjkdshrgf" localSheetId="16" hidden="1">{#N/A,#N/A,FALSE,"Plan1";#N/A,#N/A,FALSE,"Plan2"}</definedName>
    <definedName name="hsfjkdshrgf" localSheetId="0" hidden="1">{#N/A,#N/A,FALSE,"Plan1";#N/A,#N/A,FALSE,"Plan2"}</definedName>
    <definedName name="hsfjkdshrgf" localSheetId="11" hidden="1">{#N/A,#N/A,FALSE,"Plan1";#N/A,#N/A,FALSE,"Plan2"}</definedName>
    <definedName name="hsfjkdshrgf" localSheetId="13" hidden="1">{#N/A,#N/A,FALSE,"Plan1";#N/A,#N/A,FALSE,"Plan2"}</definedName>
    <definedName name="hsfjkdshrgf" hidden="1">{#N/A,#N/A,FALSE,"Plan1";#N/A,#N/A,FALSE,"Plan2"}</definedName>
    <definedName name="hthhrtetdre" localSheetId="14" hidden="1">{#N/A,#N/A,FALSE,"Plan1";#N/A,#N/A,FALSE,"Plan2"}</definedName>
    <definedName name="hthhrtetdre" localSheetId="7" hidden="1">{#N/A,#N/A,FALSE,"Plan1";#N/A,#N/A,FALSE,"Plan2"}</definedName>
    <definedName name="hthhrtetdre" localSheetId="1" hidden="1">{#N/A,#N/A,FALSE,"Plan1";#N/A,#N/A,FALSE,"Plan2"}</definedName>
    <definedName name="hthhrtetdre" localSheetId="2" hidden="1">{#N/A,#N/A,FALSE,"Plan1";#N/A,#N/A,FALSE,"Plan2"}</definedName>
    <definedName name="hthhrtetdre" localSheetId="9" hidden="1">{#N/A,#N/A,FALSE,"Plan1";#N/A,#N/A,FALSE,"Plan2"}</definedName>
    <definedName name="hthhrtetdre" localSheetId="5" hidden="1">{#N/A,#N/A,FALSE,"Plan1";#N/A,#N/A,FALSE,"Plan2"}</definedName>
    <definedName name="hthhrtetdre" localSheetId="4" hidden="1">{#N/A,#N/A,FALSE,"Plan1";#N/A,#N/A,FALSE,"Plan2"}</definedName>
    <definedName name="hthhrtetdre" localSheetId="8" hidden="1">{#N/A,#N/A,FALSE,"Plan1";#N/A,#N/A,FALSE,"Plan2"}</definedName>
    <definedName name="hthhrtetdre" localSheetId="12" hidden="1">{#N/A,#N/A,FALSE,"Plan1";#N/A,#N/A,FALSE,"Plan2"}</definedName>
    <definedName name="hthhrtetdre" localSheetId="16" hidden="1">{#N/A,#N/A,FALSE,"Plan1";#N/A,#N/A,FALSE,"Plan2"}</definedName>
    <definedName name="hthhrtetdre" localSheetId="0" hidden="1">{#N/A,#N/A,FALSE,"Plan1";#N/A,#N/A,FALSE,"Plan2"}</definedName>
    <definedName name="hthhrtetdre" localSheetId="11" hidden="1">{#N/A,#N/A,FALSE,"Plan1";#N/A,#N/A,FALSE,"Plan2"}</definedName>
    <definedName name="hthhrtetdre" localSheetId="13" hidden="1">{#N/A,#N/A,FALSE,"Plan1";#N/A,#N/A,FALSE,"Plan2"}</definedName>
    <definedName name="hthhrtetdre" hidden="1">{#N/A,#N/A,FALSE,"Plan1";#N/A,#N/A,FALSE,"Plan2"}</definedName>
    <definedName name="HTM" localSheetId="2">#REF!</definedName>
    <definedName name="HTM" localSheetId="5">#REF!</definedName>
    <definedName name="HTM">#REF!</definedName>
    <definedName name="HTML_CodePage" hidden="1">949</definedName>
    <definedName name="HTML_Control" localSheetId="14" hidden="1">{"'장비'!$A$3:$M$12"}</definedName>
    <definedName name="HTML_Control" localSheetId="7" hidden="1">{"'장비'!$A$3:$M$12"}</definedName>
    <definedName name="HTML_Control" localSheetId="1" hidden="1">{"'장비'!$A$3:$M$12"}</definedName>
    <definedName name="HTML_Control" localSheetId="2" hidden="1">{"'장비'!$A$3:$M$12"}</definedName>
    <definedName name="HTML_Control" localSheetId="9" hidden="1">{"'장비'!$A$3:$M$12"}</definedName>
    <definedName name="HTML_Control" localSheetId="5" hidden="1">{"'장비'!$A$3:$M$12"}</definedName>
    <definedName name="HTML_Control" localSheetId="4" hidden="1">{"'장비'!$A$3:$M$12"}</definedName>
    <definedName name="HTML_Control" localSheetId="8" hidden="1">{"'장비'!$A$3:$M$12"}</definedName>
    <definedName name="HTML_Control" localSheetId="12" hidden="1">{"'장비'!$A$3:$M$12"}</definedName>
    <definedName name="HTML_Control" localSheetId="16" hidden="1">{"'장비'!$A$3:$M$12"}</definedName>
    <definedName name="HTML_Control" localSheetId="0" hidden="1">{"'장비'!$A$3:$M$12"}</definedName>
    <definedName name="HTML_Control" localSheetId="11" hidden="1">{"'장비'!$A$3:$M$12"}</definedName>
    <definedName name="HTML_Control" localSheetId="13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14" hidden="1">{"'Estimativa de Lançamento-JAN'!$A$1:$AI$85"}</definedName>
    <definedName name="HTML2_CONTROL" localSheetId="7" hidden="1">{"'Estimativa de Lançamento-JAN'!$A$1:$AI$85"}</definedName>
    <definedName name="HTML2_CONTROL" localSheetId="1" hidden="1">{"'Estimativa de Lançamento-JAN'!$A$1:$AI$85"}</definedName>
    <definedName name="HTML2_CONTROL" localSheetId="2" hidden="1">{"'Estimativa de Lançamento-JAN'!$A$1:$AI$85"}</definedName>
    <definedName name="HTML2_CONTROL" localSheetId="9" hidden="1">{"'Estimativa de Lançamento-JAN'!$A$1:$AI$85"}</definedName>
    <definedName name="HTML2_CONTROL" localSheetId="5" hidden="1">{"'Estimativa de Lançamento-JAN'!$A$1:$AI$85"}</definedName>
    <definedName name="HTML2_CONTROL" localSheetId="4" hidden="1">{"'Estimativa de Lançamento-JAN'!$A$1:$AI$85"}</definedName>
    <definedName name="HTML2_CONTROL" localSheetId="8" hidden="1">{"'Estimativa de Lançamento-JAN'!$A$1:$AI$85"}</definedName>
    <definedName name="HTML2_CONTROL" localSheetId="12" hidden="1">{"'Estimativa de Lançamento-JAN'!$A$1:$AI$85"}</definedName>
    <definedName name="HTML2_CONTROL" localSheetId="16" hidden="1">{"'Estimativa de Lançamento-JAN'!$A$1:$AI$85"}</definedName>
    <definedName name="HTML2_CONTROL" localSheetId="0" hidden="1">{"'Estimativa de Lançamento-JAN'!$A$1:$AI$85"}</definedName>
    <definedName name="HTML2_CONTROL" localSheetId="11" hidden="1">{"'Estimativa de Lançamento-JAN'!$A$1:$AI$85"}</definedName>
    <definedName name="HTML2_CONTROL" localSheetId="13" hidden="1">{"'Estimativa de Lançamento-JAN'!$A$1:$AI$85"}</definedName>
    <definedName name="HTML2_CONTROL" hidden="1">{"'Estimativa de Lançamento-JAN'!$A$1:$AI$85"}</definedName>
    <definedName name="HTML3_CONTROL" localSheetId="14" hidden="1">{"'Estimativa de Lançamento-JAN'!$A$1:$AI$85"}</definedName>
    <definedName name="HTML3_CONTROL" localSheetId="7" hidden="1">{"'Estimativa de Lançamento-JAN'!$A$1:$AI$85"}</definedName>
    <definedName name="HTML3_CONTROL" localSheetId="1" hidden="1">{"'Estimativa de Lançamento-JAN'!$A$1:$AI$85"}</definedName>
    <definedName name="HTML3_CONTROL" localSheetId="2" hidden="1">{"'Estimativa de Lançamento-JAN'!$A$1:$AI$85"}</definedName>
    <definedName name="HTML3_CONTROL" localSheetId="9" hidden="1">{"'Estimativa de Lançamento-JAN'!$A$1:$AI$85"}</definedName>
    <definedName name="HTML3_CONTROL" localSheetId="5" hidden="1">{"'Estimativa de Lançamento-JAN'!$A$1:$AI$85"}</definedName>
    <definedName name="HTML3_CONTROL" localSheetId="4" hidden="1">{"'Estimativa de Lançamento-JAN'!$A$1:$AI$85"}</definedName>
    <definedName name="HTML3_CONTROL" localSheetId="8" hidden="1">{"'Estimativa de Lançamento-JAN'!$A$1:$AI$85"}</definedName>
    <definedName name="HTML3_CONTROL" localSheetId="12" hidden="1">{"'Estimativa de Lançamento-JAN'!$A$1:$AI$85"}</definedName>
    <definedName name="HTML3_CONTROL" localSheetId="16" hidden="1">{"'Estimativa de Lançamento-JAN'!$A$1:$AI$85"}</definedName>
    <definedName name="HTML3_CONTROL" localSheetId="0" hidden="1">{"'Estimativa de Lançamento-JAN'!$A$1:$AI$85"}</definedName>
    <definedName name="HTML3_CONTROL" localSheetId="11" hidden="1">{"'Estimativa de Lançamento-JAN'!$A$1:$AI$85"}</definedName>
    <definedName name="HTML3_CONTROL" localSheetId="13" hidden="1">{"'Estimativa de Lançamento-JAN'!$A$1:$AI$85"}</definedName>
    <definedName name="HTML3_CONTROL" hidden="1">{"'Estimativa de Lançamento-JAN'!$A$1:$AI$85"}</definedName>
    <definedName name="HTMLControl" localSheetId="14" hidden="1">{"'Edit'!$A$1:$V$2277"}</definedName>
    <definedName name="HTMLControl" localSheetId="7" hidden="1">{"'Edit'!$A$1:$V$2277"}</definedName>
    <definedName name="HTMLControl" localSheetId="1" hidden="1">{"'Edit'!$A$1:$V$2277"}</definedName>
    <definedName name="HTMLControl" localSheetId="2" hidden="1">{"'Edit'!$A$1:$V$2277"}</definedName>
    <definedName name="HTMLControl" localSheetId="9" hidden="1">{"'Edit'!$A$1:$V$2277"}</definedName>
    <definedName name="HTMLControl" localSheetId="5" hidden="1">{"'Edit'!$A$1:$V$2277"}</definedName>
    <definedName name="HTMLControl" localSheetId="4" hidden="1">{"'Edit'!$A$1:$V$2277"}</definedName>
    <definedName name="HTMLControl" localSheetId="8" hidden="1">{"'Edit'!$A$1:$V$2277"}</definedName>
    <definedName name="HTMLControl" localSheetId="12" hidden="1">{"'Edit'!$A$1:$V$2277"}</definedName>
    <definedName name="HTMLControl" localSheetId="16" hidden="1">{"'Edit'!$A$1:$V$2277"}</definedName>
    <definedName name="HTMLControl" localSheetId="0" hidden="1">{"'Edit'!$A$1:$V$2277"}</definedName>
    <definedName name="HTMLControl" localSheetId="11" hidden="1">{"'Edit'!$A$1:$V$2277"}</definedName>
    <definedName name="HTMLControl" localSheetId="13" hidden="1">{"'Edit'!$A$1:$V$2277"}</definedName>
    <definedName name="HTMLControl" hidden="1">{"'Edit'!$A$1:$V$2277"}</definedName>
    <definedName name="HTN" localSheetId="2">#REF!</definedName>
    <definedName name="HTN" localSheetId="5">#REF!</definedName>
    <definedName name="HTN">#REF!</definedName>
    <definedName name="HVJKHGKFXHFD" localSheetId="14" hidden="1">{#N/A,#N/A,FALSE,"Plan1";#N/A,#N/A,FALSE,"Plan2"}</definedName>
    <definedName name="HVJKHGKFXHFD" localSheetId="7" hidden="1">{#N/A,#N/A,FALSE,"Plan1";#N/A,#N/A,FALSE,"Plan2"}</definedName>
    <definedName name="HVJKHGKFXHFD" localSheetId="1" hidden="1">{#N/A,#N/A,FALSE,"Plan1";#N/A,#N/A,FALSE,"Plan2"}</definedName>
    <definedName name="HVJKHGKFXHFD" localSheetId="2" hidden="1">{#N/A,#N/A,FALSE,"Plan1";#N/A,#N/A,FALSE,"Plan2"}</definedName>
    <definedName name="HVJKHGKFXHFD" localSheetId="9" hidden="1">{#N/A,#N/A,FALSE,"Plan1";#N/A,#N/A,FALSE,"Plan2"}</definedName>
    <definedName name="HVJKHGKFXHFD" localSheetId="5" hidden="1">{#N/A,#N/A,FALSE,"Plan1";#N/A,#N/A,FALSE,"Plan2"}</definedName>
    <definedName name="HVJKHGKFXHFD" localSheetId="4" hidden="1">{#N/A,#N/A,FALSE,"Plan1";#N/A,#N/A,FALSE,"Plan2"}</definedName>
    <definedName name="HVJKHGKFXHFD" localSheetId="8" hidden="1">{#N/A,#N/A,FALSE,"Plan1";#N/A,#N/A,FALSE,"Plan2"}</definedName>
    <definedName name="HVJKHGKFXHFD" localSheetId="12" hidden="1">{#N/A,#N/A,FALSE,"Plan1";#N/A,#N/A,FALSE,"Plan2"}</definedName>
    <definedName name="HVJKHGKFXHFD" localSheetId="16" hidden="1">{#N/A,#N/A,FALSE,"Plan1";#N/A,#N/A,FALSE,"Plan2"}</definedName>
    <definedName name="HVJKHGKFXHFD" localSheetId="0" hidden="1">{#N/A,#N/A,FALSE,"Plan1";#N/A,#N/A,FALSE,"Plan2"}</definedName>
    <definedName name="HVJKHGKFXHFD" localSheetId="11" hidden="1">{#N/A,#N/A,FALSE,"Plan1";#N/A,#N/A,FALSE,"Plan2"}</definedName>
    <definedName name="HVJKHGKFXHFD" localSheetId="13" hidden="1">{#N/A,#N/A,FALSE,"Plan1";#N/A,#N/A,FALSE,"Plan2"}</definedName>
    <definedName name="HVJKHGKFXHFD" hidden="1">{#N/A,#N/A,FALSE,"Plan1";#N/A,#N/A,FALSE,"Plan2"}</definedName>
    <definedName name="hwekjhekhf" localSheetId="14" hidden="1">{#N/A,#N/A,FALSE,"Plan1";#N/A,#N/A,FALSE,"Plan2"}</definedName>
    <definedName name="hwekjhekhf" localSheetId="7" hidden="1">{#N/A,#N/A,FALSE,"Plan1";#N/A,#N/A,FALSE,"Plan2"}</definedName>
    <definedName name="hwekjhekhf" localSheetId="1" hidden="1">{#N/A,#N/A,FALSE,"Plan1";#N/A,#N/A,FALSE,"Plan2"}</definedName>
    <definedName name="hwekjhekhf" localSheetId="2" hidden="1">{#N/A,#N/A,FALSE,"Plan1";#N/A,#N/A,FALSE,"Plan2"}</definedName>
    <definedName name="hwekjhekhf" localSheetId="9" hidden="1">{#N/A,#N/A,FALSE,"Plan1";#N/A,#N/A,FALSE,"Plan2"}</definedName>
    <definedName name="hwekjhekhf" localSheetId="5" hidden="1">{#N/A,#N/A,FALSE,"Plan1";#N/A,#N/A,FALSE,"Plan2"}</definedName>
    <definedName name="hwekjhekhf" localSheetId="4" hidden="1">{#N/A,#N/A,FALSE,"Plan1";#N/A,#N/A,FALSE,"Plan2"}</definedName>
    <definedName name="hwekjhekhf" localSheetId="8" hidden="1">{#N/A,#N/A,FALSE,"Plan1";#N/A,#N/A,FALSE,"Plan2"}</definedName>
    <definedName name="hwekjhekhf" localSheetId="12" hidden="1">{#N/A,#N/A,FALSE,"Plan1";#N/A,#N/A,FALSE,"Plan2"}</definedName>
    <definedName name="hwekjhekhf" localSheetId="16" hidden="1">{#N/A,#N/A,FALSE,"Plan1";#N/A,#N/A,FALSE,"Plan2"}</definedName>
    <definedName name="hwekjhekhf" localSheetId="0" hidden="1">{#N/A,#N/A,FALSE,"Plan1";#N/A,#N/A,FALSE,"Plan2"}</definedName>
    <definedName name="hwekjhekhf" localSheetId="11" hidden="1">{#N/A,#N/A,FALSE,"Plan1";#N/A,#N/A,FALSE,"Plan2"}</definedName>
    <definedName name="hwekjhekhf" localSheetId="13" hidden="1">{#N/A,#N/A,FALSE,"Plan1";#N/A,#N/A,FALSE,"Plan2"}</definedName>
    <definedName name="hwekjhekhf" hidden="1">{#N/A,#N/A,FALSE,"Plan1";#N/A,#N/A,FALSE,"Plan2"}</definedName>
    <definedName name="HXFRE" localSheetId="14" hidden="1">{#N/A,#N/A,FALSE,"Plan1";#N/A,#N/A,FALSE,"Plan2"}</definedName>
    <definedName name="HXFRE" localSheetId="7" hidden="1">{#N/A,#N/A,FALSE,"Plan1";#N/A,#N/A,FALSE,"Plan2"}</definedName>
    <definedName name="HXFRE" localSheetId="1" hidden="1">{#N/A,#N/A,FALSE,"Plan1";#N/A,#N/A,FALSE,"Plan2"}</definedName>
    <definedName name="HXFRE" localSheetId="2" hidden="1">{#N/A,#N/A,FALSE,"Plan1";#N/A,#N/A,FALSE,"Plan2"}</definedName>
    <definedName name="HXFRE" localSheetId="9" hidden="1">{#N/A,#N/A,FALSE,"Plan1";#N/A,#N/A,FALSE,"Plan2"}</definedName>
    <definedName name="HXFRE" localSheetId="5" hidden="1">{#N/A,#N/A,FALSE,"Plan1";#N/A,#N/A,FALSE,"Plan2"}</definedName>
    <definedName name="HXFRE" localSheetId="4" hidden="1">{#N/A,#N/A,FALSE,"Plan1";#N/A,#N/A,FALSE,"Plan2"}</definedName>
    <definedName name="HXFRE" localSheetId="8" hidden="1">{#N/A,#N/A,FALSE,"Plan1";#N/A,#N/A,FALSE,"Plan2"}</definedName>
    <definedName name="HXFRE" localSheetId="12" hidden="1">{#N/A,#N/A,FALSE,"Plan1";#N/A,#N/A,FALSE,"Plan2"}</definedName>
    <definedName name="HXFRE" localSheetId="16" hidden="1">{#N/A,#N/A,FALSE,"Plan1";#N/A,#N/A,FALSE,"Plan2"}</definedName>
    <definedName name="HXFRE" localSheetId="0" hidden="1">{#N/A,#N/A,FALSE,"Plan1";#N/A,#N/A,FALSE,"Plan2"}</definedName>
    <definedName name="HXFRE" localSheetId="11" hidden="1">{#N/A,#N/A,FALSE,"Plan1";#N/A,#N/A,FALSE,"Plan2"}</definedName>
    <definedName name="HXFRE" localSheetId="13" hidden="1">{#N/A,#N/A,FALSE,"Plan1";#N/A,#N/A,FALSE,"Plan2"}</definedName>
    <definedName name="HXFRE" hidden="1">{#N/A,#N/A,FALSE,"Plan1";#N/A,#N/A,FALSE,"Plan2"}</definedName>
    <definedName name="HXKJFGDKHG" localSheetId="14" hidden="1">{#N/A,#N/A,FALSE,"Plan1";#N/A,#N/A,FALSE,"Plan2"}</definedName>
    <definedName name="HXKJFGDKHG" localSheetId="7" hidden="1">{#N/A,#N/A,FALSE,"Plan1";#N/A,#N/A,FALSE,"Plan2"}</definedName>
    <definedName name="HXKJFGDKHG" localSheetId="1" hidden="1">{#N/A,#N/A,FALSE,"Plan1";#N/A,#N/A,FALSE,"Plan2"}</definedName>
    <definedName name="HXKJFGDKHG" localSheetId="2" hidden="1">{#N/A,#N/A,FALSE,"Plan1";#N/A,#N/A,FALSE,"Plan2"}</definedName>
    <definedName name="HXKJFGDKHG" localSheetId="9" hidden="1">{#N/A,#N/A,FALSE,"Plan1";#N/A,#N/A,FALSE,"Plan2"}</definedName>
    <definedName name="HXKJFGDKHG" localSheetId="5" hidden="1">{#N/A,#N/A,FALSE,"Plan1";#N/A,#N/A,FALSE,"Plan2"}</definedName>
    <definedName name="HXKJFGDKHG" localSheetId="4" hidden="1">{#N/A,#N/A,FALSE,"Plan1";#N/A,#N/A,FALSE,"Plan2"}</definedName>
    <definedName name="HXKJFGDKHG" localSheetId="8" hidden="1">{#N/A,#N/A,FALSE,"Plan1";#N/A,#N/A,FALSE,"Plan2"}</definedName>
    <definedName name="HXKJFGDKHG" localSheetId="12" hidden="1">{#N/A,#N/A,FALSE,"Plan1";#N/A,#N/A,FALSE,"Plan2"}</definedName>
    <definedName name="HXKJFGDKHG" localSheetId="16" hidden="1">{#N/A,#N/A,FALSE,"Plan1";#N/A,#N/A,FALSE,"Plan2"}</definedName>
    <definedName name="HXKJFGDKHG" localSheetId="0" hidden="1">{#N/A,#N/A,FALSE,"Plan1";#N/A,#N/A,FALSE,"Plan2"}</definedName>
    <definedName name="HXKJFGDKHG" localSheetId="11" hidden="1">{#N/A,#N/A,FALSE,"Plan1";#N/A,#N/A,FALSE,"Plan2"}</definedName>
    <definedName name="HXKJFGDKHG" localSheetId="13" hidden="1">{#N/A,#N/A,FALSE,"Plan1";#N/A,#N/A,FALSE,"Plan2"}</definedName>
    <definedName name="HXKJFGDKHG" hidden="1">{#N/A,#N/A,FALSE,"Plan1";#N/A,#N/A,FALSE,"Plan2"}</definedName>
    <definedName name="I" localSheetId="2">#REF!</definedName>
    <definedName name="I" localSheetId="9">#REF!</definedName>
    <definedName name="I" localSheetId="5">#REF!</definedName>
    <definedName name="I" localSheetId="24">#REF!</definedName>
    <definedName name="I">#REF!</definedName>
    <definedName name="ibir_cdi" localSheetId="2">#REF!</definedName>
    <definedName name="ibir_cdi" localSheetId="5">#REF!</definedName>
    <definedName name="ibir_cdi">#REF!</definedName>
    <definedName name="ibir_hist" localSheetId="2">#REF!</definedName>
    <definedName name="ibir_hist" localSheetId="5">#REF!</definedName>
    <definedName name="ibir_hist">#REF!</definedName>
    <definedName name="ibir_uss" localSheetId="2">#REF!</definedName>
    <definedName name="ibir_uss" localSheetId="5">#REF!</definedName>
    <definedName name="ibir_uss">#REF!</definedName>
    <definedName name="IC" localSheetId="2" hidden="1">#REF!</definedName>
    <definedName name="IC" localSheetId="0" hidden="1">#REF!</definedName>
    <definedName name="IC" hidden="1">#REF!</definedName>
    <definedName name="icoa_cdi" localSheetId="2">#REF!</definedName>
    <definedName name="icoa_cdi" localSheetId="5">#REF!</definedName>
    <definedName name="icoa_cdi">#REF!</definedName>
    <definedName name="icoa_hist" localSheetId="2">#REF!</definedName>
    <definedName name="icoa_hist" localSheetId="5">#REF!</definedName>
    <definedName name="icoa_hist">#REF!</definedName>
    <definedName name="icoa_uss" localSheetId="2">#REF!</definedName>
    <definedName name="icoa_uss" localSheetId="5">#REF!</definedName>
    <definedName name="icoa_uss">#REF!</definedName>
    <definedName name="Identificação" localSheetId="2">#REF!</definedName>
    <definedName name="Identificação" localSheetId="5">#REF!</definedName>
    <definedName name="Identificação">#REF!</definedName>
    <definedName name="idfhgkjhfkthy" localSheetId="14" hidden="1">{#N/A,#N/A,FALSE,"Plan1";#N/A,#N/A,FALSE,"Plan2"}</definedName>
    <definedName name="idfhgkjhfkthy" localSheetId="7" hidden="1">{#N/A,#N/A,FALSE,"Plan1";#N/A,#N/A,FALSE,"Plan2"}</definedName>
    <definedName name="idfhgkjhfkthy" localSheetId="1" hidden="1">{#N/A,#N/A,FALSE,"Plan1";#N/A,#N/A,FALSE,"Plan2"}</definedName>
    <definedName name="idfhgkjhfkthy" localSheetId="2" hidden="1">{#N/A,#N/A,FALSE,"Plan1";#N/A,#N/A,FALSE,"Plan2"}</definedName>
    <definedName name="idfhgkjhfkthy" localSheetId="9" hidden="1">{#N/A,#N/A,FALSE,"Plan1";#N/A,#N/A,FALSE,"Plan2"}</definedName>
    <definedName name="idfhgkjhfkthy" localSheetId="5" hidden="1">{#N/A,#N/A,FALSE,"Plan1";#N/A,#N/A,FALSE,"Plan2"}</definedName>
    <definedName name="idfhgkjhfkthy" localSheetId="4" hidden="1">{#N/A,#N/A,FALSE,"Plan1";#N/A,#N/A,FALSE,"Plan2"}</definedName>
    <definedName name="idfhgkjhfkthy" localSheetId="8" hidden="1">{#N/A,#N/A,FALSE,"Plan1";#N/A,#N/A,FALSE,"Plan2"}</definedName>
    <definedName name="idfhgkjhfkthy" localSheetId="12" hidden="1">{#N/A,#N/A,FALSE,"Plan1";#N/A,#N/A,FALSE,"Plan2"}</definedName>
    <definedName name="idfhgkjhfkthy" localSheetId="16" hidden="1">{#N/A,#N/A,FALSE,"Plan1";#N/A,#N/A,FALSE,"Plan2"}</definedName>
    <definedName name="idfhgkjhfkthy" localSheetId="0" hidden="1">{#N/A,#N/A,FALSE,"Plan1";#N/A,#N/A,FALSE,"Plan2"}</definedName>
    <definedName name="idfhgkjhfkthy" localSheetId="11" hidden="1">{#N/A,#N/A,FALSE,"Plan1";#N/A,#N/A,FALSE,"Plan2"}</definedName>
    <definedName name="idfhgkjhfkthy" localSheetId="13" hidden="1">{#N/A,#N/A,FALSE,"Plan1";#N/A,#N/A,FALSE,"Plan2"}</definedName>
    <definedName name="idfhgkjhfkthy" hidden="1">{#N/A,#N/A,FALSE,"Plan1";#N/A,#N/A,FALSE,"Plan2"}</definedName>
    <definedName name="ieroweft" localSheetId="14" hidden="1">{#N/A,#N/A,FALSE,"Plan1";#N/A,#N/A,FALSE,"Plan2"}</definedName>
    <definedName name="ieroweft" localSheetId="7" hidden="1">{#N/A,#N/A,FALSE,"Plan1";#N/A,#N/A,FALSE,"Plan2"}</definedName>
    <definedName name="ieroweft" localSheetId="1" hidden="1">{#N/A,#N/A,FALSE,"Plan1";#N/A,#N/A,FALSE,"Plan2"}</definedName>
    <definedName name="ieroweft" localSheetId="2" hidden="1">{#N/A,#N/A,FALSE,"Plan1";#N/A,#N/A,FALSE,"Plan2"}</definedName>
    <definedName name="ieroweft" localSheetId="9" hidden="1">{#N/A,#N/A,FALSE,"Plan1";#N/A,#N/A,FALSE,"Plan2"}</definedName>
    <definedName name="ieroweft" localSheetId="5" hidden="1">{#N/A,#N/A,FALSE,"Plan1";#N/A,#N/A,FALSE,"Plan2"}</definedName>
    <definedName name="ieroweft" localSheetId="4" hidden="1">{#N/A,#N/A,FALSE,"Plan1";#N/A,#N/A,FALSE,"Plan2"}</definedName>
    <definedName name="ieroweft" localSheetId="8" hidden="1">{#N/A,#N/A,FALSE,"Plan1";#N/A,#N/A,FALSE,"Plan2"}</definedName>
    <definedName name="ieroweft" localSheetId="12" hidden="1">{#N/A,#N/A,FALSE,"Plan1";#N/A,#N/A,FALSE,"Plan2"}</definedName>
    <definedName name="ieroweft" localSheetId="16" hidden="1">{#N/A,#N/A,FALSE,"Plan1";#N/A,#N/A,FALSE,"Plan2"}</definedName>
    <definedName name="ieroweft" localSheetId="0" hidden="1">{#N/A,#N/A,FALSE,"Plan1";#N/A,#N/A,FALSE,"Plan2"}</definedName>
    <definedName name="ieroweft" localSheetId="11" hidden="1">{#N/A,#N/A,FALSE,"Plan1";#N/A,#N/A,FALSE,"Plan2"}</definedName>
    <definedName name="ieroweft" localSheetId="13" hidden="1">{#N/A,#N/A,FALSE,"Plan1";#N/A,#N/A,FALSE,"Plan2"}</definedName>
    <definedName name="ieroweft" hidden="1">{#N/A,#N/A,FALSE,"Plan1";#N/A,#N/A,FALSE,"Plan2"}</definedName>
    <definedName name="iewpotqi5poejy" localSheetId="14" hidden="1">{#N/A,#N/A,FALSE,"Plan1";#N/A,#N/A,FALSE,"Plan2"}</definedName>
    <definedName name="iewpotqi5poejy" localSheetId="7" hidden="1">{#N/A,#N/A,FALSE,"Plan1";#N/A,#N/A,FALSE,"Plan2"}</definedName>
    <definedName name="iewpotqi5poejy" localSheetId="1" hidden="1">{#N/A,#N/A,FALSE,"Plan1";#N/A,#N/A,FALSE,"Plan2"}</definedName>
    <definedName name="iewpotqi5poejy" localSheetId="2" hidden="1">{#N/A,#N/A,FALSE,"Plan1";#N/A,#N/A,FALSE,"Plan2"}</definedName>
    <definedName name="iewpotqi5poejy" localSheetId="9" hidden="1">{#N/A,#N/A,FALSE,"Plan1";#N/A,#N/A,FALSE,"Plan2"}</definedName>
    <definedName name="iewpotqi5poejy" localSheetId="5" hidden="1">{#N/A,#N/A,FALSE,"Plan1";#N/A,#N/A,FALSE,"Plan2"}</definedName>
    <definedName name="iewpotqi5poejy" localSheetId="4" hidden="1">{#N/A,#N/A,FALSE,"Plan1";#N/A,#N/A,FALSE,"Plan2"}</definedName>
    <definedName name="iewpotqi5poejy" localSheetId="8" hidden="1">{#N/A,#N/A,FALSE,"Plan1";#N/A,#N/A,FALSE,"Plan2"}</definedName>
    <definedName name="iewpotqi5poejy" localSheetId="12" hidden="1">{#N/A,#N/A,FALSE,"Plan1";#N/A,#N/A,FALSE,"Plan2"}</definedName>
    <definedName name="iewpotqi5poejy" localSheetId="16" hidden="1">{#N/A,#N/A,FALSE,"Plan1";#N/A,#N/A,FALSE,"Plan2"}</definedName>
    <definedName name="iewpotqi5poejy" localSheetId="0" hidden="1">{#N/A,#N/A,FALSE,"Plan1";#N/A,#N/A,FALSE,"Plan2"}</definedName>
    <definedName name="iewpotqi5poejy" localSheetId="11" hidden="1">{#N/A,#N/A,FALSE,"Plan1";#N/A,#N/A,FALSE,"Plan2"}</definedName>
    <definedName name="iewpotqi5poejy" localSheetId="13" hidden="1">{#N/A,#N/A,FALSE,"Plan1";#N/A,#N/A,FALSE,"Plan2"}</definedName>
    <definedName name="iewpotqi5poejy" hidden="1">{#N/A,#N/A,FALSE,"Plan1";#N/A,#N/A,FALSE,"Plan2"}</definedName>
    <definedName name="ihdfifguhgfuiy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2" hidden="1">#REF!</definedName>
    <definedName name="iheidhgufr" localSheetId="5" hidden="1">#REF!</definedName>
    <definedName name="iheidhgufr" localSheetId="0" hidden="1">#REF!</definedName>
    <definedName name="iheidhgufr" hidden="1">#REF!</definedName>
    <definedName name="ihfdkjhktgrd" localSheetId="14" hidden="1">{#N/A,#N/A,FALSE,"Plan1";#N/A,#N/A,FALSE,"Plan2"}</definedName>
    <definedName name="ihfdkjhktgrd" localSheetId="7" hidden="1">{#N/A,#N/A,FALSE,"Plan1";#N/A,#N/A,FALSE,"Plan2"}</definedName>
    <definedName name="ihfdkjhktgrd" localSheetId="1" hidden="1">{#N/A,#N/A,FALSE,"Plan1";#N/A,#N/A,FALSE,"Plan2"}</definedName>
    <definedName name="ihfdkjhktgrd" localSheetId="2" hidden="1">{#N/A,#N/A,FALSE,"Plan1";#N/A,#N/A,FALSE,"Plan2"}</definedName>
    <definedName name="ihfdkjhktgrd" localSheetId="9" hidden="1">{#N/A,#N/A,FALSE,"Plan1";#N/A,#N/A,FALSE,"Plan2"}</definedName>
    <definedName name="ihfdkjhktgrd" localSheetId="5" hidden="1">{#N/A,#N/A,FALSE,"Plan1";#N/A,#N/A,FALSE,"Plan2"}</definedName>
    <definedName name="ihfdkjhktgrd" localSheetId="4" hidden="1">{#N/A,#N/A,FALSE,"Plan1";#N/A,#N/A,FALSE,"Plan2"}</definedName>
    <definedName name="ihfdkjhktgrd" localSheetId="8" hidden="1">{#N/A,#N/A,FALSE,"Plan1";#N/A,#N/A,FALSE,"Plan2"}</definedName>
    <definedName name="ihfdkjhktgrd" localSheetId="12" hidden="1">{#N/A,#N/A,FALSE,"Plan1";#N/A,#N/A,FALSE,"Plan2"}</definedName>
    <definedName name="ihfdkjhktgrd" localSheetId="16" hidden="1">{#N/A,#N/A,FALSE,"Plan1";#N/A,#N/A,FALSE,"Plan2"}</definedName>
    <definedName name="ihfdkjhktgrd" localSheetId="0" hidden="1">{#N/A,#N/A,FALSE,"Plan1";#N/A,#N/A,FALSE,"Plan2"}</definedName>
    <definedName name="ihfdkjhktgrd" localSheetId="11" hidden="1">{#N/A,#N/A,FALSE,"Plan1";#N/A,#N/A,FALSE,"Plan2"}</definedName>
    <definedName name="ihfdkjhktgrd" localSheetId="13" hidden="1">{#N/A,#N/A,FALSE,"Plan1";#N/A,#N/A,FALSE,"Plan2"}</definedName>
    <definedName name="ihfdkjhktgrd" hidden="1">{#N/A,#N/A,FALSE,"Plan1";#N/A,#N/A,FALSE,"Plan2"}</definedName>
    <definedName name="ihrtetw4r" localSheetId="14" hidden="1">{#N/A,#N/A,FALSE,"Plan1";#N/A,#N/A,FALSE,"Plan2"}</definedName>
    <definedName name="ihrtetw4r" localSheetId="7" hidden="1">{#N/A,#N/A,FALSE,"Plan1";#N/A,#N/A,FALSE,"Plan2"}</definedName>
    <definedName name="ihrtetw4r" localSheetId="1" hidden="1">{#N/A,#N/A,FALSE,"Plan1";#N/A,#N/A,FALSE,"Plan2"}</definedName>
    <definedName name="ihrtetw4r" localSheetId="2" hidden="1">{#N/A,#N/A,FALSE,"Plan1";#N/A,#N/A,FALSE,"Plan2"}</definedName>
    <definedName name="ihrtetw4r" localSheetId="9" hidden="1">{#N/A,#N/A,FALSE,"Plan1";#N/A,#N/A,FALSE,"Plan2"}</definedName>
    <definedName name="ihrtetw4r" localSheetId="5" hidden="1">{#N/A,#N/A,FALSE,"Plan1";#N/A,#N/A,FALSE,"Plan2"}</definedName>
    <definedName name="ihrtetw4r" localSheetId="4" hidden="1">{#N/A,#N/A,FALSE,"Plan1";#N/A,#N/A,FALSE,"Plan2"}</definedName>
    <definedName name="ihrtetw4r" localSheetId="8" hidden="1">{#N/A,#N/A,FALSE,"Plan1";#N/A,#N/A,FALSE,"Plan2"}</definedName>
    <definedName name="ihrtetw4r" localSheetId="12" hidden="1">{#N/A,#N/A,FALSE,"Plan1";#N/A,#N/A,FALSE,"Plan2"}</definedName>
    <definedName name="ihrtetw4r" localSheetId="16" hidden="1">{#N/A,#N/A,FALSE,"Plan1";#N/A,#N/A,FALSE,"Plan2"}</definedName>
    <definedName name="ihrtetw4r" localSheetId="0" hidden="1">{#N/A,#N/A,FALSE,"Plan1";#N/A,#N/A,FALSE,"Plan2"}</definedName>
    <definedName name="ihrtetw4r" localSheetId="11" hidden="1">{#N/A,#N/A,FALSE,"Plan1";#N/A,#N/A,FALSE,"Plan2"}</definedName>
    <definedName name="ihrtetw4r" localSheetId="13" hidden="1">{#N/A,#N/A,FALSE,"Plan1";#N/A,#N/A,FALSE,"Plan2"}</definedName>
    <definedName name="ihrtetw4r" hidden="1">{#N/A,#N/A,FALSE,"Plan1";#N/A,#N/A,FALSE,"Plan2"}</definedName>
    <definedName name="II" localSheetId="2">#REF!</definedName>
    <definedName name="II" localSheetId="9">#REF!</definedName>
    <definedName name="II" localSheetId="5">#REF!</definedName>
    <definedName name="II" localSheetId="24">#REF!</definedName>
    <definedName name="II">#REF!</definedName>
    <definedName name="IIASDSAWE" localSheetId="14" hidden="1">{"Econ Consolidado",#N/A,FALSE,"Econ Consol";"Fluxo de Caixa",#N/A,FALSE,"Fluxo Caixa";"Investimentos",#N/A,FALSE,"Investimentos"}</definedName>
    <definedName name="IIASDSAWE" localSheetId="7" hidden="1">{"Econ Consolidado",#N/A,FALSE,"Econ Consol";"Fluxo de Caixa",#N/A,FALSE,"Fluxo Caixa";"Investimentos",#N/A,FALSE,"Investimentos"}</definedName>
    <definedName name="IIASDSAWE" localSheetId="1" hidden="1">{"Econ Consolidado",#N/A,FALSE,"Econ Consol";"Fluxo de Caixa",#N/A,FALSE,"Fluxo Caixa";"Investimentos",#N/A,FALSE,"Investimentos"}</definedName>
    <definedName name="IIASDSAWE" localSheetId="2" hidden="1">{"Econ Consolidado",#N/A,FALSE,"Econ Consol";"Fluxo de Caixa",#N/A,FALSE,"Fluxo Caixa";"Investimentos",#N/A,FALSE,"Investimentos"}</definedName>
    <definedName name="IIASDSAWE" localSheetId="9" hidden="1">{"Econ Consolidado",#N/A,FALSE,"Econ Consol";"Fluxo de Caixa",#N/A,FALSE,"Fluxo Caixa";"Investimentos",#N/A,FALSE,"Investimentos"}</definedName>
    <definedName name="IIASDSAWE" localSheetId="5" hidden="1">{"Econ Consolidado",#N/A,FALSE,"Econ Consol";"Fluxo de Caixa",#N/A,FALSE,"Fluxo Caixa";"Investimentos",#N/A,FALSE,"Investimentos"}</definedName>
    <definedName name="IIASDSAWE" localSheetId="4" hidden="1">{"Econ Consolidado",#N/A,FALSE,"Econ Consol";"Fluxo de Caixa",#N/A,FALSE,"Fluxo Caixa";"Investimentos",#N/A,FALSE,"Investimentos"}</definedName>
    <definedName name="IIASDSAWE" localSheetId="8" hidden="1">{"Econ Consolidado",#N/A,FALSE,"Econ Consol";"Fluxo de Caixa",#N/A,FALSE,"Fluxo Caixa";"Investimentos",#N/A,FALSE,"Investimentos"}</definedName>
    <definedName name="IIASDSAWE" localSheetId="12" hidden="1">{"Econ Consolidado",#N/A,FALSE,"Econ Consol";"Fluxo de Caixa",#N/A,FALSE,"Fluxo Caixa";"Investimentos",#N/A,FALSE,"Investimentos"}</definedName>
    <definedName name="IIASDSAWE" localSheetId="16" hidden="1">{"Econ Consolidado",#N/A,FALSE,"Econ Consol";"Fluxo de Caixa",#N/A,FALSE,"Fluxo Caixa";"Investimentos",#N/A,FALSE,"Investimentos"}</definedName>
    <definedName name="IIASDSAWE" localSheetId="0" hidden="1">{"Econ Consolidado",#N/A,FALSE,"Econ Consol";"Fluxo de Caixa",#N/A,FALSE,"Fluxo Caixa";"Investimentos",#N/A,FALSE,"Investimentos"}</definedName>
    <definedName name="IIASDSAWE" localSheetId="11" hidden="1">{"Econ Consolidado",#N/A,FALSE,"Econ Consol";"Fluxo de Caixa",#N/A,FALSE,"Fluxo Caixa";"Investimentos",#N/A,FALSE,"Investimentos"}</definedName>
    <definedName name="IIASDSAWE" localSheetId="13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2">#REF!</definedName>
    <definedName name="III" localSheetId="9">#REF!</definedName>
    <definedName name="III" localSheetId="5">#REF!</definedName>
    <definedName name="III" localSheetId="24">#REF!</definedName>
    <definedName name="III">#REF!</definedName>
    <definedName name="iinstalaçõ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4" hidden="1">{#N/A,#N/A,FALSE,"Plan1";#N/A,#N/A,FALSE,"Plan2"}</definedName>
    <definedName name="ilhweilrji4e" localSheetId="7" hidden="1">{#N/A,#N/A,FALSE,"Plan1";#N/A,#N/A,FALSE,"Plan2"}</definedName>
    <definedName name="ilhweilrji4e" localSheetId="1" hidden="1">{#N/A,#N/A,FALSE,"Plan1";#N/A,#N/A,FALSE,"Plan2"}</definedName>
    <definedName name="ilhweilrji4e" localSheetId="2" hidden="1">{#N/A,#N/A,FALSE,"Plan1";#N/A,#N/A,FALSE,"Plan2"}</definedName>
    <definedName name="ilhweilrji4e" localSheetId="9" hidden="1">{#N/A,#N/A,FALSE,"Plan1";#N/A,#N/A,FALSE,"Plan2"}</definedName>
    <definedName name="ilhweilrji4e" localSheetId="5" hidden="1">{#N/A,#N/A,FALSE,"Plan1";#N/A,#N/A,FALSE,"Plan2"}</definedName>
    <definedName name="ilhweilrji4e" localSheetId="4" hidden="1">{#N/A,#N/A,FALSE,"Plan1";#N/A,#N/A,FALSE,"Plan2"}</definedName>
    <definedName name="ilhweilrji4e" localSheetId="8" hidden="1">{#N/A,#N/A,FALSE,"Plan1";#N/A,#N/A,FALSE,"Plan2"}</definedName>
    <definedName name="ilhweilrji4e" localSheetId="12" hidden="1">{#N/A,#N/A,FALSE,"Plan1";#N/A,#N/A,FALSE,"Plan2"}</definedName>
    <definedName name="ilhweilrji4e" localSheetId="16" hidden="1">{#N/A,#N/A,FALSE,"Plan1";#N/A,#N/A,FALSE,"Plan2"}</definedName>
    <definedName name="ilhweilrji4e" localSheetId="0" hidden="1">{#N/A,#N/A,FALSE,"Plan1";#N/A,#N/A,FALSE,"Plan2"}</definedName>
    <definedName name="ilhweilrji4e" localSheetId="11" hidden="1">{#N/A,#N/A,FALSE,"Plan1";#N/A,#N/A,FALSE,"Plan2"}</definedName>
    <definedName name="ilhweilrji4e" localSheetId="13" hidden="1">{#N/A,#N/A,FALSE,"Plan1";#N/A,#N/A,FALSE,"Plan2"}</definedName>
    <definedName name="ilhweilrji4e" hidden="1">{#N/A,#N/A,FALSE,"Plan1";#N/A,#N/A,FALSE,"Plan2"}</definedName>
    <definedName name="ilsdr4wf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2">#REF!</definedName>
    <definedName name="IM" localSheetId="5">#REF!</definedName>
    <definedName name="IM">#REF!</definedName>
    <definedName name="IMP" localSheetId="2" hidden="1">#REF!</definedName>
    <definedName name="IMP" localSheetId="5" hidden="1">#REF!</definedName>
    <definedName name="IMP" localSheetId="0" hidden="1">#REF!</definedName>
    <definedName name="IMP" hidden="1">#REF!</definedName>
    <definedName name="IMPERMEABILIZ." localSheetId="2">#REF!</definedName>
    <definedName name="IMPERMEABILIZ." localSheetId="5">#REF!</definedName>
    <definedName name="IMPERMEABILIZ.">#REF!</definedName>
    <definedName name="IMPF" localSheetId="2">#REF!</definedName>
    <definedName name="IMPF" localSheetId="5">#REF!</definedName>
    <definedName name="IMPF">#REF!</definedName>
    <definedName name="IMPI" localSheetId="2">#REF!</definedName>
    <definedName name="IMPI" localSheetId="5">#REF!</definedName>
    <definedName name="IMPI">#REF!</definedName>
    <definedName name="IMPOSTO" localSheetId="2">#REF!</definedName>
    <definedName name="IMPOSTO" localSheetId="5">#REF!</definedName>
    <definedName name="IMPOSTO">#REF!</definedName>
    <definedName name="INCC" localSheetId="2">#REF!</definedName>
    <definedName name="INCC" localSheetId="5">#REF!</definedName>
    <definedName name="INCC">#REF!</definedName>
    <definedName name="Incorido_Aplicado_X_Físico" localSheetId="2">#REF!</definedName>
    <definedName name="Incorido_Aplicado_X_Físico" localSheetId="5">#REF!</definedName>
    <definedName name="Incorido_Aplicado_X_Físico">#REF!</definedName>
    <definedName name="INCORPORAÇÃO" localSheetId="2">#REF!</definedName>
    <definedName name="INCORPORAÇÃO" localSheetId="5">#REF!</definedName>
    <definedName name="INCORPORAÇÃO">#REF!</definedName>
    <definedName name="Index" localSheetId="2" hidden="1">#REF!</definedName>
    <definedName name="Index" localSheetId="5" hidden="1">#REF!</definedName>
    <definedName name="Index" localSheetId="0" hidden="1">#REF!</definedName>
    <definedName name="Index" hidden="1">#REF!</definedName>
    <definedName name="Indice" localSheetId="2">#REF!</definedName>
    <definedName name="Indice" localSheetId="5">#REF!</definedName>
    <definedName name="Indice">#REF!</definedName>
    <definedName name="indice_correcao_proj" localSheetId="2">#REF!</definedName>
    <definedName name="indice_correcao_proj" localSheetId="5">#REF!</definedName>
    <definedName name="indice_correcao_proj">#REF!</definedName>
    <definedName name="infra" localSheetId="2">#REF!</definedName>
    <definedName name="infra" localSheetId="5">#REF!</definedName>
    <definedName name="infra">#REF!</definedName>
    <definedName name="Infra_OBra_Sienge" localSheetId="2">#REF!</definedName>
    <definedName name="Infra_OBra_Sienge" localSheetId="5">#REF!</definedName>
    <definedName name="Infra_OBra_Sienge">#REF!</definedName>
    <definedName name="Infra_Projetos_Sienge" localSheetId="2">#REF!</definedName>
    <definedName name="Infra_Projetos_Sienge" localSheetId="5">#REF!</definedName>
    <definedName name="Infra_Projetos_Sienge">#REF!</definedName>
    <definedName name="INFRA2" localSheetId="2">#REF!</definedName>
    <definedName name="INFRA2" localSheetId="5">#REF!</definedName>
    <definedName name="INFRA2">#REF!</definedName>
    <definedName name="Insatalaçõ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2">#REF!</definedName>
    <definedName name="INSS_Bloqueado_Fin_Medição" localSheetId="5">#REF!</definedName>
    <definedName name="INSS_Bloqueado_Fin_Medição">#REF!</definedName>
    <definedName name="Inss_Bloqueado_Previsão_Fin_Medições" localSheetId="2">#REF!</definedName>
    <definedName name="Inss_Bloqueado_Previsão_Fin_Medições" localSheetId="5">#REF!</definedName>
    <definedName name="Inss_Bloqueado_Previsão_Fin_Medições">#REF!</definedName>
    <definedName name="instalaçoe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2">OFFSET(#REF!,0,0,COUNTA(#REF!),1)</definedName>
    <definedName name="INSU" localSheetId="5">OFFSET(#REF!,0,0,COUNTA(#REF!),1)</definedName>
    <definedName name="INSU">OFFSET(#REF!,0,0,COUNTA(#REF!),1)</definedName>
    <definedName name="INSUMOS" localSheetId="2">#REF!</definedName>
    <definedName name="INSUMOS" localSheetId="5">#REF!</definedName>
    <definedName name="INSUMOS">#REF!</definedName>
    <definedName name="INT.FILTRO.NBASE" localSheetId="2">#REF!</definedName>
    <definedName name="INT.FILTRO.NBASE" localSheetId="5">#REF!</definedName>
    <definedName name="INT.FILTRO.NBASE">#REF!</definedName>
    <definedName name="INTEGRA" localSheetId="14" hidden="1">{"'Edit'!$A$1:$V$2277"}</definedName>
    <definedName name="INTEGRA" localSheetId="7" hidden="1">{"'Edit'!$A$1:$V$2277"}</definedName>
    <definedName name="INTEGRA" localSheetId="1" hidden="1">{"'Edit'!$A$1:$V$2277"}</definedName>
    <definedName name="INTEGRA" localSheetId="2" hidden="1">{"'Edit'!$A$1:$V$2277"}</definedName>
    <definedName name="INTEGRA" localSheetId="9" hidden="1">{"'Edit'!$A$1:$V$2277"}</definedName>
    <definedName name="INTEGRA" localSheetId="5" hidden="1">{"'Edit'!$A$1:$V$2277"}</definedName>
    <definedName name="INTEGRA" localSheetId="4" hidden="1">{"'Edit'!$A$1:$V$2277"}</definedName>
    <definedName name="INTEGRA" localSheetId="8" hidden="1">{"'Edit'!$A$1:$V$2277"}</definedName>
    <definedName name="INTEGRA" localSheetId="12" hidden="1">{"'Edit'!$A$1:$V$2277"}</definedName>
    <definedName name="INTEGRA" localSheetId="16" hidden="1">{"'Edit'!$A$1:$V$2277"}</definedName>
    <definedName name="INTEGRA" localSheetId="0" hidden="1">{"'Edit'!$A$1:$V$2277"}</definedName>
    <definedName name="INTEGRA" localSheetId="11" hidden="1">{"'Edit'!$A$1:$V$2277"}</definedName>
    <definedName name="INTEGRA" localSheetId="13" hidden="1">{"'Edit'!$A$1:$V$2277"}</definedName>
    <definedName name="INTEGRA" hidden="1">{"'Edit'!$A$1:$V$2277"}</definedName>
    <definedName name="IO">196.003</definedName>
    <definedName name="ioeriotyt" localSheetId="14" hidden="1">{#N/A,#N/A,FALSE,"Plan1";#N/A,#N/A,FALSE,"Plan2"}</definedName>
    <definedName name="ioeriotyt" localSheetId="7" hidden="1">{#N/A,#N/A,FALSE,"Plan1";#N/A,#N/A,FALSE,"Plan2"}</definedName>
    <definedName name="ioeriotyt" localSheetId="1" hidden="1">{#N/A,#N/A,FALSE,"Plan1";#N/A,#N/A,FALSE,"Plan2"}</definedName>
    <definedName name="ioeriotyt" localSheetId="2" hidden="1">{#N/A,#N/A,FALSE,"Plan1";#N/A,#N/A,FALSE,"Plan2"}</definedName>
    <definedName name="ioeriotyt" localSheetId="9" hidden="1">{#N/A,#N/A,FALSE,"Plan1";#N/A,#N/A,FALSE,"Plan2"}</definedName>
    <definedName name="ioeriotyt" localSheetId="5" hidden="1">{#N/A,#N/A,FALSE,"Plan1";#N/A,#N/A,FALSE,"Plan2"}</definedName>
    <definedName name="ioeriotyt" localSheetId="4" hidden="1">{#N/A,#N/A,FALSE,"Plan1";#N/A,#N/A,FALSE,"Plan2"}</definedName>
    <definedName name="ioeriotyt" localSheetId="8" hidden="1">{#N/A,#N/A,FALSE,"Plan1";#N/A,#N/A,FALSE,"Plan2"}</definedName>
    <definedName name="ioeriotyt" localSheetId="12" hidden="1">{#N/A,#N/A,FALSE,"Plan1";#N/A,#N/A,FALSE,"Plan2"}</definedName>
    <definedName name="ioeriotyt" localSheetId="16" hidden="1">{#N/A,#N/A,FALSE,"Plan1";#N/A,#N/A,FALSE,"Plan2"}</definedName>
    <definedName name="ioeriotyt" localSheetId="0" hidden="1">{#N/A,#N/A,FALSE,"Plan1";#N/A,#N/A,FALSE,"Plan2"}</definedName>
    <definedName name="ioeriotyt" localSheetId="11" hidden="1">{#N/A,#N/A,FALSE,"Plan1";#N/A,#N/A,FALSE,"Plan2"}</definedName>
    <definedName name="ioeriotyt" localSheetId="13" hidden="1">{#N/A,#N/A,FALSE,"Plan1";#N/A,#N/A,FALSE,"Plan2"}</definedName>
    <definedName name="ioeriotyt" hidden="1">{#N/A,#N/A,FALSE,"Plan1";#N/A,#N/A,FALSE,"Plan2"}</definedName>
    <definedName name="iohudtorh" localSheetId="14" hidden="1">{#N/A,#N/A,FALSE,"Plan1";#N/A,#N/A,FALSE,"Plan2"}</definedName>
    <definedName name="iohudtorh" localSheetId="7" hidden="1">{#N/A,#N/A,FALSE,"Plan1";#N/A,#N/A,FALSE,"Plan2"}</definedName>
    <definedName name="iohudtorh" localSheetId="1" hidden="1">{#N/A,#N/A,FALSE,"Plan1";#N/A,#N/A,FALSE,"Plan2"}</definedName>
    <definedName name="iohudtorh" localSheetId="2" hidden="1">{#N/A,#N/A,FALSE,"Plan1";#N/A,#N/A,FALSE,"Plan2"}</definedName>
    <definedName name="iohudtorh" localSheetId="9" hidden="1">{#N/A,#N/A,FALSE,"Plan1";#N/A,#N/A,FALSE,"Plan2"}</definedName>
    <definedName name="iohudtorh" localSheetId="5" hidden="1">{#N/A,#N/A,FALSE,"Plan1";#N/A,#N/A,FALSE,"Plan2"}</definedName>
    <definedName name="iohudtorh" localSheetId="4" hidden="1">{#N/A,#N/A,FALSE,"Plan1";#N/A,#N/A,FALSE,"Plan2"}</definedName>
    <definedName name="iohudtorh" localSheetId="8" hidden="1">{#N/A,#N/A,FALSE,"Plan1";#N/A,#N/A,FALSE,"Plan2"}</definedName>
    <definedName name="iohudtorh" localSheetId="12" hidden="1">{#N/A,#N/A,FALSE,"Plan1";#N/A,#N/A,FALSE,"Plan2"}</definedName>
    <definedName name="iohudtorh" localSheetId="16" hidden="1">{#N/A,#N/A,FALSE,"Plan1";#N/A,#N/A,FALSE,"Plan2"}</definedName>
    <definedName name="iohudtorh" localSheetId="0" hidden="1">{#N/A,#N/A,FALSE,"Plan1";#N/A,#N/A,FALSE,"Plan2"}</definedName>
    <definedName name="iohudtorh" localSheetId="11" hidden="1">{#N/A,#N/A,FALSE,"Plan1";#N/A,#N/A,FALSE,"Plan2"}</definedName>
    <definedName name="iohudtorh" localSheetId="13" hidden="1">{#N/A,#N/A,FALSE,"Plan1";#N/A,#N/A,FALSE,"Plan2"}</definedName>
    <definedName name="iohudtorh" hidden="1">{#N/A,#N/A,FALSE,"Plan1";#N/A,#N/A,FALSE,"Plan2"}</definedName>
    <definedName name="iojtkheayed" localSheetId="14" hidden="1">{#N/A,#N/A,FALSE,"Plan1";#N/A,#N/A,FALSE,"Plan2"}</definedName>
    <definedName name="iojtkheayed" localSheetId="7" hidden="1">{#N/A,#N/A,FALSE,"Plan1";#N/A,#N/A,FALSE,"Plan2"}</definedName>
    <definedName name="iojtkheayed" localSheetId="1" hidden="1">{#N/A,#N/A,FALSE,"Plan1";#N/A,#N/A,FALSE,"Plan2"}</definedName>
    <definedName name="iojtkheayed" localSheetId="2" hidden="1">{#N/A,#N/A,FALSE,"Plan1";#N/A,#N/A,FALSE,"Plan2"}</definedName>
    <definedName name="iojtkheayed" localSheetId="9" hidden="1">{#N/A,#N/A,FALSE,"Plan1";#N/A,#N/A,FALSE,"Plan2"}</definedName>
    <definedName name="iojtkheayed" localSheetId="5" hidden="1">{#N/A,#N/A,FALSE,"Plan1";#N/A,#N/A,FALSE,"Plan2"}</definedName>
    <definedName name="iojtkheayed" localSheetId="4" hidden="1">{#N/A,#N/A,FALSE,"Plan1";#N/A,#N/A,FALSE,"Plan2"}</definedName>
    <definedName name="iojtkheayed" localSheetId="8" hidden="1">{#N/A,#N/A,FALSE,"Plan1";#N/A,#N/A,FALSE,"Plan2"}</definedName>
    <definedName name="iojtkheayed" localSheetId="12" hidden="1">{#N/A,#N/A,FALSE,"Plan1";#N/A,#N/A,FALSE,"Plan2"}</definedName>
    <definedName name="iojtkheayed" localSheetId="16" hidden="1">{#N/A,#N/A,FALSE,"Plan1";#N/A,#N/A,FALSE,"Plan2"}</definedName>
    <definedName name="iojtkheayed" localSheetId="0" hidden="1">{#N/A,#N/A,FALSE,"Plan1";#N/A,#N/A,FALSE,"Plan2"}</definedName>
    <definedName name="iojtkheayed" localSheetId="11" hidden="1">{#N/A,#N/A,FALSE,"Plan1";#N/A,#N/A,FALSE,"Plan2"}</definedName>
    <definedName name="iojtkheayed" localSheetId="13" hidden="1">{#N/A,#N/A,FALSE,"Plan1";#N/A,#N/A,FALSE,"Plan2"}</definedName>
    <definedName name="iojtkheayed" hidden="1">{#N/A,#N/A,FALSE,"Plan1";#N/A,#N/A,FALSE,"Plan2"}</definedName>
    <definedName name="iouweroieuw4" localSheetId="14" hidden="1">{#N/A,#N/A,FALSE,"Plan1";#N/A,#N/A,FALSE,"Plan2"}</definedName>
    <definedName name="iouweroieuw4" localSheetId="7" hidden="1">{#N/A,#N/A,FALSE,"Plan1";#N/A,#N/A,FALSE,"Plan2"}</definedName>
    <definedName name="iouweroieuw4" localSheetId="1" hidden="1">{#N/A,#N/A,FALSE,"Plan1";#N/A,#N/A,FALSE,"Plan2"}</definedName>
    <definedName name="iouweroieuw4" localSheetId="2" hidden="1">{#N/A,#N/A,FALSE,"Plan1";#N/A,#N/A,FALSE,"Plan2"}</definedName>
    <definedName name="iouweroieuw4" localSheetId="9" hidden="1">{#N/A,#N/A,FALSE,"Plan1";#N/A,#N/A,FALSE,"Plan2"}</definedName>
    <definedName name="iouweroieuw4" localSheetId="5" hidden="1">{#N/A,#N/A,FALSE,"Plan1";#N/A,#N/A,FALSE,"Plan2"}</definedName>
    <definedName name="iouweroieuw4" localSheetId="4" hidden="1">{#N/A,#N/A,FALSE,"Plan1";#N/A,#N/A,FALSE,"Plan2"}</definedName>
    <definedName name="iouweroieuw4" localSheetId="8" hidden="1">{#N/A,#N/A,FALSE,"Plan1";#N/A,#N/A,FALSE,"Plan2"}</definedName>
    <definedName name="iouweroieuw4" localSheetId="12" hidden="1">{#N/A,#N/A,FALSE,"Plan1";#N/A,#N/A,FALSE,"Plan2"}</definedName>
    <definedName name="iouweroieuw4" localSheetId="16" hidden="1">{#N/A,#N/A,FALSE,"Plan1";#N/A,#N/A,FALSE,"Plan2"}</definedName>
    <definedName name="iouweroieuw4" localSheetId="0" hidden="1">{#N/A,#N/A,FALSE,"Plan1";#N/A,#N/A,FALSE,"Plan2"}</definedName>
    <definedName name="iouweroieuw4" localSheetId="11" hidden="1">{#N/A,#N/A,FALSE,"Plan1";#N/A,#N/A,FALSE,"Plan2"}</definedName>
    <definedName name="iouweroieuw4" localSheetId="13" hidden="1">{#N/A,#N/A,FALSE,"Plan1";#N/A,#N/A,FALSE,"Plan2"}</definedName>
    <definedName name="iouweroieuw4" hidden="1">{#N/A,#N/A,FALSE,"Plan1";#N/A,#N/A,FALSE,"Plan2"}</definedName>
    <definedName name="iphifpgh" localSheetId="14" hidden="1">{#N/A,#N/A,FALSE,"Plan1";#N/A,#N/A,FALSE,"Plan2"}</definedName>
    <definedName name="iphifpgh" localSheetId="7" hidden="1">{#N/A,#N/A,FALSE,"Plan1";#N/A,#N/A,FALSE,"Plan2"}</definedName>
    <definedName name="iphifpgh" localSheetId="1" hidden="1">{#N/A,#N/A,FALSE,"Plan1";#N/A,#N/A,FALSE,"Plan2"}</definedName>
    <definedName name="iphifpgh" localSheetId="2" hidden="1">{#N/A,#N/A,FALSE,"Plan1";#N/A,#N/A,FALSE,"Plan2"}</definedName>
    <definedName name="iphifpgh" localSheetId="9" hidden="1">{#N/A,#N/A,FALSE,"Plan1";#N/A,#N/A,FALSE,"Plan2"}</definedName>
    <definedName name="iphifpgh" localSheetId="5" hidden="1">{#N/A,#N/A,FALSE,"Plan1";#N/A,#N/A,FALSE,"Plan2"}</definedName>
    <definedName name="iphifpgh" localSheetId="4" hidden="1">{#N/A,#N/A,FALSE,"Plan1";#N/A,#N/A,FALSE,"Plan2"}</definedName>
    <definedName name="iphifpgh" localSheetId="8" hidden="1">{#N/A,#N/A,FALSE,"Plan1";#N/A,#N/A,FALSE,"Plan2"}</definedName>
    <definedName name="iphifpgh" localSheetId="12" hidden="1">{#N/A,#N/A,FALSE,"Plan1";#N/A,#N/A,FALSE,"Plan2"}</definedName>
    <definedName name="iphifpgh" localSheetId="16" hidden="1">{#N/A,#N/A,FALSE,"Plan1";#N/A,#N/A,FALSE,"Plan2"}</definedName>
    <definedName name="iphifpgh" localSheetId="0" hidden="1">{#N/A,#N/A,FALSE,"Plan1";#N/A,#N/A,FALSE,"Plan2"}</definedName>
    <definedName name="iphifpgh" localSheetId="11" hidden="1">{#N/A,#N/A,FALSE,"Plan1";#N/A,#N/A,FALSE,"Plan2"}</definedName>
    <definedName name="iphifpgh" localSheetId="13" hidden="1">{#N/A,#N/A,FALSE,"Plan1";#N/A,#N/A,FALSE,"Plan2"}</definedName>
    <definedName name="iphifpgh" hidden="1">{#N/A,#N/A,FALSE,"Plan1";#N/A,#N/A,FALSE,"Plan2"}</definedName>
    <definedName name="IPMF" localSheetId="2">#REF!</definedName>
    <definedName name="IPMF" localSheetId="5">#REF!</definedName>
    <definedName name="IPMF">#REF!</definedName>
    <definedName name="ipodsifgpds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4" hidden="1">{#N/A,#N/A,FALSE,"Plan1";#N/A,#N/A,FALSE,"Plan2"}</definedName>
    <definedName name="ipotjrjketjr" localSheetId="7" hidden="1">{#N/A,#N/A,FALSE,"Plan1";#N/A,#N/A,FALSE,"Plan2"}</definedName>
    <definedName name="ipotjrjketjr" localSheetId="1" hidden="1">{#N/A,#N/A,FALSE,"Plan1";#N/A,#N/A,FALSE,"Plan2"}</definedName>
    <definedName name="ipotjrjketjr" localSheetId="2" hidden="1">{#N/A,#N/A,FALSE,"Plan1";#N/A,#N/A,FALSE,"Plan2"}</definedName>
    <definedName name="ipotjrjketjr" localSheetId="9" hidden="1">{#N/A,#N/A,FALSE,"Plan1";#N/A,#N/A,FALSE,"Plan2"}</definedName>
    <definedName name="ipotjrjketjr" localSheetId="5" hidden="1">{#N/A,#N/A,FALSE,"Plan1";#N/A,#N/A,FALSE,"Plan2"}</definedName>
    <definedName name="ipotjrjketjr" localSheetId="4" hidden="1">{#N/A,#N/A,FALSE,"Plan1";#N/A,#N/A,FALSE,"Plan2"}</definedName>
    <definedName name="ipotjrjketjr" localSheetId="8" hidden="1">{#N/A,#N/A,FALSE,"Plan1";#N/A,#N/A,FALSE,"Plan2"}</definedName>
    <definedName name="ipotjrjketjr" localSheetId="12" hidden="1">{#N/A,#N/A,FALSE,"Plan1";#N/A,#N/A,FALSE,"Plan2"}</definedName>
    <definedName name="ipotjrjketjr" localSheetId="16" hidden="1">{#N/A,#N/A,FALSE,"Plan1";#N/A,#N/A,FALSE,"Plan2"}</definedName>
    <definedName name="ipotjrjketjr" localSheetId="0" hidden="1">{#N/A,#N/A,FALSE,"Plan1";#N/A,#N/A,FALSE,"Plan2"}</definedName>
    <definedName name="ipotjrjketjr" localSheetId="11" hidden="1">{#N/A,#N/A,FALSE,"Plan1";#N/A,#N/A,FALSE,"Plan2"}</definedName>
    <definedName name="ipotjrjketjr" localSheetId="13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2">#REF!</definedName>
    <definedName name="IR_diferido" localSheetId="5">#REF!</definedName>
    <definedName name="IR_diferido">#REF!</definedName>
    <definedName name="ISOPOR" localSheetId="2">#REF!</definedName>
    <definedName name="ISOPOR" localSheetId="5">#REF!</definedName>
    <definedName name="ISOPOR" localSheetId="24">#REF!</definedName>
    <definedName name="ISOPOR" localSheetId="23">#REF!</definedName>
    <definedName name="ISOPOR">#REF!</definedName>
    <definedName name="ISS" localSheetId="2">#REF!</definedName>
    <definedName name="ISS" localSheetId="5">#REF!</definedName>
    <definedName name="ISS">#REF!</definedName>
    <definedName name="ItalieNS" localSheetId="2">#REF!</definedName>
    <definedName name="ItalieNS" localSheetId="5">#REF!</definedName>
    <definedName name="ItalieNS">#REF!</definedName>
    <definedName name="ItalieNT" localSheetId="2">#REF!</definedName>
    <definedName name="ItalieNT" localSheetId="5">#REF!</definedName>
    <definedName name="ItalieNT">#REF!</definedName>
    <definedName name="itc_cdi" localSheetId="2">#REF!</definedName>
    <definedName name="itc_cdi" localSheetId="5">#REF!</definedName>
    <definedName name="itc_cdi">#REF!</definedName>
    <definedName name="itc_hist" localSheetId="2">#REF!</definedName>
    <definedName name="itc_hist" localSheetId="5">#REF!</definedName>
    <definedName name="itc_hist">#REF!</definedName>
    <definedName name="itc_uss" localSheetId="2">#REF!</definedName>
    <definedName name="itc_uss" localSheetId="5">#REF!</definedName>
    <definedName name="itc_uss">#REF!</definedName>
    <definedName name="item_1" localSheetId="14">#REF!</definedName>
    <definedName name="item_1" localSheetId="2">#REF!</definedName>
    <definedName name="item_1" localSheetId="5">#REF!</definedName>
    <definedName name="item_1" localSheetId="15">#REF!</definedName>
    <definedName name="item_1" localSheetId="12">#REF!</definedName>
    <definedName name="item_1" localSheetId="0">#REF!</definedName>
    <definedName name="item_1">#REF!</definedName>
    <definedName name="ITEMCONT" localSheetId="2">#REF!</definedName>
    <definedName name="ITEMCONT" localSheetId="5">#REF!</definedName>
    <definedName name="ITEMCONT">#REF!</definedName>
    <definedName name="ITEMDER" localSheetId="2">#REF!</definedName>
    <definedName name="ITEMDER" localSheetId="5">#REF!</definedName>
    <definedName name="ITEMDER">#REF!</definedName>
    <definedName name="ITEMIZAÇÃO" localSheetId="2">#REF!</definedName>
    <definedName name="ITEMIZAÇÃO" localSheetId="5">#REF!</definedName>
    <definedName name="ITEMIZAÇÃO">#REF!</definedName>
    <definedName name="ITEMIZAÇÃO_2" localSheetId="2">#REF!</definedName>
    <definedName name="ITEMIZAÇÃO_2" localSheetId="5">#REF!</definedName>
    <definedName name="ITEMIZAÇÃO_2">#REF!</definedName>
    <definedName name="ITEMIZAÇÃO_3" localSheetId="2">#REF!</definedName>
    <definedName name="ITEMIZAÇÃO_3" localSheetId="5">#REF!</definedName>
    <definedName name="ITEMIZAÇÃO_3">#REF!</definedName>
    <definedName name="ITEMIZAÇÃO_4" localSheetId="2">#REF!</definedName>
    <definedName name="ITEMIZAÇÃO_4" localSheetId="5">#REF!</definedName>
    <definedName name="ITEMIZAÇÃO_4">#REF!</definedName>
    <definedName name="ITEMIZAÇÃO_5" localSheetId="2">#REF!</definedName>
    <definedName name="ITEMIZAÇÃO_5" localSheetId="5">#REF!</definedName>
    <definedName name="ITEMIZAÇÃO_5">#REF!</definedName>
    <definedName name="ITEMIZAÇÃO_7" localSheetId="2">#REF!</definedName>
    <definedName name="ITEMIZAÇÃO_7" localSheetId="5">#REF!</definedName>
    <definedName name="ITEMIZAÇÃO_7">#REF!</definedName>
    <definedName name="ITEMIZAÇÃO_8" localSheetId="2">#REF!</definedName>
    <definedName name="ITEMIZAÇÃO_8" localSheetId="5">#REF!</definedName>
    <definedName name="ITEMIZAÇÃO_8">#REF!</definedName>
    <definedName name="ITEMR20" localSheetId="2">#REF!</definedName>
    <definedName name="ITEMR20" localSheetId="5">#REF!</definedName>
    <definedName name="ITEMR20">#REF!</definedName>
    <definedName name="ITEM별상세업무분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2">#REF!</definedName>
    <definedName name="ITENS" localSheetId="5">#REF!</definedName>
    <definedName name="ITENS">#REF!</definedName>
    <definedName name="ITENS0" localSheetId="2">#REF!</definedName>
    <definedName name="ITENS0" localSheetId="5">#REF!</definedName>
    <definedName name="ITENS0">#REF!</definedName>
    <definedName name="ITENS1" localSheetId="2">#REF!</definedName>
    <definedName name="ITENS1" localSheetId="5">#REF!</definedName>
    <definedName name="ITENS1">#REF!</definedName>
    <definedName name="ITENSP" localSheetId="2">#REF!</definedName>
    <definedName name="ITENSP" localSheetId="5">#REF!</definedName>
    <definedName name="ITENSP">#REF!</definedName>
    <definedName name="ITENSPMED" localSheetId="2">#REF!</definedName>
    <definedName name="ITENSPMED" localSheetId="5">#REF!</definedName>
    <definedName name="ITENSPMED">#REF!</definedName>
    <definedName name="IUGFGDFUY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2">#REF!</definedName>
    <definedName name="IV" localSheetId="9">#REF!</definedName>
    <definedName name="IV" localSheetId="5">#REF!</definedName>
    <definedName name="IV" localSheetId="24">#REF!</definedName>
    <definedName name="IV">#REF!</definedName>
    <definedName name="iyguygiyt" localSheetId="14" hidden="1">{#N/A,#N/A,FALSE,"Plan1";#N/A,#N/A,FALSE,"Plan2"}</definedName>
    <definedName name="iyguygiyt" localSheetId="7" hidden="1">{#N/A,#N/A,FALSE,"Plan1";#N/A,#N/A,FALSE,"Plan2"}</definedName>
    <definedName name="iyguygiyt" localSheetId="1" hidden="1">{#N/A,#N/A,FALSE,"Plan1";#N/A,#N/A,FALSE,"Plan2"}</definedName>
    <definedName name="iyguygiyt" localSheetId="2" hidden="1">{#N/A,#N/A,FALSE,"Plan1";#N/A,#N/A,FALSE,"Plan2"}</definedName>
    <definedName name="iyguygiyt" localSheetId="9" hidden="1">{#N/A,#N/A,FALSE,"Plan1";#N/A,#N/A,FALSE,"Plan2"}</definedName>
    <definedName name="iyguygiyt" localSheetId="5" hidden="1">{#N/A,#N/A,FALSE,"Plan1";#N/A,#N/A,FALSE,"Plan2"}</definedName>
    <definedName name="iyguygiyt" localSheetId="4" hidden="1">{#N/A,#N/A,FALSE,"Plan1";#N/A,#N/A,FALSE,"Plan2"}</definedName>
    <definedName name="iyguygiyt" localSheetId="8" hidden="1">{#N/A,#N/A,FALSE,"Plan1";#N/A,#N/A,FALSE,"Plan2"}</definedName>
    <definedName name="iyguygiyt" localSheetId="12" hidden="1">{#N/A,#N/A,FALSE,"Plan1";#N/A,#N/A,FALSE,"Plan2"}</definedName>
    <definedName name="iyguygiyt" localSheetId="16" hidden="1">{#N/A,#N/A,FALSE,"Plan1";#N/A,#N/A,FALSE,"Plan2"}</definedName>
    <definedName name="iyguygiyt" localSheetId="0" hidden="1">{#N/A,#N/A,FALSE,"Plan1";#N/A,#N/A,FALSE,"Plan2"}</definedName>
    <definedName name="iyguygiyt" localSheetId="11" hidden="1">{#N/A,#N/A,FALSE,"Plan1";#N/A,#N/A,FALSE,"Plan2"}</definedName>
    <definedName name="iyguygiyt" localSheetId="13" hidden="1">{#N/A,#N/A,FALSE,"Plan1";#N/A,#N/A,FALSE,"Plan2"}</definedName>
    <definedName name="iyguygiyt" hidden="1">{#N/A,#N/A,FALSE,"Plan1";#N/A,#N/A,FALSE,"Plan2"}</definedName>
    <definedName name="iyuyheturtd" localSheetId="14" hidden="1">{#N/A,#N/A,FALSE,"Plan1";#N/A,#N/A,FALSE,"Plan2"}</definedName>
    <definedName name="iyuyheturtd" localSheetId="7" hidden="1">{#N/A,#N/A,FALSE,"Plan1";#N/A,#N/A,FALSE,"Plan2"}</definedName>
    <definedName name="iyuyheturtd" localSheetId="1" hidden="1">{#N/A,#N/A,FALSE,"Plan1";#N/A,#N/A,FALSE,"Plan2"}</definedName>
    <definedName name="iyuyheturtd" localSheetId="2" hidden="1">{#N/A,#N/A,FALSE,"Plan1";#N/A,#N/A,FALSE,"Plan2"}</definedName>
    <definedName name="iyuyheturtd" localSheetId="9" hidden="1">{#N/A,#N/A,FALSE,"Plan1";#N/A,#N/A,FALSE,"Plan2"}</definedName>
    <definedName name="iyuyheturtd" localSheetId="5" hidden="1">{#N/A,#N/A,FALSE,"Plan1";#N/A,#N/A,FALSE,"Plan2"}</definedName>
    <definedName name="iyuyheturtd" localSheetId="4" hidden="1">{#N/A,#N/A,FALSE,"Plan1";#N/A,#N/A,FALSE,"Plan2"}</definedName>
    <definedName name="iyuyheturtd" localSheetId="8" hidden="1">{#N/A,#N/A,FALSE,"Plan1";#N/A,#N/A,FALSE,"Plan2"}</definedName>
    <definedName name="iyuyheturtd" localSheetId="12" hidden="1">{#N/A,#N/A,FALSE,"Plan1";#N/A,#N/A,FALSE,"Plan2"}</definedName>
    <definedName name="iyuyheturtd" localSheetId="16" hidden="1">{#N/A,#N/A,FALSE,"Plan1";#N/A,#N/A,FALSE,"Plan2"}</definedName>
    <definedName name="iyuyheturtd" localSheetId="0" hidden="1">{#N/A,#N/A,FALSE,"Plan1";#N/A,#N/A,FALSE,"Plan2"}</definedName>
    <definedName name="iyuyheturtd" localSheetId="11" hidden="1">{#N/A,#N/A,FALSE,"Plan1";#N/A,#N/A,FALSE,"Plan2"}</definedName>
    <definedName name="iyuyheturtd" localSheetId="13" hidden="1">{#N/A,#N/A,FALSE,"Plan1";#N/A,#N/A,FALSE,"Plan2"}</definedName>
    <definedName name="iyuyheturtd" hidden="1">{#N/A,#N/A,FALSE,"Plan1";#N/A,#N/A,FALSE,"Plan2"}</definedName>
    <definedName name="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4" hidden="1">{#N/A,#N/A,FALSE,"Plan1";#N/A,#N/A,FALSE,"Plan2"}</definedName>
    <definedName name="jalejdasjf" localSheetId="7" hidden="1">{#N/A,#N/A,FALSE,"Plan1";#N/A,#N/A,FALSE,"Plan2"}</definedName>
    <definedName name="jalejdasjf" localSheetId="1" hidden="1">{#N/A,#N/A,FALSE,"Plan1";#N/A,#N/A,FALSE,"Plan2"}</definedName>
    <definedName name="jalejdasjf" localSheetId="2" hidden="1">{#N/A,#N/A,FALSE,"Plan1";#N/A,#N/A,FALSE,"Plan2"}</definedName>
    <definedName name="jalejdasjf" localSheetId="9" hidden="1">{#N/A,#N/A,FALSE,"Plan1";#N/A,#N/A,FALSE,"Plan2"}</definedName>
    <definedName name="jalejdasjf" localSheetId="5" hidden="1">{#N/A,#N/A,FALSE,"Plan1";#N/A,#N/A,FALSE,"Plan2"}</definedName>
    <definedName name="jalejdasjf" localSheetId="4" hidden="1">{#N/A,#N/A,FALSE,"Plan1";#N/A,#N/A,FALSE,"Plan2"}</definedName>
    <definedName name="jalejdasjf" localSheetId="8" hidden="1">{#N/A,#N/A,FALSE,"Plan1";#N/A,#N/A,FALSE,"Plan2"}</definedName>
    <definedName name="jalejdasjf" localSheetId="12" hidden="1">{#N/A,#N/A,FALSE,"Plan1";#N/A,#N/A,FALSE,"Plan2"}</definedName>
    <definedName name="jalejdasjf" localSheetId="16" hidden="1">{#N/A,#N/A,FALSE,"Plan1";#N/A,#N/A,FALSE,"Plan2"}</definedName>
    <definedName name="jalejdasjf" localSheetId="0" hidden="1">{#N/A,#N/A,FALSE,"Plan1";#N/A,#N/A,FALSE,"Plan2"}</definedName>
    <definedName name="jalejdasjf" localSheetId="11" hidden="1">{#N/A,#N/A,FALSE,"Plan1";#N/A,#N/A,FALSE,"Plan2"}</definedName>
    <definedName name="jalejdasjf" localSheetId="13" hidden="1">{#N/A,#N/A,FALSE,"Plan1";#N/A,#N/A,FALSE,"Plan2"}</definedName>
    <definedName name="jalejdasjf" hidden="1">{#N/A,#N/A,FALSE,"Plan1";#N/A,#N/A,FALSE,"Plan2"}</definedName>
    <definedName name="jan_05" localSheetId="2">#REF!</definedName>
    <definedName name="jan_05" localSheetId="5">#REF!</definedName>
    <definedName name="jan_05">#REF!</definedName>
    <definedName name="jan17RJ" localSheetId="2">#REF!</definedName>
    <definedName name="jan17RJ" localSheetId="5">#REF!</definedName>
    <definedName name="jan17RJ">#REF!</definedName>
    <definedName name="JANEIRO2001" localSheetId="2">#REF!</definedName>
    <definedName name="JANEIRO2001" localSheetId="5">#REF!</definedName>
    <definedName name="JANEIRO2001">#REF!</definedName>
    <definedName name="JASDJS" localSheetId="14" hidden="1">{#N/A,#N/A,FALSE,"Plan1";#N/A,#N/A,FALSE,"Plan2"}</definedName>
    <definedName name="JASDJS" localSheetId="7" hidden="1">{#N/A,#N/A,FALSE,"Plan1";#N/A,#N/A,FALSE,"Plan2"}</definedName>
    <definedName name="JASDJS" localSheetId="1" hidden="1">{#N/A,#N/A,FALSE,"Plan1";#N/A,#N/A,FALSE,"Plan2"}</definedName>
    <definedName name="JASDJS" localSheetId="2" hidden="1">{#N/A,#N/A,FALSE,"Plan1";#N/A,#N/A,FALSE,"Plan2"}</definedName>
    <definedName name="JASDJS" localSheetId="9" hidden="1">{#N/A,#N/A,FALSE,"Plan1";#N/A,#N/A,FALSE,"Plan2"}</definedName>
    <definedName name="JASDJS" localSheetId="5" hidden="1">{#N/A,#N/A,FALSE,"Plan1";#N/A,#N/A,FALSE,"Plan2"}</definedName>
    <definedName name="JASDJS" localSheetId="4" hidden="1">{#N/A,#N/A,FALSE,"Plan1";#N/A,#N/A,FALSE,"Plan2"}</definedName>
    <definedName name="JASDJS" localSheetId="8" hidden="1">{#N/A,#N/A,FALSE,"Plan1";#N/A,#N/A,FALSE,"Plan2"}</definedName>
    <definedName name="JASDJS" localSheetId="12" hidden="1">{#N/A,#N/A,FALSE,"Plan1";#N/A,#N/A,FALSE,"Plan2"}</definedName>
    <definedName name="JASDJS" localSheetId="16" hidden="1">{#N/A,#N/A,FALSE,"Plan1";#N/A,#N/A,FALSE,"Plan2"}</definedName>
    <definedName name="JASDJS" localSheetId="0" hidden="1">{#N/A,#N/A,FALSE,"Plan1";#N/A,#N/A,FALSE,"Plan2"}</definedName>
    <definedName name="JASDJS" localSheetId="11" hidden="1">{#N/A,#N/A,FALSE,"Plan1";#N/A,#N/A,FALSE,"Plan2"}</definedName>
    <definedName name="JASDJS" localSheetId="13" hidden="1">{#N/A,#N/A,FALSE,"Plan1";#N/A,#N/A,FALSE,"Plan2"}</definedName>
    <definedName name="JASDJS" hidden="1">{#N/A,#N/A,FALSE,"Plan1";#N/A,#N/A,FALSE,"Plan2"}</definedName>
    <definedName name="jaskldjlse" localSheetId="14" hidden="1">{#N/A,#N/A,FALSE,"Plan1";#N/A,#N/A,FALSE,"Plan2"}</definedName>
    <definedName name="jaskldjlse" localSheetId="7" hidden="1">{#N/A,#N/A,FALSE,"Plan1";#N/A,#N/A,FALSE,"Plan2"}</definedName>
    <definedName name="jaskldjlse" localSheetId="1" hidden="1">{#N/A,#N/A,FALSE,"Plan1";#N/A,#N/A,FALSE,"Plan2"}</definedName>
    <definedName name="jaskldjlse" localSheetId="2" hidden="1">{#N/A,#N/A,FALSE,"Plan1";#N/A,#N/A,FALSE,"Plan2"}</definedName>
    <definedName name="jaskldjlse" localSheetId="9" hidden="1">{#N/A,#N/A,FALSE,"Plan1";#N/A,#N/A,FALSE,"Plan2"}</definedName>
    <definedName name="jaskldjlse" localSheetId="5" hidden="1">{#N/A,#N/A,FALSE,"Plan1";#N/A,#N/A,FALSE,"Plan2"}</definedName>
    <definedName name="jaskldjlse" localSheetId="4" hidden="1">{#N/A,#N/A,FALSE,"Plan1";#N/A,#N/A,FALSE,"Plan2"}</definedName>
    <definedName name="jaskldjlse" localSheetId="8" hidden="1">{#N/A,#N/A,FALSE,"Plan1";#N/A,#N/A,FALSE,"Plan2"}</definedName>
    <definedName name="jaskldjlse" localSheetId="12" hidden="1">{#N/A,#N/A,FALSE,"Plan1";#N/A,#N/A,FALSE,"Plan2"}</definedName>
    <definedName name="jaskldjlse" localSheetId="16" hidden="1">{#N/A,#N/A,FALSE,"Plan1";#N/A,#N/A,FALSE,"Plan2"}</definedName>
    <definedName name="jaskldjlse" localSheetId="0" hidden="1">{#N/A,#N/A,FALSE,"Plan1";#N/A,#N/A,FALSE,"Plan2"}</definedName>
    <definedName name="jaskldjlse" localSheetId="11" hidden="1">{#N/A,#N/A,FALSE,"Plan1";#N/A,#N/A,FALSE,"Plan2"}</definedName>
    <definedName name="jaskldjlse" localSheetId="13" hidden="1">{#N/A,#N/A,FALSE,"Plan1";#N/A,#N/A,FALSE,"Plan2"}</definedName>
    <definedName name="jaskldjlse" hidden="1">{#N/A,#N/A,FALSE,"Plan1";#N/A,#N/A,FALSE,"Plan2"}</definedName>
    <definedName name="JASLDKLD" localSheetId="14" hidden="1">{#N/A,#N/A,FALSE,"Plan1";#N/A,#N/A,FALSE,"Plan2"}</definedName>
    <definedName name="JASLDKLD" localSheetId="7" hidden="1">{#N/A,#N/A,FALSE,"Plan1";#N/A,#N/A,FALSE,"Plan2"}</definedName>
    <definedName name="JASLDKLD" localSheetId="1" hidden="1">{#N/A,#N/A,FALSE,"Plan1";#N/A,#N/A,FALSE,"Plan2"}</definedName>
    <definedName name="JASLDKLD" localSheetId="2" hidden="1">{#N/A,#N/A,FALSE,"Plan1";#N/A,#N/A,FALSE,"Plan2"}</definedName>
    <definedName name="JASLDKLD" localSheetId="9" hidden="1">{#N/A,#N/A,FALSE,"Plan1";#N/A,#N/A,FALSE,"Plan2"}</definedName>
    <definedName name="JASLDKLD" localSheetId="5" hidden="1">{#N/A,#N/A,FALSE,"Plan1";#N/A,#N/A,FALSE,"Plan2"}</definedName>
    <definedName name="JASLDKLD" localSheetId="4" hidden="1">{#N/A,#N/A,FALSE,"Plan1";#N/A,#N/A,FALSE,"Plan2"}</definedName>
    <definedName name="JASLDKLD" localSheetId="8" hidden="1">{#N/A,#N/A,FALSE,"Plan1";#N/A,#N/A,FALSE,"Plan2"}</definedName>
    <definedName name="JASLDKLD" localSheetId="12" hidden="1">{#N/A,#N/A,FALSE,"Plan1";#N/A,#N/A,FALSE,"Plan2"}</definedName>
    <definedName name="JASLDKLD" localSheetId="16" hidden="1">{#N/A,#N/A,FALSE,"Plan1";#N/A,#N/A,FALSE,"Plan2"}</definedName>
    <definedName name="JASLDKLD" localSheetId="0" hidden="1">{#N/A,#N/A,FALSE,"Plan1";#N/A,#N/A,FALSE,"Plan2"}</definedName>
    <definedName name="JASLDKLD" localSheetId="11" hidden="1">{#N/A,#N/A,FALSE,"Plan1";#N/A,#N/A,FALSE,"Plan2"}</definedName>
    <definedName name="JASLDKLD" localSheetId="13" hidden="1">{#N/A,#N/A,FALSE,"Plan1";#N/A,#N/A,FALSE,"Plan2"}</definedName>
    <definedName name="JASLDKLD" hidden="1">{#N/A,#N/A,FALSE,"Plan1";#N/A,#N/A,FALSE,"Plan2"}</definedName>
    <definedName name="jasoe" localSheetId="2" hidden="1">#REF!</definedName>
    <definedName name="jasoe" localSheetId="5" hidden="1">#REF!</definedName>
    <definedName name="jasoe" localSheetId="0" hidden="1">#REF!</definedName>
    <definedName name="jasoe" hidden="1">#REF!</definedName>
    <definedName name="jbzxffcbgdhgft" localSheetId="2" hidden="1">#REF!</definedName>
    <definedName name="jbzxffcbgdhgft" localSheetId="5" hidden="1">#REF!</definedName>
    <definedName name="jbzxffcbgdhgft" localSheetId="0" hidden="1">#REF!</definedName>
    <definedName name="jbzxffcbgdhgft" hidden="1">#REF!</definedName>
    <definedName name="JÇDFHDF" localSheetId="14" hidden="1">{"Econ Consolidado",#N/A,FALSE,"Econ Consol";"Fluxo de Caixa",#N/A,FALSE,"Fluxo Caixa";"Investimentos",#N/A,FALSE,"Investimentos"}</definedName>
    <definedName name="JÇDFHDF" localSheetId="7" hidden="1">{"Econ Consolidado",#N/A,FALSE,"Econ Consol";"Fluxo de Caixa",#N/A,FALSE,"Fluxo Caixa";"Investimentos",#N/A,FALSE,"Investimentos"}</definedName>
    <definedName name="JÇDFHDF" localSheetId="1" hidden="1">{"Econ Consolidado",#N/A,FALSE,"Econ Consol";"Fluxo de Caixa",#N/A,FALSE,"Fluxo Caixa";"Investimentos",#N/A,FALSE,"Investimentos"}</definedName>
    <definedName name="JÇDFHDF" localSheetId="2" hidden="1">{"Econ Consolidado",#N/A,FALSE,"Econ Consol";"Fluxo de Caixa",#N/A,FALSE,"Fluxo Caixa";"Investimentos",#N/A,FALSE,"Investimentos"}</definedName>
    <definedName name="JÇDFHDF" localSheetId="9" hidden="1">{"Econ Consolidado",#N/A,FALSE,"Econ Consol";"Fluxo de Caixa",#N/A,FALSE,"Fluxo Caixa";"Investimentos",#N/A,FALSE,"Investimentos"}</definedName>
    <definedName name="JÇDFHDF" localSheetId="5" hidden="1">{"Econ Consolidado",#N/A,FALSE,"Econ Consol";"Fluxo de Caixa",#N/A,FALSE,"Fluxo Caixa";"Investimentos",#N/A,FALSE,"Investimentos"}</definedName>
    <definedName name="JÇDFHDF" localSheetId="4" hidden="1">{"Econ Consolidado",#N/A,FALSE,"Econ Consol";"Fluxo de Caixa",#N/A,FALSE,"Fluxo Caixa";"Investimentos",#N/A,FALSE,"Investimentos"}</definedName>
    <definedName name="JÇDFHDF" localSheetId="8" hidden="1">{"Econ Consolidado",#N/A,FALSE,"Econ Consol";"Fluxo de Caixa",#N/A,FALSE,"Fluxo Caixa";"Investimentos",#N/A,FALSE,"Investimentos"}</definedName>
    <definedName name="JÇDFHDF" localSheetId="12" hidden="1">{"Econ Consolidado",#N/A,FALSE,"Econ Consol";"Fluxo de Caixa",#N/A,FALSE,"Fluxo Caixa";"Investimentos",#N/A,FALSE,"Investimentos"}</definedName>
    <definedName name="JÇDFHDF" localSheetId="16" hidden="1">{"Econ Consolidado",#N/A,FALSE,"Econ Consol";"Fluxo de Caixa",#N/A,FALSE,"Fluxo Caixa";"Investimentos",#N/A,FALSE,"Investimentos"}</definedName>
    <definedName name="JÇDFHDF" localSheetId="0" hidden="1">{"Econ Consolidado",#N/A,FALSE,"Econ Consol";"Fluxo de Caixa",#N/A,FALSE,"Fluxo Caixa";"Investimentos",#N/A,FALSE,"Investimentos"}</definedName>
    <definedName name="JÇDFHDF" localSheetId="11" hidden="1">{"Econ Consolidado",#N/A,FALSE,"Econ Consol";"Fluxo de Caixa",#N/A,FALSE,"Fluxo Caixa";"Investimentos",#N/A,FALSE,"Investimentos"}</definedName>
    <definedName name="JÇDFHDF" localSheetId="13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14" hidden="1">{#N/A,#N/A,FALSE,"Plan1";#N/A,#N/A,FALSE,"Plan2"}</definedName>
    <definedName name="jdbgftbhr" localSheetId="7" hidden="1">{#N/A,#N/A,FALSE,"Plan1";#N/A,#N/A,FALSE,"Plan2"}</definedName>
    <definedName name="jdbgftbhr" localSheetId="1" hidden="1">{#N/A,#N/A,FALSE,"Plan1";#N/A,#N/A,FALSE,"Plan2"}</definedName>
    <definedName name="jdbgftbhr" localSheetId="2" hidden="1">{#N/A,#N/A,FALSE,"Plan1";#N/A,#N/A,FALSE,"Plan2"}</definedName>
    <definedName name="jdbgftbhr" localSheetId="9" hidden="1">{#N/A,#N/A,FALSE,"Plan1";#N/A,#N/A,FALSE,"Plan2"}</definedName>
    <definedName name="jdbgftbhr" localSheetId="5" hidden="1">{#N/A,#N/A,FALSE,"Plan1";#N/A,#N/A,FALSE,"Plan2"}</definedName>
    <definedName name="jdbgftbhr" localSheetId="4" hidden="1">{#N/A,#N/A,FALSE,"Plan1";#N/A,#N/A,FALSE,"Plan2"}</definedName>
    <definedName name="jdbgftbhr" localSheetId="8" hidden="1">{#N/A,#N/A,FALSE,"Plan1";#N/A,#N/A,FALSE,"Plan2"}</definedName>
    <definedName name="jdbgftbhr" localSheetId="12" hidden="1">{#N/A,#N/A,FALSE,"Plan1";#N/A,#N/A,FALSE,"Plan2"}</definedName>
    <definedName name="jdbgftbhr" localSheetId="16" hidden="1">{#N/A,#N/A,FALSE,"Plan1";#N/A,#N/A,FALSE,"Plan2"}</definedName>
    <definedName name="jdbgftbhr" localSheetId="0" hidden="1">{#N/A,#N/A,FALSE,"Plan1";#N/A,#N/A,FALSE,"Plan2"}</definedName>
    <definedName name="jdbgftbhr" localSheetId="11" hidden="1">{#N/A,#N/A,FALSE,"Plan1";#N/A,#N/A,FALSE,"Plan2"}</definedName>
    <definedName name="jdbgftbhr" localSheetId="13" hidden="1">{#N/A,#N/A,FALSE,"Plan1";#N/A,#N/A,FALSE,"Plan2"}</definedName>
    <definedName name="jdbgftbhr" hidden="1">{#N/A,#N/A,FALSE,"Plan1";#N/A,#N/A,FALSE,"Plan2"}</definedName>
    <definedName name="jdfgkrhgft" localSheetId="2" hidden="1">#REF!</definedName>
    <definedName name="jdfgkrhgft" localSheetId="5" hidden="1">#REF!</definedName>
    <definedName name="jdfgkrhgft" localSheetId="0" hidden="1">#REF!</definedName>
    <definedName name="jdfgkrhgft" hidden="1">#REF!</definedName>
    <definedName name="jdfgldfjgklh" localSheetId="14" hidden="1">{#N/A,#N/A,FALSE,"Plan1";#N/A,#N/A,FALSE,"Plan2"}</definedName>
    <definedName name="jdfgldfjgklh" localSheetId="7" hidden="1">{#N/A,#N/A,FALSE,"Plan1";#N/A,#N/A,FALSE,"Plan2"}</definedName>
    <definedName name="jdfgldfjgklh" localSheetId="1" hidden="1">{#N/A,#N/A,FALSE,"Plan1";#N/A,#N/A,FALSE,"Plan2"}</definedName>
    <definedName name="jdfgldfjgklh" localSheetId="2" hidden="1">{#N/A,#N/A,FALSE,"Plan1";#N/A,#N/A,FALSE,"Plan2"}</definedName>
    <definedName name="jdfgldfjgklh" localSheetId="9" hidden="1">{#N/A,#N/A,FALSE,"Plan1";#N/A,#N/A,FALSE,"Plan2"}</definedName>
    <definedName name="jdfgldfjgklh" localSheetId="5" hidden="1">{#N/A,#N/A,FALSE,"Plan1";#N/A,#N/A,FALSE,"Plan2"}</definedName>
    <definedName name="jdfgldfjgklh" localSheetId="4" hidden="1">{#N/A,#N/A,FALSE,"Plan1";#N/A,#N/A,FALSE,"Plan2"}</definedName>
    <definedName name="jdfgldfjgklh" localSheetId="8" hidden="1">{#N/A,#N/A,FALSE,"Plan1";#N/A,#N/A,FALSE,"Plan2"}</definedName>
    <definedName name="jdfgldfjgklh" localSheetId="12" hidden="1">{#N/A,#N/A,FALSE,"Plan1";#N/A,#N/A,FALSE,"Plan2"}</definedName>
    <definedName name="jdfgldfjgklh" localSheetId="16" hidden="1">{#N/A,#N/A,FALSE,"Plan1";#N/A,#N/A,FALSE,"Plan2"}</definedName>
    <definedName name="jdfgldfjgklh" localSheetId="0" hidden="1">{#N/A,#N/A,FALSE,"Plan1";#N/A,#N/A,FALSE,"Plan2"}</definedName>
    <definedName name="jdfgldfjgklh" localSheetId="11" hidden="1">{#N/A,#N/A,FALSE,"Plan1";#N/A,#N/A,FALSE,"Plan2"}</definedName>
    <definedName name="jdfgldfjgklh" localSheetId="13" hidden="1">{#N/A,#N/A,FALSE,"Plan1";#N/A,#N/A,FALSE,"Plan2"}</definedName>
    <definedName name="jdfgldfjgklh" hidden="1">{#N/A,#N/A,FALSE,"Plan1";#N/A,#N/A,FALSE,"Plan2"}</definedName>
    <definedName name="jdfhjkdrhjtkg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4" hidden="1">{#N/A,#N/A,FALSE,"Plan1";#N/A,#N/A,FALSE,"Plan2"}</definedName>
    <definedName name="jdfjdtrgt" localSheetId="7" hidden="1">{#N/A,#N/A,FALSE,"Plan1";#N/A,#N/A,FALSE,"Plan2"}</definedName>
    <definedName name="jdfjdtrgt" localSheetId="1" hidden="1">{#N/A,#N/A,FALSE,"Plan1";#N/A,#N/A,FALSE,"Plan2"}</definedName>
    <definedName name="jdfjdtrgt" localSheetId="2" hidden="1">{#N/A,#N/A,FALSE,"Plan1";#N/A,#N/A,FALSE,"Plan2"}</definedName>
    <definedName name="jdfjdtrgt" localSheetId="9" hidden="1">{#N/A,#N/A,FALSE,"Plan1";#N/A,#N/A,FALSE,"Plan2"}</definedName>
    <definedName name="jdfjdtrgt" localSheetId="5" hidden="1">{#N/A,#N/A,FALSE,"Plan1";#N/A,#N/A,FALSE,"Plan2"}</definedName>
    <definedName name="jdfjdtrgt" localSheetId="4" hidden="1">{#N/A,#N/A,FALSE,"Plan1";#N/A,#N/A,FALSE,"Plan2"}</definedName>
    <definedName name="jdfjdtrgt" localSheetId="8" hidden="1">{#N/A,#N/A,FALSE,"Plan1";#N/A,#N/A,FALSE,"Plan2"}</definedName>
    <definedName name="jdfjdtrgt" localSheetId="12" hidden="1">{#N/A,#N/A,FALSE,"Plan1";#N/A,#N/A,FALSE,"Plan2"}</definedName>
    <definedName name="jdfjdtrgt" localSheetId="16" hidden="1">{#N/A,#N/A,FALSE,"Plan1";#N/A,#N/A,FALSE,"Plan2"}</definedName>
    <definedName name="jdfjdtrgt" localSheetId="0" hidden="1">{#N/A,#N/A,FALSE,"Plan1";#N/A,#N/A,FALSE,"Plan2"}</definedName>
    <definedName name="jdfjdtrgt" localSheetId="11" hidden="1">{#N/A,#N/A,FALSE,"Plan1";#N/A,#N/A,FALSE,"Plan2"}</definedName>
    <definedName name="jdfjdtrgt" localSheetId="13" hidden="1">{#N/A,#N/A,FALSE,"Plan1";#N/A,#N/A,FALSE,"Plan2"}</definedName>
    <definedName name="jdfjdtrgt" hidden="1">{#N/A,#N/A,FALSE,"Plan1";#N/A,#N/A,FALSE,"Plan2"}</definedName>
    <definedName name="JDFJLDJR" localSheetId="14" hidden="1">{#N/A,#N/A,FALSE,"Plan1";#N/A,#N/A,FALSE,"Plan2"}</definedName>
    <definedName name="JDFJLDJR" localSheetId="7" hidden="1">{#N/A,#N/A,FALSE,"Plan1";#N/A,#N/A,FALSE,"Plan2"}</definedName>
    <definedName name="JDFJLDJR" localSheetId="1" hidden="1">{#N/A,#N/A,FALSE,"Plan1";#N/A,#N/A,FALSE,"Plan2"}</definedName>
    <definedName name="JDFJLDJR" localSheetId="2" hidden="1">{#N/A,#N/A,FALSE,"Plan1";#N/A,#N/A,FALSE,"Plan2"}</definedName>
    <definedName name="JDFJLDJR" localSheetId="9" hidden="1">{#N/A,#N/A,FALSE,"Plan1";#N/A,#N/A,FALSE,"Plan2"}</definedName>
    <definedName name="JDFJLDJR" localSheetId="5" hidden="1">{#N/A,#N/A,FALSE,"Plan1";#N/A,#N/A,FALSE,"Plan2"}</definedName>
    <definedName name="JDFJLDJR" localSheetId="4" hidden="1">{#N/A,#N/A,FALSE,"Plan1";#N/A,#N/A,FALSE,"Plan2"}</definedName>
    <definedName name="JDFJLDJR" localSheetId="8" hidden="1">{#N/A,#N/A,FALSE,"Plan1";#N/A,#N/A,FALSE,"Plan2"}</definedName>
    <definedName name="JDFJLDJR" localSheetId="12" hidden="1">{#N/A,#N/A,FALSE,"Plan1";#N/A,#N/A,FALSE,"Plan2"}</definedName>
    <definedName name="JDFJLDJR" localSheetId="16" hidden="1">{#N/A,#N/A,FALSE,"Plan1";#N/A,#N/A,FALSE,"Plan2"}</definedName>
    <definedName name="JDFJLDJR" localSheetId="0" hidden="1">{#N/A,#N/A,FALSE,"Plan1";#N/A,#N/A,FALSE,"Plan2"}</definedName>
    <definedName name="JDFJLDJR" localSheetId="11" hidden="1">{#N/A,#N/A,FALSE,"Plan1";#N/A,#N/A,FALSE,"Plan2"}</definedName>
    <definedName name="JDFJLDJR" localSheetId="13" hidden="1">{#N/A,#N/A,FALSE,"Plan1";#N/A,#N/A,FALSE,"Plan2"}</definedName>
    <definedName name="JDFJLDJR" hidden="1">{#N/A,#N/A,FALSE,"Plan1";#N/A,#N/A,FALSE,"Plan2"}</definedName>
    <definedName name="jdfkgitfgdrtt" localSheetId="14" hidden="1">{#N/A,#N/A,FALSE,"Plan1";#N/A,#N/A,FALSE,"Plan2"}</definedName>
    <definedName name="jdfkgitfgdrtt" localSheetId="7" hidden="1">{#N/A,#N/A,FALSE,"Plan1";#N/A,#N/A,FALSE,"Plan2"}</definedName>
    <definedName name="jdfkgitfgdrtt" localSheetId="1" hidden="1">{#N/A,#N/A,FALSE,"Plan1";#N/A,#N/A,FALSE,"Plan2"}</definedName>
    <definedName name="jdfkgitfgdrtt" localSheetId="2" hidden="1">{#N/A,#N/A,FALSE,"Plan1";#N/A,#N/A,FALSE,"Plan2"}</definedName>
    <definedName name="jdfkgitfgdrtt" localSheetId="9" hidden="1">{#N/A,#N/A,FALSE,"Plan1";#N/A,#N/A,FALSE,"Plan2"}</definedName>
    <definedName name="jdfkgitfgdrtt" localSheetId="5" hidden="1">{#N/A,#N/A,FALSE,"Plan1";#N/A,#N/A,FALSE,"Plan2"}</definedName>
    <definedName name="jdfkgitfgdrtt" localSheetId="4" hidden="1">{#N/A,#N/A,FALSE,"Plan1";#N/A,#N/A,FALSE,"Plan2"}</definedName>
    <definedName name="jdfkgitfgdrtt" localSheetId="8" hidden="1">{#N/A,#N/A,FALSE,"Plan1";#N/A,#N/A,FALSE,"Plan2"}</definedName>
    <definedName name="jdfkgitfgdrtt" localSheetId="12" hidden="1">{#N/A,#N/A,FALSE,"Plan1";#N/A,#N/A,FALSE,"Plan2"}</definedName>
    <definedName name="jdfkgitfgdrtt" localSheetId="16" hidden="1">{#N/A,#N/A,FALSE,"Plan1";#N/A,#N/A,FALSE,"Plan2"}</definedName>
    <definedName name="jdfkgitfgdrtt" localSheetId="0" hidden="1">{#N/A,#N/A,FALSE,"Plan1";#N/A,#N/A,FALSE,"Plan2"}</definedName>
    <definedName name="jdfkgitfgdrtt" localSheetId="11" hidden="1">{#N/A,#N/A,FALSE,"Plan1";#N/A,#N/A,FALSE,"Plan2"}</definedName>
    <definedName name="jdfkgitfgdrtt" localSheetId="13" hidden="1">{#N/A,#N/A,FALSE,"Plan1";#N/A,#N/A,FALSE,"Plan2"}</definedName>
    <definedName name="jdfkgitfgdrtt" hidden="1">{#N/A,#N/A,FALSE,"Plan1";#N/A,#N/A,FALSE,"Plan2"}</definedName>
    <definedName name="JDFKHFKJ" localSheetId="14" hidden="1">{#N/A,#N/A,FALSE,"Plan1";#N/A,#N/A,FALSE,"Plan2"}</definedName>
    <definedName name="JDFKHFKJ" localSheetId="7" hidden="1">{#N/A,#N/A,FALSE,"Plan1";#N/A,#N/A,FALSE,"Plan2"}</definedName>
    <definedName name="JDFKHFKJ" localSheetId="1" hidden="1">{#N/A,#N/A,FALSE,"Plan1";#N/A,#N/A,FALSE,"Plan2"}</definedName>
    <definedName name="JDFKHFKJ" localSheetId="2" hidden="1">{#N/A,#N/A,FALSE,"Plan1";#N/A,#N/A,FALSE,"Plan2"}</definedName>
    <definedName name="JDFKHFKJ" localSheetId="9" hidden="1">{#N/A,#N/A,FALSE,"Plan1";#N/A,#N/A,FALSE,"Plan2"}</definedName>
    <definedName name="JDFKHFKJ" localSheetId="5" hidden="1">{#N/A,#N/A,FALSE,"Plan1";#N/A,#N/A,FALSE,"Plan2"}</definedName>
    <definedName name="JDFKHFKJ" localSheetId="4" hidden="1">{#N/A,#N/A,FALSE,"Plan1";#N/A,#N/A,FALSE,"Plan2"}</definedName>
    <definedName name="JDFKHFKJ" localSheetId="8" hidden="1">{#N/A,#N/A,FALSE,"Plan1";#N/A,#N/A,FALSE,"Plan2"}</definedName>
    <definedName name="JDFKHFKJ" localSheetId="12" hidden="1">{#N/A,#N/A,FALSE,"Plan1";#N/A,#N/A,FALSE,"Plan2"}</definedName>
    <definedName name="JDFKHFKJ" localSheetId="16" hidden="1">{#N/A,#N/A,FALSE,"Plan1";#N/A,#N/A,FALSE,"Plan2"}</definedName>
    <definedName name="JDFKHFKJ" localSheetId="0" hidden="1">{#N/A,#N/A,FALSE,"Plan1";#N/A,#N/A,FALSE,"Plan2"}</definedName>
    <definedName name="JDFKHFKJ" localSheetId="11" hidden="1">{#N/A,#N/A,FALSE,"Plan1";#N/A,#N/A,FALSE,"Plan2"}</definedName>
    <definedName name="JDFKHFKJ" localSheetId="13" hidden="1">{#N/A,#N/A,FALSE,"Plan1";#N/A,#N/A,FALSE,"Plan2"}</definedName>
    <definedName name="JDFKHFKJ" hidden="1">{#N/A,#N/A,FALSE,"Plan1";#N/A,#N/A,FALSE,"Plan2"}</definedName>
    <definedName name="jdfklgtdtr" localSheetId="14" hidden="1">{#N/A,#N/A,FALSE,"Plan1";#N/A,#N/A,FALSE,"Plan2"}</definedName>
    <definedName name="jdfklgtdtr" localSheetId="7" hidden="1">{#N/A,#N/A,FALSE,"Plan1";#N/A,#N/A,FALSE,"Plan2"}</definedName>
    <definedName name="jdfklgtdtr" localSheetId="1" hidden="1">{#N/A,#N/A,FALSE,"Plan1";#N/A,#N/A,FALSE,"Plan2"}</definedName>
    <definedName name="jdfklgtdtr" localSheetId="2" hidden="1">{#N/A,#N/A,FALSE,"Plan1";#N/A,#N/A,FALSE,"Plan2"}</definedName>
    <definedName name="jdfklgtdtr" localSheetId="9" hidden="1">{#N/A,#N/A,FALSE,"Plan1";#N/A,#N/A,FALSE,"Plan2"}</definedName>
    <definedName name="jdfklgtdtr" localSheetId="5" hidden="1">{#N/A,#N/A,FALSE,"Plan1";#N/A,#N/A,FALSE,"Plan2"}</definedName>
    <definedName name="jdfklgtdtr" localSheetId="4" hidden="1">{#N/A,#N/A,FALSE,"Plan1";#N/A,#N/A,FALSE,"Plan2"}</definedName>
    <definedName name="jdfklgtdtr" localSheetId="8" hidden="1">{#N/A,#N/A,FALSE,"Plan1";#N/A,#N/A,FALSE,"Plan2"}</definedName>
    <definedName name="jdfklgtdtr" localSheetId="12" hidden="1">{#N/A,#N/A,FALSE,"Plan1";#N/A,#N/A,FALSE,"Plan2"}</definedName>
    <definedName name="jdfklgtdtr" localSheetId="16" hidden="1">{#N/A,#N/A,FALSE,"Plan1";#N/A,#N/A,FALSE,"Plan2"}</definedName>
    <definedName name="jdfklgtdtr" localSheetId="0" hidden="1">{#N/A,#N/A,FALSE,"Plan1";#N/A,#N/A,FALSE,"Plan2"}</definedName>
    <definedName name="jdfklgtdtr" localSheetId="11" hidden="1">{#N/A,#N/A,FALSE,"Plan1";#N/A,#N/A,FALSE,"Plan2"}</definedName>
    <definedName name="jdfklgtdtr" localSheetId="13" hidden="1">{#N/A,#N/A,FALSE,"Plan1";#N/A,#N/A,FALSE,"Plan2"}</definedName>
    <definedName name="jdfklgtdtr" hidden="1">{#N/A,#N/A,FALSE,"Plan1";#N/A,#N/A,FALSE,"Plan2"}</definedName>
    <definedName name="JDFKTHRT" localSheetId="14" hidden="1">{#N/A,#N/A,FALSE,"Plan1";#N/A,#N/A,FALSE,"Plan2"}</definedName>
    <definedName name="JDFKTHRT" localSheetId="7" hidden="1">{#N/A,#N/A,FALSE,"Plan1";#N/A,#N/A,FALSE,"Plan2"}</definedName>
    <definedName name="JDFKTHRT" localSheetId="1" hidden="1">{#N/A,#N/A,FALSE,"Plan1";#N/A,#N/A,FALSE,"Plan2"}</definedName>
    <definedName name="JDFKTHRT" localSheetId="2" hidden="1">{#N/A,#N/A,FALSE,"Plan1";#N/A,#N/A,FALSE,"Plan2"}</definedName>
    <definedName name="JDFKTHRT" localSheetId="9" hidden="1">{#N/A,#N/A,FALSE,"Plan1";#N/A,#N/A,FALSE,"Plan2"}</definedName>
    <definedName name="JDFKTHRT" localSheetId="5" hidden="1">{#N/A,#N/A,FALSE,"Plan1";#N/A,#N/A,FALSE,"Plan2"}</definedName>
    <definedName name="JDFKTHRT" localSheetId="4" hidden="1">{#N/A,#N/A,FALSE,"Plan1";#N/A,#N/A,FALSE,"Plan2"}</definedName>
    <definedName name="JDFKTHRT" localSheetId="8" hidden="1">{#N/A,#N/A,FALSE,"Plan1";#N/A,#N/A,FALSE,"Plan2"}</definedName>
    <definedName name="JDFKTHRT" localSheetId="12" hidden="1">{#N/A,#N/A,FALSE,"Plan1";#N/A,#N/A,FALSE,"Plan2"}</definedName>
    <definedName name="JDFKTHRT" localSheetId="16" hidden="1">{#N/A,#N/A,FALSE,"Plan1";#N/A,#N/A,FALSE,"Plan2"}</definedName>
    <definedName name="JDFKTHRT" localSheetId="0" hidden="1">{#N/A,#N/A,FALSE,"Plan1";#N/A,#N/A,FALSE,"Plan2"}</definedName>
    <definedName name="JDFKTHRT" localSheetId="11" hidden="1">{#N/A,#N/A,FALSE,"Plan1";#N/A,#N/A,FALSE,"Plan2"}</definedName>
    <definedName name="JDFKTHRT" localSheetId="13" hidden="1">{#N/A,#N/A,FALSE,"Plan1";#N/A,#N/A,FALSE,"Plan2"}</definedName>
    <definedName name="JDFKTHRT" hidden="1">{#N/A,#N/A,FALSE,"Plan1";#N/A,#N/A,FALSE,"Plan2"}</definedName>
    <definedName name="JDFLKJDRF" localSheetId="14" hidden="1">{#N/A,#N/A,FALSE,"Plan1";#N/A,#N/A,FALSE,"Plan2"}</definedName>
    <definedName name="JDFLKJDRF" localSheetId="7" hidden="1">{#N/A,#N/A,FALSE,"Plan1";#N/A,#N/A,FALSE,"Plan2"}</definedName>
    <definedName name="JDFLKJDRF" localSheetId="1" hidden="1">{#N/A,#N/A,FALSE,"Plan1";#N/A,#N/A,FALSE,"Plan2"}</definedName>
    <definedName name="JDFLKJDRF" localSheetId="2" hidden="1">{#N/A,#N/A,FALSE,"Plan1";#N/A,#N/A,FALSE,"Plan2"}</definedName>
    <definedName name="JDFLKJDRF" localSheetId="9" hidden="1">{#N/A,#N/A,FALSE,"Plan1";#N/A,#N/A,FALSE,"Plan2"}</definedName>
    <definedName name="JDFLKJDRF" localSheetId="5" hidden="1">{#N/A,#N/A,FALSE,"Plan1";#N/A,#N/A,FALSE,"Plan2"}</definedName>
    <definedName name="JDFLKJDRF" localSheetId="4" hidden="1">{#N/A,#N/A,FALSE,"Plan1";#N/A,#N/A,FALSE,"Plan2"}</definedName>
    <definedName name="JDFLKJDRF" localSheetId="8" hidden="1">{#N/A,#N/A,FALSE,"Plan1";#N/A,#N/A,FALSE,"Plan2"}</definedName>
    <definedName name="JDFLKJDRF" localSheetId="12" hidden="1">{#N/A,#N/A,FALSE,"Plan1";#N/A,#N/A,FALSE,"Plan2"}</definedName>
    <definedName name="JDFLKJDRF" localSheetId="16" hidden="1">{#N/A,#N/A,FALSE,"Plan1";#N/A,#N/A,FALSE,"Plan2"}</definedName>
    <definedName name="JDFLKJDRF" localSheetId="0" hidden="1">{#N/A,#N/A,FALSE,"Plan1";#N/A,#N/A,FALSE,"Plan2"}</definedName>
    <definedName name="JDFLKJDRF" localSheetId="11" hidden="1">{#N/A,#N/A,FALSE,"Plan1";#N/A,#N/A,FALSE,"Plan2"}</definedName>
    <definedName name="JDFLKJDRF" localSheetId="13" hidden="1">{#N/A,#N/A,FALSE,"Plan1";#N/A,#N/A,FALSE,"Plan2"}</definedName>
    <definedName name="JDFLKJDRF" hidden="1">{#N/A,#N/A,FALSE,"Plan1";#N/A,#N/A,FALSE,"Plan2"}</definedName>
    <definedName name="jdfzlkjgfdht" localSheetId="14" hidden="1">{#N/A,#N/A,FALSE,"Plan1";#N/A,#N/A,FALSE,"Plan2"}</definedName>
    <definedName name="jdfzlkjgfdht" localSheetId="7" hidden="1">{#N/A,#N/A,FALSE,"Plan1";#N/A,#N/A,FALSE,"Plan2"}</definedName>
    <definedName name="jdfzlkjgfdht" localSheetId="1" hidden="1">{#N/A,#N/A,FALSE,"Plan1";#N/A,#N/A,FALSE,"Plan2"}</definedName>
    <definedName name="jdfzlkjgfdht" localSheetId="2" hidden="1">{#N/A,#N/A,FALSE,"Plan1";#N/A,#N/A,FALSE,"Plan2"}</definedName>
    <definedName name="jdfzlkjgfdht" localSheetId="9" hidden="1">{#N/A,#N/A,FALSE,"Plan1";#N/A,#N/A,FALSE,"Plan2"}</definedName>
    <definedName name="jdfzlkjgfdht" localSheetId="5" hidden="1">{#N/A,#N/A,FALSE,"Plan1";#N/A,#N/A,FALSE,"Plan2"}</definedName>
    <definedName name="jdfzlkjgfdht" localSheetId="4" hidden="1">{#N/A,#N/A,FALSE,"Plan1";#N/A,#N/A,FALSE,"Plan2"}</definedName>
    <definedName name="jdfzlkjgfdht" localSheetId="8" hidden="1">{#N/A,#N/A,FALSE,"Plan1";#N/A,#N/A,FALSE,"Plan2"}</definedName>
    <definedName name="jdfzlkjgfdht" localSheetId="12" hidden="1">{#N/A,#N/A,FALSE,"Plan1";#N/A,#N/A,FALSE,"Plan2"}</definedName>
    <definedName name="jdfzlkjgfdht" localSheetId="16" hidden="1">{#N/A,#N/A,FALSE,"Plan1";#N/A,#N/A,FALSE,"Plan2"}</definedName>
    <definedName name="jdfzlkjgfdht" localSheetId="0" hidden="1">{#N/A,#N/A,FALSE,"Plan1";#N/A,#N/A,FALSE,"Plan2"}</definedName>
    <definedName name="jdfzlkjgfdht" localSheetId="11" hidden="1">{#N/A,#N/A,FALSE,"Plan1";#N/A,#N/A,FALSE,"Plan2"}</definedName>
    <definedName name="jdfzlkjgfdht" localSheetId="13" hidden="1">{#N/A,#N/A,FALSE,"Plan1";#N/A,#N/A,FALSE,"Plan2"}</definedName>
    <definedName name="jdfzlkjgfdht" hidden="1">{#N/A,#N/A,FALSE,"Plan1";#N/A,#N/A,FALSE,"Plan2"}</definedName>
    <definedName name="jdglhfghkt" localSheetId="14" hidden="1">{#N/A,#N/A,FALSE,"Plan1";#N/A,#N/A,FALSE,"Plan2"}</definedName>
    <definedName name="jdglhfghkt" localSheetId="7" hidden="1">{#N/A,#N/A,FALSE,"Plan1";#N/A,#N/A,FALSE,"Plan2"}</definedName>
    <definedName name="jdglhfghkt" localSheetId="1" hidden="1">{#N/A,#N/A,FALSE,"Plan1";#N/A,#N/A,FALSE,"Plan2"}</definedName>
    <definedName name="jdglhfghkt" localSheetId="2" hidden="1">{#N/A,#N/A,FALSE,"Plan1";#N/A,#N/A,FALSE,"Plan2"}</definedName>
    <definedName name="jdglhfghkt" localSheetId="9" hidden="1">{#N/A,#N/A,FALSE,"Plan1";#N/A,#N/A,FALSE,"Plan2"}</definedName>
    <definedName name="jdglhfghkt" localSheetId="5" hidden="1">{#N/A,#N/A,FALSE,"Plan1";#N/A,#N/A,FALSE,"Plan2"}</definedName>
    <definedName name="jdglhfghkt" localSheetId="4" hidden="1">{#N/A,#N/A,FALSE,"Plan1";#N/A,#N/A,FALSE,"Plan2"}</definedName>
    <definedName name="jdglhfghkt" localSheetId="8" hidden="1">{#N/A,#N/A,FALSE,"Plan1";#N/A,#N/A,FALSE,"Plan2"}</definedName>
    <definedName name="jdglhfghkt" localSheetId="12" hidden="1">{#N/A,#N/A,FALSE,"Plan1";#N/A,#N/A,FALSE,"Plan2"}</definedName>
    <definedName name="jdglhfghkt" localSheetId="16" hidden="1">{#N/A,#N/A,FALSE,"Plan1";#N/A,#N/A,FALSE,"Plan2"}</definedName>
    <definedName name="jdglhfghkt" localSheetId="0" hidden="1">{#N/A,#N/A,FALSE,"Plan1";#N/A,#N/A,FALSE,"Plan2"}</definedName>
    <definedName name="jdglhfghkt" localSheetId="11" hidden="1">{#N/A,#N/A,FALSE,"Plan1";#N/A,#N/A,FALSE,"Plan2"}</definedName>
    <definedName name="jdglhfghkt" localSheetId="13" hidden="1">{#N/A,#N/A,FALSE,"Plan1";#N/A,#N/A,FALSE,"Plan2"}</definedName>
    <definedName name="jdglhfghkt" hidden="1">{#N/A,#N/A,FALSE,"Plan1";#N/A,#N/A,FALSE,"Plan2"}</definedName>
    <definedName name="jdhfjdhgfd" localSheetId="14" hidden="1">{#N/A,#N/A,FALSE,"Plan1";#N/A,#N/A,FALSE,"Plan2"}</definedName>
    <definedName name="jdhfjdhgfd" localSheetId="7" hidden="1">{#N/A,#N/A,FALSE,"Plan1";#N/A,#N/A,FALSE,"Plan2"}</definedName>
    <definedName name="jdhfjdhgfd" localSheetId="1" hidden="1">{#N/A,#N/A,FALSE,"Plan1";#N/A,#N/A,FALSE,"Plan2"}</definedName>
    <definedName name="jdhfjdhgfd" localSheetId="2" hidden="1">{#N/A,#N/A,FALSE,"Plan1";#N/A,#N/A,FALSE,"Plan2"}</definedName>
    <definedName name="jdhfjdhgfd" localSheetId="9" hidden="1">{#N/A,#N/A,FALSE,"Plan1";#N/A,#N/A,FALSE,"Plan2"}</definedName>
    <definedName name="jdhfjdhgfd" localSheetId="5" hidden="1">{#N/A,#N/A,FALSE,"Plan1";#N/A,#N/A,FALSE,"Plan2"}</definedName>
    <definedName name="jdhfjdhgfd" localSheetId="4" hidden="1">{#N/A,#N/A,FALSE,"Plan1";#N/A,#N/A,FALSE,"Plan2"}</definedName>
    <definedName name="jdhfjdhgfd" localSheetId="8" hidden="1">{#N/A,#N/A,FALSE,"Plan1";#N/A,#N/A,FALSE,"Plan2"}</definedName>
    <definedName name="jdhfjdhgfd" localSheetId="12" hidden="1">{#N/A,#N/A,FALSE,"Plan1";#N/A,#N/A,FALSE,"Plan2"}</definedName>
    <definedName name="jdhfjdhgfd" localSheetId="16" hidden="1">{#N/A,#N/A,FALSE,"Plan1";#N/A,#N/A,FALSE,"Plan2"}</definedName>
    <definedName name="jdhfjdhgfd" localSheetId="0" hidden="1">{#N/A,#N/A,FALSE,"Plan1";#N/A,#N/A,FALSE,"Plan2"}</definedName>
    <definedName name="jdhfjdhgfd" localSheetId="11" hidden="1">{#N/A,#N/A,FALSE,"Plan1";#N/A,#N/A,FALSE,"Plan2"}</definedName>
    <definedName name="jdhfjdhgfd" localSheetId="13" hidden="1">{#N/A,#N/A,FALSE,"Plan1";#N/A,#N/A,FALSE,"Plan2"}</definedName>
    <definedName name="jdhfjdhgfd" hidden="1">{#N/A,#N/A,FALSE,"Plan1";#N/A,#N/A,FALSE,"Plan2"}</definedName>
    <definedName name="jdjdjdjd" localSheetId="14" hidden="1">{#N/A,#N/A,FALSE,"명세표"}</definedName>
    <definedName name="jdjdjdjd" localSheetId="7" hidden="1">{#N/A,#N/A,FALSE,"명세표"}</definedName>
    <definedName name="jdjdjdjd" localSheetId="1" hidden="1">{#N/A,#N/A,FALSE,"명세표"}</definedName>
    <definedName name="jdjdjdjd" localSheetId="2" hidden="1">{#N/A,#N/A,FALSE,"명세표"}</definedName>
    <definedName name="jdjdjdjd" localSheetId="9" hidden="1">{#N/A,#N/A,FALSE,"명세표"}</definedName>
    <definedName name="jdjdjdjd" localSheetId="5" hidden="1">{#N/A,#N/A,FALSE,"명세표"}</definedName>
    <definedName name="jdjdjdjd" localSheetId="4" hidden="1">{#N/A,#N/A,FALSE,"명세표"}</definedName>
    <definedName name="jdjdjdjd" localSheetId="8" hidden="1">{#N/A,#N/A,FALSE,"명세표"}</definedName>
    <definedName name="jdjdjdjd" localSheetId="12" hidden="1">{#N/A,#N/A,FALSE,"명세표"}</definedName>
    <definedName name="jdjdjdjd" localSheetId="16" hidden="1">{#N/A,#N/A,FALSE,"명세표"}</definedName>
    <definedName name="jdjdjdjd" localSheetId="0" hidden="1">{#N/A,#N/A,FALSE,"명세표"}</definedName>
    <definedName name="jdjdjdjd" localSheetId="11" hidden="1">{#N/A,#N/A,FALSE,"명세표"}</definedName>
    <definedName name="jdjdjdjd" localSheetId="13" hidden="1">{#N/A,#N/A,FALSE,"명세표"}</definedName>
    <definedName name="jdjdjdjd" hidden="1">{#N/A,#N/A,FALSE,"명세표"}</definedName>
    <definedName name="jdkfhgjhf" localSheetId="14" hidden="1">{#N/A,#N/A,FALSE,"Plan1";#N/A,#N/A,FALSE,"Plan2"}</definedName>
    <definedName name="jdkfhgjhf" localSheetId="7" hidden="1">{#N/A,#N/A,FALSE,"Plan1";#N/A,#N/A,FALSE,"Plan2"}</definedName>
    <definedName name="jdkfhgjhf" localSheetId="1" hidden="1">{#N/A,#N/A,FALSE,"Plan1";#N/A,#N/A,FALSE,"Plan2"}</definedName>
    <definedName name="jdkfhgjhf" localSheetId="2" hidden="1">{#N/A,#N/A,FALSE,"Plan1";#N/A,#N/A,FALSE,"Plan2"}</definedName>
    <definedName name="jdkfhgjhf" localSheetId="9" hidden="1">{#N/A,#N/A,FALSE,"Plan1";#N/A,#N/A,FALSE,"Plan2"}</definedName>
    <definedName name="jdkfhgjhf" localSheetId="5" hidden="1">{#N/A,#N/A,FALSE,"Plan1";#N/A,#N/A,FALSE,"Plan2"}</definedName>
    <definedName name="jdkfhgjhf" localSheetId="4" hidden="1">{#N/A,#N/A,FALSE,"Plan1";#N/A,#N/A,FALSE,"Plan2"}</definedName>
    <definedName name="jdkfhgjhf" localSheetId="8" hidden="1">{#N/A,#N/A,FALSE,"Plan1";#N/A,#N/A,FALSE,"Plan2"}</definedName>
    <definedName name="jdkfhgjhf" localSheetId="12" hidden="1">{#N/A,#N/A,FALSE,"Plan1";#N/A,#N/A,FALSE,"Plan2"}</definedName>
    <definedName name="jdkfhgjhf" localSheetId="16" hidden="1">{#N/A,#N/A,FALSE,"Plan1";#N/A,#N/A,FALSE,"Plan2"}</definedName>
    <definedName name="jdkfhgjhf" localSheetId="0" hidden="1">{#N/A,#N/A,FALSE,"Plan1";#N/A,#N/A,FALSE,"Plan2"}</definedName>
    <definedName name="jdkfhgjhf" localSheetId="11" hidden="1">{#N/A,#N/A,FALSE,"Plan1";#N/A,#N/A,FALSE,"Plan2"}</definedName>
    <definedName name="jdkfhgjhf" localSheetId="13" hidden="1">{#N/A,#N/A,FALSE,"Plan1";#N/A,#N/A,FALSE,"Plan2"}</definedName>
    <definedName name="jdkfhgjhf" hidden="1">{#N/A,#N/A,FALSE,"Plan1";#N/A,#N/A,FALSE,"Plan2"}</definedName>
    <definedName name="jdkfjdtr" localSheetId="14" hidden="1">{#N/A,#N/A,FALSE,"Plan1";#N/A,#N/A,FALSE,"Plan2"}</definedName>
    <definedName name="jdkfjdtr" localSheetId="7" hidden="1">{#N/A,#N/A,FALSE,"Plan1";#N/A,#N/A,FALSE,"Plan2"}</definedName>
    <definedName name="jdkfjdtr" localSheetId="1" hidden="1">{#N/A,#N/A,FALSE,"Plan1";#N/A,#N/A,FALSE,"Plan2"}</definedName>
    <definedName name="jdkfjdtr" localSheetId="2" hidden="1">{#N/A,#N/A,FALSE,"Plan1";#N/A,#N/A,FALSE,"Plan2"}</definedName>
    <definedName name="jdkfjdtr" localSheetId="9" hidden="1">{#N/A,#N/A,FALSE,"Plan1";#N/A,#N/A,FALSE,"Plan2"}</definedName>
    <definedName name="jdkfjdtr" localSheetId="5" hidden="1">{#N/A,#N/A,FALSE,"Plan1";#N/A,#N/A,FALSE,"Plan2"}</definedName>
    <definedName name="jdkfjdtr" localSheetId="4" hidden="1">{#N/A,#N/A,FALSE,"Plan1";#N/A,#N/A,FALSE,"Plan2"}</definedName>
    <definedName name="jdkfjdtr" localSheetId="8" hidden="1">{#N/A,#N/A,FALSE,"Plan1";#N/A,#N/A,FALSE,"Plan2"}</definedName>
    <definedName name="jdkfjdtr" localSheetId="12" hidden="1">{#N/A,#N/A,FALSE,"Plan1";#N/A,#N/A,FALSE,"Plan2"}</definedName>
    <definedName name="jdkfjdtr" localSheetId="16" hidden="1">{#N/A,#N/A,FALSE,"Plan1";#N/A,#N/A,FALSE,"Plan2"}</definedName>
    <definedName name="jdkfjdtr" localSheetId="0" hidden="1">{#N/A,#N/A,FALSE,"Plan1";#N/A,#N/A,FALSE,"Plan2"}</definedName>
    <definedName name="jdkfjdtr" localSheetId="11" hidden="1">{#N/A,#N/A,FALSE,"Plan1";#N/A,#N/A,FALSE,"Plan2"}</definedName>
    <definedName name="jdkfjdtr" localSheetId="13" hidden="1">{#N/A,#N/A,FALSE,"Plan1";#N/A,#N/A,FALSE,"Plan2"}</definedName>
    <definedName name="jdkfjdtr" hidden="1">{#N/A,#N/A,FALSE,"Plan1";#N/A,#N/A,FALSE,"Plan2"}</definedName>
    <definedName name="jdljgftldjti5r" localSheetId="14" hidden="1">{#N/A,#N/A,FALSE,"Plan1";#N/A,#N/A,FALSE,"Plan2"}</definedName>
    <definedName name="jdljgftldjti5r" localSheetId="7" hidden="1">{#N/A,#N/A,FALSE,"Plan1";#N/A,#N/A,FALSE,"Plan2"}</definedName>
    <definedName name="jdljgftldjti5r" localSheetId="1" hidden="1">{#N/A,#N/A,FALSE,"Plan1";#N/A,#N/A,FALSE,"Plan2"}</definedName>
    <definedName name="jdljgftldjti5r" localSheetId="2" hidden="1">{#N/A,#N/A,FALSE,"Plan1";#N/A,#N/A,FALSE,"Plan2"}</definedName>
    <definedName name="jdljgftldjti5r" localSheetId="9" hidden="1">{#N/A,#N/A,FALSE,"Plan1";#N/A,#N/A,FALSE,"Plan2"}</definedName>
    <definedName name="jdljgftldjti5r" localSheetId="5" hidden="1">{#N/A,#N/A,FALSE,"Plan1";#N/A,#N/A,FALSE,"Plan2"}</definedName>
    <definedName name="jdljgftldjti5r" localSheetId="4" hidden="1">{#N/A,#N/A,FALSE,"Plan1";#N/A,#N/A,FALSE,"Plan2"}</definedName>
    <definedName name="jdljgftldjti5r" localSheetId="8" hidden="1">{#N/A,#N/A,FALSE,"Plan1";#N/A,#N/A,FALSE,"Plan2"}</definedName>
    <definedName name="jdljgftldjti5r" localSheetId="12" hidden="1">{#N/A,#N/A,FALSE,"Plan1";#N/A,#N/A,FALSE,"Plan2"}</definedName>
    <definedName name="jdljgftldjti5r" localSheetId="16" hidden="1">{#N/A,#N/A,FALSE,"Plan1";#N/A,#N/A,FALSE,"Plan2"}</definedName>
    <definedName name="jdljgftldjti5r" localSheetId="0" hidden="1">{#N/A,#N/A,FALSE,"Plan1";#N/A,#N/A,FALSE,"Plan2"}</definedName>
    <definedName name="jdljgftldjti5r" localSheetId="11" hidden="1">{#N/A,#N/A,FALSE,"Plan1";#N/A,#N/A,FALSE,"Plan2"}</definedName>
    <definedName name="jdljgftldjti5r" localSheetId="13" hidden="1">{#N/A,#N/A,FALSE,"Plan1";#N/A,#N/A,FALSE,"Plan2"}</definedName>
    <definedName name="jdljgftldjti5r" hidden="1">{#N/A,#N/A,FALSE,"Plan1";#N/A,#N/A,FALSE,"Plan2"}</definedName>
    <definedName name="JDLKJDASGF" localSheetId="14" hidden="1">{#N/A,#N/A,FALSE,"Plan1";#N/A,#N/A,FALSE,"Plan2"}</definedName>
    <definedName name="JDLKJDASGF" localSheetId="7" hidden="1">{#N/A,#N/A,FALSE,"Plan1";#N/A,#N/A,FALSE,"Plan2"}</definedName>
    <definedName name="JDLKJDASGF" localSheetId="1" hidden="1">{#N/A,#N/A,FALSE,"Plan1";#N/A,#N/A,FALSE,"Plan2"}</definedName>
    <definedName name="JDLKJDASGF" localSheetId="2" hidden="1">{#N/A,#N/A,FALSE,"Plan1";#N/A,#N/A,FALSE,"Plan2"}</definedName>
    <definedName name="JDLKJDASGF" localSheetId="9" hidden="1">{#N/A,#N/A,FALSE,"Plan1";#N/A,#N/A,FALSE,"Plan2"}</definedName>
    <definedName name="JDLKJDASGF" localSheetId="5" hidden="1">{#N/A,#N/A,FALSE,"Plan1";#N/A,#N/A,FALSE,"Plan2"}</definedName>
    <definedName name="JDLKJDASGF" localSheetId="4" hidden="1">{#N/A,#N/A,FALSE,"Plan1";#N/A,#N/A,FALSE,"Plan2"}</definedName>
    <definedName name="JDLKJDASGF" localSheetId="8" hidden="1">{#N/A,#N/A,FALSE,"Plan1";#N/A,#N/A,FALSE,"Plan2"}</definedName>
    <definedName name="JDLKJDASGF" localSheetId="12" hidden="1">{#N/A,#N/A,FALSE,"Plan1";#N/A,#N/A,FALSE,"Plan2"}</definedName>
    <definedName name="JDLKJDASGF" localSheetId="16" hidden="1">{#N/A,#N/A,FALSE,"Plan1";#N/A,#N/A,FALSE,"Plan2"}</definedName>
    <definedName name="JDLKJDASGF" localSheetId="0" hidden="1">{#N/A,#N/A,FALSE,"Plan1";#N/A,#N/A,FALSE,"Plan2"}</definedName>
    <definedName name="JDLKJDASGF" localSheetId="11" hidden="1">{#N/A,#N/A,FALSE,"Plan1";#N/A,#N/A,FALSE,"Plan2"}</definedName>
    <definedName name="JDLKJDASGF" localSheetId="13" hidden="1">{#N/A,#N/A,FALSE,"Plan1";#N/A,#N/A,FALSE,"Plan2"}</definedName>
    <definedName name="JDLKJDASGF" hidden="1">{#N/A,#N/A,FALSE,"Plan1";#N/A,#N/A,FALSE,"Plan2"}</definedName>
    <definedName name="jdrfkdjfghrtfjg" localSheetId="14" hidden="1">{#N/A,#N/A,FALSE,"Plan1";#N/A,#N/A,FALSE,"Plan2"}</definedName>
    <definedName name="jdrfkdjfghrtfjg" localSheetId="7" hidden="1">{#N/A,#N/A,FALSE,"Plan1";#N/A,#N/A,FALSE,"Plan2"}</definedName>
    <definedName name="jdrfkdjfghrtfjg" localSheetId="1" hidden="1">{#N/A,#N/A,FALSE,"Plan1";#N/A,#N/A,FALSE,"Plan2"}</definedName>
    <definedName name="jdrfkdjfghrtfjg" localSheetId="2" hidden="1">{#N/A,#N/A,FALSE,"Plan1";#N/A,#N/A,FALSE,"Plan2"}</definedName>
    <definedName name="jdrfkdjfghrtfjg" localSheetId="9" hidden="1">{#N/A,#N/A,FALSE,"Plan1";#N/A,#N/A,FALSE,"Plan2"}</definedName>
    <definedName name="jdrfkdjfghrtfjg" localSheetId="5" hidden="1">{#N/A,#N/A,FALSE,"Plan1";#N/A,#N/A,FALSE,"Plan2"}</definedName>
    <definedName name="jdrfkdjfghrtfjg" localSheetId="4" hidden="1">{#N/A,#N/A,FALSE,"Plan1";#N/A,#N/A,FALSE,"Plan2"}</definedName>
    <definedName name="jdrfkdjfghrtfjg" localSheetId="8" hidden="1">{#N/A,#N/A,FALSE,"Plan1";#N/A,#N/A,FALSE,"Plan2"}</definedName>
    <definedName name="jdrfkdjfghrtfjg" localSheetId="12" hidden="1">{#N/A,#N/A,FALSE,"Plan1";#N/A,#N/A,FALSE,"Plan2"}</definedName>
    <definedName name="jdrfkdjfghrtfjg" localSheetId="16" hidden="1">{#N/A,#N/A,FALSE,"Plan1";#N/A,#N/A,FALSE,"Plan2"}</definedName>
    <definedName name="jdrfkdjfghrtfjg" localSheetId="0" hidden="1">{#N/A,#N/A,FALSE,"Plan1";#N/A,#N/A,FALSE,"Plan2"}</definedName>
    <definedName name="jdrfkdjfghrtfjg" localSheetId="11" hidden="1">{#N/A,#N/A,FALSE,"Plan1";#N/A,#N/A,FALSE,"Plan2"}</definedName>
    <definedName name="jdrfkdjfghrtfjg" localSheetId="13" hidden="1">{#N/A,#N/A,FALSE,"Plan1";#N/A,#N/A,FALSE,"Plan2"}</definedName>
    <definedName name="jdrfkdjfghrtfjg" hidden="1">{#N/A,#N/A,FALSE,"Plan1";#N/A,#N/A,FALSE,"Plan2"}</definedName>
    <definedName name="jdskfhdk" localSheetId="14" hidden="1">{#N/A,#N/A,FALSE,"Plan1";#N/A,#N/A,FALSE,"Plan2"}</definedName>
    <definedName name="jdskfhdk" localSheetId="7" hidden="1">{#N/A,#N/A,FALSE,"Plan1";#N/A,#N/A,FALSE,"Plan2"}</definedName>
    <definedName name="jdskfhdk" localSheetId="1" hidden="1">{#N/A,#N/A,FALSE,"Plan1";#N/A,#N/A,FALSE,"Plan2"}</definedName>
    <definedName name="jdskfhdk" localSheetId="2" hidden="1">{#N/A,#N/A,FALSE,"Plan1";#N/A,#N/A,FALSE,"Plan2"}</definedName>
    <definedName name="jdskfhdk" localSheetId="9" hidden="1">{#N/A,#N/A,FALSE,"Plan1";#N/A,#N/A,FALSE,"Plan2"}</definedName>
    <definedName name="jdskfhdk" localSheetId="5" hidden="1">{#N/A,#N/A,FALSE,"Plan1";#N/A,#N/A,FALSE,"Plan2"}</definedName>
    <definedName name="jdskfhdk" localSheetId="4" hidden="1">{#N/A,#N/A,FALSE,"Plan1";#N/A,#N/A,FALSE,"Plan2"}</definedName>
    <definedName name="jdskfhdk" localSheetId="8" hidden="1">{#N/A,#N/A,FALSE,"Plan1";#N/A,#N/A,FALSE,"Plan2"}</definedName>
    <definedName name="jdskfhdk" localSheetId="12" hidden="1">{#N/A,#N/A,FALSE,"Plan1";#N/A,#N/A,FALSE,"Plan2"}</definedName>
    <definedName name="jdskfhdk" localSheetId="16" hidden="1">{#N/A,#N/A,FALSE,"Plan1";#N/A,#N/A,FALSE,"Plan2"}</definedName>
    <definedName name="jdskfhdk" localSheetId="0" hidden="1">{#N/A,#N/A,FALSE,"Plan1";#N/A,#N/A,FALSE,"Plan2"}</definedName>
    <definedName name="jdskfhdk" localSheetId="11" hidden="1">{#N/A,#N/A,FALSE,"Plan1";#N/A,#N/A,FALSE,"Plan2"}</definedName>
    <definedName name="jdskfhdk" localSheetId="13" hidden="1">{#N/A,#N/A,FALSE,"Plan1";#N/A,#N/A,FALSE,"Plan2"}</definedName>
    <definedName name="jdskfhdk" hidden="1">{#N/A,#N/A,FALSE,"Plan1";#N/A,#N/A,FALSE,"Plan2"}</definedName>
    <definedName name="JDSKLGKDRHGGF" localSheetId="14" hidden="1">{#N/A,#N/A,FALSE,"Plan1";#N/A,#N/A,FALSE,"Plan2"}</definedName>
    <definedName name="JDSKLGKDRHGGF" localSheetId="7" hidden="1">{#N/A,#N/A,FALSE,"Plan1";#N/A,#N/A,FALSE,"Plan2"}</definedName>
    <definedName name="JDSKLGKDRHGGF" localSheetId="1" hidden="1">{#N/A,#N/A,FALSE,"Plan1";#N/A,#N/A,FALSE,"Plan2"}</definedName>
    <definedName name="JDSKLGKDRHGGF" localSheetId="2" hidden="1">{#N/A,#N/A,FALSE,"Plan1";#N/A,#N/A,FALSE,"Plan2"}</definedName>
    <definedName name="JDSKLGKDRHGGF" localSheetId="9" hidden="1">{#N/A,#N/A,FALSE,"Plan1";#N/A,#N/A,FALSE,"Plan2"}</definedName>
    <definedName name="JDSKLGKDRHGGF" localSheetId="5" hidden="1">{#N/A,#N/A,FALSE,"Plan1";#N/A,#N/A,FALSE,"Plan2"}</definedName>
    <definedName name="JDSKLGKDRHGGF" localSheetId="4" hidden="1">{#N/A,#N/A,FALSE,"Plan1";#N/A,#N/A,FALSE,"Plan2"}</definedName>
    <definedName name="JDSKLGKDRHGGF" localSheetId="8" hidden="1">{#N/A,#N/A,FALSE,"Plan1";#N/A,#N/A,FALSE,"Plan2"}</definedName>
    <definedName name="JDSKLGKDRHGGF" localSheetId="12" hidden="1">{#N/A,#N/A,FALSE,"Plan1";#N/A,#N/A,FALSE,"Plan2"}</definedName>
    <definedName name="JDSKLGKDRHGGF" localSheetId="16" hidden="1">{#N/A,#N/A,FALSE,"Plan1";#N/A,#N/A,FALSE,"Plan2"}</definedName>
    <definedName name="JDSKLGKDRHGGF" localSheetId="0" hidden="1">{#N/A,#N/A,FALSE,"Plan1";#N/A,#N/A,FALSE,"Plan2"}</definedName>
    <definedName name="JDSKLGKDRHGGF" localSheetId="11" hidden="1">{#N/A,#N/A,FALSE,"Plan1";#N/A,#N/A,FALSE,"Plan2"}</definedName>
    <definedName name="JDSKLGKDRHGGF" localSheetId="13" hidden="1">{#N/A,#N/A,FALSE,"Plan1";#N/A,#N/A,FALSE,"Plan2"}</definedName>
    <definedName name="JDSKLGKDRHGGF" hidden="1">{#N/A,#N/A,FALSE,"Plan1";#N/A,#N/A,FALSE,"Plan2"}</definedName>
    <definedName name="jefsgfr" localSheetId="14" hidden="1">{#N/A,#N/A,FALSE,"Plan1";#N/A,#N/A,FALSE,"Plan2"}</definedName>
    <definedName name="jefsgfr" localSheetId="7" hidden="1">{#N/A,#N/A,FALSE,"Plan1";#N/A,#N/A,FALSE,"Plan2"}</definedName>
    <definedName name="jefsgfr" localSheetId="1" hidden="1">{#N/A,#N/A,FALSE,"Plan1";#N/A,#N/A,FALSE,"Plan2"}</definedName>
    <definedName name="jefsgfr" localSheetId="2" hidden="1">{#N/A,#N/A,FALSE,"Plan1";#N/A,#N/A,FALSE,"Plan2"}</definedName>
    <definedName name="jefsgfr" localSheetId="9" hidden="1">{#N/A,#N/A,FALSE,"Plan1";#N/A,#N/A,FALSE,"Plan2"}</definedName>
    <definedName name="jefsgfr" localSheetId="5" hidden="1">{#N/A,#N/A,FALSE,"Plan1";#N/A,#N/A,FALSE,"Plan2"}</definedName>
    <definedName name="jefsgfr" localSheetId="4" hidden="1">{#N/A,#N/A,FALSE,"Plan1";#N/A,#N/A,FALSE,"Plan2"}</definedName>
    <definedName name="jefsgfr" localSheetId="8" hidden="1">{#N/A,#N/A,FALSE,"Plan1";#N/A,#N/A,FALSE,"Plan2"}</definedName>
    <definedName name="jefsgfr" localSheetId="12" hidden="1">{#N/A,#N/A,FALSE,"Plan1";#N/A,#N/A,FALSE,"Plan2"}</definedName>
    <definedName name="jefsgfr" localSheetId="16" hidden="1">{#N/A,#N/A,FALSE,"Plan1";#N/A,#N/A,FALSE,"Plan2"}</definedName>
    <definedName name="jefsgfr" localSheetId="0" hidden="1">{#N/A,#N/A,FALSE,"Plan1";#N/A,#N/A,FALSE,"Plan2"}</definedName>
    <definedName name="jefsgfr" localSheetId="11" hidden="1">{#N/A,#N/A,FALSE,"Plan1";#N/A,#N/A,FALSE,"Plan2"}</definedName>
    <definedName name="jefsgfr" localSheetId="13" hidden="1">{#N/A,#N/A,FALSE,"Plan1";#N/A,#N/A,FALSE,"Plan2"}</definedName>
    <definedName name="jefsgfr" hidden="1">{#N/A,#N/A,FALSE,"Plan1";#N/A,#N/A,FALSE,"Plan2"}</definedName>
    <definedName name="JERHIEHYURE" localSheetId="14" hidden="1">{#N/A,#N/A,FALSE,"Plan1";#N/A,#N/A,FALSE,"Plan2"}</definedName>
    <definedName name="JERHIEHYURE" localSheetId="7" hidden="1">{#N/A,#N/A,FALSE,"Plan1";#N/A,#N/A,FALSE,"Plan2"}</definedName>
    <definedName name="JERHIEHYURE" localSheetId="1" hidden="1">{#N/A,#N/A,FALSE,"Plan1";#N/A,#N/A,FALSE,"Plan2"}</definedName>
    <definedName name="JERHIEHYURE" localSheetId="2" hidden="1">{#N/A,#N/A,FALSE,"Plan1";#N/A,#N/A,FALSE,"Plan2"}</definedName>
    <definedName name="JERHIEHYURE" localSheetId="9" hidden="1">{#N/A,#N/A,FALSE,"Plan1";#N/A,#N/A,FALSE,"Plan2"}</definedName>
    <definedName name="JERHIEHYURE" localSheetId="5" hidden="1">{#N/A,#N/A,FALSE,"Plan1";#N/A,#N/A,FALSE,"Plan2"}</definedName>
    <definedName name="JERHIEHYURE" localSheetId="4" hidden="1">{#N/A,#N/A,FALSE,"Plan1";#N/A,#N/A,FALSE,"Plan2"}</definedName>
    <definedName name="JERHIEHYURE" localSheetId="8" hidden="1">{#N/A,#N/A,FALSE,"Plan1";#N/A,#N/A,FALSE,"Plan2"}</definedName>
    <definedName name="JERHIEHYURE" localSheetId="12" hidden="1">{#N/A,#N/A,FALSE,"Plan1";#N/A,#N/A,FALSE,"Plan2"}</definedName>
    <definedName name="JERHIEHYURE" localSheetId="16" hidden="1">{#N/A,#N/A,FALSE,"Plan1";#N/A,#N/A,FALSE,"Plan2"}</definedName>
    <definedName name="JERHIEHYURE" localSheetId="0" hidden="1">{#N/A,#N/A,FALSE,"Plan1";#N/A,#N/A,FALSE,"Plan2"}</definedName>
    <definedName name="JERHIEHYURE" localSheetId="11" hidden="1">{#N/A,#N/A,FALSE,"Plan1";#N/A,#N/A,FALSE,"Plan2"}</definedName>
    <definedName name="JERHIEHYURE" localSheetId="13" hidden="1">{#N/A,#N/A,FALSE,"Plan1";#N/A,#N/A,FALSE,"Plan2"}</definedName>
    <definedName name="JERHIEHYURE" hidden="1">{#N/A,#N/A,FALSE,"Plan1";#N/A,#N/A,FALSE,"Plan2"}</definedName>
    <definedName name="jfddlsrtyty" localSheetId="14" hidden="1">{#N/A,#N/A,FALSE,"Plan1";#N/A,#N/A,FALSE,"Plan2"}</definedName>
    <definedName name="jfddlsrtyty" localSheetId="7" hidden="1">{#N/A,#N/A,FALSE,"Plan1";#N/A,#N/A,FALSE,"Plan2"}</definedName>
    <definedName name="jfddlsrtyty" localSheetId="1" hidden="1">{#N/A,#N/A,FALSE,"Plan1";#N/A,#N/A,FALSE,"Plan2"}</definedName>
    <definedName name="jfddlsrtyty" localSheetId="2" hidden="1">{#N/A,#N/A,FALSE,"Plan1";#N/A,#N/A,FALSE,"Plan2"}</definedName>
    <definedName name="jfddlsrtyty" localSheetId="9" hidden="1">{#N/A,#N/A,FALSE,"Plan1";#N/A,#N/A,FALSE,"Plan2"}</definedName>
    <definedName name="jfddlsrtyty" localSheetId="5" hidden="1">{#N/A,#N/A,FALSE,"Plan1";#N/A,#N/A,FALSE,"Plan2"}</definedName>
    <definedName name="jfddlsrtyty" localSheetId="4" hidden="1">{#N/A,#N/A,FALSE,"Plan1";#N/A,#N/A,FALSE,"Plan2"}</definedName>
    <definedName name="jfddlsrtyty" localSheetId="8" hidden="1">{#N/A,#N/A,FALSE,"Plan1";#N/A,#N/A,FALSE,"Plan2"}</definedName>
    <definedName name="jfddlsrtyty" localSheetId="12" hidden="1">{#N/A,#N/A,FALSE,"Plan1";#N/A,#N/A,FALSE,"Plan2"}</definedName>
    <definedName name="jfddlsrtyty" localSheetId="16" hidden="1">{#N/A,#N/A,FALSE,"Plan1";#N/A,#N/A,FALSE,"Plan2"}</definedName>
    <definedName name="jfddlsrtyty" localSheetId="0" hidden="1">{#N/A,#N/A,FALSE,"Plan1";#N/A,#N/A,FALSE,"Plan2"}</definedName>
    <definedName name="jfddlsrtyty" localSheetId="11" hidden="1">{#N/A,#N/A,FALSE,"Plan1";#N/A,#N/A,FALSE,"Plan2"}</definedName>
    <definedName name="jfddlsrtyty" localSheetId="13" hidden="1">{#N/A,#N/A,FALSE,"Plan1";#N/A,#N/A,FALSE,"Plan2"}</definedName>
    <definedName name="jfddlsrtyty" hidden="1">{#N/A,#N/A,FALSE,"Plan1";#N/A,#N/A,FALSE,"Plan2"}</definedName>
    <definedName name="jfdjtgdjghitfyh" localSheetId="14" hidden="1">{#N/A,#N/A,FALSE,"Plan1";#N/A,#N/A,FALSE,"Plan2"}</definedName>
    <definedName name="jfdjtgdjghitfyh" localSheetId="7" hidden="1">{#N/A,#N/A,FALSE,"Plan1";#N/A,#N/A,FALSE,"Plan2"}</definedName>
    <definedName name="jfdjtgdjghitfyh" localSheetId="1" hidden="1">{#N/A,#N/A,FALSE,"Plan1";#N/A,#N/A,FALSE,"Plan2"}</definedName>
    <definedName name="jfdjtgdjghitfyh" localSheetId="2" hidden="1">{#N/A,#N/A,FALSE,"Plan1";#N/A,#N/A,FALSE,"Plan2"}</definedName>
    <definedName name="jfdjtgdjghitfyh" localSheetId="9" hidden="1">{#N/A,#N/A,FALSE,"Plan1";#N/A,#N/A,FALSE,"Plan2"}</definedName>
    <definedName name="jfdjtgdjghitfyh" localSheetId="5" hidden="1">{#N/A,#N/A,FALSE,"Plan1";#N/A,#N/A,FALSE,"Plan2"}</definedName>
    <definedName name="jfdjtgdjghitfyh" localSheetId="4" hidden="1">{#N/A,#N/A,FALSE,"Plan1";#N/A,#N/A,FALSE,"Plan2"}</definedName>
    <definedName name="jfdjtgdjghitfyh" localSheetId="8" hidden="1">{#N/A,#N/A,FALSE,"Plan1";#N/A,#N/A,FALSE,"Plan2"}</definedName>
    <definedName name="jfdjtgdjghitfyh" localSheetId="12" hidden="1">{#N/A,#N/A,FALSE,"Plan1";#N/A,#N/A,FALSE,"Plan2"}</definedName>
    <definedName name="jfdjtgdjghitfyh" localSheetId="16" hidden="1">{#N/A,#N/A,FALSE,"Plan1";#N/A,#N/A,FALSE,"Plan2"}</definedName>
    <definedName name="jfdjtgdjghitfyh" localSheetId="0" hidden="1">{#N/A,#N/A,FALSE,"Plan1";#N/A,#N/A,FALSE,"Plan2"}</definedName>
    <definedName name="jfdjtgdjghitfyh" localSheetId="11" hidden="1">{#N/A,#N/A,FALSE,"Plan1";#N/A,#N/A,FALSE,"Plan2"}</definedName>
    <definedName name="jfdjtgdjghitfyh" localSheetId="13" hidden="1">{#N/A,#N/A,FALSE,"Plan1";#N/A,#N/A,FALSE,"Plan2"}</definedName>
    <definedName name="jfdjtgdjghitfyh" hidden="1">{#N/A,#N/A,FALSE,"Plan1";#N/A,#N/A,FALSE,"Plan2"}</definedName>
    <definedName name="jfdkgkftftg" localSheetId="14" hidden="1">{#N/A,#N/A,FALSE,"Plan1";#N/A,#N/A,FALSE,"Plan2"}</definedName>
    <definedName name="jfdkgkftftg" localSheetId="7" hidden="1">{#N/A,#N/A,FALSE,"Plan1";#N/A,#N/A,FALSE,"Plan2"}</definedName>
    <definedName name="jfdkgkftftg" localSheetId="1" hidden="1">{#N/A,#N/A,FALSE,"Plan1";#N/A,#N/A,FALSE,"Plan2"}</definedName>
    <definedName name="jfdkgkftftg" localSheetId="2" hidden="1">{#N/A,#N/A,FALSE,"Plan1";#N/A,#N/A,FALSE,"Plan2"}</definedName>
    <definedName name="jfdkgkftftg" localSheetId="9" hidden="1">{#N/A,#N/A,FALSE,"Plan1";#N/A,#N/A,FALSE,"Plan2"}</definedName>
    <definedName name="jfdkgkftftg" localSheetId="5" hidden="1">{#N/A,#N/A,FALSE,"Plan1";#N/A,#N/A,FALSE,"Plan2"}</definedName>
    <definedName name="jfdkgkftftg" localSheetId="4" hidden="1">{#N/A,#N/A,FALSE,"Plan1";#N/A,#N/A,FALSE,"Plan2"}</definedName>
    <definedName name="jfdkgkftftg" localSheetId="8" hidden="1">{#N/A,#N/A,FALSE,"Plan1";#N/A,#N/A,FALSE,"Plan2"}</definedName>
    <definedName name="jfdkgkftftg" localSheetId="12" hidden="1">{#N/A,#N/A,FALSE,"Plan1";#N/A,#N/A,FALSE,"Plan2"}</definedName>
    <definedName name="jfdkgkftftg" localSheetId="16" hidden="1">{#N/A,#N/A,FALSE,"Plan1";#N/A,#N/A,FALSE,"Plan2"}</definedName>
    <definedName name="jfdkgkftftg" localSheetId="0" hidden="1">{#N/A,#N/A,FALSE,"Plan1";#N/A,#N/A,FALSE,"Plan2"}</definedName>
    <definedName name="jfdkgkftftg" localSheetId="11" hidden="1">{#N/A,#N/A,FALSE,"Plan1";#N/A,#N/A,FALSE,"Plan2"}</definedName>
    <definedName name="jfdkgkftftg" localSheetId="13" hidden="1">{#N/A,#N/A,FALSE,"Plan1";#N/A,#N/A,FALSE,"Plan2"}</definedName>
    <definedName name="jfdkgkftftg" hidden="1">{#N/A,#N/A,FALSE,"Plan1";#N/A,#N/A,FALSE,"Plan2"}</definedName>
    <definedName name="jfghjkfdhtkyru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4" hidden="1">{#N/A,#N/A,FALSE,"Plan1";#N/A,#N/A,FALSE,"Plan2"}</definedName>
    <definedName name="JFGJYHTY" localSheetId="7" hidden="1">{#N/A,#N/A,FALSE,"Plan1";#N/A,#N/A,FALSE,"Plan2"}</definedName>
    <definedName name="JFGJYHTY" localSheetId="1" hidden="1">{#N/A,#N/A,FALSE,"Plan1";#N/A,#N/A,FALSE,"Plan2"}</definedName>
    <definedName name="JFGJYHTY" localSheetId="2" hidden="1">{#N/A,#N/A,FALSE,"Plan1";#N/A,#N/A,FALSE,"Plan2"}</definedName>
    <definedName name="JFGJYHTY" localSheetId="9" hidden="1">{#N/A,#N/A,FALSE,"Plan1";#N/A,#N/A,FALSE,"Plan2"}</definedName>
    <definedName name="JFGJYHTY" localSheetId="5" hidden="1">{#N/A,#N/A,FALSE,"Plan1";#N/A,#N/A,FALSE,"Plan2"}</definedName>
    <definedName name="JFGJYHTY" localSheetId="4" hidden="1">{#N/A,#N/A,FALSE,"Plan1";#N/A,#N/A,FALSE,"Plan2"}</definedName>
    <definedName name="JFGJYHTY" localSheetId="8" hidden="1">{#N/A,#N/A,FALSE,"Plan1";#N/A,#N/A,FALSE,"Plan2"}</definedName>
    <definedName name="JFGJYHTY" localSheetId="12" hidden="1">{#N/A,#N/A,FALSE,"Plan1";#N/A,#N/A,FALSE,"Plan2"}</definedName>
    <definedName name="JFGJYHTY" localSheetId="16" hidden="1">{#N/A,#N/A,FALSE,"Plan1";#N/A,#N/A,FALSE,"Plan2"}</definedName>
    <definedName name="JFGJYHTY" localSheetId="0" hidden="1">{#N/A,#N/A,FALSE,"Plan1";#N/A,#N/A,FALSE,"Plan2"}</definedName>
    <definedName name="JFGJYHTY" localSheetId="11" hidden="1">{#N/A,#N/A,FALSE,"Plan1";#N/A,#N/A,FALSE,"Plan2"}</definedName>
    <definedName name="JFGJYHTY" localSheetId="13" hidden="1">{#N/A,#N/A,FALSE,"Plan1";#N/A,#N/A,FALSE,"Plan2"}</definedName>
    <definedName name="JFGJYHTY" hidden="1">{#N/A,#N/A,FALSE,"Plan1";#N/A,#N/A,FALSE,"Plan2"}</definedName>
    <definedName name="jfgkflcnjkglc" localSheetId="14" hidden="1">{#N/A,#N/A,FALSE,"Plan1";#N/A,#N/A,FALSE,"Plan2"}</definedName>
    <definedName name="jfgkflcnjkglc" localSheetId="7" hidden="1">{#N/A,#N/A,FALSE,"Plan1";#N/A,#N/A,FALSE,"Plan2"}</definedName>
    <definedName name="jfgkflcnjkglc" localSheetId="1" hidden="1">{#N/A,#N/A,FALSE,"Plan1";#N/A,#N/A,FALSE,"Plan2"}</definedName>
    <definedName name="jfgkflcnjkglc" localSheetId="2" hidden="1">{#N/A,#N/A,FALSE,"Plan1";#N/A,#N/A,FALSE,"Plan2"}</definedName>
    <definedName name="jfgkflcnjkglc" localSheetId="9" hidden="1">{#N/A,#N/A,FALSE,"Plan1";#N/A,#N/A,FALSE,"Plan2"}</definedName>
    <definedName name="jfgkflcnjkglc" localSheetId="5" hidden="1">{#N/A,#N/A,FALSE,"Plan1";#N/A,#N/A,FALSE,"Plan2"}</definedName>
    <definedName name="jfgkflcnjkglc" localSheetId="4" hidden="1">{#N/A,#N/A,FALSE,"Plan1";#N/A,#N/A,FALSE,"Plan2"}</definedName>
    <definedName name="jfgkflcnjkglc" localSheetId="8" hidden="1">{#N/A,#N/A,FALSE,"Plan1";#N/A,#N/A,FALSE,"Plan2"}</definedName>
    <definedName name="jfgkflcnjkglc" localSheetId="12" hidden="1">{#N/A,#N/A,FALSE,"Plan1";#N/A,#N/A,FALSE,"Plan2"}</definedName>
    <definedName name="jfgkflcnjkglc" localSheetId="16" hidden="1">{#N/A,#N/A,FALSE,"Plan1";#N/A,#N/A,FALSE,"Plan2"}</definedName>
    <definedName name="jfgkflcnjkglc" localSheetId="0" hidden="1">{#N/A,#N/A,FALSE,"Plan1";#N/A,#N/A,FALSE,"Plan2"}</definedName>
    <definedName name="jfgkflcnjkglc" localSheetId="11" hidden="1">{#N/A,#N/A,FALSE,"Plan1";#N/A,#N/A,FALSE,"Plan2"}</definedName>
    <definedName name="jfgkflcnjkglc" localSheetId="13" hidden="1">{#N/A,#N/A,FALSE,"Plan1";#N/A,#N/A,FALSE,"Plan2"}</definedName>
    <definedName name="jfgkflcnjkglc" hidden="1">{#N/A,#N/A,FALSE,"Plan1";#N/A,#N/A,FALSE,"Plan2"}</definedName>
    <definedName name="JFHRE" localSheetId="14" hidden="1">{#N/A,#N/A,FALSE,"Plan1";#N/A,#N/A,FALSE,"Plan2"}</definedName>
    <definedName name="JFHRE" localSheetId="7" hidden="1">{#N/A,#N/A,FALSE,"Plan1";#N/A,#N/A,FALSE,"Plan2"}</definedName>
    <definedName name="JFHRE" localSheetId="1" hidden="1">{#N/A,#N/A,FALSE,"Plan1";#N/A,#N/A,FALSE,"Plan2"}</definedName>
    <definedName name="JFHRE" localSheetId="2" hidden="1">{#N/A,#N/A,FALSE,"Plan1";#N/A,#N/A,FALSE,"Plan2"}</definedName>
    <definedName name="JFHRE" localSheetId="9" hidden="1">{#N/A,#N/A,FALSE,"Plan1";#N/A,#N/A,FALSE,"Plan2"}</definedName>
    <definedName name="JFHRE" localSheetId="5" hidden="1">{#N/A,#N/A,FALSE,"Plan1";#N/A,#N/A,FALSE,"Plan2"}</definedName>
    <definedName name="JFHRE" localSheetId="4" hidden="1">{#N/A,#N/A,FALSE,"Plan1";#N/A,#N/A,FALSE,"Plan2"}</definedName>
    <definedName name="JFHRE" localSheetId="8" hidden="1">{#N/A,#N/A,FALSE,"Plan1";#N/A,#N/A,FALSE,"Plan2"}</definedName>
    <definedName name="JFHRE" localSheetId="12" hidden="1">{#N/A,#N/A,FALSE,"Plan1";#N/A,#N/A,FALSE,"Plan2"}</definedName>
    <definedName name="JFHRE" localSheetId="16" hidden="1">{#N/A,#N/A,FALSE,"Plan1";#N/A,#N/A,FALSE,"Plan2"}</definedName>
    <definedName name="JFHRE" localSheetId="0" hidden="1">{#N/A,#N/A,FALSE,"Plan1";#N/A,#N/A,FALSE,"Plan2"}</definedName>
    <definedName name="JFHRE" localSheetId="11" hidden="1">{#N/A,#N/A,FALSE,"Plan1";#N/A,#N/A,FALSE,"Plan2"}</definedName>
    <definedName name="JFHRE" localSheetId="13" hidden="1">{#N/A,#N/A,FALSE,"Plan1";#N/A,#N/A,FALSE,"Plan2"}</definedName>
    <definedName name="JFHRE" hidden="1">{#N/A,#N/A,FALSE,"Plan1";#N/A,#N/A,FALSE,"Plan2"}</definedName>
    <definedName name="jfkdls5jtirjd" localSheetId="14" hidden="1">{#N/A,#N/A,FALSE,"Plan1";#N/A,#N/A,FALSE,"Plan2"}</definedName>
    <definedName name="jfkdls5jtirjd" localSheetId="7" hidden="1">{#N/A,#N/A,FALSE,"Plan1";#N/A,#N/A,FALSE,"Plan2"}</definedName>
    <definedName name="jfkdls5jtirjd" localSheetId="1" hidden="1">{#N/A,#N/A,FALSE,"Plan1";#N/A,#N/A,FALSE,"Plan2"}</definedName>
    <definedName name="jfkdls5jtirjd" localSheetId="2" hidden="1">{#N/A,#N/A,FALSE,"Plan1";#N/A,#N/A,FALSE,"Plan2"}</definedName>
    <definedName name="jfkdls5jtirjd" localSheetId="9" hidden="1">{#N/A,#N/A,FALSE,"Plan1";#N/A,#N/A,FALSE,"Plan2"}</definedName>
    <definedName name="jfkdls5jtirjd" localSheetId="5" hidden="1">{#N/A,#N/A,FALSE,"Plan1";#N/A,#N/A,FALSE,"Plan2"}</definedName>
    <definedName name="jfkdls5jtirjd" localSheetId="4" hidden="1">{#N/A,#N/A,FALSE,"Plan1";#N/A,#N/A,FALSE,"Plan2"}</definedName>
    <definedName name="jfkdls5jtirjd" localSheetId="8" hidden="1">{#N/A,#N/A,FALSE,"Plan1";#N/A,#N/A,FALSE,"Plan2"}</definedName>
    <definedName name="jfkdls5jtirjd" localSheetId="12" hidden="1">{#N/A,#N/A,FALSE,"Plan1";#N/A,#N/A,FALSE,"Plan2"}</definedName>
    <definedName name="jfkdls5jtirjd" localSheetId="16" hidden="1">{#N/A,#N/A,FALSE,"Plan1";#N/A,#N/A,FALSE,"Plan2"}</definedName>
    <definedName name="jfkdls5jtirjd" localSheetId="0" hidden="1">{#N/A,#N/A,FALSE,"Plan1";#N/A,#N/A,FALSE,"Plan2"}</definedName>
    <definedName name="jfkdls5jtirjd" localSheetId="11" hidden="1">{#N/A,#N/A,FALSE,"Plan1";#N/A,#N/A,FALSE,"Plan2"}</definedName>
    <definedName name="jfkdls5jtirjd" localSheetId="13" hidden="1">{#N/A,#N/A,FALSE,"Plan1";#N/A,#N/A,FALSE,"Plan2"}</definedName>
    <definedName name="jfkdls5jtirjd" hidden="1">{#N/A,#N/A,FALSE,"Plan1";#N/A,#N/A,FALSE,"Plan2"}</definedName>
    <definedName name="jfkljdkfcj" localSheetId="14" hidden="1">{#N/A,#N/A,FALSE,"Plan1";#N/A,#N/A,FALSE,"Plan2"}</definedName>
    <definedName name="jfkljdkfcj" localSheetId="7" hidden="1">{#N/A,#N/A,FALSE,"Plan1";#N/A,#N/A,FALSE,"Plan2"}</definedName>
    <definedName name="jfkljdkfcj" localSheetId="1" hidden="1">{#N/A,#N/A,FALSE,"Plan1";#N/A,#N/A,FALSE,"Plan2"}</definedName>
    <definedName name="jfkljdkfcj" localSheetId="2" hidden="1">{#N/A,#N/A,FALSE,"Plan1";#N/A,#N/A,FALSE,"Plan2"}</definedName>
    <definedName name="jfkljdkfcj" localSheetId="9" hidden="1">{#N/A,#N/A,FALSE,"Plan1";#N/A,#N/A,FALSE,"Plan2"}</definedName>
    <definedName name="jfkljdkfcj" localSheetId="5" hidden="1">{#N/A,#N/A,FALSE,"Plan1";#N/A,#N/A,FALSE,"Plan2"}</definedName>
    <definedName name="jfkljdkfcj" localSheetId="4" hidden="1">{#N/A,#N/A,FALSE,"Plan1";#N/A,#N/A,FALSE,"Plan2"}</definedName>
    <definedName name="jfkljdkfcj" localSheetId="8" hidden="1">{#N/A,#N/A,FALSE,"Plan1";#N/A,#N/A,FALSE,"Plan2"}</definedName>
    <definedName name="jfkljdkfcj" localSheetId="12" hidden="1">{#N/A,#N/A,FALSE,"Plan1";#N/A,#N/A,FALSE,"Plan2"}</definedName>
    <definedName name="jfkljdkfcj" localSheetId="16" hidden="1">{#N/A,#N/A,FALSE,"Plan1";#N/A,#N/A,FALSE,"Plan2"}</definedName>
    <definedName name="jfkljdkfcj" localSheetId="0" hidden="1">{#N/A,#N/A,FALSE,"Plan1";#N/A,#N/A,FALSE,"Plan2"}</definedName>
    <definedName name="jfkljdkfcj" localSheetId="11" hidden="1">{#N/A,#N/A,FALSE,"Plan1";#N/A,#N/A,FALSE,"Plan2"}</definedName>
    <definedName name="jfkljdkfcj" localSheetId="13" hidden="1">{#N/A,#N/A,FALSE,"Plan1";#N/A,#N/A,FALSE,"Plan2"}</definedName>
    <definedName name="jfkljdkfcj" hidden="1">{#N/A,#N/A,FALSE,"Plan1";#N/A,#N/A,FALSE,"Plan2"}</definedName>
    <definedName name="jfkrhdtghdut" localSheetId="14" hidden="1">{#N/A,#N/A,FALSE,"Plan1";#N/A,#N/A,FALSE,"Plan2"}</definedName>
    <definedName name="jfkrhdtghdut" localSheetId="7" hidden="1">{#N/A,#N/A,FALSE,"Plan1";#N/A,#N/A,FALSE,"Plan2"}</definedName>
    <definedName name="jfkrhdtghdut" localSheetId="1" hidden="1">{#N/A,#N/A,FALSE,"Plan1";#N/A,#N/A,FALSE,"Plan2"}</definedName>
    <definedName name="jfkrhdtghdut" localSheetId="2" hidden="1">{#N/A,#N/A,FALSE,"Plan1";#N/A,#N/A,FALSE,"Plan2"}</definedName>
    <definedName name="jfkrhdtghdut" localSheetId="9" hidden="1">{#N/A,#N/A,FALSE,"Plan1";#N/A,#N/A,FALSE,"Plan2"}</definedName>
    <definedName name="jfkrhdtghdut" localSheetId="5" hidden="1">{#N/A,#N/A,FALSE,"Plan1";#N/A,#N/A,FALSE,"Plan2"}</definedName>
    <definedName name="jfkrhdtghdut" localSheetId="4" hidden="1">{#N/A,#N/A,FALSE,"Plan1";#N/A,#N/A,FALSE,"Plan2"}</definedName>
    <definedName name="jfkrhdtghdut" localSheetId="8" hidden="1">{#N/A,#N/A,FALSE,"Plan1";#N/A,#N/A,FALSE,"Plan2"}</definedName>
    <definedName name="jfkrhdtghdut" localSheetId="12" hidden="1">{#N/A,#N/A,FALSE,"Plan1";#N/A,#N/A,FALSE,"Plan2"}</definedName>
    <definedName name="jfkrhdtghdut" localSheetId="16" hidden="1">{#N/A,#N/A,FALSE,"Plan1";#N/A,#N/A,FALSE,"Plan2"}</definedName>
    <definedName name="jfkrhdtghdut" localSheetId="0" hidden="1">{#N/A,#N/A,FALSE,"Plan1";#N/A,#N/A,FALSE,"Plan2"}</definedName>
    <definedName name="jfkrhdtghdut" localSheetId="11" hidden="1">{#N/A,#N/A,FALSE,"Plan1";#N/A,#N/A,FALSE,"Plan2"}</definedName>
    <definedName name="jfkrhdtghdut" localSheetId="13" hidden="1">{#N/A,#N/A,FALSE,"Plan1";#N/A,#N/A,FALSE,"Plan2"}</definedName>
    <definedName name="jfkrhdtghdut" hidden="1">{#N/A,#N/A,FALSE,"Plan1";#N/A,#N/A,FALSE,"Plan2"}</definedName>
    <definedName name="JFRESR" localSheetId="14" hidden="1">{#N/A,#N/A,FALSE,"Plan1";#N/A,#N/A,FALSE,"Plan2"}</definedName>
    <definedName name="JFRESR" localSheetId="7" hidden="1">{#N/A,#N/A,FALSE,"Plan1";#N/A,#N/A,FALSE,"Plan2"}</definedName>
    <definedName name="JFRESR" localSheetId="1" hidden="1">{#N/A,#N/A,FALSE,"Plan1";#N/A,#N/A,FALSE,"Plan2"}</definedName>
    <definedName name="JFRESR" localSheetId="2" hidden="1">{#N/A,#N/A,FALSE,"Plan1";#N/A,#N/A,FALSE,"Plan2"}</definedName>
    <definedName name="JFRESR" localSheetId="9" hidden="1">{#N/A,#N/A,FALSE,"Plan1";#N/A,#N/A,FALSE,"Plan2"}</definedName>
    <definedName name="JFRESR" localSheetId="5" hidden="1">{#N/A,#N/A,FALSE,"Plan1";#N/A,#N/A,FALSE,"Plan2"}</definedName>
    <definedName name="JFRESR" localSheetId="4" hidden="1">{#N/A,#N/A,FALSE,"Plan1";#N/A,#N/A,FALSE,"Plan2"}</definedName>
    <definedName name="JFRESR" localSheetId="8" hidden="1">{#N/A,#N/A,FALSE,"Plan1";#N/A,#N/A,FALSE,"Plan2"}</definedName>
    <definedName name="JFRESR" localSheetId="12" hidden="1">{#N/A,#N/A,FALSE,"Plan1";#N/A,#N/A,FALSE,"Plan2"}</definedName>
    <definedName name="JFRESR" localSheetId="16" hidden="1">{#N/A,#N/A,FALSE,"Plan1";#N/A,#N/A,FALSE,"Plan2"}</definedName>
    <definedName name="JFRESR" localSheetId="0" hidden="1">{#N/A,#N/A,FALSE,"Plan1";#N/A,#N/A,FALSE,"Plan2"}</definedName>
    <definedName name="JFRESR" localSheetId="11" hidden="1">{#N/A,#N/A,FALSE,"Plan1";#N/A,#N/A,FALSE,"Plan2"}</definedName>
    <definedName name="JFRESR" localSheetId="13" hidden="1">{#N/A,#N/A,FALSE,"Plan1";#N/A,#N/A,FALSE,"Plan2"}</definedName>
    <definedName name="JFRESR" hidden="1">{#N/A,#N/A,FALSE,"Plan1";#N/A,#N/A,FALSE,"Plan2"}</definedName>
    <definedName name="jgdfdgfjgdj" localSheetId="14" hidden="1">{#N/A,#N/A,FALSE,"Plan1";#N/A,#N/A,FALSE,"Plan2"}</definedName>
    <definedName name="jgdfdgfjgdj" localSheetId="7" hidden="1">{#N/A,#N/A,FALSE,"Plan1";#N/A,#N/A,FALSE,"Plan2"}</definedName>
    <definedName name="jgdfdgfjgdj" localSheetId="1" hidden="1">{#N/A,#N/A,FALSE,"Plan1";#N/A,#N/A,FALSE,"Plan2"}</definedName>
    <definedName name="jgdfdgfjgdj" localSheetId="2" hidden="1">{#N/A,#N/A,FALSE,"Plan1";#N/A,#N/A,FALSE,"Plan2"}</definedName>
    <definedName name="jgdfdgfjgdj" localSheetId="9" hidden="1">{#N/A,#N/A,FALSE,"Plan1";#N/A,#N/A,FALSE,"Plan2"}</definedName>
    <definedName name="jgdfdgfjgdj" localSheetId="5" hidden="1">{#N/A,#N/A,FALSE,"Plan1";#N/A,#N/A,FALSE,"Plan2"}</definedName>
    <definedName name="jgdfdgfjgdj" localSheetId="4" hidden="1">{#N/A,#N/A,FALSE,"Plan1";#N/A,#N/A,FALSE,"Plan2"}</definedName>
    <definedName name="jgdfdgfjgdj" localSheetId="8" hidden="1">{#N/A,#N/A,FALSE,"Plan1";#N/A,#N/A,FALSE,"Plan2"}</definedName>
    <definedName name="jgdfdgfjgdj" localSheetId="12" hidden="1">{#N/A,#N/A,FALSE,"Plan1";#N/A,#N/A,FALSE,"Plan2"}</definedName>
    <definedName name="jgdfdgfjgdj" localSheetId="16" hidden="1">{#N/A,#N/A,FALSE,"Plan1";#N/A,#N/A,FALSE,"Plan2"}</definedName>
    <definedName name="jgdfdgfjgdj" localSheetId="0" hidden="1">{#N/A,#N/A,FALSE,"Plan1";#N/A,#N/A,FALSE,"Plan2"}</definedName>
    <definedName name="jgdfdgfjgdj" localSheetId="11" hidden="1">{#N/A,#N/A,FALSE,"Plan1";#N/A,#N/A,FALSE,"Plan2"}</definedName>
    <definedName name="jgdfdgfjgdj" localSheetId="13" hidden="1">{#N/A,#N/A,FALSE,"Plan1";#N/A,#N/A,FALSE,"Plan2"}</definedName>
    <definedName name="jgdfdgfjgdj" hidden="1">{#N/A,#N/A,FALSE,"Plan1";#N/A,#N/A,FALSE,"Plan2"}</definedName>
    <definedName name="jgdfght" localSheetId="14" hidden="1">{#N/A,#N/A,FALSE,"Plan1";#N/A,#N/A,FALSE,"Plan2"}</definedName>
    <definedName name="jgdfght" localSheetId="7" hidden="1">{#N/A,#N/A,FALSE,"Plan1";#N/A,#N/A,FALSE,"Plan2"}</definedName>
    <definedName name="jgdfght" localSheetId="1" hidden="1">{#N/A,#N/A,FALSE,"Plan1";#N/A,#N/A,FALSE,"Plan2"}</definedName>
    <definedName name="jgdfght" localSheetId="2" hidden="1">{#N/A,#N/A,FALSE,"Plan1";#N/A,#N/A,FALSE,"Plan2"}</definedName>
    <definedName name="jgdfght" localSheetId="9" hidden="1">{#N/A,#N/A,FALSE,"Plan1";#N/A,#N/A,FALSE,"Plan2"}</definedName>
    <definedName name="jgdfght" localSheetId="5" hidden="1">{#N/A,#N/A,FALSE,"Plan1";#N/A,#N/A,FALSE,"Plan2"}</definedName>
    <definedName name="jgdfght" localSheetId="4" hidden="1">{#N/A,#N/A,FALSE,"Plan1";#N/A,#N/A,FALSE,"Plan2"}</definedName>
    <definedName name="jgdfght" localSheetId="8" hidden="1">{#N/A,#N/A,FALSE,"Plan1";#N/A,#N/A,FALSE,"Plan2"}</definedName>
    <definedName name="jgdfght" localSheetId="12" hidden="1">{#N/A,#N/A,FALSE,"Plan1";#N/A,#N/A,FALSE,"Plan2"}</definedName>
    <definedName name="jgdfght" localSheetId="16" hidden="1">{#N/A,#N/A,FALSE,"Plan1";#N/A,#N/A,FALSE,"Plan2"}</definedName>
    <definedName name="jgdfght" localSheetId="0" hidden="1">{#N/A,#N/A,FALSE,"Plan1";#N/A,#N/A,FALSE,"Plan2"}</definedName>
    <definedName name="jgdfght" localSheetId="11" hidden="1">{#N/A,#N/A,FALSE,"Plan1";#N/A,#N/A,FALSE,"Plan2"}</definedName>
    <definedName name="jgdfght" localSheetId="13" hidden="1">{#N/A,#N/A,FALSE,"Plan1";#N/A,#N/A,FALSE,"Plan2"}</definedName>
    <definedName name="jgdfght" hidden="1">{#N/A,#N/A,FALSE,"Plan1";#N/A,#N/A,FALSE,"Plan2"}</definedName>
    <definedName name="jgfgdsgfdhrf" localSheetId="14" hidden="1">{#N/A,#N/A,FALSE,"Plan1";#N/A,#N/A,FALSE,"Plan2"}</definedName>
    <definedName name="jgfgdsgfdhrf" localSheetId="7" hidden="1">{#N/A,#N/A,FALSE,"Plan1";#N/A,#N/A,FALSE,"Plan2"}</definedName>
    <definedName name="jgfgdsgfdhrf" localSheetId="1" hidden="1">{#N/A,#N/A,FALSE,"Plan1";#N/A,#N/A,FALSE,"Plan2"}</definedName>
    <definedName name="jgfgdsgfdhrf" localSheetId="2" hidden="1">{#N/A,#N/A,FALSE,"Plan1";#N/A,#N/A,FALSE,"Plan2"}</definedName>
    <definedName name="jgfgdsgfdhrf" localSheetId="9" hidden="1">{#N/A,#N/A,FALSE,"Plan1";#N/A,#N/A,FALSE,"Plan2"}</definedName>
    <definedName name="jgfgdsgfdhrf" localSheetId="5" hidden="1">{#N/A,#N/A,FALSE,"Plan1";#N/A,#N/A,FALSE,"Plan2"}</definedName>
    <definedName name="jgfgdsgfdhrf" localSheetId="4" hidden="1">{#N/A,#N/A,FALSE,"Plan1";#N/A,#N/A,FALSE,"Plan2"}</definedName>
    <definedName name="jgfgdsgfdhrf" localSheetId="8" hidden="1">{#N/A,#N/A,FALSE,"Plan1";#N/A,#N/A,FALSE,"Plan2"}</definedName>
    <definedName name="jgfgdsgfdhrf" localSheetId="12" hidden="1">{#N/A,#N/A,FALSE,"Plan1";#N/A,#N/A,FALSE,"Plan2"}</definedName>
    <definedName name="jgfgdsgfdhrf" localSheetId="16" hidden="1">{#N/A,#N/A,FALSE,"Plan1";#N/A,#N/A,FALSE,"Plan2"}</definedName>
    <definedName name="jgfgdsgfdhrf" localSheetId="0" hidden="1">{#N/A,#N/A,FALSE,"Plan1";#N/A,#N/A,FALSE,"Plan2"}</definedName>
    <definedName name="jgfgdsgfdhrf" localSheetId="11" hidden="1">{#N/A,#N/A,FALSE,"Plan1";#N/A,#N/A,FALSE,"Plan2"}</definedName>
    <definedName name="jgfgdsgfdhrf" localSheetId="13" hidden="1">{#N/A,#N/A,FALSE,"Plan1";#N/A,#N/A,FALSE,"Plan2"}</definedName>
    <definedName name="jgfgdsgfdhrf" hidden="1">{#N/A,#N/A,FALSE,"Plan1";#N/A,#N/A,FALSE,"Plan2"}</definedName>
    <definedName name="JGFJGTFT" localSheetId="14" hidden="1">{#N/A,#N/A,FALSE,"Plan1";#N/A,#N/A,FALSE,"Plan2"}</definedName>
    <definedName name="JGFJGTFT" localSheetId="7" hidden="1">{#N/A,#N/A,FALSE,"Plan1";#N/A,#N/A,FALSE,"Plan2"}</definedName>
    <definedName name="JGFJGTFT" localSheetId="1" hidden="1">{#N/A,#N/A,FALSE,"Plan1";#N/A,#N/A,FALSE,"Plan2"}</definedName>
    <definedName name="JGFJGTFT" localSheetId="2" hidden="1">{#N/A,#N/A,FALSE,"Plan1";#N/A,#N/A,FALSE,"Plan2"}</definedName>
    <definedName name="JGFJGTFT" localSheetId="9" hidden="1">{#N/A,#N/A,FALSE,"Plan1";#N/A,#N/A,FALSE,"Plan2"}</definedName>
    <definedName name="JGFJGTFT" localSheetId="5" hidden="1">{#N/A,#N/A,FALSE,"Plan1";#N/A,#N/A,FALSE,"Plan2"}</definedName>
    <definedName name="JGFJGTFT" localSheetId="4" hidden="1">{#N/A,#N/A,FALSE,"Plan1";#N/A,#N/A,FALSE,"Plan2"}</definedName>
    <definedName name="JGFJGTFT" localSheetId="8" hidden="1">{#N/A,#N/A,FALSE,"Plan1";#N/A,#N/A,FALSE,"Plan2"}</definedName>
    <definedName name="JGFJGTFT" localSheetId="12" hidden="1">{#N/A,#N/A,FALSE,"Plan1";#N/A,#N/A,FALSE,"Plan2"}</definedName>
    <definedName name="JGFJGTFT" localSheetId="16" hidden="1">{#N/A,#N/A,FALSE,"Plan1";#N/A,#N/A,FALSE,"Plan2"}</definedName>
    <definedName name="JGFJGTFT" localSheetId="0" hidden="1">{#N/A,#N/A,FALSE,"Plan1";#N/A,#N/A,FALSE,"Plan2"}</definedName>
    <definedName name="JGFJGTFT" localSheetId="11" hidden="1">{#N/A,#N/A,FALSE,"Plan1";#N/A,#N/A,FALSE,"Plan2"}</definedName>
    <definedName name="JGFJGTFT" localSheetId="13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14" hidden="1">{#N/A,#N/A,FALSE,"Plan1";#N/A,#N/A,FALSE,"Plan2"}</definedName>
    <definedName name="jgkjkhjuftgi" localSheetId="7" hidden="1">{#N/A,#N/A,FALSE,"Plan1";#N/A,#N/A,FALSE,"Plan2"}</definedName>
    <definedName name="jgkjkhjuftgi" localSheetId="1" hidden="1">{#N/A,#N/A,FALSE,"Plan1";#N/A,#N/A,FALSE,"Plan2"}</definedName>
    <definedName name="jgkjkhjuftgi" localSheetId="2" hidden="1">{#N/A,#N/A,FALSE,"Plan1";#N/A,#N/A,FALSE,"Plan2"}</definedName>
    <definedName name="jgkjkhjuftgi" localSheetId="9" hidden="1">{#N/A,#N/A,FALSE,"Plan1";#N/A,#N/A,FALSE,"Plan2"}</definedName>
    <definedName name="jgkjkhjuftgi" localSheetId="5" hidden="1">{#N/A,#N/A,FALSE,"Plan1";#N/A,#N/A,FALSE,"Plan2"}</definedName>
    <definedName name="jgkjkhjuftgi" localSheetId="4" hidden="1">{#N/A,#N/A,FALSE,"Plan1";#N/A,#N/A,FALSE,"Plan2"}</definedName>
    <definedName name="jgkjkhjuftgi" localSheetId="8" hidden="1">{#N/A,#N/A,FALSE,"Plan1";#N/A,#N/A,FALSE,"Plan2"}</definedName>
    <definedName name="jgkjkhjuftgi" localSheetId="12" hidden="1">{#N/A,#N/A,FALSE,"Plan1";#N/A,#N/A,FALSE,"Plan2"}</definedName>
    <definedName name="jgkjkhjuftgi" localSheetId="16" hidden="1">{#N/A,#N/A,FALSE,"Plan1";#N/A,#N/A,FALSE,"Plan2"}</definedName>
    <definedName name="jgkjkhjuftgi" localSheetId="0" hidden="1">{#N/A,#N/A,FALSE,"Plan1";#N/A,#N/A,FALSE,"Plan2"}</definedName>
    <definedName name="jgkjkhjuftgi" localSheetId="11" hidden="1">{#N/A,#N/A,FALSE,"Plan1";#N/A,#N/A,FALSE,"Plan2"}</definedName>
    <definedName name="jgkjkhjuftgi" localSheetId="13" hidden="1">{#N/A,#N/A,FALSE,"Plan1";#N/A,#N/A,FALSE,"Plan2"}</definedName>
    <definedName name="jgkjkhjuftgi" hidden="1">{#N/A,#N/A,FALSE,"Plan1";#N/A,#N/A,FALSE,"Plan2"}</definedName>
    <definedName name="jh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4" hidden="1">{#N/A,#N/A,FALSE,"Plan1";#N/A,#N/A,FALSE,"Plan2"}</definedName>
    <definedName name="jhdfjjhirft" localSheetId="7" hidden="1">{#N/A,#N/A,FALSE,"Plan1";#N/A,#N/A,FALSE,"Plan2"}</definedName>
    <definedName name="jhdfjjhirft" localSheetId="1" hidden="1">{#N/A,#N/A,FALSE,"Plan1";#N/A,#N/A,FALSE,"Plan2"}</definedName>
    <definedName name="jhdfjjhirft" localSheetId="2" hidden="1">{#N/A,#N/A,FALSE,"Plan1";#N/A,#N/A,FALSE,"Plan2"}</definedName>
    <definedName name="jhdfjjhirft" localSheetId="9" hidden="1">{#N/A,#N/A,FALSE,"Plan1";#N/A,#N/A,FALSE,"Plan2"}</definedName>
    <definedName name="jhdfjjhirft" localSheetId="5" hidden="1">{#N/A,#N/A,FALSE,"Plan1";#N/A,#N/A,FALSE,"Plan2"}</definedName>
    <definedName name="jhdfjjhirft" localSheetId="4" hidden="1">{#N/A,#N/A,FALSE,"Plan1";#N/A,#N/A,FALSE,"Plan2"}</definedName>
    <definedName name="jhdfjjhirft" localSheetId="8" hidden="1">{#N/A,#N/A,FALSE,"Plan1";#N/A,#N/A,FALSE,"Plan2"}</definedName>
    <definedName name="jhdfjjhirft" localSheetId="12" hidden="1">{#N/A,#N/A,FALSE,"Plan1";#N/A,#N/A,FALSE,"Plan2"}</definedName>
    <definedName name="jhdfjjhirft" localSheetId="16" hidden="1">{#N/A,#N/A,FALSE,"Plan1";#N/A,#N/A,FALSE,"Plan2"}</definedName>
    <definedName name="jhdfjjhirft" localSheetId="0" hidden="1">{#N/A,#N/A,FALSE,"Plan1";#N/A,#N/A,FALSE,"Plan2"}</definedName>
    <definedName name="jhdfjjhirft" localSheetId="11" hidden="1">{#N/A,#N/A,FALSE,"Plan1";#N/A,#N/A,FALSE,"Plan2"}</definedName>
    <definedName name="jhdfjjhirft" localSheetId="13" hidden="1">{#N/A,#N/A,FALSE,"Plan1";#N/A,#N/A,FALSE,"Plan2"}</definedName>
    <definedName name="jhdfjjhirft" hidden="1">{#N/A,#N/A,FALSE,"Plan1";#N/A,#N/A,FALSE,"Plan2"}</definedName>
    <definedName name="jhdfjkhtrdhf" localSheetId="14" hidden="1">{#N/A,#N/A,FALSE,"Plan1";#N/A,#N/A,FALSE,"Plan2"}</definedName>
    <definedName name="jhdfjkhtrdhf" localSheetId="7" hidden="1">{#N/A,#N/A,FALSE,"Plan1";#N/A,#N/A,FALSE,"Plan2"}</definedName>
    <definedName name="jhdfjkhtrdhf" localSheetId="1" hidden="1">{#N/A,#N/A,FALSE,"Plan1";#N/A,#N/A,FALSE,"Plan2"}</definedName>
    <definedName name="jhdfjkhtrdhf" localSheetId="2" hidden="1">{#N/A,#N/A,FALSE,"Plan1";#N/A,#N/A,FALSE,"Plan2"}</definedName>
    <definedName name="jhdfjkhtrdhf" localSheetId="9" hidden="1">{#N/A,#N/A,FALSE,"Plan1";#N/A,#N/A,FALSE,"Plan2"}</definedName>
    <definedName name="jhdfjkhtrdhf" localSheetId="5" hidden="1">{#N/A,#N/A,FALSE,"Plan1";#N/A,#N/A,FALSE,"Plan2"}</definedName>
    <definedName name="jhdfjkhtrdhf" localSheetId="4" hidden="1">{#N/A,#N/A,FALSE,"Plan1";#N/A,#N/A,FALSE,"Plan2"}</definedName>
    <definedName name="jhdfjkhtrdhf" localSheetId="8" hidden="1">{#N/A,#N/A,FALSE,"Plan1";#N/A,#N/A,FALSE,"Plan2"}</definedName>
    <definedName name="jhdfjkhtrdhf" localSheetId="12" hidden="1">{#N/A,#N/A,FALSE,"Plan1";#N/A,#N/A,FALSE,"Plan2"}</definedName>
    <definedName name="jhdfjkhtrdhf" localSheetId="16" hidden="1">{#N/A,#N/A,FALSE,"Plan1";#N/A,#N/A,FALSE,"Plan2"}</definedName>
    <definedName name="jhdfjkhtrdhf" localSheetId="0" hidden="1">{#N/A,#N/A,FALSE,"Plan1";#N/A,#N/A,FALSE,"Plan2"}</definedName>
    <definedName name="jhdfjkhtrdhf" localSheetId="11" hidden="1">{#N/A,#N/A,FALSE,"Plan1";#N/A,#N/A,FALSE,"Plan2"}</definedName>
    <definedName name="jhdfjkhtrdhf" localSheetId="13" hidden="1">{#N/A,#N/A,FALSE,"Plan1";#N/A,#N/A,FALSE,"Plan2"}</definedName>
    <definedName name="jhdfjkhtrdhf" hidden="1">{#N/A,#N/A,FALSE,"Plan1";#N/A,#N/A,FALSE,"Plan2"}</definedName>
    <definedName name="jhdfuthr" localSheetId="14" hidden="1">{#N/A,#N/A,FALSE,"Plan1";#N/A,#N/A,FALSE,"Plan2"}</definedName>
    <definedName name="jhdfuthr" localSheetId="7" hidden="1">{#N/A,#N/A,FALSE,"Plan1";#N/A,#N/A,FALSE,"Plan2"}</definedName>
    <definedName name="jhdfuthr" localSheetId="1" hidden="1">{#N/A,#N/A,FALSE,"Plan1";#N/A,#N/A,FALSE,"Plan2"}</definedName>
    <definedName name="jhdfuthr" localSheetId="2" hidden="1">{#N/A,#N/A,FALSE,"Plan1";#N/A,#N/A,FALSE,"Plan2"}</definedName>
    <definedName name="jhdfuthr" localSheetId="9" hidden="1">{#N/A,#N/A,FALSE,"Plan1";#N/A,#N/A,FALSE,"Plan2"}</definedName>
    <definedName name="jhdfuthr" localSheetId="5" hidden="1">{#N/A,#N/A,FALSE,"Plan1";#N/A,#N/A,FALSE,"Plan2"}</definedName>
    <definedName name="jhdfuthr" localSheetId="4" hidden="1">{#N/A,#N/A,FALSE,"Plan1";#N/A,#N/A,FALSE,"Plan2"}</definedName>
    <definedName name="jhdfuthr" localSheetId="8" hidden="1">{#N/A,#N/A,FALSE,"Plan1";#N/A,#N/A,FALSE,"Plan2"}</definedName>
    <definedName name="jhdfuthr" localSheetId="12" hidden="1">{#N/A,#N/A,FALSE,"Plan1";#N/A,#N/A,FALSE,"Plan2"}</definedName>
    <definedName name="jhdfuthr" localSheetId="16" hidden="1">{#N/A,#N/A,FALSE,"Plan1";#N/A,#N/A,FALSE,"Plan2"}</definedName>
    <definedName name="jhdfuthr" localSheetId="0" hidden="1">{#N/A,#N/A,FALSE,"Plan1";#N/A,#N/A,FALSE,"Plan2"}</definedName>
    <definedName name="jhdfuthr" localSheetId="11" hidden="1">{#N/A,#N/A,FALSE,"Plan1";#N/A,#N/A,FALSE,"Plan2"}</definedName>
    <definedName name="jhdfuthr" localSheetId="13" hidden="1">{#N/A,#N/A,FALSE,"Plan1";#N/A,#N/A,FALSE,"Plan2"}</definedName>
    <definedName name="jhdfuthr" hidden="1">{#N/A,#N/A,FALSE,"Plan1";#N/A,#N/A,FALSE,"Plan2"}</definedName>
    <definedName name="JHDFZGRDHF" localSheetId="14" hidden="1">{"Econ Consolidado",#N/A,FALSE,"Econ Consol";"Fluxo de Caixa",#N/A,FALSE,"Fluxo Caixa";"Investimentos",#N/A,FALSE,"Investimentos"}</definedName>
    <definedName name="JHDFZGRDHF" localSheetId="7" hidden="1">{"Econ Consolidado",#N/A,FALSE,"Econ Consol";"Fluxo de Caixa",#N/A,FALSE,"Fluxo Caixa";"Investimentos",#N/A,FALSE,"Investimentos"}</definedName>
    <definedName name="JHDFZGRDHF" localSheetId="1" hidden="1">{"Econ Consolidado",#N/A,FALSE,"Econ Consol";"Fluxo de Caixa",#N/A,FALSE,"Fluxo Caixa";"Investimentos",#N/A,FALSE,"Investimentos"}</definedName>
    <definedName name="JHDFZGRDHF" localSheetId="2" hidden="1">{"Econ Consolidado",#N/A,FALSE,"Econ Consol";"Fluxo de Caixa",#N/A,FALSE,"Fluxo Caixa";"Investimentos",#N/A,FALSE,"Investimentos"}</definedName>
    <definedName name="JHDFZGRDHF" localSheetId="9" hidden="1">{"Econ Consolidado",#N/A,FALSE,"Econ Consol";"Fluxo de Caixa",#N/A,FALSE,"Fluxo Caixa";"Investimentos",#N/A,FALSE,"Investimentos"}</definedName>
    <definedName name="JHDFZGRDHF" localSheetId="5" hidden="1">{"Econ Consolidado",#N/A,FALSE,"Econ Consol";"Fluxo de Caixa",#N/A,FALSE,"Fluxo Caixa";"Investimentos",#N/A,FALSE,"Investimentos"}</definedName>
    <definedName name="JHDFZGRDHF" localSheetId="4" hidden="1">{"Econ Consolidado",#N/A,FALSE,"Econ Consol";"Fluxo de Caixa",#N/A,FALSE,"Fluxo Caixa";"Investimentos",#N/A,FALSE,"Investimentos"}</definedName>
    <definedName name="JHDFZGRDHF" localSheetId="8" hidden="1">{"Econ Consolidado",#N/A,FALSE,"Econ Consol";"Fluxo de Caixa",#N/A,FALSE,"Fluxo Caixa";"Investimentos",#N/A,FALSE,"Investimentos"}</definedName>
    <definedName name="JHDFZGRDHF" localSheetId="12" hidden="1">{"Econ Consolidado",#N/A,FALSE,"Econ Consol";"Fluxo de Caixa",#N/A,FALSE,"Fluxo Caixa";"Investimentos",#N/A,FALSE,"Investimentos"}</definedName>
    <definedName name="JHDFZGRDHF" localSheetId="16" hidden="1">{"Econ Consolidado",#N/A,FALSE,"Econ Consol";"Fluxo de Caixa",#N/A,FALSE,"Fluxo Caixa";"Investimentos",#N/A,FALSE,"Investimentos"}</definedName>
    <definedName name="JHDFZGRDHF" localSheetId="0" hidden="1">{"Econ Consolidado",#N/A,FALSE,"Econ Consol";"Fluxo de Caixa",#N/A,FALSE,"Fluxo Caixa";"Investimentos",#N/A,FALSE,"Investimentos"}</definedName>
    <definedName name="JHDFZGRDHF" localSheetId="11" hidden="1">{"Econ Consolidado",#N/A,FALSE,"Econ Consol";"Fluxo de Caixa",#N/A,FALSE,"Fluxo Caixa";"Investimentos",#N/A,FALSE,"Investimentos"}</definedName>
    <definedName name="JHDFZGRDHF" localSheetId="13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14" hidden="1">{#N/A,#N/A,FALSE,"Plan1";#N/A,#N/A,FALSE,"Plan2"}</definedName>
    <definedName name="JHERKHKFGH" localSheetId="7" hidden="1">{#N/A,#N/A,FALSE,"Plan1";#N/A,#N/A,FALSE,"Plan2"}</definedName>
    <definedName name="JHERKHKFGH" localSheetId="1" hidden="1">{#N/A,#N/A,FALSE,"Plan1";#N/A,#N/A,FALSE,"Plan2"}</definedName>
    <definedName name="JHERKHKFGH" localSheetId="2" hidden="1">{#N/A,#N/A,FALSE,"Plan1";#N/A,#N/A,FALSE,"Plan2"}</definedName>
    <definedName name="JHERKHKFGH" localSheetId="9" hidden="1">{#N/A,#N/A,FALSE,"Plan1";#N/A,#N/A,FALSE,"Plan2"}</definedName>
    <definedName name="JHERKHKFGH" localSheetId="5" hidden="1">{#N/A,#N/A,FALSE,"Plan1";#N/A,#N/A,FALSE,"Plan2"}</definedName>
    <definedName name="JHERKHKFGH" localSheetId="4" hidden="1">{#N/A,#N/A,FALSE,"Plan1";#N/A,#N/A,FALSE,"Plan2"}</definedName>
    <definedName name="JHERKHKFGH" localSheetId="8" hidden="1">{#N/A,#N/A,FALSE,"Plan1";#N/A,#N/A,FALSE,"Plan2"}</definedName>
    <definedName name="JHERKHKFGH" localSheetId="12" hidden="1">{#N/A,#N/A,FALSE,"Plan1";#N/A,#N/A,FALSE,"Plan2"}</definedName>
    <definedName name="JHERKHKFGH" localSheetId="16" hidden="1">{#N/A,#N/A,FALSE,"Plan1";#N/A,#N/A,FALSE,"Plan2"}</definedName>
    <definedName name="JHERKHKFGH" localSheetId="0" hidden="1">{#N/A,#N/A,FALSE,"Plan1";#N/A,#N/A,FALSE,"Plan2"}</definedName>
    <definedName name="JHERKHKFGH" localSheetId="11" hidden="1">{#N/A,#N/A,FALSE,"Plan1";#N/A,#N/A,FALSE,"Plan2"}</definedName>
    <definedName name="JHERKHKFGH" localSheetId="13" hidden="1">{#N/A,#N/A,FALSE,"Plan1";#N/A,#N/A,FALSE,"Plan2"}</definedName>
    <definedName name="JHERKHKFGH" hidden="1">{#N/A,#N/A,FALSE,"Plan1";#N/A,#N/A,FALSE,"Plan2"}</definedName>
    <definedName name="jhfhhztfhe" localSheetId="2" hidden="1">#REF!</definedName>
    <definedName name="jhfhhztfhe" localSheetId="5" hidden="1">#REF!</definedName>
    <definedName name="jhfhhztfhe" localSheetId="0" hidden="1">#REF!</definedName>
    <definedName name="jhfhhztfhe" hidden="1">#REF!</definedName>
    <definedName name="JHGKJFJFJGL" localSheetId="14" hidden="1">{#N/A,#N/A,FALSE,"Plan1";#N/A,#N/A,FALSE,"Plan2"}</definedName>
    <definedName name="JHGKJFJFJGL" localSheetId="7" hidden="1">{#N/A,#N/A,FALSE,"Plan1";#N/A,#N/A,FALSE,"Plan2"}</definedName>
    <definedName name="JHGKJFJFJGL" localSheetId="1" hidden="1">{#N/A,#N/A,FALSE,"Plan1";#N/A,#N/A,FALSE,"Plan2"}</definedName>
    <definedName name="JHGKJFJFJGL" localSheetId="2" hidden="1">{#N/A,#N/A,FALSE,"Plan1";#N/A,#N/A,FALSE,"Plan2"}</definedName>
    <definedName name="JHGKJFJFJGL" localSheetId="9" hidden="1">{#N/A,#N/A,FALSE,"Plan1";#N/A,#N/A,FALSE,"Plan2"}</definedName>
    <definedName name="JHGKJFJFJGL" localSheetId="5" hidden="1">{#N/A,#N/A,FALSE,"Plan1";#N/A,#N/A,FALSE,"Plan2"}</definedName>
    <definedName name="JHGKJFJFJGL" localSheetId="4" hidden="1">{#N/A,#N/A,FALSE,"Plan1";#N/A,#N/A,FALSE,"Plan2"}</definedName>
    <definedName name="JHGKJFJFJGL" localSheetId="8" hidden="1">{#N/A,#N/A,FALSE,"Plan1";#N/A,#N/A,FALSE,"Plan2"}</definedName>
    <definedName name="JHGKJFJFJGL" localSheetId="12" hidden="1">{#N/A,#N/A,FALSE,"Plan1";#N/A,#N/A,FALSE,"Plan2"}</definedName>
    <definedName name="JHGKJFJFJGL" localSheetId="16" hidden="1">{#N/A,#N/A,FALSE,"Plan1";#N/A,#N/A,FALSE,"Plan2"}</definedName>
    <definedName name="JHGKJFJFJGL" localSheetId="0" hidden="1">{#N/A,#N/A,FALSE,"Plan1";#N/A,#N/A,FALSE,"Plan2"}</definedName>
    <definedName name="JHGKJFJFJGL" localSheetId="11" hidden="1">{#N/A,#N/A,FALSE,"Plan1";#N/A,#N/A,FALSE,"Plan2"}</definedName>
    <definedName name="JHGKJFJFJGL" localSheetId="13" hidden="1">{#N/A,#N/A,FALSE,"Plan1";#N/A,#N/A,FALSE,"Plan2"}</definedName>
    <definedName name="JHGKJFJFJGL" hidden="1">{#N/A,#N/A,FALSE,"Plan1";#N/A,#N/A,FALSE,"Plan2"}</definedName>
    <definedName name="jhsdjkhfuks" localSheetId="14" hidden="1">{#N/A,#N/A,FALSE,"Plan1";#N/A,#N/A,FALSE,"Plan2"}</definedName>
    <definedName name="jhsdjkhfuks" localSheetId="7" hidden="1">{#N/A,#N/A,FALSE,"Plan1";#N/A,#N/A,FALSE,"Plan2"}</definedName>
    <definedName name="jhsdjkhfuks" localSheetId="1" hidden="1">{#N/A,#N/A,FALSE,"Plan1";#N/A,#N/A,FALSE,"Plan2"}</definedName>
    <definedName name="jhsdjkhfuks" localSheetId="2" hidden="1">{#N/A,#N/A,FALSE,"Plan1";#N/A,#N/A,FALSE,"Plan2"}</definedName>
    <definedName name="jhsdjkhfuks" localSheetId="9" hidden="1">{#N/A,#N/A,FALSE,"Plan1";#N/A,#N/A,FALSE,"Plan2"}</definedName>
    <definedName name="jhsdjkhfuks" localSheetId="5" hidden="1">{#N/A,#N/A,FALSE,"Plan1";#N/A,#N/A,FALSE,"Plan2"}</definedName>
    <definedName name="jhsdjkhfuks" localSheetId="4" hidden="1">{#N/A,#N/A,FALSE,"Plan1";#N/A,#N/A,FALSE,"Plan2"}</definedName>
    <definedName name="jhsdjkhfuks" localSheetId="8" hidden="1">{#N/A,#N/A,FALSE,"Plan1";#N/A,#N/A,FALSE,"Plan2"}</definedName>
    <definedName name="jhsdjkhfuks" localSheetId="12" hidden="1">{#N/A,#N/A,FALSE,"Plan1";#N/A,#N/A,FALSE,"Plan2"}</definedName>
    <definedName name="jhsdjkhfuks" localSheetId="16" hidden="1">{#N/A,#N/A,FALSE,"Plan1";#N/A,#N/A,FALSE,"Plan2"}</definedName>
    <definedName name="jhsdjkhfuks" localSheetId="0" hidden="1">{#N/A,#N/A,FALSE,"Plan1";#N/A,#N/A,FALSE,"Plan2"}</definedName>
    <definedName name="jhsdjkhfuks" localSheetId="11" hidden="1">{#N/A,#N/A,FALSE,"Plan1";#N/A,#N/A,FALSE,"Plan2"}</definedName>
    <definedName name="jhsdjkhfuks" localSheetId="13" hidden="1">{#N/A,#N/A,FALSE,"Plan1";#N/A,#N/A,FALSE,"Plan2"}</definedName>
    <definedName name="jhsdjkhfuks" hidden="1">{#N/A,#N/A,FALSE,"Plan1";#N/A,#N/A,FALSE,"Plan2"}</definedName>
    <definedName name="jisdrkje" localSheetId="14" hidden="1">{#N/A,#N/A,FALSE,"Plan1";#N/A,#N/A,FALSE,"Plan2"}</definedName>
    <definedName name="jisdrkje" localSheetId="7" hidden="1">{#N/A,#N/A,FALSE,"Plan1";#N/A,#N/A,FALSE,"Plan2"}</definedName>
    <definedName name="jisdrkje" localSheetId="1" hidden="1">{#N/A,#N/A,FALSE,"Plan1";#N/A,#N/A,FALSE,"Plan2"}</definedName>
    <definedName name="jisdrkje" localSheetId="2" hidden="1">{#N/A,#N/A,FALSE,"Plan1";#N/A,#N/A,FALSE,"Plan2"}</definedName>
    <definedName name="jisdrkje" localSheetId="9" hidden="1">{#N/A,#N/A,FALSE,"Plan1";#N/A,#N/A,FALSE,"Plan2"}</definedName>
    <definedName name="jisdrkje" localSheetId="5" hidden="1">{#N/A,#N/A,FALSE,"Plan1";#N/A,#N/A,FALSE,"Plan2"}</definedName>
    <definedName name="jisdrkje" localSheetId="4" hidden="1">{#N/A,#N/A,FALSE,"Plan1";#N/A,#N/A,FALSE,"Plan2"}</definedName>
    <definedName name="jisdrkje" localSheetId="8" hidden="1">{#N/A,#N/A,FALSE,"Plan1";#N/A,#N/A,FALSE,"Plan2"}</definedName>
    <definedName name="jisdrkje" localSheetId="12" hidden="1">{#N/A,#N/A,FALSE,"Plan1";#N/A,#N/A,FALSE,"Plan2"}</definedName>
    <definedName name="jisdrkje" localSheetId="16" hidden="1">{#N/A,#N/A,FALSE,"Plan1";#N/A,#N/A,FALSE,"Plan2"}</definedName>
    <definedName name="jisdrkje" localSheetId="0" hidden="1">{#N/A,#N/A,FALSE,"Plan1";#N/A,#N/A,FALSE,"Plan2"}</definedName>
    <definedName name="jisdrkje" localSheetId="11" hidden="1">{#N/A,#N/A,FALSE,"Plan1";#N/A,#N/A,FALSE,"Plan2"}</definedName>
    <definedName name="jisdrkje" localSheetId="13" hidden="1">{#N/A,#N/A,FALSE,"Plan1";#N/A,#N/A,FALSE,"Plan2"}</definedName>
    <definedName name="jisdrkje" hidden="1">{#N/A,#N/A,FALSE,"Plan1";#N/A,#N/A,FALSE,"Plan2"}</definedName>
    <definedName name="jishfrieyhtau" localSheetId="14" hidden="1">{#N/A,#N/A,FALSE,"Plan1";#N/A,#N/A,FALSE,"Plan2"}</definedName>
    <definedName name="jishfrieyhtau" localSheetId="7" hidden="1">{#N/A,#N/A,FALSE,"Plan1";#N/A,#N/A,FALSE,"Plan2"}</definedName>
    <definedName name="jishfrieyhtau" localSheetId="1" hidden="1">{#N/A,#N/A,FALSE,"Plan1";#N/A,#N/A,FALSE,"Plan2"}</definedName>
    <definedName name="jishfrieyhtau" localSheetId="2" hidden="1">{#N/A,#N/A,FALSE,"Plan1";#N/A,#N/A,FALSE,"Plan2"}</definedName>
    <definedName name="jishfrieyhtau" localSheetId="9" hidden="1">{#N/A,#N/A,FALSE,"Plan1";#N/A,#N/A,FALSE,"Plan2"}</definedName>
    <definedName name="jishfrieyhtau" localSheetId="5" hidden="1">{#N/A,#N/A,FALSE,"Plan1";#N/A,#N/A,FALSE,"Plan2"}</definedName>
    <definedName name="jishfrieyhtau" localSheetId="4" hidden="1">{#N/A,#N/A,FALSE,"Plan1";#N/A,#N/A,FALSE,"Plan2"}</definedName>
    <definedName name="jishfrieyhtau" localSheetId="8" hidden="1">{#N/A,#N/A,FALSE,"Plan1";#N/A,#N/A,FALSE,"Plan2"}</definedName>
    <definedName name="jishfrieyhtau" localSheetId="12" hidden="1">{#N/A,#N/A,FALSE,"Plan1";#N/A,#N/A,FALSE,"Plan2"}</definedName>
    <definedName name="jishfrieyhtau" localSheetId="16" hidden="1">{#N/A,#N/A,FALSE,"Plan1";#N/A,#N/A,FALSE,"Plan2"}</definedName>
    <definedName name="jishfrieyhtau" localSheetId="0" hidden="1">{#N/A,#N/A,FALSE,"Plan1";#N/A,#N/A,FALSE,"Plan2"}</definedName>
    <definedName name="jishfrieyhtau" localSheetId="11" hidden="1">{#N/A,#N/A,FALSE,"Plan1";#N/A,#N/A,FALSE,"Plan2"}</definedName>
    <definedName name="jishfrieyhtau" localSheetId="13" hidden="1">{#N/A,#N/A,FALSE,"Plan1";#N/A,#N/A,FALSE,"Plan2"}</definedName>
    <definedName name="jishfrieyhtau" hidden="1">{#N/A,#N/A,FALSE,"Plan1";#N/A,#N/A,FALSE,"Plan2"}</definedName>
    <definedName name="jiu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4" hidden="1">{"'Apr-00'!$B$4:$AD$44"}</definedName>
    <definedName name="jj" localSheetId="7" hidden="1">{"'Apr-00'!$B$4:$AD$44"}</definedName>
    <definedName name="jj" localSheetId="1" hidden="1">{"'Apr-00'!$B$4:$AD$44"}</definedName>
    <definedName name="jj" localSheetId="2" hidden="1">{"'Apr-00'!$B$4:$AD$44"}</definedName>
    <definedName name="jj" localSheetId="9" hidden="1">{"'Apr-00'!$B$4:$AD$44"}</definedName>
    <definedName name="jj" localSheetId="5" hidden="1">{"'Apr-00'!$B$4:$AD$44"}</definedName>
    <definedName name="jj" localSheetId="4" hidden="1">{"'Apr-00'!$B$4:$AD$44"}</definedName>
    <definedName name="jj" localSheetId="8" hidden="1">{"'Apr-00'!$B$4:$AD$44"}</definedName>
    <definedName name="jj" localSheetId="12" hidden="1">{"'Apr-00'!$B$4:$AD$44"}</definedName>
    <definedName name="jj" localSheetId="16" hidden="1">{"'Apr-00'!$B$4:$AD$44"}</definedName>
    <definedName name="jj" localSheetId="0" hidden="1">{"'Apr-00'!$B$4:$AD$44"}</definedName>
    <definedName name="jj" localSheetId="11" hidden="1">{"'Apr-00'!$B$4:$AD$44"}</definedName>
    <definedName name="jj" localSheetId="13" hidden="1">{"'Apr-00'!$B$4:$AD$44"}</definedName>
    <definedName name="jj" hidden="1">{"'Apr-00'!$B$4:$AD$44"}</definedName>
    <definedName name="jjfdsktyhhy" localSheetId="14" hidden="1">{#N/A,#N/A,FALSE,"Plan1";#N/A,#N/A,FALSE,"Plan2"}</definedName>
    <definedName name="jjfdsktyhhy" localSheetId="7" hidden="1">{#N/A,#N/A,FALSE,"Plan1";#N/A,#N/A,FALSE,"Plan2"}</definedName>
    <definedName name="jjfdsktyhhy" localSheetId="1" hidden="1">{#N/A,#N/A,FALSE,"Plan1";#N/A,#N/A,FALSE,"Plan2"}</definedName>
    <definedName name="jjfdsktyhhy" localSheetId="2" hidden="1">{#N/A,#N/A,FALSE,"Plan1";#N/A,#N/A,FALSE,"Plan2"}</definedName>
    <definedName name="jjfdsktyhhy" localSheetId="9" hidden="1">{#N/A,#N/A,FALSE,"Plan1";#N/A,#N/A,FALSE,"Plan2"}</definedName>
    <definedName name="jjfdsktyhhy" localSheetId="5" hidden="1">{#N/A,#N/A,FALSE,"Plan1";#N/A,#N/A,FALSE,"Plan2"}</definedName>
    <definedName name="jjfdsktyhhy" localSheetId="4" hidden="1">{#N/A,#N/A,FALSE,"Plan1";#N/A,#N/A,FALSE,"Plan2"}</definedName>
    <definedName name="jjfdsktyhhy" localSheetId="8" hidden="1">{#N/A,#N/A,FALSE,"Plan1";#N/A,#N/A,FALSE,"Plan2"}</definedName>
    <definedName name="jjfdsktyhhy" localSheetId="12" hidden="1">{#N/A,#N/A,FALSE,"Plan1";#N/A,#N/A,FALSE,"Plan2"}</definedName>
    <definedName name="jjfdsktyhhy" localSheetId="16" hidden="1">{#N/A,#N/A,FALSE,"Plan1";#N/A,#N/A,FALSE,"Plan2"}</definedName>
    <definedName name="jjfdsktyhhy" localSheetId="0" hidden="1">{#N/A,#N/A,FALSE,"Plan1";#N/A,#N/A,FALSE,"Plan2"}</definedName>
    <definedName name="jjfdsktyhhy" localSheetId="11" hidden="1">{#N/A,#N/A,FALSE,"Plan1";#N/A,#N/A,FALSE,"Plan2"}</definedName>
    <definedName name="jjfdsktyhhy" localSheetId="13" hidden="1">{#N/A,#N/A,FALSE,"Plan1";#N/A,#N/A,FALSE,"Plan2"}</definedName>
    <definedName name="jjfdsktyhhy" hidden="1">{#N/A,#N/A,FALSE,"Plan1";#N/A,#N/A,FALSE,"Plan2"}</definedName>
    <definedName name="jjjjjjjjjjjjjjjjjjjj" localSheetId="2">#REF!</definedName>
    <definedName name="jjjjjjjjjjjjjjjjjjjj" localSheetId="5">#REF!</definedName>
    <definedName name="jjjjjjjjjjjjjjjjjjjj">#REF!</definedName>
    <definedName name="jjkjkjk" localSheetId="14" hidden="1">{#N/A,#N/A,FALSE,"Plan1";#N/A,#N/A,FALSE,"Plan2"}</definedName>
    <definedName name="jjkjkjk" localSheetId="7" hidden="1">{#N/A,#N/A,FALSE,"Plan1";#N/A,#N/A,FALSE,"Plan2"}</definedName>
    <definedName name="jjkjkjk" localSheetId="1" hidden="1">{#N/A,#N/A,FALSE,"Plan1";#N/A,#N/A,FALSE,"Plan2"}</definedName>
    <definedName name="jjkjkjk" localSheetId="2" hidden="1">{#N/A,#N/A,FALSE,"Plan1";#N/A,#N/A,FALSE,"Plan2"}</definedName>
    <definedName name="jjkjkjk" localSheetId="9" hidden="1">{#N/A,#N/A,FALSE,"Plan1";#N/A,#N/A,FALSE,"Plan2"}</definedName>
    <definedName name="jjkjkjk" localSheetId="5" hidden="1">{#N/A,#N/A,FALSE,"Plan1";#N/A,#N/A,FALSE,"Plan2"}</definedName>
    <definedName name="jjkjkjk" localSheetId="4" hidden="1">{#N/A,#N/A,FALSE,"Plan1";#N/A,#N/A,FALSE,"Plan2"}</definedName>
    <definedName name="jjkjkjk" localSheetId="8" hidden="1">{#N/A,#N/A,FALSE,"Plan1";#N/A,#N/A,FALSE,"Plan2"}</definedName>
    <definedName name="jjkjkjk" localSheetId="12" hidden="1">{#N/A,#N/A,FALSE,"Plan1";#N/A,#N/A,FALSE,"Plan2"}</definedName>
    <definedName name="jjkjkjk" localSheetId="16" hidden="1">{#N/A,#N/A,FALSE,"Plan1";#N/A,#N/A,FALSE,"Plan2"}</definedName>
    <definedName name="jjkjkjk" localSheetId="0" hidden="1">{#N/A,#N/A,FALSE,"Plan1";#N/A,#N/A,FALSE,"Plan2"}</definedName>
    <definedName name="jjkjkjk" localSheetId="11" hidden="1">{#N/A,#N/A,FALSE,"Plan1";#N/A,#N/A,FALSE,"Plan2"}</definedName>
    <definedName name="jjkjkjk" localSheetId="13" hidden="1">{#N/A,#N/A,FALSE,"Plan1";#N/A,#N/A,FALSE,"Plan2"}</definedName>
    <definedName name="jjkjkjk" hidden="1">{#N/A,#N/A,FALSE,"Plan1";#N/A,#N/A,FALSE,"Plan2"}</definedName>
    <definedName name="JKDCK" localSheetId="14" hidden="1">{#N/A,#N/A,FALSE,"Plan1";#N/A,#N/A,FALSE,"Plan2"}</definedName>
    <definedName name="JKDCK" localSheetId="7" hidden="1">{#N/A,#N/A,FALSE,"Plan1";#N/A,#N/A,FALSE,"Plan2"}</definedName>
    <definedName name="JKDCK" localSheetId="1" hidden="1">{#N/A,#N/A,FALSE,"Plan1";#N/A,#N/A,FALSE,"Plan2"}</definedName>
    <definedName name="JKDCK" localSheetId="2" hidden="1">{#N/A,#N/A,FALSE,"Plan1";#N/A,#N/A,FALSE,"Plan2"}</definedName>
    <definedName name="JKDCK" localSheetId="9" hidden="1">{#N/A,#N/A,FALSE,"Plan1";#N/A,#N/A,FALSE,"Plan2"}</definedName>
    <definedName name="JKDCK" localSheetId="5" hidden="1">{#N/A,#N/A,FALSE,"Plan1";#N/A,#N/A,FALSE,"Plan2"}</definedName>
    <definedName name="JKDCK" localSheetId="4" hidden="1">{#N/A,#N/A,FALSE,"Plan1";#N/A,#N/A,FALSE,"Plan2"}</definedName>
    <definedName name="JKDCK" localSheetId="8" hidden="1">{#N/A,#N/A,FALSE,"Plan1";#N/A,#N/A,FALSE,"Plan2"}</definedName>
    <definedName name="JKDCK" localSheetId="12" hidden="1">{#N/A,#N/A,FALSE,"Plan1";#N/A,#N/A,FALSE,"Plan2"}</definedName>
    <definedName name="JKDCK" localSheetId="16" hidden="1">{#N/A,#N/A,FALSE,"Plan1";#N/A,#N/A,FALSE,"Plan2"}</definedName>
    <definedName name="JKDCK" localSheetId="0" hidden="1">{#N/A,#N/A,FALSE,"Plan1";#N/A,#N/A,FALSE,"Plan2"}</definedName>
    <definedName name="JKDCK" localSheetId="11" hidden="1">{#N/A,#N/A,FALSE,"Plan1";#N/A,#N/A,FALSE,"Plan2"}</definedName>
    <definedName name="JKDCK" localSheetId="13" hidden="1">{#N/A,#N/A,FALSE,"Plan1";#N/A,#N/A,FALSE,"Plan2"}</definedName>
    <definedName name="JKDCK" hidden="1">{#N/A,#N/A,FALSE,"Plan1";#N/A,#N/A,FALSE,"Plan2"}</definedName>
    <definedName name="JKDFHKHFR" localSheetId="14" hidden="1">{#N/A,#N/A,FALSE,"Plan1";#N/A,#N/A,FALSE,"Plan2"}</definedName>
    <definedName name="JKDFHKHFR" localSheetId="7" hidden="1">{#N/A,#N/A,FALSE,"Plan1";#N/A,#N/A,FALSE,"Plan2"}</definedName>
    <definedName name="JKDFHKHFR" localSheetId="1" hidden="1">{#N/A,#N/A,FALSE,"Plan1";#N/A,#N/A,FALSE,"Plan2"}</definedName>
    <definedName name="JKDFHKHFR" localSheetId="2" hidden="1">{#N/A,#N/A,FALSE,"Plan1";#N/A,#N/A,FALSE,"Plan2"}</definedName>
    <definedName name="JKDFHKHFR" localSheetId="9" hidden="1">{#N/A,#N/A,FALSE,"Plan1";#N/A,#N/A,FALSE,"Plan2"}</definedName>
    <definedName name="JKDFHKHFR" localSheetId="5" hidden="1">{#N/A,#N/A,FALSE,"Plan1";#N/A,#N/A,FALSE,"Plan2"}</definedName>
    <definedName name="JKDFHKHFR" localSheetId="4" hidden="1">{#N/A,#N/A,FALSE,"Plan1";#N/A,#N/A,FALSE,"Plan2"}</definedName>
    <definedName name="JKDFHKHFR" localSheetId="8" hidden="1">{#N/A,#N/A,FALSE,"Plan1";#N/A,#N/A,FALSE,"Plan2"}</definedName>
    <definedName name="JKDFHKHFR" localSheetId="12" hidden="1">{#N/A,#N/A,FALSE,"Plan1";#N/A,#N/A,FALSE,"Plan2"}</definedName>
    <definedName name="JKDFHKHFR" localSheetId="16" hidden="1">{#N/A,#N/A,FALSE,"Plan1";#N/A,#N/A,FALSE,"Plan2"}</definedName>
    <definedName name="JKDFHKHFR" localSheetId="0" hidden="1">{#N/A,#N/A,FALSE,"Plan1";#N/A,#N/A,FALSE,"Plan2"}</definedName>
    <definedName name="JKDFHKHFR" localSheetId="11" hidden="1">{#N/A,#N/A,FALSE,"Plan1";#N/A,#N/A,FALSE,"Plan2"}</definedName>
    <definedName name="JKDFHKHFR" localSheetId="13" hidden="1">{#N/A,#N/A,FALSE,"Plan1";#N/A,#N/A,FALSE,"Plan2"}</definedName>
    <definedName name="JKDFHKHFR" hidden="1">{#N/A,#N/A,FALSE,"Plan1";#N/A,#N/A,FALSE,"Plan2"}</definedName>
    <definedName name="JKDFTRDRJ" localSheetId="14" hidden="1">{#N/A,#N/A,FALSE,"Plan1";#N/A,#N/A,FALSE,"Plan2"}</definedName>
    <definedName name="JKDFTRDRJ" localSheetId="7" hidden="1">{#N/A,#N/A,FALSE,"Plan1";#N/A,#N/A,FALSE,"Plan2"}</definedName>
    <definedName name="JKDFTRDRJ" localSheetId="1" hidden="1">{#N/A,#N/A,FALSE,"Plan1";#N/A,#N/A,FALSE,"Plan2"}</definedName>
    <definedName name="JKDFTRDRJ" localSheetId="2" hidden="1">{#N/A,#N/A,FALSE,"Plan1";#N/A,#N/A,FALSE,"Plan2"}</definedName>
    <definedName name="JKDFTRDRJ" localSheetId="9" hidden="1">{#N/A,#N/A,FALSE,"Plan1";#N/A,#N/A,FALSE,"Plan2"}</definedName>
    <definedName name="JKDFTRDRJ" localSheetId="5" hidden="1">{#N/A,#N/A,FALSE,"Plan1";#N/A,#N/A,FALSE,"Plan2"}</definedName>
    <definedName name="JKDFTRDRJ" localSheetId="4" hidden="1">{#N/A,#N/A,FALSE,"Plan1";#N/A,#N/A,FALSE,"Plan2"}</definedName>
    <definedName name="JKDFTRDRJ" localSheetId="8" hidden="1">{#N/A,#N/A,FALSE,"Plan1";#N/A,#N/A,FALSE,"Plan2"}</definedName>
    <definedName name="JKDFTRDRJ" localSheetId="12" hidden="1">{#N/A,#N/A,FALSE,"Plan1";#N/A,#N/A,FALSE,"Plan2"}</definedName>
    <definedName name="JKDFTRDRJ" localSheetId="16" hidden="1">{#N/A,#N/A,FALSE,"Plan1";#N/A,#N/A,FALSE,"Plan2"}</definedName>
    <definedName name="JKDFTRDRJ" localSheetId="0" hidden="1">{#N/A,#N/A,FALSE,"Plan1";#N/A,#N/A,FALSE,"Plan2"}</definedName>
    <definedName name="JKDFTRDRJ" localSheetId="11" hidden="1">{#N/A,#N/A,FALSE,"Plan1";#N/A,#N/A,FALSE,"Plan2"}</definedName>
    <definedName name="JKDFTRDRJ" localSheetId="13" hidden="1">{#N/A,#N/A,FALSE,"Plan1";#N/A,#N/A,FALSE,"Plan2"}</definedName>
    <definedName name="JKDFTRDRJ" hidden="1">{#N/A,#N/A,FALSE,"Plan1";#N/A,#N/A,FALSE,"Plan2"}</definedName>
    <definedName name="jkdhfukhddf" localSheetId="14" hidden="1">{#N/A,#N/A,FALSE,"Plan1";#N/A,#N/A,FALSE,"Plan2"}</definedName>
    <definedName name="jkdhfukhddf" localSheetId="7" hidden="1">{#N/A,#N/A,FALSE,"Plan1";#N/A,#N/A,FALSE,"Plan2"}</definedName>
    <definedName name="jkdhfukhddf" localSheetId="1" hidden="1">{#N/A,#N/A,FALSE,"Plan1";#N/A,#N/A,FALSE,"Plan2"}</definedName>
    <definedName name="jkdhfukhddf" localSheetId="2" hidden="1">{#N/A,#N/A,FALSE,"Plan1";#N/A,#N/A,FALSE,"Plan2"}</definedName>
    <definedName name="jkdhfukhddf" localSheetId="9" hidden="1">{#N/A,#N/A,FALSE,"Plan1";#N/A,#N/A,FALSE,"Plan2"}</definedName>
    <definedName name="jkdhfukhddf" localSheetId="5" hidden="1">{#N/A,#N/A,FALSE,"Plan1";#N/A,#N/A,FALSE,"Plan2"}</definedName>
    <definedName name="jkdhfukhddf" localSheetId="4" hidden="1">{#N/A,#N/A,FALSE,"Plan1";#N/A,#N/A,FALSE,"Plan2"}</definedName>
    <definedName name="jkdhfukhddf" localSheetId="8" hidden="1">{#N/A,#N/A,FALSE,"Plan1";#N/A,#N/A,FALSE,"Plan2"}</definedName>
    <definedName name="jkdhfukhddf" localSheetId="12" hidden="1">{#N/A,#N/A,FALSE,"Plan1";#N/A,#N/A,FALSE,"Plan2"}</definedName>
    <definedName name="jkdhfukhddf" localSheetId="16" hidden="1">{#N/A,#N/A,FALSE,"Plan1";#N/A,#N/A,FALSE,"Plan2"}</definedName>
    <definedName name="jkdhfukhddf" localSheetId="0" hidden="1">{#N/A,#N/A,FALSE,"Plan1";#N/A,#N/A,FALSE,"Plan2"}</definedName>
    <definedName name="jkdhfukhddf" localSheetId="11" hidden="1">{#N/A,#N/A,FALSE,"Plan1";#N/A,#N/A,FALSE,"Plan2"}</definedName>
    <definedName name="jkdhfukhddf" localSheetId="13" hidden="1">{#N/A,#N/A,FALSE,"Plan1";#N/A,#N/A,FALSE,"Plan2"}</definedName>
    <definedName name="jkdhfukhddf" hidden="1">{#N/A,#N/A,FALSE,"Plan1";#N/A,#N/A,FALSE,"Plan2"}</definedName>
    <definedName name="JKDRKGJHTDR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4" hidden="1">{#N/A,#N/A,FALSE,"Plan1";#N/A,#N/A,FALSE,"Plan2"}</definedName>
    <definedName name="jkelsjreja" localSheetId="7" hidden="1">{#N/A,#N/A,FALSE,"Plan1";#N/A,#N/A,FALSE,"Plan2"}</definedName>
    <definedName name="jkelsjreja" localSheetId="1" hidden="1">{#N/A,#N/A,FALSE,"Plan1";#N/A,#N/A,FALSE,"Plan2"}</definedName>
    <definedName name="jkelsjreja" localSheetId="2" hidden="1">{#N/A,#N/A,FALSE,"Plan1";#N/A,#N/A,FALSE,"Plan2"}</definedName>
    <definedName name="jkelsjreja" localSheetId="9" hidden="1">{#N/A,#N/A,FALSE,"Plan1";#N/A,#N/A,FALSE,"Plan2"}</definedName>
    <definedName name="jkelsjreja" localSheetId="5" hidden="1">{#N/A,#N/A,FALSE,"Plan1";#N/A,#N/A,FALSE,"Plan2"}</definedName>
    <definedName name="jkelsjreja" localSheetId="4" hidden="1">{#N/A,#N/A,FALSE,"Plan1";#N/A,#N/A,FALSE,"Plan2"}</definedName>
    <definedName name="jkelsjreja" localSheetId="8" hidden="1">{#N/A,#N/A,FALSE,"Plan1";#N/A,#N/A,FALSE,"Plan2"}</definedName>
    <definedName name="jkelsjreja" localSheetId="12" hidden="1">{#N/A,#N/A,FALSE,"Plan1";#N/A,#N/A,FALSE,"Plan2"}</definedName>
    <definedName name="jkelsjreja" localSheetId="16" hidden="1">{#N/A,#N/A,FALSE,"Plan1";#N/A,#N/A,FALSE,"Plan2"}</definedName>
    <definedName name="jkelsjreja" localSheetId="0" hidden="1">{#N/A,#N/A,FALSE,"Plan1";#N/A,#N/A,FALSE,"Plan2"}</definedName>
    <definedName name="jkelsjreja" localSheetId="11" hidden="1">{#N/A,#N/A,FALSE,"Plan1";#N/A,#N/A,FALSE,"Plan2"}</definedName>
    <definedName name="jkelsjreja" localSheetId="13" hidden="1">{#N/A,#N/A,FALSE,"Plan1";#N/A,#N/A,FALSE,"Plan2"}</definedName>
    <definedName name="jkelsjreja" hidden="1">{#N/A,#N/A,FALSE,"Plan1";#N/A,#N/A,FALSE,"Plan2"}</definedName>
    <definedName name="jkfhjgkfhghh" localSheetId="14" hidden="1">{#N/A,#N/A,FALSE,"Plan1";#N/A,#N/A,FALSE,"Plan2"}</definedName>
    <definedName name="jkfhjgkfhghh" localSheetId="7" hidden="1">{#N/A,#N/A,FALSE,"Plan1";#N/A,#N/A,FALSE,"Plan2"}</definedName>
    <definedName name="jkfhjgkfhghh" localSheetId="1" hidden="1">{#N/A,#N/A,FALSE,"Plan1";#N/A,#N/A,FALSE,"Plan2"}</definedName>
    <definedName name="jkfhjgkfhghh" localSheetId="2" hidden="1">{#N/A,#N/A,FALSE,"Plan1";#N/A,#N/A,FALSE,"Plan2"}</definedName>
    <definedName name="jkfhjgkfhghh" localSheetId="9" hidden="1">{#N/A,#N/A,FALSE,"Plan1";#N/A,#N/A,FALSE,"Plan2"}</definedName>
    <definedName name="jkfhjgkfhghh" localSheetId="5" hidden="1">{#N/A,#N/A,FALSE,"Plan1";#N/A,#N/A,FALSE,"Plan2"}</definedName>
    <definedName name="jkfhjgkfhghh" localSheetId="4" hidden="1">{#N/A,#N/A,FALSE,"Plan1";#N/A,#N/A,FALSE,"Plan2"}</definedName>
    <definedName name="jkfhjgkfhghh" localSheetId="8" hidden="1">{#N/A,#N/A,FALSE,"Plan1";#N/A,#N/A,FALSE,"Plan2"}</definedName>
    <definedName name="jkfhjgkfhghh" localSheetId="12" hidden="1">{#N/A,#N/A,FALSE,"Plan1";#N/A,#N/A,FALSE,"Plan2"}</definedName>
    <definedName name="jkfhjgkfhghh" localSheetId="16" hidden="1">{#N/A,#N/A,FALSE,"Plan1";#N/A,#N/A,FALSE,"Plan2"}</definedName>
    <definedName name="jkfhjgkfhghh" localSheetId="0" hidden="1">{#N/A,#N/A,FALSE,"Plan1";#N/A,#N/A,FALSE,"Plan2"}</definedName>
    <definedName name="jkfhjgkfhghh" localSheetId="11" hidden="1">{#N/A,#N/A,FALSE,"Plan1";#N/A,#N/A,FALSE,"Plan2"}</definedName>
    <definedName name="jkfhjgkfhghh" localSheetId="13" hidden="1">{#N/A,#N/A,FALSE,"Plan1";#N/A,#N/A,FALSE,"Plan2"}</definedName>
    <definedName name="jkfhjgkfhghh" hidden="1">{#N/A,#N/A,FALSE,"Plan1";#N/A,#N/A,FALSE,"Plan2"}</definedName>
    <definedName name="jkhderjkhes" localSheetId="14" hidden="1">{#N/A,#N/A,FALSE,"Plan1";#N/A,#N/A,FALSE,"Plan2"}</definedName>
    <definedName name="jkhderjkhes" localSheetId="7" hidden="1">{#N/A,#N/A,FALSE,"Plan1";#N/A,#N/A,FALSE,"Plan2"}</definedName>
    <definedName name="jkhderjkhes" localSheetId="1" hidden="1">{#N/A,#N/A,FALSE,"Plan1";#N/A,#N/A,FALSE,"Plan2"}</definedName>
    <definedName name="jkhderjkhes" localSheetId="2" hidden="1">{#N/A,#N/A,FALSE,"Plan1";#N/A,#N/A,FALSE,"Plan2"}</definedName>
    <definedName name="jkhderjkhes" localSheetId="9" hidden="1">{#N/A,#N/A,FALSE,"Plan1";#N/A,#N/A,FALSE,"Plan2"}</definedName>
    <definedName name="jkhderjkhes" localSheetId="5" hidden="1">{#N/A,#N/A,FALSE,"Plan1";#N/A,#N/A,FALSE,"Plan2"}</definedName>
    <definedName name="jkhderjkhes" localSheetId="4" hidden="1">{#N/A,#N/A,FALSE,"Plan1";#N/A,#N/A,FALSE,"Plan2"}</definedName>
    <definedName name="jkhderjkhes" localSheetId="8" hidden="1">{#N/A,#N/A,FALSE,"Plan1";#N/A,#N/A,FALSE,"Plan2"}</definedName>
    <definedName name="jkhderjkhes" localSheetId="12" hidden="1">{#N/A,#N/A,FALSE,"Plan1";#N/A,#N/A,FALSE,"Plan2"}</definedName>
    <definedName name="jkhderjkhes" localSheetId="16" hidden="1">{#N/A,#N/A,FALSE,"Plan1";#N/A,#N/A,FALSE,"Plan2"}</definedName>
    <definedName name="jkhderjkhes" localSheetId="0" hidden="1">{#N/A,#N/A,FALSE,"Plan1";#N/A,#N/A,FALSE,"Plan2"}</definedName>
    <definedName name="jkhderjkhes" localSheetId="11" hidden="1">{#N/A,#N/A,FALSE,"Plan1";#N/A,#N/A,FALSE,"Plan2"}</definedName>
    <definedName name="jkhderjkhes" localSheetId="13" hidden="1">{#N/A,#N/A,FALSE,"Plan1";#N/A,#N/A,FALSE,"Plan2"}</definedName>
    <definedName name="jkhderjkhes" hidden="1">{#N/A,#N/A,FALSE,"Plan1";#N/A,#N/A,FALSE,"Plan2"}</definedName>
    <definedName name="jkhdfhfd" localSheetId="14" hidden="1">{#N/A,#N/A,FALSE,"Plan1";#N/A,#N/A,FALSE,"Plan2"}</definedName>
    <definedName name="jkhdfhfd" localSheetId="7" hidden="1">{#N/A,#N/A,FALSE,"Plan1";#N/A,#N/A,FALSE,"Plan2"}</definedName>
    <definedName name="jkhdfhfd" localSheetId="1" hidden="1">{#N/A,#N/A,FALSE,"Plan1";#N/A,#N/A,FALSE,"Plan2"}</definedName>
    <definedName name="jkhdfhfd" localSheetId="2" hidden="1">{#N/A,#N/A,FALSE,"Plan1";#N/A,#N/A,FALSE,"Plan2"}</definedName>
    <definedName name="jkhdfhfd" localSheetId="9" hidden="1">{#N/A,#N/A,FALSE,"Plan1";#N/A,#N/A,FALSE,"Plan2"}</definedName>
    <definedName name="jkhdfhfd" localSheetId="5" hidden="1">{#N/A,#N/A,FALSE,"Plan1";#N/A,#N/A,FALSE,"Plan2"}</definedName>
    <definedName name="jkhdfhfd" localSheetId="4" hidden="1">{#N/A,#N/A,FALSE,"Plan1";#N/A,#N/A,FALSE,"Plan2"}</definedName>
    <definedName name="jkhdfhfd" localSheetId="8" hidden="1">{#N/A,#N/A,FALSE,"Plan1";#N/A,#N/A,FALSE,"Plan2"}</definedName>
    <definedName name="jkhdfhfd" localSheetId="12" hidden="1">{#N/A,#N/A,FALSE,"Plan1";#N/A,#N/A,FALSE,"Plan2"}</definedName>
    <definedName name="jkhdfhfd" localSheetId="16" hidden="1">{#N/A,#N/A,FALSE,"Plan1";#N/A,#N/A,FALSE,"Plan2"}</definedName>
    <definedName name="jkhdfhfd" localSheetId="0" hidden="1">{#N/A,#N/A,FALSE,"Plan1";#N/A,#N/A,FALSE,"Plan2"}</definedName>
    <definedName name="jkhdfhfd" localSheetId="11" hidden="1">{#N/A,#N/A,FALSE,"Plan1";#N/A,#N/A,FALSE,"Plan2"}</definedName>
    <definedName name="jkhdfhfd" localSheetId="13" hidden="1">{#N/A,#N/A,FALSE,"Plan1";#N/A,#N/A,FALSE,"Plan2"}</definedName>
    <definedName name="jkhdfhfd" hidden="1">{#N/A,#N/A,FALSE,"Plan1";#N/A,#N/A,FALSE,"Plan2"}</definedName>
    <definedName name="jkhfhest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4" hidden="1">{#N/A,#N/A,FALSE,"Plan1";#N/A,#N/A,FALSE,"Plan2"}</definedName>
    <definedName name="JKHFKJHGKFTHUDET" localSheetId="7" hidden="1">{#N/A,#N/A,FALSE,"Plan1";#N/A,#N/A,FALSE,"Plan2"}</definedName>
    <definedName name="JKHFKJHGKFTHUDET" localSheetId="1" hidden="1">{#N/A,#N/A,FALSE,"Plan1";#N/A,#N/A,FALSE,"Plan2"}</definedName>
    <definedName name="JKHFKJHGKFTHUDET" localSheetId="2" hidden="1">{#N/A,#N/A,FALSE,"Plan1";#N/A,#N/A,FALSE,"Plan2"}</definedName>
    <definedName name="JKHFKJHGKFTHUDET" localSheetId="9" hidden="1">{#N/A,#N/A,FALSE,"Plan1";#N/A,#N/A,FALSE,"Plan2"}</definedName>
    <definedName name="JKHFKJHGKFTHUDET" localSheetId="5" hidden="1">{#N/A,#N/A,FALSE,"Plan1";#N/A,#N/A,FALSE,"Plan2"}</definedName>
    <definedName name="JKHFKJHGKFTHUDET" localSheetId="4" hidden="1">{#N/A,#N/A,FALSE,"Plan1";#N/A,#N/A,FALSE,"Plan2"}</definedName>
    <definedName name="JKHFKJHGKFTHUDET" localSheetId="8" hidden="1">{#N/A,#N/A,FALSE,"Plan1";#N/A,#N/A,FALSE,"Plan2"}</definedName>
    <definedName name="JKHFKJHGKFTHUDET" localSheetId="12" hidden="1">{#N/A,#N/A,FALSE,"Plan1";#N/A,#N/A,FALSE,"Plan2"}</definedName>
    <definedName name="JKHFKJHGKFTHUDET" localSheetId="16" hidden="1">{#N/A,#N/A,FALSE,"Plan1";#N/A,#N/A,FALSE,"Plan2"}</definedName>
    <definedName name="JKHFKJHGKFTHUDET" localSheetId="0" hidden="1">{#N/A,#N/A,FALSE,"Plan1";#N/A,#N/A,FALSE,"Plan2"}</definedName>
    <definedName name="JKHFKJHGKFTHUDET" localSheetId="11" hidden="1">{#N/A,#N/A,FALSE,"Plan1";#N/A,#N/A,FALSE,"Plan2"}</definedName>
    <definedName name="JKHFKJHGKFTHUDET" localSheetId="13" hidden="1">{#N/A,#N/A,FALSE,"Plan1";#N/A,#N/A,FALSE,"Plan2"}</definedName>
    <definedName name="JKHFKJHGKFTHUDET" hidden="1">{#N/A,#N/A,FALSE,"Plan1";#N/A,#N/A,FALSE,"Plan2"}</definedName>
    <definedName name="JKHGDHFUHTG" localSheetId="14" hidden="1">{#N/A,#N/A,FALSE,"Plan1";#N/A,#N/A,FALSE,"Plan2"}</definedName>
    <definedName name="JKHGDHFUHTG" localSheetId="7" hidden="1">{#N/A,#N/A,FALSE,"Plan1";#N/A,#N/A,FALSE,"Plan2"}</definedName>
    <definedName name="JKHGDHFUHTG" localSheetId="1" hidden="1">{#N/A,#N/A,FALSE,"Plan1";#N/A,#N/A,FALSE,"Plan2"}</definedName>
    <definedName name="JKHGDHFUHTG" localSheetId="2" hidden="1">{#N/A,#N/A,FALSE,"Plan1";#N/A,#N/A,FALSE,"Plan2"}</definedName>
    <definedName name="JKHGDHFUHTG" localSheetId="9" hidden="1">{#N/A,#N/A,FALSE,"Plan1";#N/A,#N/A,FALSE,"Plan2"}</definedName>
    <definedName name="JKHGDHFUHTG" localSheetId="5" hidden="1">{#N/A,#N/A,FALSE,"Plan1";#N/A,#N/A,FALSE,"Plan2"}</definedName>
    <definedName name="JKHGDHFUHTG" localSheetId="4" hidden="1">{#N/A,#N/A,FALSE,"Plan1";#N/A,#N/A,FALSE,"Plan2"}</definedName>
    <definedName name="JKHGDHFUHTG" localSheetId="8" hidden="1">{#N/A,#N/A,FALSE,"Plan1";#N/A,#N/A,FALSE,"Plan2"}</definedName>
    <definedName name="JKHGDHFUHTG" localSheetId="12" hidden="1">{#N/A,#N/A,FALSE,"Plan1";#N/A,#N/A,FALSE,"Plan2"}</definedName>
    <definedName name="JKHGDHFUHTG" localSheetId="16" hidden="1">{#N/A,#N/A,FALSE,"Plan1";#N/A,#N/A,FALSE,"Plan2"}</definedName>
    <definedName name="JKHGDHFUHTG" localSheetId="0" hidden="1">{#N/A,#N/A,FALSE,"Plan1";#N/A,#N/A,FALSE,"Plan2"}</definedName>
    <definedName name="JKHGDHFUHTG" localSheetId="11" hidden="1">{#N/A,#N/A,FALSE,"Plan1";#N/A,#N/A,FALSE,"Plan2"}</definedName>
    <definedName name="JKHGDHFUHTG" localSheetId="13" hidden="1">{#N/A,#N/A,FALSE,"Plan1";#N/A,#N/A,FALSE,"Plan2"}</definedName>
    <definedName name="JKHGDHFUHTG" hidden="1">{#N/A,#N/A,FALSE,"Plan1";#N/A,#N/A,FALSE,"Plan2"}</definedName>
    <definedName name="jkhsdzjkfyiu" localSheetId="14" hidden="1">{#N/A,#N/A,FALSE,"Plan1";#N/A,#N/A,FALSE,"Plan2"}</definedName>
    <definedName name="jkhsdzjkfyiu" localSheetId="7" hidden="1">{#N/A,#N/A,FALSE,"Plan1";#N/A,#N/A,FALSE,"Plan2"}</definedName>
    <definedName name="jkhsdzjkfyiu" localSheetId="1" hidden="1">{#N/A,#N/A,FALSE,"Plan1";#N/A,#N/A,FALSE,"Plan2"}</definedName>
    <definedName name="jkhsdzjkfyiu" localSheetId="2" hidden="1">{#N/A,#N/A,FALSE,"Plan1";#N/A,#N/A,FALSE,"Plan2"}</definedName>
    <definedName name="jkhsdzjkfyiu" localSheetId="9" hidden="1">{#N/A,#N/A,FALSE,"Plan1";#N/A,#N/A,FALSE,"Plan2"}</definedName>
    <definedName name="jkhsdzjkfyiu" localSheetId="5" hidden="1">{#N/A,#N/A,FALSE,"Plan1";#N/A,#N/A,FALSE,"Plan2"}</definedName>
    <definedName name="jkhsdzjkfyiu" localSheetId="4" hidden="1">{#N/A,#N/A,FALSE,"Plan1";#N/A,#N/A,FALSE,"Plan2"}</definedName>
    <definedName name="jkhsdzjkfyiu" localSheetId="8" hidden="1">{#N/A,#N/A,FALSE,"Plan1";#N/A,#N/A,FALSE,"Plan2"}</definedName>
    <definedName name="jkhsdzjkfyiu" localSheetId="12" hidden="1">{#N/A,#N/A,FALSE,"Plan1";#N/A,#N/A,FALSE,"Plan2"}</definedName>
    <definedName name="jkhsdzjkfyiu" localSheetId="16" hidden="1">{#N/A,#N/A,FALSE,"Plan1";#N/A,#N/A,FALSE,"Plan2"}</definedName>
    <definedName name="jkhsdzjkfyiu" localSheetId="0" hidden="1">{#N/A,#N/A,FALSE,"Plan1";#N/A,#N/A,FALSE,"Plan2"}</definedName>
    <definedName name="jkhsdzjkfyiu" localSheetId="11" hidden="1">{#N/A,#N/A,FALSE,"Plan1";#N/A,#N/A,FALSE,"Plan2"}</definedName>
    <definedName name="jkhsdzjkfyiu" localSheetId="13" hidden="1">{#N/A,#N/A,FALSE,"Plan1";#N/A,#N/A,FALSE,"Plan2"}</definedName>
    <definedName name="jkhsdzjkfyiu" hidden="1">{#N/A,#N/A,FALSE,"Plan1";#N/A,#N/A,FALSE,"Plan2"}</definedName>
    <definedName name="jkjsdkhfdhrf" localSheetId="14" hidden="1">{#N/A,#N/A,FALSE,"Plan1";#N/A,#N/A,FALSE,"Plan2"}</definedName>
    <definedName name="jkjsdkhfdhrf" localSheetId="7" hidden="1">{#N/A,#N/A,FALSE,"Plan1";#N/A,#N/A,FALSE,"Plan2"}</definedName>
    <definedName name="jkjsdkhfdhrf" localSheetId="1" hidden="1">{#N/A,#N/A,FALSE,"Plan1";#N/A,#N/A,FALSE,"Plan2"}</definedName>
    <definedName name="jkjsdkhfdhrf" localSheetId="2" hidden="1">{#N/A,#N/A,FALSE,"Plan1";#N/A,#N/A,FALSE,"Plan2"}</definedName>
    <definedName name="jkjsdkhfdhrf" localSheetId="9" hidden="1">{#N/A,#N/A,FALSE,"Plan1";#N/A,#N/A,FALSE,"Plan2"}</definedName>
    <definedName name="jkjsdkhfdhrf" localSheetId="5" hidden="1">{#N/A,#N/A,FALSE,"Plan1";#N/A,#N/A,FALSE,"Plan2"}</definedName>
    <definedName name="jkjsdkhfdhrf" localSheetId="4" hidden="1">{#N/A,#N/A,FALSE,"Plan1";#N/A,#N/A,FALSE,"Plan2"}</definedName>
    <definedName name="jkjsdkhfdhrf" localSheetId="8" hidden="1">{#N/A,#N/A,FALSE,"Plan1";#N/A,#N/A,FALSE,"Plan2"}</definedName>
    <definedName name="jkjsdkhfdhrf" localSheetId="12" hidden="1">{#N/A,#N/A,FALSE,"Plan1";#N/A,#N/A,FALSE,"Plan2"}</definedName>
    <definedName name="jkjsdkhfdhrf" localSheetId="16" hidden="1">{#N/A,#N/A,FALSE,"Plan1";#N/A,#N/A,FALSE,"Plan2"}</definedName>
    <definedName name="jkjsdkhfdhrf" localSheetId="0" hidden="1">{#N/A,#N/A,FALSE,"Plan1";#N/A,#N/A,FALSE,"Plan2"}</definedName>
    <definedName name="jkjsdkhfdhrf" localSheetId="11" hidden="1">{#N/A,#N/A,FALSE,"Plan1";#N/A,#N/A,FALSE,"Plan2"}</definedName>
    <definedName name="jkjsdkhfdhrf" localSheetId="13" hidden="1">{#N/A,#N/A,FALSE,"Plan1";#N/A,#N/A,FALSE,"Plan2"}</definedName>
    <definedName name="jkjsdkhfdhrf" hidden="1">{#N/A,#N/A,FALSE,"Plan1";#N/A,#N/A,FALSE,"Plan2"}</definedName>
    <definedName name="jklgfsjgtjtg" localSheetId="14" hidden="1">{#N/A,#N/A,FALSE,"Plan1";#N/A,#N/A,FALSE,"Plan2"}</definedName>
    <definedName name="jklgfsjgtjtg" localSheetId="7" hidden="1">{#N/A,#N/A,FALSE,"Plan1";#N/A,#N/A,FALSE,"Plan2"}</definedName>
    <definedName name="jklgfsjgtjtg" localSheetId="1" hidden="1">{#N/A,#N/A,FALSE,"Plan1";#N/A,#N/A,FALSE,"Plan2"}</definedName>
    <definedName name="jklgfsjgtjtg" localSheetId="2" hidden="1">{#N/A,#N/A,FALSE,"Plan1";#N/A,#N/A,FALSE,"Plan2"}</definedName>
    <definedName name="jklgfsjgtjtg" localSheetId="9" hidden="1">{#N/A,#N/A,FALSE,"Plan1";#N/A,#N/A,FALSE,"Plan2"}</definedName>
    <definedName name="jklgfsjgtjtg" localSheetId="5" hidden="1">{#N/A,#N/A,FALSE,"Plan1";#N/A,#N/A,FALSE,"Plan2"}</definedName>
    <definedName name="jklgfsjgtjtg" localSheetId="4" hidden="1">{#N/A,#N/A,FALSE,"Plan1";#N/A,#N/A,FALSE,"Plan2"}</definedName>
    <definedName name="jklgfsjgtjtg" localSheetId="8" hidden="1">{#N/A,#N/A,FALSE,"Plan1";#N/A,#N/A,FALSE,"Plan2"}</definedName>
    <definedName name="jklgfsjgtjtg" localSheetId="12" hidden="1">{#N/A,#N/A,FALSE,"Plan1";#N/A,#N/A,FALSE,"Plan2"}</definedName>
    <definedName name="jklgfsjgtjtg" localSheetId="16" hidden="1">{#N/A,#N/A,FALSE,"Plan1";#N/A,#N/A,FALSE,"Plan2"}</definedName>
    <definedName name="jklgfsjgtjtg" localSheetId="0" hidden="1">{#N/A,#N/A,FALSE,"Plan1";#N/A,#N/A,FALSE,"Plan2"}</definedName>
    <definedName name="jklgfsjgtjtg" localSheetId="11" hidden="1">{#N/A,#N/A,FALSE,"Plan1";#N/A,#N/A,FALSE,"Plan2"}</definedName>
    <definedName name="jklgfsjgtjtg" localSheetId="13" hidden="1">{#N/A,#N/A,FALSE,"Plan1";#N/A,#N/A,FALSE,"Plan2"}</definedName>
    <definedName name="jklgfsjgtjtg" hidden="1">{#N/A,#N/A,FALSE,"Plan1";#N/A,#N/A,FALSE,"Plan2"}</definedName>
    <definedName name="jksldfjsdhf" localSheetId="14" hidden="1">{#N/A,#N/A,FALSE,"Plan1";#N/A,#N/A,FALSE,"Plan2"}</definedName>
    <definedName name="jksldfjsdhf" localSheetId="7" hidden="1">{#N/A,#N/A,FALSE,"Plan1";#N/A,#N/A,FALSE,"Plan2"}</definedName>
    <definedName name="jksldfjsdhf" localSheetId="1" hidden="1">{#N/A,#N/A,FALSE,"Plan1";#N/A,#N/A,FALSE,"Plan2"}</definedName>
    <definedName name="jksldfjsdhf" localSheetId="2" hidden="1">{#N/A,#N/A,FALSE,"Plan1";#N/A,#N/A,FALSE,"Plan2"}</definedName>
    <definedName name="jksldfjsdhf" localSheetId="9" hidden="1">{#N/A,#N/A,FALSE,"Plan1";#N/A,#N/A,FALSE,"Plan2"}</definedName>
    <definedName name="jksldfjsdhf" localSheetId="5" hidden="1">{#N/A,#N/A,FALSE,"Plan1";#N/A,#N/A,FALSE,"Plan2"}</definedName>
    <definedName name="jksldfjsdhf" localSheetId="4" hidden="1">{#N/A,#N/A,FALSE,"Plan1";#N/A,#N/A,FALSE,"Plan2"}</definedName>
    <definedName name="jksldfjsdhf" localSheetId="8" hidden="1">{#N/A,#N/A,FALSE,"Plan1";#N/A,#N/A,FALSE,"Plan2"}</definedName>
    <definedName name="jksldfjsdhf" localSheetId="12" hidden="1">{#N/A,#N/A,FALSE,"Plan1";#N/A,#N/A,FALSE,"Plan2"}</definedName>
    <definedName name="jksldfjsdhf" localSheetId="16" hidden="1">{#N/A,#N/A,FALSE,"Plan1";#N/A,#N/A,FALSE,"Plan2"}</definedName>
    <definedName name="jksldfjsdhf" localSheetId="0" hidden="1">{#N/A,#N/A,FALSE,"Plan1";#N/A,#N/A,FALSE,"Plan2"}</definedName>
    <definedName name="jksldfjsdhf" localSheetId="11" hidden="1">{#N/A,#N/A,FALSE,"Plan1";#N/A,#N/A,FALSE,"Plan2"}</definedName>
    <definedName name="jksldfjsdhf" localSheetId="13" hidden="1">{#N/A,#N/A,FALSE,"Plan1";#N/A,#N/A,FALSE,"Plan2"}</definedName>
    <definedName name="jksldfjsdhf" hidden="1">{#N/A,#N/A,FALSE,"Plan1";#N/A,#N/A,FALSE,"Plan2"}</definedName>
    <definedName name="jkxhcjkhfr" localSheetId="14" hidden="1">{#N/A,#N/A,FALSE,"Plan1";#N/A,#N/A,FALSE,"Plan2"}</definedName>
    <definedName name="jkxhcjkhfr" localSheetId="7" hidden="1">{#N/A,#N/A,FALSE,"Plan1";#N/A,#N/A,FALSE,"Plan2"}</definedName>
    <definedName name="jkxhcjkhfr" localSheetId="1" hidden="1">{#N/A,#N/A,FALSE,"Plan1";#N/A,#N/A,FALSE,"Plan2"}</definedName>
    <definedName name="jkxhcjkhfr" localSheetId="2" hidden="1">{#N/A,#N/A,FALSE,"Plan1";#N/A,#N/A,FALSE,"Plan2"}</definedName>
    <definedName name="jkxhcjkhfr" localSheetId="9" hidden="1">{#N/A,#N/A,FALSE,"Plan1";#N/A,#N/A,FALSE,"Plan2"}</definedName>
    <definedName name="jkxhcjkhfr" localSheetId="5" hidden="1">{#N/A,#N/A,FALSE,"Plan1";#N/A,#N/A,FALSE,"Plan2"}</definedName>
    <definedName name="jkxhcjkhfr" localSheetId="4" hidden="1">{#N/A,#N/A,FALSE,"Plan1";#N/A,#N/A,FALSE,"Plan2"}</definedName>
    <definedName name="jkxhcjkhfr" localSheetId="8" hidden="1">{#N/A,#N/A,FALSE,"Plan1";#N/A,#N/A,FALSE,"Plan2"}</definedName>
    <definedName name="jkxhcjkhfr" localSheetId="12" hidden="1">{#N/A,#N/A,FALSE,"Plan1";#N/A,#N/A,FALSE,"Plan2"}</definedName>
    <definedName name="jkxhcjkhfr" localSheetId="16" hidden="1">{#N/A,#N/A,FALSE,"Plan1";#N/A,#N/A,FALSE,"Plan2"}</definedName>
    <definedName name="jkxhcjkhfr" localSheetId="0" hidden="1">{#N/A,#N/A,FALSE,"Plan1";#N/A,#N/A,FALSE,"Plan2"}</definedName>
    <definedName name="jkxhcjkhfr" localSheetId="11" hidden="1">{#N/A,#N/A,FALSE,"Plan1";#N/A,#N/A,FALSE,"Plan2"}</definedName>
    <definedName name="jkxhcjkhfr" localSheetId="13" hidden="1">{#N/A,#N/A,FALSE,"Plan1";#N/A,#N/A,FALSE,"Plan2"}</definedName>
    <definedName name="jkxhcjkhfr" hidden="1">{#N/A,#N/A,FALSE,"Plan1";#N/A,#N/A,FALSE,"Plan2"}</definedName>
    <definedName name="JNGCKFKJFGH" localSheetId="14" hidden="1">{#N/A,#N/A,FALSE,"Plan1";#N/A,#N/A,FALSE,"Plan2"}</definedName>
    <definedName name="JNGCKFKJFGH" localSheetId="7" hidden="1">{#N/A,#N/A,FALSE,"Plan1";#N/A,#N/A,FALSE,"Plan2"}</definedName>
    <definedName name="JNGCKFKJFGH" localSheetId="1" hidden="1">{#N/A,#N/A,FALSE,"Plan1";#N/A,#N/A,FALSE,"Plan2"}</definedName>
    <definedName name="JNGCKFKJFGH" localSheetId="2" hidden="1">{#N/A,#N/A,FALSE,"Plan1";#N/A,#N/A,FALSE,"Plan2"}</definedName>
    <definedName name="JNGCKFKJFGH" localSheetId="9" hidden="1">{#N/A,#N/A,FALSE,"Plan1";#N/A,#N/A,FALSE,"Plan2"}</definedName>
    <definedName name="JNGCKFKJFGH" localSheetId="5" hidden="1">{#N/A,#N/A,FALSE,"Plan1";#N/A,#N/A,FALSE,"Plan2"}</definedName>
    <definedName name="JNGCKFKJFGH" localSheetId="4" hidden="1">{#N/A,#N/A,FALSE,"Plan1";#N/A,#N/A,FALSE,"Plan2"}</definedName>
    <definedName name="JNGCKFKJFGH" localSheetId="8" hidden="1">{#N/A,#N/A,FALSE,"Plan1";#N/A,#N/A,FALSE,"Plan2"}</definedName>
    <definedName name="JNGCKFKJFGH" localSheetId="12" hidden="1">{#N/A,#N/A,FALSE,"Plan1";#N/A,#N/A,FALSE,"Plan2"}</definedName>
    <definedName name="JNGCKFKJFGH" localSheetId="16" hidden="1">{#N/A,#N/A,FALSE,"Plan1";#N/A,#N/A,FALSE,"Plan2"}</definedName>
    <definedName name="JNGCKFKJFGH" localSheetId="0" hidden="1">{#N/A,#N/A,FALSE,"Plan1";#N/A,#N/A,FALSE,"Plan2"}</definedName>
    <definedName name="JNGCKFKJFGH" localSheetId="11" hidden="1">{#N/A,#N/A,FALSE,"Plan1";#N/A,#N/A,FALSE,"Plan2"}</definedName>
    <definedName name="JNGCKFKJFGH" localSheetId="13" hidden="1">{#N/A,#N/A,FALSE,"Plan1";#N/A,#N/A,FALSE,"Plan2"}</definedName>
    <definedName name="JNGCKFKJFGH" hidden="1">{#N/A,#N/A,FALSE,"Plan1";#N/A,#N/A,FALSE,"Plan2"}</definedName>
    <definedName name="JOALDO" localSheetId="2">#REF!</definedName>
    <definedName name="JOALDO" localSheetId="5">#REF!</definedName>
    <definedName name="JOALDO">#REF!</definedName>
    <definedName name="joao_cdi" localSheetId="2">#REF!</definedName>
    <definedName name="joao_cdi" localSheetId="5">#REF!</definedName>
    <definedName name="joao_cdi">#REF!</definedName>
    <definedName name="joao_hist" localSheetId="2">#REF!</definedName>
    <definedName name="joao_hist" localSheetId="5">#REF!</definedName>
    <definedName name="joao_hist">#REF!</definedName>
    <definedName name="joao_uss" localSheetId="2">#REF!</definedName>
    <definedName name="joao_uss" localSheetId="5">#REF!</definedName>
    <definedName name="joao_uss">#REF!</definedName>
    <definedName name="JREJRW" localSheetId="14" hidden="1">{#N/A,#N/A,FALSE,"Plan1";#N/A,#N/A,FALSE,"Plan2"}</definedName>
    <definedName name="JREJRW" localSheetId="7" hidden="1">{#N/A,#N/A,FALSE,"Plan1";#N/A,#N/A,FALSE,"Plan2"}</definedName>
    <definedName name="JREJRW" localSheetId="1" hidden="1">{#N/A,#N/A,FALSE,"Plan1";#N/A,#N/A,FALSE,"Plan2"}</definedName>
    <definedName name="JREJRW" localSheetId="2" hidden="1">{#N/A,#N/A,FALSE,"Plan1";#N/A,#N/A,FALSE,"Plan2"}</definedName>
    <definedName name="JREJRW" localSheetId="9" hidden="1">{#N/A,#N/A,FALSE,"Plan1";#N/A,#N/A,FALSE,"Plan2"}</definedName>
    <definedName name="JREJRW" localSheetId="5" hidden="1">{#N/A,#N/A,FALSE,"Plan1";#N/A,#N/A,FALSE,"Plan2"}</definedName>
    <definedName name="JREJRW" localSheetId="4" hidden="1">{#N/A,#N/A,FALSE,"Plan1";#N/A,#N/A,FALSE,"Plan2"}</definedName>
    <definedName name="JREJRW" localSheetId="8" hidden="1">{#N/A,#N/A,FALSE,"Plan1";#N/A,#N/A,FALSE,"Plan2"}</definedName>
    <definedName name="JREJRW" localSheetId="12" hidden="1">{#N/A,#N/A,FALSE,"Plan1";#N/A,#N/A,FALSE,"Plan2"}</definedName>
    <definedName name="JREJRW" localSheetId="16" hidden="1">{#N/A,#N/A,FALSE,"Plan1";#N/A,#N/A,FALSE,"Plan2"}</definedName>
    <definedName name="JREJRW" localSheetId="0" hidden="1">{#N/A,#N/A,FALSE,"Plan1";#N/A,#N/A,FALSE,"Plan2"}</definedName>
    <definedName name="JREJRW" localSheetId="11" hidden="1">{#N/A,#N/A,FALSE,"Plan1";#N/A,#N/A,FALSE,"Plan2"}</definedName>
    <definedName name="JREJRW" localSheetId="13" hidden="1">{#N/A,#N/A,FALSE,"Plan1";#N/A,#N/A,FALSE,"Plan2"}</definedName>
    <definedName name="JREJRW" hidden="1">{#N/A,#N/A,FALSE,"Plan1";#N/A,#N/A,FALSE,"Plan2"}</definedName>
    <definedName name="JSADKAH" localSheetId="14" hidden="1">{"Econ Consolidado",#N/A,FALSE,"Econ Consol";"Fluxo de Caixa",#N/A,FALSE,"Fluxo Caixa";"Investimentos",#N/A,FALSE,"Investimentos"}</definedName>
    <definedName name="JSADKAH" localSheetId="7" hidden="1">{"Econ Consolidado",#N/A,FALSE,"Econ Consol";"Fluxo de Caixa",#N/A,FALSE,"Fluxo Caixa";"Investimentos",#N/A,FALSE,"Investimentos"}</definedName>
    <definedName name="JSADKAH" localSheetId="1" hidden="1">{"Econ Consolidado",#N/A,FALSE,"Econ Consol";"Fluxo de Caixa",#N/A,FALSE,"Fluxo Caixa";"Investimentos",#N/A,FALSE,"Investimentos"}</definedName>
    <definedName name="JSADKAH" localSheetId="2" hidden="1">{"Econ Consolidado",#N/A,FALSE,"Econ Consol";"Fluxo de Caixa",#N/A,FALSE,"Fluxo Caixa";"Investimentos",#N/A,FALSE,"Investimentos"}</definedName>
    <definedName name="JSADKAH" localSheetId="9" hidden="1">{"Econ Consolidado",#N/A,FALSE,"Econ Consol";"Fluxo de Caixa",#N/A,FALSE,"Fluxo Caixa";"Investimentos",#N/A,FALSE,"Investimentos"}</definedName>
    <definedName name="JSADKAH" localSheetId="5" hidden="1">{"Econ Consolidado",#N/A,FALSE,"Econ Consol";"Fluxo de Caixa",#N/A,FALSE,"Fluxo Caixa";"Investimentos",#N/A,FALSE,"Investimentos"}</definedName>
    <definedName name="JSADKAH" localSheetId="4" hidden="1">{"Econ Consolidado",#N/A,FALSE,"Econ Consol";"Fluxo de Caixa",#N/A,FALSE,"Fluxo Caixa";"Investimentos",#N/A,FALSE,"Investimentos"}</definedName>
    <definedName name="JSADKAH" localSheetId="8" hidden="1">{"Econ Consolidado",#N/A,FALSE,"Econ Consol";"Fluxo de Caixa",#N/A,FALSE,"Fluxo Caixa";"Investimentos",#N/A,FALSE,"Investimentos"}</definedName>
    <definedName name="JSADKAH" localSheetId="12" hidden="1">{"Econ Consolidado",#N/A,FALSE,"Econ Consol";"Fluxo de Caixa",#N/A,FALSE,"Fluxo Caixa";"Investimentos",#N/A,FALSE,"Investimentos"}</definedName>
    <definedName name="JSADKAH" localSheetId="16" hidden="1">{"Econ Consolidado",#N/A,FALSE,"Econ Consol";"Fluxo de Caixa",#N/A,FALSE,"Fluxo Caixa";"Investimentos",#N/A,FALSE,"Investimentos"}</definedName>
    <definedName name="JSADKAH" localSheetId="0" hidden="1">{"Econ Consolidado",#N/A,FALSE,"Econ Consol";"Fluxo de Caixa",#N/A,FALSE,"Fluxo Caixa";"Investimentos",#N/A,FALSE,"Investimentos"}</definedName>
    <definedName name="JSADKAH" localSheetId="11" hidden="1">{"Econ Consolidado",#N/A,FALSE,"Econ Consol";"Fluxo de Caixa",#N/A,FALSE,"Fluxo Caixa";"Investimentos",#N/A,FALSE,"Investimentos"}</definedName>
    <definedName name="JSADKAH" localSheetId="13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14" hidden="1">{#N/A,#N/A,FALSE,"Plan1";#N/A,#N/A,FALSE,"Plan2"}</definedName>
    <definedName name="JSDAJRE" localSheetId="7" hidden="1">{#N/A,#N/A,FALSE,"Plan1";#N/A,#N/A,FALSE,"Plan2"}</definedName>
    <definedName name="JSDAJRE" localSheetId="1" hidden="1">{#N/A,#N/A,FALSE,"Plan1";#N/A,#N/A,FALSE,"Plan2"}</definedName>
    <definedName name="JSDAJRE" localSheetId="2" hidden="1">{#N/A,#N/A,FALSE,"Plan1";#N/A,#N/A,FALSE,"Plan2"}</definedName>
    <definedName name="JSDAJRE" localSheetId="9" hidden="1">{#N/A,#N/A,FALSE,"Plan1";#N/A,#N/A,FALSE,"Plan2"}</definedName>
    <definedName name="JSDAJRE" localSheetId="5" hidden="1">{#N/A,#N/A,FALSE,"Plan1";#N/A,#N/A,FALSE,"Plan2"}</definedName>
    <definedName name="JSDAJRE" localSheetId="4" hidden="1">{#N/A,#N/A,FALSE,"Plan1";#N/A,#N/A,FALSE,"Plan2"}</definedName>
    <definedName name="JSDAJRE" localSheetId="8" hidden="1">{#N/A,#N/A,FALSE,"Plan1";#N/A,#N/A,FALSE,"Plan2"}</definedName>
    <definedName name="JSDAJRE" localSheetId="12" hidden="1">{#N/A,#N/A,FALSE,"Plan1";#N/A,#N/A,FALSE,"Plan2"}</definedName>
    <definedName name="JSDAJRE" localSheetId="16" hidden="1">{#N/A,#N/A,FALSE,"Plan1";#N/A,#N/A,FALSE,"Plan2"}</definedName>
    <definedName name="JSDAJRE" localSheetId="0" hidden="1">{#N/A,#N/A,FALSE,"Plan1";#N/A,#N/A,FALSE,"Plan2"}</definedName>
    <definedName name="JSDAJRE" localSheetId="11" hidden="1">{#N/A,#N/A,FALSE,"Plan1";#N/A,#N/A,FALSE,"Plan2"}</definedName>
    <definedName name="JSDAJRE" localSheetId="13" hidden="1">{#N/A,#N/A,FALSE,"Plan1";#N/A,#N/A,FALSE,"Plan2"}</definedName>
    <definedName name="JSDAJRE" hidden="1">{#N/A,#N/A,FALSE,"Plan1";#N/A,#N/A,FALSE,"Plan2"}</definedName>
    <definedName name="jsdffs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4" hidden="1">{#N/A,#N/A,FALSE,"Plan1";#N/A,#N/A,FALSE,"Plan2"}</definedName>
    <definedName name="jsdfjgx" localSheetId="7" hidden="1">{#N/A,#N/A,FALSE,"Plan1";#N/A,#N/A,FALSE,"Plan2"}</definedName>
    <definedName name="jsdfjgx" localSheetId="1" hidden="1">{#N/A,#N/A,FALSE,"Plan1";#N/A,#N/A,FALSE,"Plan2"}</definedName>
    <definedName name="jsdfjgx" localSheetId="2" hidden="1">{#N/A,#N/A,FALSE,"Plan1";#N/A,#N/A,FALSE,"Plan2"}</definedName>
    <definedName name="jsdfjgx" localSheetId="9" hidden="1">{#N/A,#N/A,FALSE,"Plan1";#N/A,#N/A,FALSE,"Plan2"}</definedName>
    <definedName name="jsdfjgx" localSheetId="5" hidden="1">{#N/A,#N/A,FALSE,"Plan1";#N/A,#N/A,FALSE,"Plan2"}</definedName>
    <definedName name="jsdfjgx" localSheetId="4" hidden="1">{#N/A,#N/A,FALSE,"Plan1";#N/A,#N/A,FALSE,"Plan2"}</definedName>
    <definedName name="jsdfjgx" localSheetId="8" hidden="1">{#N/A,#N/A,FALSE,"Plan1";#N/A,#N/A,FALSE,"Plan2"}</definedName>
    <definedName name="jsdfjgx" localSheetId="12" hidden="1">{#N/A,#N/A,FALSE,"Plan1";#N/A,#N/A,FALSE,"Plan2"}</definedName>
    <definedName name="jsdfjgx" localSheetId="16" hidden="1">{#N/A,#N/A,FALSE,"Plan1";#N/A,#N/A,FALSE,"Plan2"}</definedName>
    <definedName name="jsdfjgx" localSheetId="0" hidden="1">{#N/A,#N/A,FALSE,"Plan1";#N/A,#N/A,FALSE,"Plan2"}</definedName>
    <definedName name="jsdfjgx" localSheetId="11" hidden="1">{#N/A,#N/A,FALSE,"Plan1";#N/A,#N/A,FALSE,"Plan2"}</definedName>
    <definedName name="jsdfjgx" localSheetId="13" hidden="1">{#N/A,#N/A,FALSE,"Plan1";#N/A,#N/A,FALSE,"Plan2"}</definedName>
    <definedName name="jsdfjgx" hidden="1">{#N/A,#N/A,FALSE,"Plan1";#N/A,#N/A,FALSE,"Plan2"}</definedName>
    <definedName name="jsdfkgnfr" localSheetId="2" hidden="1">#REF!</definedName>
    <definedName name="jsdfkgnfr" localSheetId="5" hidden="1">#REF!</definedName>
    <definedName name="jsdfkgnfr" localSheetId="0" hidden="1">#REF!</definedName>
    <definedName name="jsdfkgnfr" hidden="1">#REF!</definedName>
    <definedName name="jsdfsdfd" localSheetId="14" hidden="1">{#N/A,#N/A,FALSE,"Plan1";#N/A,#N/A,FALSE,"Plan2"}</definedName>
    <definedName name="jsdfsdfd" localSheetId="7" hidden="1">{#N/A,#N/A,FALSE,"Plan1";#N/A,#N/A,FALSE,"Plan2"}</definedName>
    <definedName name="jsdfsdfd" localSheetId="1" hidden="1">{#N/A,#N/A,FALSE,"Plan1";#N/A,#N/A,FALSE,"Plan2"}</definedName>
    <definedName name="jsdfsdfd" localSheetId="2" hidden="1">{#N/A,#N/A,FALSE,"Plan1";#N/A,#N/A,FALSE,"Plan2"}</definedName>
    <definedName name="jsdfsdfd" localSheetId="9" hidden="1">{#N/A,#N/A,FALSE,"Plan1";#N/A,#N/A,FALSE,"Plan2"}</definedName>
    <definedName name="jsdfsdfd" localSheetId="5" hidden="1">{#N/A,#N/A,FALSE,"Plan1";#N/A,#N/A,FALSE,"Plan2"}</definedName>
    <definedName name="jsdfsdfd" localSheetId="4" hidden="1">{#N/A,#N/A,FALSE,"Plan1";#N/A,#N/A,FALSE,"Plan2"}</definedName>
    <definedName name="jsdfsdfd" localSheetId="8" hidden="1">{#N/A,#N/A,FALSE,"Plan1";#N/A,#N/A,FALSE,"Plan2"}</definedName>
    <definedName name="jsdfsdfd" localSheetId="12" hidden="1">{#N/A,#N/A,FALSE,"Plan1";#N/A,#N/A,FALSE,"Plan2"}</definedName>
    <definedName name="jsdfsdfd" localSheetId="16" hidden="1">{#N/A,#N/A,FALSE,"Plan1";#N/A,#N/A,FALSE,"Plan2"}</definedName>
    <definedName name="jsdfsdfd" localSheetId="0" hidden="1">{#N/A,#N/A,FALSE,"Plan1";#N/A,#N/A,FALSE,"Plan2"}</definedName>
    <definedName name="jsdfsdfd" localSheetId="11" hidden="1">{#N/A,#N/A,FALSE,"Plan1";#N/A,#N/A,FALSE,"Plan2"}</definedName>
    <definedName name="jsdfsdfd" localSheetId="13" hidden="1">{#N/A,#N/A,FALSE,"Plan1";#N/A,#N/A,FALSE,"Plan2"}</definedName>
    <definedName name="jsdfsdfd" hidden="1">{#N/A,#N/A,FALSE,"Plan1";#N/A,#N/A,FALSE,"Plan2"}</definedName>
    <definedName name="jsdljficd" localSheetId="14" hidden="1">{#N/A,#N/A,FALSE,"Plan1";#N/A,#N/A,FALSE,"Plan2"}</definedName>
    <definedName name="jsdljficd" localSheetId="7" hidden="1">{#N/A,#N/A,FALSE,"Plan1";#N/A,#N/A,FALSE,"Plan2"}</definedName>
    <definedName name="jsdljficd" localSheetId="1" hidden="1">{#N/A,#N/A,FALSE,"Plan1";#N/A,#N/A,FALSE,"Plan2"}</definedName>
    <definedName name="jsdljficd" localSheetId="2" hidden="1">{#N/A,#N/A,FALSE,"Plan1";#N/A,#N/A,FALSE,"Plan2"}</definedName>
    <definedName name="jsdljficd" localSheetId="9" hidden="1">{#N/A,#N/A,FALSE,"Plan1";#N/A,#N/A,FALSE,"Plan2"}</definedName>
    <definedName name="jsdljficd" localSheetId="5" hidden="1">{#N/A,#N/A,FALSE,"Plan1";#N/A,#N/A,FALSE,"Plan2"}</definedName>
    <definedName name="jsdljficd" localSheetId="4" hidden="1">{#N/A,#N/A,FALSE,"Plan1";#N/A,#N/A,FALSE,"Plan2"}</definedName>
    <definedName name="jsdljficd" localSheetId="8" hidden="1">{#N/A,#N/A,FALSE,"Plan1";#N/A,#N/A,FALSE,"Plan2"}</definedName>
    <definedName name="jsdljficd" localSheetId="12" hidden="1">{#N/A,#N/A,FALSE,"Plan1";#N/A,#N/A,FALSE,"Plan2"}</definedName>
    <definedName name="jsdljficd" localSheetId="16" hidden="1">{#N/A,#N/A,FALSE,"Plan1";#N/A,#N/A,FALSE,"Plan2"}</definedName>
    <definedName name="jsdljficd" localSheetId="0" hidden="1">{#N/A,#N/A,FALSE,"Plan1";#N/A,#N/A,FALSE,"Plan2"}</definedName>
    <definedName name="jsdljficd" localSheetId="11" hidden="1">{#N/A,#N/A,FALSE,"Plan1";#N/A,#N/A,FALSE,"Plan2"}</definedName>
    <definedName name="jsdljficd" localSheetId="13" hidden="1">{#N/A,#N/A,FALSE,"Plan1";#N/A,#N/A,FALSE,"Plan2"}</definedName>
    <definedName name="jsdljficd" hidden="1">{#N/A,#N/A,FALSE,"Plan1";#N/A,#N/A,FALSE,"Plan2"}</definedName>
    <definedName name="JSDTLFJDRG" localSheetId="14" hidden="1">{#N/A,#N/A,FALSE,"Plan1";#N/A,#N/A,FALSE,"Plan2"}</definedName>
    <definedName name="JSDTLFJDRG" localSheetId="7" hidden="1">{#N/A,#N/A,FALSE,"Plan1";#N/A,#N/A,FALSE,"Plan2"}</definedName>
    <definedName name="JSDTLFJDRG" localSheetId="1" hidden="1">{#N/A,#N/A,FALSE,"Plan1";#N/A,#N/A,FALSE,"Plan2"}</definedName>
    <definedName name="JSDTLFJDRG" localSheetId="2" hidden="1">{#N/A,#N/A,FALSE,"Plan1";#N/A,#N/A,FALSE,"Plan2"}</definedName>
    <definedName name="JSDTLFJDRG" localSheetId="9" hidden="1">{#N/A,#N/A,FALSE,"Plan1";#N/A,#N/A,FALSE,"Plan2"}</definedName>
    <definedName name="JSDTLFJDRG" localSheetId="5" hidden="1">{#N/A,#N/A,FALSE,"Plan1";#N/A,#N/A,FALSE,"Plan2"}</definedName>
    <definedName name="JSDTLFJDRG" localSheetId="4" hidden="1">{#N/A,#N/A,FALSE,"Plan1";#N/A,#N/A,FALSE,"Plan2"}</definedName>
    <definedName name="JSDTLFJDRG" localSheetId="8" hidden="1">{#N/A,#N/A,FALSE,"Plan1";#N/A,#N/A,FALSE,"Plan2"}</definedName>
    <definedName name="JSDTLFJDRG" localSheetId="12" hidden="1">{#N/A,#N/A,FALSE,"Plan1";#N/A,#N/A,FALSE,"Plan2"}</definedName>
    <definedName name="JSDTLFJDRG" localSheetId="16" hidden="1">{#N/A,#N/A,FALSE,"Plan1";#N/A,#N/A,FALSE,"Plan2"}</definedName>
    <definedName name="JSDTLFJDRG" localSheetId="0" hidden="1">{#N/A,#N/A,FALSE,"Plan1";#N/A,#N/A,FALSE,"Plan2"}</definedName>
    <definedName name="JSDTLFJDRG" localSheetId="11" hidden="1">{#N/A,#N/A,FALSE,"Plan1";#N/A,#N/A,FALSE,"Plan2"}</definedName>
    <definedName name="JSDTLFJDRG" localSheetId="13" hidden="1">{#N/A,#N/A,FALSE,"Plan1";#N/A,#N/A,FALSE,"Plan2"}</definedName>
    <definedName name="JSDTLFJDRG" hidden="1">{#N/A,#N/A,FALSE,"Plan1";#N/A,#N/A,FALSE,"Plan2"}</definedName>
    <definedName name="jsfjsjferwea" localSheetId="14" hidden="1">{#N/A,#N/A,FALSE,"Plan1";#N/A,#N/A,FALSE,"Plan2"}</definedName>
    <definedName name="jsfjsjferwea" localSheetId="7" hidden="1">{#N/A,#N/A,FALSE,"Plan1";#N/A,#N/A,FALSE,"Plan2"}</definedName>
    <definedName name="jsfjsjferwea" localSheetId="1" hidden="1">{#N/A,#N/A,FALSE,"Plan1";#N/A,#N/A,FALSE,"Plan2"}</definedName>
    <definedName name="jsfjsjferwea" localSheetId="2" hidden="1">{#N/A,#N/A,FALSE,"Plan1";#N/A,#N/A,FALSE,"Plan2"}</definedName>
    <definedName name="jsfjsjferwea" localSheetId="9" hidden="1">{#N/A,#N/A,FALSE,"Plan1";#N/A,#N/A,FALSE,"Plan2"}</definedName>
    <definedName name="jsfjsjferwea" localSheetId="5" hidden="1">{#N/A,#N/A,FALSE,"Plan1";#N/A,#N/A,FALSE,"Plan2"}</definedName>
    <definedName name="jsfjsjferwea" localSheetId="4" hidden="1">{#N/A,#N/A,FALSE,"Plan1";#N/A,#N/A,FALSE,"Plan2"}</definedName>
    <definedName name="jsfjsjferwea" localSheetId="8" hidden="1">{#N/A,#N/A,FALSE,"Plan1";#N/A,#N/A,FALSE,"Plan2"}</definedName>
    <definedName name="jsfjsjferwea" localSheetId="12" hidden="1">{#N/A,#N/A,FALSE,"Plan1";#N/A,#N/A,FALSE,"Plan2"}</definedName>
    <definedName name="jsfjsjferwea" localSheetId="16" hidden="1">{#N/A,#N/A,FALSE,"Plan1";#N/A,#N/A,FALSE,"Plan2"}</definedName>
    <definedName name="jsfjsjferwea" localSheetId="0" hidden="1">{#N/A,#N/A,FALSE,"Plan1";#N/A,#N/A,FALSE,"Plan2"}</definedName>
    <definedName name="jsfjsjferwea" localSheetId="11" hidden="1">{#N/A,#N/A,FALSE,"Plan1";#N/A,#N/A,FALSE,"Plan2"}</definedName>
    <definedName name="jsfjsjferwea" localSheetId="13" hidden="1">{#N/A,#N/A,FALSE,"Plan1";#N/A,#N/A,FALSE,"Plan2"}</definedName>
    <definedName name="jsfjsjferwea" hidden="1">{#N/A,#N/A,FALSE,"Plan1";#N/A,#N/A,FALSE,"Plan2"}</definedName>
    <definedName name="jslrjer" localSheetId="14" hidden="1">{#N/A,#N/A,FALSE,"Plan1";#N/A,#N/A,FALSE,"Plan2"}</definedName>
    <definedName name="jslrjer" localSheetId="7" hidden="1">{#N/A,#N/A,FALSE,"Plan1";#N/A,#N/A,FALSE,"Plan2"}</definedName>
    <definedName name="jslrjer" localSheetId="1" hidden="1">{#N/A,#N/A,FALSE,"Plan1";#N/A,#N/A,FALSE,"Plan2"}</definedName>
    <definedName name="jslrjer" localSheetId="2" hidden="1">{#N/A,#N/A,FALSE,"Plan1";#N/A,#N/A,FALSE,"Plan2"}</definedName>
    <definedName name="jslrjer" localSheetId="9" hidden="1">{#N/A,#N/A,FALSE,"Plan1";#N/A,#N/A,FALSE,"Plan2"}</definedName>
    <definedName name="jslrjer" localSheetId="5" hidden="1">{#N/A,#N/A,FALSE,"Plan1";#N/A,#N/A,FALSE,"Plan2"}</definedName>
    <definedName name="jslrjer" localSheetId="4" hidden="1">{#N/A,#N/A,FALSE,"Plan1";#N/A,#N/A,FALSE,"Plan2"}</definedName>
    <definedName name="jslrjer" localSheetId="8" hidden="1">{#N/A,#N/A,FALSE,"Plan1";#N/A,#N/A,FALSE,"Plan2"}</definedName>
    <definedName name="jslrjer" localSheetId="12" hidden="1">{#N/A,#N/A,FALSE,"Plan1";#N/A,#N/A,FALSE,"Plan2"}</definedName>
    <definedName name="jslrjer" localSheetId="16" hidden="1">{#N/A,#N/A,FALSE,"Plan1";#N/A,#N/A,FALSE,"Plan2"}</definedName>
    <definedName name="jslrjer" localSheetId="0" hidden="1">{#N/A,#N/A,FALSE,"Plan1";#N/A,#N/A,FALSE,"Plan2"}</definedName>
    <definedName name="jslrjer" localSheetId="11" hidden="1">{#N/A,#N/A,FALSE,"Plan1";#N/A,#N/A,FALSE,"Plan2"}</definedName>
    <definedName name="jslrjer" localSheetId="13" hidden="1">{#N/A,#N/A,FALSE,"Plan1";#N/A,#N/A,FALSE,"Plan2"}</definedName>
    <definedName name="jslrjer" hidden="1">{#N/A,#N/A,FALSE,"Plan1";#N/A,#N/A,FALSE,"Plan2"}</definedName>
    <definedName name="juklhkhdf" localSheetId="14" hidden="1">{#N/A,#N/A,FALSE,"Plan1";#N/A,#N/A,FALSE,"Plan2"}</definedName>
    <definedName name="juklhkhdf" localSheetId="7" hidden="1">{#N/A,#N/A,FALSE,"Plan1";#N/A,#N/A,FALSE,"Plan2"}</definedName>
    <definedName name="juklhkhdf" localSheetId="1" hidden="1">{#N/A,#N/A,FALSE,"Plan1";#N/A,#N/A,FALSE,"Plan2"}</definedName>
    <definedName name="juklhkhdf" localSheetId="2" hidden="1">{#N/A,#N/A,FALSE,"Plan1";#N/A,#N/A,FALSE,"Plan2"}</definedName>
    <definedName name="juklhkhdf" localSheetId="9" hidden="1">{#N/A,#N/A,FALSE,"Plan1";#N/A,#N/A,FALSE,"Plan2"}</definedName>
    <definedName name="juklhkhdf" localSheetId="5" hidden="1">{#N/A,#N/A,FALSE,"Plan1";#N/A,#N/A,FALSE,"Plan2"}</definedName>
    <definedName name="juklhkhdf" localSheetId="4" hidden="1">{#N/A,#N/A,FALSE,"Plan1";#N/A,#N/A,FALSE,"Plan2"}</definedName>
    <definedName name="juklhkhdf" localSheetId="8" hidden="1">{#N/A,#N/A,FALSE,"Plan1";#N/A,#N/A,FALSE,"Plan2"}</definedName>
    <definedName name="juklhkhdf" localSheetId="12" hidden="1">{#N/A,#N/A,FALSE,"Plan1";#N/A,#N/A,FALSE,"Plan2"}</definedName>
    <definedName name="juklhkhdf" localSheetId="16" hidden="1">{#N/A,#N/A,FALSE,"Plan1";#N/A,#N/A,FALSE,"Plan2"}</definedName>
    <definedName name="juklhkhdf" localSheetId="0" hidden="1">{#N/A,#N/A,FALSE,"Plan1";#N/A,#N/A,FALSE,"Plan2"}</definedName>
    <definedName name="juklhkhdf" localSheetId="11" hidden="1">{#N/A,#N/A,FALSE,"Plan1";#N/A,#N/A,FALSE,"Plan2"}</definedName>
    <definedName name="juklhkhdf" localSheetId="13" hidden="1">{#N/A,#N/A,FALSE,"Plan1";#N/A,#N/A,FALSE,"Plan2"}</definedName>
    <definedName name="juklhkhdf" hidden="1">{#N/A,#N/A,FALSE,"Plan1";#N/A,#N/A,FALSE,"Plan2"}</definedName>
    <definedName name="jul17RJ" localSheetId="2">#REF!</definedName>
    <definedName name="jul17RJ" localSheetId="5">#REF!</definedName>
    <definedName name="jul17RJ">#REF!</definedName>
    <definedName name="JULHO" localSheetId="2">#REF!</definedName>
    <definedName name="JULHO" localSheetId="5">#REF!</definedName>
    <definedName name="JULHO">#REF!</definedName>
    <definedName name="JULHO2001" localSheetId="2">#REF!</definedName>
    <definedName name="JULHO2001" localSheetId="5">#REF!</definedName>
    <definedName name="JULHO2001">#REF!</definedName>
    <definedName name="JULHO99" localSheetId="14" hidden="1">{#N/A,#N/A,TRUE,"Quinzena 01 à 15-04-98 "}</definedName>
    <definedName name="JULHO99" localSheetId="7" hidden="1">{#N/A,#N/A,TRUE,"Quinzena 01 à 15-04-98 "}</definedName>
    <definedName name="JULHO99" localSheetId="1" hidden="1">{#N/A,#N/A,TRUE,"Quinzena 01 à 15-04-98 "}</definedName>
    <definedName name="JULHO99" localSheetId="2" hidden="1">{#N/A,#N/A,TRUE,"Quinzena 01 à 15-04-98 "}</definedName>
    <definedName name="JULHO99" localSheetId="9" hidden="1">{#N/A,#N/A,TRUE,"Quinzena 01 à 15-04-98 "}</definedName>
    <definedName name="JULHO99" localSheetId="5" hidden="1">{#N/A,#N/A,TRUE,"Quinzena 01 à 15-04-98 "}</definedName>
    <definedName name="JULHO99" localSheetId="4" hidden="1">{#N/A,#N/A,TRUE,"Quinzena 01 à 15-04-98 "}</definedName>
    <definedName name="JULHO99" localSheetId="8" hidden="1">{#N/A,#N/A,TRUE,"Quinzena 01 à 15-04-98 "}</definedName>
    <definedName name="JULHO99" localSheetId="12" hidden="1">{#N/A,#N/A,TRUE,"Quinzena 01 à 15-04-98 "}</definedName>
    <definedName name="JULHO99" localSheetId="16" hidden="1">{#N/A,#N/A,TRUE,"Quinzena 01 à 15-04-98 "}</definedName>
    <definedName name="JULHO99" localSheetId="0" hidden="1">{#N/A,#N/A,TRUE,"Quinzena 01 à 15-04-98 "}</definedName>
    <definedName name="JULHO99" localSheetId="11" hidden="1">{#N/A,#N/A,TRUE,"Quinzena 01 à 15-04-98 "}</definedName>
    <definedName name="JULHO99" localSheetId="13" hidden="1">{#N/A,#N/A,TRUE,"Quinzena 01 à 15-04-98 "}</definedName>
    <definedName name="JULHO99" hidden="1">{#N/A,#N/A,TRUE,"Quinzena 01 à 15-04-98 "}</definedName>
    <definedName name="jun17RJ" localSheetId="2">#REF!</definedName>
    <definedName name="jun17RJ" localSheetId="5">#REF!</definedName>
    <definedName name="jun17RJ">#REF!</definedName>
    <definedName name="JUNHO" localSheetId="2">#REF!</definedName>
    <definedName name="JUNHO" localSheetId="5">#REF!</definedName>
    <definedName name="JUNHO">#REF!</definedName>
    <definedName name="JUNHO2001" localSheetId="2">#REF!</definedName>
    <definedName name="JUNHO2001" localSheetId="5">#REF!</definedName>
    <definedName name="JUNHO2001">#REF!</definedName>
    <definedName name="JurosTpMes" localSheetId="2">#REF!</definedName>
    <definedName name="JurosTpMes" localSheetId="5">#REF!</definedName>
    <definedName name="JurosTpMes">#REF!</definedName>
    <definedName name="jwekljd" localSheetId="14" hidden="1">{#N/A,#N/A,FALSE,"Plan1";#N/A,#N/A,FALSE,"Plan2"}</definedName>
    <definedName name="jwekljd" localSheetId="7" hidden="1">{#N/A,#N/A,FALSE,"Plan1";#N/A,#N/A,FALSE,"Plan2"}</definedName>
    <definedName name="jwekljd" localSheetId="1" hidden="1">{#N/A,#N/A,FALSE,"Plan1";#N/A,#N/A,FALSE,"Plan2"}</definedName>
    <definedName name="jwekljd" localSheetId="2" hidden="1">{#N/A,#N/A,FALSE,"Plan1";#N/A,#N/A,FALSE,"Plan2"}</definedName>
    <definedName name="jwekljd" localSheetId="9" hidden="1">{#N/A,#N/A,FALSE,"Plan1";#N/A,#N/A,FALSE,"Plan2"}</definedName>
    <definedName name="jwekljd" localSheetId="5" hidden="1">{#N/A,#N/A,FALSE,"Plan1";#N/A,#N/A,FALSE,"Plan2"}</definedName>
    <definedName name="jwekljd" localSheetId="4" hidden="1">{#N/A,#N/A,FALSE,"Plan1";#N/A,#N/A,FALSE,"Plan2"}</definedName>
    <definedName name="jwekljd" localSheetId="8" hidden="1">{#N/A,#N/A,FALSE,"Plan1";#N/A,#N/A,FALSE,"Plan2"}</definedName>
    <definedName name="jwekljd" localSheetId="12" hidden="1">{#N/A,#N/A,FALSE,"Plan1";#N/A,#N/A,FALSE,"Plan2"}</definedName>
    <definedName name="jwekljd" localSheetId="16" hidden="1">{#N/A,#N/A,FALSE,"Plan1";#N/A,#N/A,FALSE,"Plan2"}</definedName>
    <definedName name="jwekljd" localSheetId="0" hidden="1">{#N/A,#N/A,FALSE,"Plan1";#N/A,#N/A,FALSE,"Plan2"}</definedName>
    <definedName name="jwekljd" localSheetId="11" hidden="1">{#N/A,#N/A,FALSE,"Plan1";#N/A,#N/A,FALSE,"Plan2"}</definedName>
    <definedName name="jwekljd" localSheetId="13" hidden="1">{#N/A,#N/A,FALSE,"Plan1";#N/A,#N/A,FALSE,"Plan2"}</definedName>
    <definedName name="jwekljd" hidden="1">{#N/A,#N/A,FALSE,"Plan1";#N/A,#N/A,FALSE,"Plan2"}</definedName>
    <definedName name="JWEOITORU5Y" localSheetId="14" hidden="1">{#N/A,#N/A,FALSE,"Plan1";#N/A,#N/A,FALSE,"Plan2"}</definedName>
    <definedName name="JWEOITORU5Y" localSheetId="7" hidden="1">{#N/A,#N/A,FALSE,"Plan1";#N/A,#N/A,FALSE,"Plan2"}</definedName>
    <definedName name="JWEOITORU5Y" localSheetId="1" hidden="1">{#N/A,#N/A,FALSE,"Plan1";#N/A,#N/A,FALSE,"Plan2"}</definedName>
    <definedName name="JWEOITORU5Y" localSheetId="2" hidden="1">{#N/A,#N/A,FALSE,"Plan1";#N/A,#N/A,FALSE,"Plan2"}</definedName>
    <definedName name="JWEOITORU5Y" localSheetId="9" hidden="1">{#N/A,#N/A,FALSE,"Plan1";#N/A,#N/A,FALSE,"Plan2"}</definedName>
    <definedName name="JWEOITORU5Y" localSheetId="5" hidden="1">{#N/A,#N/A,FALSE,"Plan1";#N/A,#N/A,FALSE,"Plan2"}</definedName>
    <definedName name="JWEOITORU5Y" localSheetId="4" hidden="1">{#N/A,#N/A,FALSE,"Plan1";#N/A,#N/A,FALSE,"Plan2"}</definedName>
    <definedName name="JWEOITORU5Y" localSheetId="8" hidden="1">{#N/A,#N/A,FALSE,"Plan1";#N/A,#N/A,FALSE,"Plan2"}</definedName>
    <definedName name="JWEOITORU5Y" localSheetId="12" hidden="1">{#N/A,#N/A,FALSE,"Plan1";#N/A,#N/A,FALSE,"Plan2"}</definedName>
    <definedName name="JWEOITORU5Y" localSheetId="16" hidden="1">{#N/A,#N/A,FALSE,"Plan1";#N/A,#N/A,FALSE,"Plan2"}</definedName>
    <definedName name="JWEOITORU5Y" localSheetId="0" hidden="1">{#N/A,#N/A,FALSE,"Plan1";#N/A,#N/A,FALSE,"Plan2"}</definedName>
    <definedName name="JWEOITORU5Y" localSheetId="11" hidden="1">{#N/A,#N/A,FALSE,"Plan1";#N/A,#N/A,FALSE,"Plan2"}</definedName>
    <definedName name="JWEOITORU5Y" localSheetId="13" hidden="1">{#N/A,#N/A,FALSE,"Plan1";#N/A,#N/A,FALSE,"Plan2"}</definedName>
    <definedName name="JWEOITORU5Y" hidden="1">{#N/A,#N/A,FALSE,"Plan1";#N/A,#N/A,FALSE,"Plan2"}</definedName>
    <definedName name="jxdfjsrf" localSheetId="14" hidden="1">{#N/A,#N/A,FALSE,"Plan1";#N/A,#N/A,FALSE,"Plan2"}</definedName>
    <definedName name="jxdfjsrf" localSheetId="7" hidden="1">{#N/A,#N/A,FALSE,"Plan1";#N/A,#N/A,FALSE,"Plan2"}</definedName>
    <definedName name="jxdfjsrf" localSheetId="1" hidden="1">{#N/A,#N/A,FALSE,"Plan1";#N/A,#N/A,FALSE,"Plan2"}</definedName>
    <definedName name="jxdfjsrf" localSheetId="2" hidden="1">{#N/A,#N/A,FALSE,"Plan1";#N/A,#N/A,FALSE,"Plan2"}</definedName>
    <definedName name="jxdfjsrf" localSheetId="9" hidden="1">{#N/A,#N/A,FALSE,"Plan1";#N/A,#N/A,FALSE,"Plan2"}</definedName>
    <definedName name="jxdfjsrf" localSheetId="5" hidden="1">{#N/A,#N/A,FALSE,"Plan1";#N/A,#N/A,FALSE,"Plan2"}</definedName>
    <definedName name="jxdfjsrf" localSheetId="4" hidden="1">{#N/A,#N/A,FALSE,"Plan1";#N/A,#N/A,FALSE,"Plan2"}</definedName>
    <definedName name="jxdfjsrf" localSheetId="8" hidden="1">{#N/A,#N/A,FALSE,"Plan1";#N/A,#N/A,FALSE,"Plan2"}</definedName>
    <definedName name="jxdfjsrf" localSheetId="12" hidden="1">{#N/A,#N/A,FALSE,"Plan1";#N/A,#N/A,FALSE,"Plan2"}</definedName>
    <definedName name="jxdfjsrf" localSheetId="16" hidden="1">{#N/A,#N/A,FALSE,"Plan1";#N/A,#N/A,FALSE,"Plan2"}</definedName>
    <definedName name="jxdfjsrf" localSheetId="0" hidden="1">{#N/A,#N/A,FALSE,"Plan1";#N/A,#N/A,FALSE,"Plan2"}</definedName>
    <definedName name="jxdfjsrf" localSheetId="11" hidden="1">{#N/A,#N/A,FALSE,"Plan1";#N/A,#N/A,FALSE,"Plan2"}</definedName>
    <definedName name="jxdfjsrf" localSheetId="13" hidden="1">{#N/A,#N/A,FALSE,"Plan1";#N/A,#N/A,FALSE,"Plan2"}</definedName>
    <definedName name="jxdfjsrf" hidden="1">{#N/A,#N/A,FALSE,"Plan1";#N/A,#N/A,FALSE,"Plan2"}</definedName>
    <definedName name="jxdklfjv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2" hidden="1">#REF!</definedName>
    <definedName name="JY" localSheetId="5" hidden="1">#REF!</definedName>
    <definedName name="JY" localSheetId="0" hidden="1">#REF!</definedName>
    <definedName name="JY" hidden="1">#REF!</definedName>
    <definedName name="jzsdjkszl" localSheetId="14" hidden="1">{#N/A,#N/A,FALSE,"Plan1";#N/A,#N/A,FALSE,"Plan2"}</definedName>
    <definedName name="jzsdjkszl" localSheetId="7" hidden="1">{#N/A,#N/A,FALSE,"Plan1";#N/A,#N/A,FALSE,"Plan2"}</definedName>
    <definedName name="jzsdjkszl" localSheetId="1" hidden="1">{#N/A,#N/A,FALSE,"Plan1";#N/A,#N/A,FALSE,"Plan2"}</definedName>
    <definedName name="jzsdjkszl" localSheetId="2" hidden="1">{#N/A,#N/A,FALSE,"Plan1";#N/A,#N/A,FALSE,"Plan2"}</definedName>
    <definedName name="jzsdjkszl" localSheetId="9" hidden="1">{#N/A,#N/A,FALSE,"Plan1";#N/A,#N/A,FALSE,"Plan2"}</definedName>
    <definedName name="jzsdjkszl" localSheetId="5" hidden="1">{#N/A,#N/A,FALSE,"Plan1";#N/A,#N/A,FALSE,"Plan2"}</definedName>
    <definedName name="jzsdjkszl" localSheetId="4" hidden="1">{#N/A,#N/A,FALSE,"Plan1";#N/A,#N/A,FALSE,"Plan2"}</definedName>
    <definedName name="jzsdjkszl" localSheetId="8" hidden="1">{#N/A,#N/A,FALSE,"Plan1";#N/A,#N/A,FALSE,"Plan2"}</definedName>
    <definedName name="jzsdjkszl" localSheetId="12" hidden="1">{#N/A,#N/A,FALSE,"Plan1";#N/A,#N/A,FALSE,"Plan2"}</definedName>
    <definedName name="jzsdjkszl" localSheetId="16" hidden="1">{#N/A,#N/A,FALSE,"Plan1";#N/A,#N/A,FALSE,"Plan2"}</definedName>
    <definedName name="jzsdjkszl" localSheetId="0" hidden="1">{#N/A,#N/A,FALSE,"Plan1";#N/A,#N/A,FALSE,"Plan2"}</definedName>
    <definedName name="jzsdjkszl" localSheetId="11" hidden="1">{#N/A,#N/A,FALSE,"Plan1";#N/A,#N/A,FALSE,"Plan2"}</definedName>
    <definedName name="jzsdjkszl" localSheetId="13" hidden="1">{#N/A,#N/A,FALSE,"Plan1";#N/A,#N/A,FALSE,"Plan2"}</definedName>
    <definedName name="jzsdjkszl" hidden="1">{#N/A,#N/A,FALSE,"Plan1";#N/A,#N/A,FALSE,"Plan2"}</definedName>
    <definedName name="JZXFKLJLDJF" localSheetId="14" hidden="1">{#N/A,#N/A,FALSE,"Plan1";#N/A,#N/A,FALSE,"Plan2"}</definedName>
    <definedName name="JZXFKLJLDJF" localSheetId="7" hidden="1">{#N/A,#N/A,FALSE,"Plan1";#N/A,#N/A,FALSE,"Plan2"}</definedName>
    <definedName name="JZXFKLJLDJF" localSheetId="1" hidden="1">{#N/A,#N/A,FALSE,"Plan1";#N/A,#N/A,FALSE,"Plan2"}</definedName>
    <definedName name="JZXFKLJLDJF" localSheetId="2" hidden="1">{#N/A,#N/A,FALSE,"Plan1";#N/A,#N/A,FALSE,"Plan2"}</definedName>
    <definedName name="JZXFKLJLDJF" localSheetId="9" hidden="1">{#N/A,#N/A,FALSE,"Plan1";#N/A,#N/A,FALSE,"Plan2"}</definedName>
    <definedName name="JZXFKLJLDJF" localSheetId="5" hidden="1">{#N/A,#N/A,FALSE,"Plan1";#N/A,#N/A,FALSE,"Plan2"}</definedName>
    <definedName name="JZXFKLJLDJF" localSheetId="4" hidden="1">{#N/A,#N/A,FALSE,"Plan1";#N/A,#N/A,FALSE,"Plan2"}</definedName>
    <definedName name="JZXFKLJLDJF" localSheetId="8" hidden="1">{#N/A,#N/A,FALSE,"Plan1";#N/A,#N/A,FALSE,"Plan2"}</definedName>
    <definedName name="JZXFKLJLDJF" localSheetId="12" hidden="1">{#N/A,#N/A,FALSE,"Plan1";#N/A,#N/A,FALSE,"Plan2"}</definedName>
    <definedName name="JZXFKLJLDJF" localSheetId="16" hidden="1">{#N/A,#N/A,FALSE,"Plan1";#N/A,#N/A,FALSE,"Plan2"}</definedName>
    <definedName name="JZXFKLJLDJF" localSheetId="0" hidden="1">{#N/A,#N/A,FALSE,"Plan1";#N/A,#N/A,FALSE,"Plan2"}</definedName>
    <definedName name="JZXFKLJLDJF" localSheetId="11" hidden="1">{#N/A,#N/A,FALSE,"Plan1";#N/A,#N/A,FALSE,"Plan2"}</definedName>
    <definedName name="JZXFKLJLDJF" localSheetId="13" hidden="1">{#N/A,#N/A,FALSE,"Plan1";#N/A,#N/A,FALSE,"Plan2"}</definedName>
    <definedName name="JZXFKLJLDJF" hidden="1">{#N/A,#N/A,FALSE,"Plan1";#N/A,#N/A,FALSE,"Plan2"}</definedName>
    <definedName name="jzxklfdlvgfg" localSheetId="14" hidden="1">{#N/A,#N/A,FALSE,"Plan1";#N/A,#N/A,FALSE,"Plan2"}</definedName>
    <definedName name="jzxklfdlvgfg" localSheetId="7" hidden="1">{#N/A,#N/A,FALSE,"Plan1";#N/A,#N/A,FALSE,"Plan2"}</definedName>
    <definedName name="jzxklfdlvgfg" localSheetId="1" hidden="1">{#N/A,#N/A,FALSE,"Plan1";#N/A,#N/A,FALSE,"Plan2"}</definedName>
    <definedName name="jzxklfdlvgfg" localSheetId="2" hidden="1">{#N/A,#N/A,FALSE,"Plan1";#N/A,#N/A,FALSE,"Plan2"}</definedName>
    <definedName name="jzxklfdlvgfg" localSheetId="9" hidden="1">{#N/A,#N/A,FALSE,"Plan1";#N/A,#N/A,FALSE,"Plan2"}</definedName>
    <definedName name="jzxklfdlvgfg" localSheetId="5" hidden="1">{#N/A,#N/A,FALSE,"Plan1";#N/A,#N/A,FALSE,"Plan2"}</definedName>
    <definedName name="jzxklfdlvgfg" localSheetId="4" hidden="1">{#N/A,#N/A,FALSE,"Plan1";#N/A,#N/A,FALSE,"Plan2"}</definedName>
    <definedName name="jzxklfdlvgfg" localSheetId="8" hidden="1">{#N/A,#N/A,FALSE,"Plan1";#N/A,#N/A,FALSE,"Plan2"}</definedName>
    <definedName name="jzxklfdlvgfg" localSheetId="12" hidden="1">{#N/A,#N/A,FALSE,"Plan1";#N/A,#N/A,FALSE,"Plan2"}</definedName>
    <definedName name="jzxklfdlvgfg" localSheetId="16" hidden="1">{#N/A,#N/A,FALSE,"Plan1";#N/A,#N/A,FALSE,"Plan2"}</definedName>
    <definedName name="jzxklfdlvgfg" localSheetId="0" hidden="1">{#N/A,#N/A,FALSE,"Plan1";#N/A,#N/A,FALSE,"Plan2"}</definedName>
    <definedName name="jzxklfdlvgfg" localSheetId="11" hidden="1">{#N/A,#N/A,FALSE,"Plan1";#N/A,#N/A,FALSE,"Plan2"}</definedName>
    <definedName name="jzxklfdlvgfg" localSheetId="13" hidden="1">{#N/A,#N/A,FALSE,"Plan1";#N/A,#N/A,FALSE,"Plan2"}</definedName>
    <definedName name="jzxklfdlvgfg" hidden="1">{#N/A,#N/A,FALSE,"Plan1";#N/A,#N/A,FALSE,"Plan2"}</definedName>
    <definedName name="k" localSheetId="14" hidden="1">{#N/A,#N/A,FALSE,"Plan1";#N/A,#N/A,FALSE,"Plan2"}</definedName>
    <definedName name="k" localSheetId="7" hidden="1">{#N/A,#N/A,FALSE,"Plan1";#N/A,#N/A,FALSE,"Plan2"}</definedName>
    <definedName name="k" localSheetId="1" hidden="1">{#N/A,#N/A,FALSE,"Plan1";#N/A,#N/A,FALSE,"Plan2"}</definedName>
    <definedName name="k" localSheetId="2" hidden="1">{#N/A,#N/A,FALSE,"Plan1";#N/A,#N/A,FALSE,"Plan2"}</definedName>
    <definedName name="k" localSheetId="9" hidden="1">{#N/A,#N/A,FALSE,"Plan1";#N/A,#N/A,FALSE,"Plan2"}</definedName>
    <definedName name="k" localSheetId="5" hidden="1">{#N/A,#N/A,FALSE,"Plan1";#N/A,#N/A,FALSE,"Plan2"}</definedName>
    <definedName name="k" localSheetId="4" hidden="1">{#N/A,#N/A,FALSE,"Plan1";#N/A,#N/A,FALSE,"Plan2"}</definedName>
    <definedName name="k" localSheetId="8" hidden="1">{#N/A,#N/A,FALSE,"Plan1";#N/A,#N/A,FALSE,"Plan2"}</definedName>
    <definedName name="k" localSheetId="12" hidden="1">{#N/A,#N/A,FALSE,"Plan1";#N/A,#N/A,FALSE,"Plan2"}</definedName>
    <definedName name="k" localSheetId="16" hidden="1">{#N/A,#N/A,FALSE,"Plan1";#N/A,#N/A,FALSE,"Plan2"}</definedName>
    <definedName name="k" localSheetId="0" hidden="1">{#N/A,#N/A,FALSE,"Plan1";#N/A,#N/A,FALSE,"Plan2"}</definedName>
    <definedName name="k" localSheetId="11" hidden="1">{#N/A,#N/A,FALSE,"Plan1";#N/A,#N/A,FALSE,"Plan2"}</definedName>
    <definedName name="k" localSheetId="13" hidden="1">{#N/A,#N/A,FALSE,"Plan1";#N/A,#N/A,FALSE,"Plan2"}</definedName>
    <definedName name="k" hidden="1">{#N/A,#N/A,FALSE,"Plan1";#N/A,#N/A,FALSE,"Plan2"}</definedName>
    <definedName name="K_1" localSheetId="2">#REF!</definedName>
    <definedName name="K_1" localSheetId="5">#REF!</definedName>
    <definedName name="K_1">#REF!</definedName>
    <definedName name="kaedkroswr" localSheetId="14" hidden="1">{"Econ Consolidado",#N/A,FALSE,"Econ Consol";"Fluxo de Caixa",#N/A,FALSE,"Fluxo Caixa";"Investimentos",#N/A,FALSE,"Investimentos"}</definedName>
    <definedName name="kaedkroswr" localSheetId="7" hidden="1">{"Econ Consolidado",#N/A,FALSE,"Econ Consol";"Fluxo de Caixa",#N/A,FALSE,"Fluxo Caixa";"Investimentos",#N/A,FALSE,"Investimentos"}</definedName>
    <definedName name="kaedkroswr" localSheetId="1" hidden="1">{"Econ Consolidado",#N/A,FALSE,"Econ Consol";"Fluxo de Caixa",#N/A,FALSE,"Fluxo Caixa";"Investimentos",#N/A,FALSE,"Investimentos"}</definedName>
    <definedName name="kaedkroswr" localSheetId="2" hidden="1">{"Econ Consolidado",#N/A,FALSE,"Econ Consol";"Fluxo de Caixa",#N/A,FALSE,"Fluxo Caixa";"Investimentos",#N/A,FALSE,"Investimentos"}</definedName>
    <definedName name="kaedkroswr" localSheetId="9" hidden="1">{"Econ Consolidado",#N/A,FALSE,"Econ Consol";"Fluxo de Caixa",#N/A,FALSE,"Fluxo Caixa";"Investimentos",#N/A,FALSE,"Investimentos"}</definedName>
    <definedName name="kaedkroswr" localSheetId="5" hidden="1">{"Econ Consolidado",#N/A,FALSE,"Econ Consol";"Fluxo de Caixa",#N/A,FALSE,"Fluxo Caixa";"Investimentos",#N/A,FALSE,"Investimentos"}</definedName>
    <definedName name="kaedkroswr" localSheetId="4" hidden="1">{"Econ Consolidado",#N/A,FALSE,"Econ Consol";"Fluxo de Caixa",#N/A,FALSE,"Fluxo Caixa";"Investimentos",#N/A,FALSE,"Investimentos"}</definedName>
    <definedName name="kaedkroswr" localSheetId="8" hidden="1">{"Econ Consolidado",#N/A,FALSE,"Econ Consol";"Fluxo de Caixa",#N/A,FALSE,"Fluxo Caixa";"Investimentos",#N/A,FALSE,"Investimentos"}</definedName>
    <definedName name="kaedkroswr" localSheetId="12" hidden="1">{"Econ Consolidado",#N/A,FALSE,"Econ Consol";"Fluxo de Caixa",#N/A,FALSE,"Fluxo Caixa";"Investimentos",#N/A,FALSE,"Investimentos"}</definedName>
    <definedName name="kaedkroswr" localSheetId="16" hidden="1">{"Econ Consolidado",#N/A,FALSE,"Econ Consol";"Fluxo de Caixa",#N/A,FALSE,"Fluxo Caixa";"Investimentos",#N/A,FALSE,"Investimentos"}</definedName>
    <definedName name="kaedkroswr" localSheetId="0" hidden="1">{"Econ Consolidado",#N/A,FALSE,"Econ Consol";"Fluxo de Caixa",#N/A,FALSE,"Fluxo Caixa";"Investimentos",#N/A,FALSE,"Investimentos"}</definedName>
    <definedName name="kaedkroswr" localSheetId="11" hidden="1">{"Econ Consolidado",#N/A,FALSE,"Econ Consol";"Fluxo de Caixa",#N/A,FALSE,"Fluxo Caixa";"Investimentos",#N/A,FALSE,"Investimentos"}</definedName>
    <definedName name="kaedkroswr" localSheetId="13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2">#REF!</definedName>
    <definedName name="kapa" localSheetId="5">#REF!</definedName>
    <definedName name="kapa">#REF!</definedName>
    <definedName name="kç\lKçaksdçaqew" localSheetId="14" hidden="1">{#N/A,#N/A,FALSE,"Plan1";#N/A,#N/A,FALSE,"Plan2"}</definedName>
    <definedName name="kç\lKçaksdçaqew" localSheetId="7" hidden="1">{#N/A,#N/A,FALSE,"Plan1";#N/A,#N/A,FALSE,"Plan2"}</definedName>
    <definedName name="kç\lKçaksdçaqew" localSheetId="1" hidden="1">{#N/A,#N/A,FALSE,"Plan1";#N/A,#N/A,FALSE,"Plan2"}</definedName>
    <definedName name="kç\lKçaksdçaqew" localSheetId="2" hidden="1">{#N/A,#N/A,FALSE,"Plan1";#N/A,#N/A,FALSE,"Plan2"}</definedName>
    <definedName name="kç\lKçaksdçaqew" localSheetId="9" hidden="1">{#N/A,#N/A,FALSE,"Plan1";#N/A,#N/A,FALSE,"Plan2"}</definedName>
    <definedName name="kç\lKçaksdçaqew" localSheetId="5" hidden="1">{#N/A,#N/A,FALSE,"Plan1";#N/A,#N/A,FALSE,"Plan2"}</definedName>
    <definedName name="kç\lKçaksdçaqew" localSheetId="4" hidden="1">{#N/A,#N/A,FALSE,"Plan1";#N/A,#N/A,FALSE,"Plan2"}</definedName>
    <definedName name="kç\lKçaksdçaqew" localSheetId="8" hidden="1">{#N/A,#N/A,FALSE,"Plan1";#N/A,#N/A,FALSE,"Plan2"}</definedName>
    <definedName name="kç\lKçaksdçaqew" localSheetId="12" hidden="1">{#N/A,#N/A,FALSE,"Plan1";#N/A,#N/A,FALSE,"Plan2"}</definedName>
    <definedName name="kç\lKçaksdçaqew" localSheetId="16" hidden="1">{#N/A,#N/A,FALSE,"Plan1";#N/A,#N/A,FALSE,"Plan2"}</definedName>
    <definedName name="kç\lKçaksdçaqew" localSheetId="0" hidden="1">{#N/A,#N/A,FALSE,"Plan1";#N/A,#N/A,FALSE,"Plan2"}</definedName>
    <definedName name="kç\lKçaksdçaqew" localSheetId="11" hidden="1">{#N/A,#N/A,FALSE,"Plan1";#N/A,#N/A,FALSE,"Plan2"}</definedName>
    <definedName name="kç\lKçaksdçaqew" localSheetId="13" hidden="1">{#N/A,#N/A,FALSE,"Plan1";#N/A,#N/A,FALSE,"Plan2"}</definedName>
    <definedName name="kç\lKçaksdçaqew" hidden="1">{#N/A,#N/A,FALSE,"Plan1";#N/A,#N/A,FALSE,"Plan2"}</definedName>
    <definedName name="kçdasekr" localSheetId="14" hidden="1">{#N/A,#N/A,FALSE,"Plan1";#N/A,#N/A,FALSE,"Plan2"}</definedName>
    <definedName name="kçdasekr" localSheetId="7" hidden="1">{#N/A,#N/A,FALSE,"Plan1";#N/A,#N/A,FALSE,"Plan2"}</definedName>
    <definedName name="kçdasekr" localSheetId="1" hidden="1">{#N/A,#N/A,FALSE,"Plan1";#N/A,#N/A,FALSE,"Plan2"}</definedName>
    <definedName name="kçdasekr" localSheetId="2" hidden="1">{#N/A,#N/A,FALSE,"Plan1";#N/A,#N/A,FALSE,"Plan2"}</definedName>
    <definedName name="kçdasekr" localSheetId="9" hidden="1">{#N/A,#N/A,FALSE,"Plan1";#N/A,#N/A,FALSE,"Plan2"}</definedName>
    <definedName name="kçdasekr" localSheetId="5" hidden="1">{#N/A,#N/A,FALSE,"Plan1";#N/A,#N/A,FALSE,"Plan2"}</definedName>
    <definedName name="kçdasekr" localSheetId="4" hidden="1">{#N/A,#N/A,FALSE,"Plan1";#N/A,#N/A,FALSE,"Plan2"}</definedName>
    <definedName name="kçdasekr" localSheetId="8" hidden="1">{#N/A,#N/A,FALSE,"Plan1";#N/A,#N/A,FALSE,"Plan2"}</definedName>
    <definedName name="kçdasekr" localSheetId="12" hidden="1">{#N/A,#N/A,FALSE,"Plan1";#N/A,#N/A,FALSE,"Plan2"}</definedName>
    <definedName name="kçdasekr" localSheetId="16" hidden="1">{#N/A,#N/A,FALSE,"Plan1";#N/A,#N/A,FALSE,"Plan2"}</definedName>
    <definedName name="kçdasekr" localSheetId="0" hidden="1">{#N/A,#N/A,FALSE,"Plan1";#N/A,#N/A,FALSE,"Plan2"}</definedName>
    <definedName name="kçdasekr" localSheetId="11" hidden="1">{#N/A,#N/A,FALSE,"Plan1";#N/A,#N/A,FALSE,"Plan2"}</definedName>
    <definedName name="kçdasekr" localSheetId="13" hidden="1">{#N/A,#N/A,FALSE,"Plan1";#N/A,#N/A,FALSE,"Plan2"}</definedName>
    <definedName name="kçdasekr" hidden="1">{#N/A,#N/A,FALSE,"Plan1";#N/A,#N/A,FALSE,"Plan2"}</definedName>
    <definedName name="kçfdljtredr" localSheetId="14" hidden="1">{#N/A,#N/A,FALSE,"Plan1";#N/A,#N/A,FALSE,"Plan2"}</definedName>
    <definedName name="kçfdljtredr" localSheetId="7" hidden="1">{#N/A,#N/A,FALSE,"Plan1";#N/A,#N/A,FALSE,"Plan2"}</definedName>
    <definedName name="kçfdljtredr" localSheetId="1" hidden="1">{#N/A,#N/A,FALSE,"Plan1";#N/A,#N/A,FALSE,"Plan2"}</definedName>
    <definedName name="kçfdljtredr" localSheetId="2" hidden="1">{#N/A,#N/A,FALSE,"Plan1";#N/A,#N/A,FALSE,"Plan2"}</definedName>
    <definedName name="kçfdljtredr" localSheetId="9" hidden="1">{#N/A,#N/A,FALSE,"Plan1";#N/A,#N/A,FALSE,"Plan2"}</definedName>
    <definedName name="kçfdljtredr" localSheetId="5" hidden="1">{#N/A,#N/A,FALSE,"Plan1";#N/A,#N/A,FALSE,"Plan2"}</definedName>
    <definedName name="kçfdljtredr" localSheetId="4" hidden="1">{#N/A,#N/A,FALSE,"Plan1";#N/A,#N/A,FALSE,"Plan2"}</definedName>
    <definedName name="kçfdljtredr" localSheetId="8" hidden="1">{#N/A,#N/A,FALSE,"Plan1";#N/A,#N/A,FALSE,"Plan2"}</definedName>
    <definedName name="kçfdljtredr" localSheetId="12" hidden="1">{#N/A,#N/A,FALSE,"Plan1";#N/A,#N/A,FALSE,"Plan2"}</definedName>
    <definedName name="kçfdljtredr" localSheetId="16" hidden="1">{#N/A,#N/A,FALSE,"Plan1";#N/A,#N/A,FALSE,"Plan2"}</definedName>
    <definedName name="kçfdljtredr" localSheetId="0" hidden="1">{#N/A,#N/A,FALSE,"Plan1";#N/A,#N/A,FALSE,"Plan2"}</definedName>
    <definedName name="kçfdljtredr" localSheetId="11" hidden="1">{#N/A,#N/A,FALSE,"Plan1";#N/A,#N/A,FALSE,"Plan2"}</definedName>
    <definedName name="kçfdljtredr" localSheetId="13" hidden="1">{#N/A,#N/A,FALSE,"Plan1";#N/A,#N/A,FALSE,"Plan2"}</definedName>
    <definedName name="kçfdljtredr" hidden="1">{#N/A,#N/A,FALSE,"Plan1";#N/A,#N/A,FALSE,"Plan2"}</definedName>
    <definedName name="KCIVIL" localSheetId="2">#REF!</definedName>
    <definedName name="KCIVIL" localSheetId="5">#REF!</definedName>
    <definedName name="KCIVIL">#REF!</definedName>
    <definedName name="kclçkglf" localSheetId="14" hidden="1">{#N/A,#N/A,FALSE,"Plan1";#N/A,#N/A,FALSE,"Plan2"}</definedName>
    <definedName name="kclçkglf" localSheetId="7" hidden="1">{#N/A,#N/A,FALSE,"Plan1";#N/A,#N/A,FALSE,"Plan2"}</definedName>
    <definedName name="kclçkglf" localSheetId="1" hidden="1">{#N/A,#N/A,FALSE,"Plan1";#N/A,#N/A,FALSE,"Plan2"}</definedName>
    <definedName name="kclçkglf" localSheetId="2" hidden="1">{#N/A,#N/A,FALSE,"Plan1";#N/A,#N/A,FALSE,"Plan2"}</definedName>
    <definedName name="kclçkglf" localSheetId="9" hidden="1">{#N/A,#N/A,FALSE,"Plan1";#N/A,#N/A,FALSE,"Plan2"}</definedName>
    <definedName name="kclçkglf" localSheetId="5" hidden="1">{#N/A,#N/A,FALSE,"Plan1";#N/A,#N/A,FALSE,"Plan2"}</definedName>
    <definedName name="kclçkglf" localSheetId="4" hidden="1">{#N/A,#N/A,FALSE,"Plan1";#N/A,#N/A,FALSE,"Plan2"}</definedName>
    <definedName name="kclçkglf" localSheetId="8" hidden="1">{#N/A,#N/A,FALSE,"Plan1";#N/A,#N/A,FALSE,"Plan2"}</definedName>
    <definedName name="kclçkglf" localSheetId="12" hidden="1">{#N/A,#N/A,FALSE,"Plan1";#N/A,#N/A,FALSE,"Plan2"}</definedName>
    <definedName name="kclçkglf" localSheetId="16" hidden="1">{#N/A,#N/A,FALSE,"Plan1";#N/A,#N/A,FALSE,"Plan2"}</definedName>
    <definedName name="kclçkglf" localSheetId="0" hidden="1">{#N/A,#N/A,FALSE,"Plan1";#N/A,#N/A,FALSE,"Plan2"}</definedName>
    <definedName name="kclçkglf" localSheetId="11" hidden="1">{#N/A,#N/A,FALSE,"Plan1";#N/A,#N/A,FALSE,"Plan2"}</definedName>
    <definedName name="kclçkglf" localSheetId="13" hidden="1">{#N/A,#N/A,FALSE,"Plan1";#N/A,#N/A,FALSE,"Plan2"}</definedName>
    <definedName name="kclçkglf" hidden="1">{#N/A,#N/A,FALSE,"Plan1";#N/A,#N/A,FALSE,"Plan2"}</definedName>
    <definedName name="kçlkasçkere" localSheetId="14" hidden="1">{#N/A,#N/A,FALSE,"Plan1";#N/A,#N/A,FALSE,"Plan2"}</definedName>
    <definedName name="kçlkasçkere" localSheetId="7" hidden="1">{#N/A,#N/A,FALSE,"Plan1";#N/A,#N/A,FALSE,"Plan2"}</definedName>
    <definedName name="kçlkasçkere" localSheetId="1" hidden="1">{#N/A,#N/A,FALSE,"Plan1";#N/A,#N/A,FALSE,"Plan2"}</definedName>
    <definedName name="kçlkasçkere" localSheetId="2" hidden="1">{#N/A,#N/A,FALSE,"Plan1";#N/A,#N/A,FALSE,"Plan2"}</definedName>
    <definedName name="kçlkasçkere" localSheetId="9" hidden="1">{#N/A,#N/A,FALSE,"Plan1";#N/A,#N/A,FALSE,"Plan2"}</definedName>
    <definedName name="kçlkasçkere" localSheetId="5" hidden="1">{#N/A,#N/A,FALSE,"Plan1";#N/A,#N/A,FALSE,"Plan2"}</definedName>
    <definedName name="kçlkasçkere" localSheetId="4" hidden="1">{#N/A,#N/A,FALSE,"Plan1";#N/A,#N/A,FALSE,"Plan2"}</definedName>
    <definedName name="kçlkasçkere" localSheetId="8" hidden="1">{#N/A,#N/A,FALSE,"Plan1";#N/A,#N/A,FALSE,"Plan2"}</definedName>
    <definedName name="kçlkasçkere" localSheetId="12" hidden="1">{#N/A,#N/A,FALSE,"Plan1";#N/A,#N/A,FALSE,"Plan2"}</definedName>
    <definedName name="kçlkasçkere" localSheetId="16" hidden="1">{#N/A,#N/A,FALSE,"Plan1";#N/A,#N/A,FALSE,"Plan2"}</definedName>
    <definedName name="kçlkasçkere" localSheetId="0" hidden="1">{#N/A,#N/A,FALSE,"Plan1";#N/A,#N/A,FALSE,"Plan2"}</definedName>
    <definedName name="kçlkasçkere" localSheetId="11" hidden="1">{#N/A,#N/A,FALSE,"Plan1";#N/A,#N/A,FALSE,"Plan2"}</definedName>
    <definedName name="kçlkasçkere" localSheetId="13" hidden="1">{#N/A,#N/A,FALSE,"Plan1";#N/A,#N/A,FALSE,"Plan2"}</definedName>
    <definedName name="kçlkasçkere" hidden="1">{#N/A,#N/A,FALSE,"Plan1";#N/A,#N/A,FALSE,"Plan2"}</definedName>
    <definedName name="kdfbngtjkbf" localSheetId="14" hidden="1">{#N/A,#N/A,FALSE,"Plan1";#N/A,#N/A,FALSE,"Plan2"}</definedName>
    <definedName name="kdfbngtjkbf" localSheetId="7" hidden="1">{#N/A,#N/A,FALSE,"Plan1";#N/A,#N/A,FALSE,"Plan2"}</definedName>
    <definedName name="kdfbngtjkbf" localSheetId="1" hidden="1">{#N/A,#N/A,FALSE,"Plan1";#N/A,#N/A,FALSE,"Plan2"}</definedName>
    <definedName name="kdfbngtjkbf" localSheetId="2" hidden="1">{#N/A,#N/A,FALSE,"Plan1";#N/A,#N/A,FALSE,"Plan2"}</definedName>
    <definedName name="kdfbngtjkbf" localSheetId="9" hidden="1">{#N/A,#N/A,FALSE,"Plan1";#N/A,#N/A,FALSE,"Plan2"}</definedName>
    <definedName name="kdfbngtjkbf" localSheetId="5" hidden="1">{#N/A,#N/A,FALSE,"Plan1";#N/A,#N/A,FALSE,"Plan2"}</definedName>
    <definedName name="kdfbngtjkbf" localSheetId="4" hidden="1">{#N/A,#N/A,FALSE,"Plan1";#N/A,#N/A,FALSE,"Plan2"}</definedName>
    <definedName name="kdfbngtjkbf" localSheetId="8" hidden="1">{#N/A,#N/A,FALSE,"Plan1";#N/A,#N/A,FALSE,"Plan2"}</definedName>
    <definedName name="kdfbngtjkbf" localSheetId="12" hidden="1">{#N/A,#N/A,FALSE,"Plan1";#N/A,#N/A,FALSE,"Plan2"}</definedName>
    <definedName name="kdfbngtjkbf" localSheetId="16" hidden="1">{#N/A,#N/A,FALSE,"Plan1";#N/A,#N/A,FALSE,"Plan2"}</definedName>
    <definedName name="kdfbngtjkbf" localSheetId="0" hidden="1">{#N/A,#N/A,FALSE,"Plan1";#N/A,#N/A,FALSE,"Plan2"}</definedName>
    <definedName name="kdfbngtjkbf" localSheetId="11" hidden="1">{#N/A,#N/A,FALSE,"Plan1";#N/A,#N/A,FALSE,"Plan2"}</definedName>
    <definedName name="kdfbngtjkbf" localSheetId="13" hidden="1">{#N/A,#N/A,FALSE,"Plan1";#N/A,#N/A,FALSE,"Plan2"}</definedName>
    <definedName name="kdfbngtjkbf" hidden="1">{#N/A,#N/A,FALSE,"Plan1";#N/A,#N/A,FALSE,"Plan2"}</definedName>
    <definedName name="kdfhkghkrh" localSheetId="14" hidden="1">{#N/A,#N/A,FALSE,"Plan1";#N/A,#N/A,FALSE,"Plan2"}</definedName>
    <definedName name="kdfhkghkrh" localSheetId="7" hidden="1">{#N/A,#N/A,FALSE,"Plan1";#N/A,#N/A,FALSE,"Plan2"}</definedName>
    <definedName name="kdfhkghkrh" localSheetId="1" hidden="1">{#N/A,#N/A,FALSE,"Plan1";#N/A,#N/A,FALSE,"Plan2"}</definedName>
    <definedName name="kdfhkghkrh" localSheetId="2" hidden="1">{#N/A,#N/A,FALSE,"Plan1";#N/A,#N/A,FALSE,"Plan2"}</definedName>
    <definedName name="kdfhkghkrh" localSheetId="9" hidden="1">{#N/A,#N/A,FALSE,"Plan1";#N/A,#N/A,FALSE,"Plan2"}</definedName>
    <definedName name="kdfhkghkrh" localSheetId="5" hidden="1">{#N/A,#N/A,FALSE,"Plan1";#N/A,#N/A,FALSE,"Plan2"}</definedName>
    <definedName name="kdfhkghkrh" localSheetId="4" hidden="1">{#N/A,#N/A,FALSE,"Plan1";#N/A,#N/A,FALSE,"Plan2"}</definedName>
    <definedName name="kdfhkghkrh" localSheetId="8" hidden="1">{#N/A,#N/A,FALSE,"Plan1";#N/A,#N/A,FALSE,"Plan2"}</definedName>
    <definedName name="kdfhkghkrh" localSheetId="12" hidden="1">{#N/A,#N/A,FALSE,"Plan1";#N/A,#N/A,FALSE,"Plan2"}</definedName>
    <definedName name="kdfhkghkrh" localSheetId="16" hidden="1">{#N/A,#N/A,FALSE,"Plan1";#N/A,#N/A,FALSE,"Plan2"}</definedName>
    <definedName name="kdfhkghkrh" localSheetId="0" hidden="1">{#N/A,#N/A,FALSE,"Plan1";#N/A,#N/A,FALSE,"Plan2"}</definedName>
    <definedName name="kdfhkghkrh" localSheetId="11" hidden="1">{#N/A,#N/A,FALSE,"Plan1";#N/A,#N/A,FALSE,"Plan2"}</definedName>
    <definedName name="kdfhkghkrh" localSheetId="13" hidden="1">{#N/A,#N/A,FALSE,"Plan1";#N/A,#N/A,FALSE,"Plan2"}</definedName>
    <definedName name="kdfhkghkrh" hidden="1">{#N/A,#N/A,FALSE,"Plan1";#N/A,#N/A,FALSE,"Plan2"}</definedName>
    <definedName name="kdfier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4" hidden="1">{#N/A,#N/A,FALSE,"Plan1";#N/A,#N/A,FALSE,"Plan2"}</definedName>
    <definedName name="kdfkçrkf" localSheetId="7" hidden="1">{#N/A,#N/A,FALSE,"Plan1";#N/A,#N/A,FALSE,"Plan2"}</definedName>
    <definedName name="kdfkçrkf" localSheetId="1" hidden="1">{#N/A,#N/A,FALSE,"Plan1";#N/A,#N/A,FALSE,"Plan2"}</definedName>
    <definedName name="kdfkçrkf" localSheetId="2" hidden="1">{#N/A,#N/A,FALSE,"Plan1";#N/A,#N/A,FALSE,"Plan2"}</definedName>
    <definedName name="kdfkçrkf" localSheetId="9" hidden="1">{#N/A,#N/A,FALSE,"Plan1";#N/A,#N/A,FALSE,"Plan2"}</definedName>
    <definedName name="kdfkçrkf" localSheetId="5" hidden="1">{#N/A,#N/A,FALSE,"Plan1";#N/A,#N/A,FALSE,"Plan2"}</definedName>
    <definedName name="kdfkçrkf" localSheetId="4" hidden="1">{#N/A,#N/A,FALSE,"Plan1";#N/A,#N/A,FALSE,"Plan2"}</definedName>
    <definedName name="kdfkçrkf" localSheetId="8" hidden="1">{#N/A,#N/A,FALSE,"Plan1";#N/A,#N/A,FALSE,"Plan2"}</definedName>
    <definedName name="kdfkçrkf" localSheetId="12" hidden="1">{#N/A,#N/A,FALSE,"Plan1";#N/A,#N/A,FALSE,"Plan2"}</definedName>
    <definedName name="kdfkçrkf" localSheetId="16" hidden="1">{#N/A,#N/A,FALSE,"Plan1";#N/A,#N/A,FALSE,"Plan2"}</definedName>
    <definedName name="kdfkçrkf" localSheetId="0" hidden="1">{#N/A,#N/A,FALSE,"Plan1";#N/A,#N/A,FALSE,"Plan2"}</definedName>
    <definedName name="kdfkçrkf" localSheetId="11" hidden="1">{#N/A,#N/A,FALSE,"Plan1";#N/A,#N/A,FALSE,"Plan2"}</definedName>
    <definedName name="kdfkçrkf" localSheetId="13" hidden="1">{#N/A,#N/A,FALSE,"Plan1";#N/A,#N/A,FALSE,"Plan2"}</definedName>
    <definedName name="kdfkçrkf" hidden="1">{#N/A,#N/A,FALSE,"Plan1";#N/A,#N/A,FALSE,"Plan2"}</definedName>
    <definedName name="kdfljlfr" localSheetId="14" hidden="1">{#N/A,#N/A,FALSE,"Plan1";#N/A,#N/A,FALSE,"Plan2"}</definedName>
    <definedName name="kdfljlfr" localSheetId="7" hidden="1">{#N/A,#N/A,FALSE,"Plan1";#N/A,#N/A,FALSE,"Plan2"}</definedName>
    <definedName name="kdfljlfr" localSheetId="1" hidden="1">{#N/A,#N/A,FALSE,"Plan1";#N/A,#N/A,FALSE,"Plan2"}</definedName>
    <definedName name="kdfljlfr" localSheetId="2" hidden="1">{#N/A,#N/A,FALSE,"Plan1";#N/A,#N/A,FALSE,"Plan2"}</definedName>
    <definedName name="kdfljlfr" localSheetId="9" hidden="1">{#N/A,#N/A,FALSE,"Plan1";#N/A,#N/A,FALSE,"Plan2"}</definedName>
    <definedName name="kdfljlfr" localSheetId="5" hidden="1">{#N/A,#N/A,FALSE,"Plan1";#N/A,#N/A,FALSE,"Plan2"}</definedName>
    <definedName name="kdfljlfr" localSheetId="4" hidden="1">{#N/A,#N/A,FALSE,"Plan1";#N/A,#N/A,FALSE,"Plan2"}</definedName>
    <definedName name="kdfljlfr" localSheetId="8" hidden="1">{#N/A,#N/A,FALSE,"Plan1";#N/A,#N/A,FALSE,"Plan2"}</definedName>
    <definedName name="kdfljlfr" localSheetId="12" hidden="1">{#N/A,#N/A,FALSE,"Plan1";#N/A,#N/A,FALSE,"Plan2"}</definedName>
    <definedName name="kdfljlfr" localSheetId="16" hidden="1">{#N/A,#N/A,FALSE,"Plan1";#N/A,#N/A,FALSE,"Plan2"}</definedName>
    <definedName name="kdfljlfr" localSheetId="0" hidden="1">{#N/A,#N/A,FALSE,"Plan1";#N/A,#N/A,FALSE,"Plan2"}</definedName>
    <definedName name="kdfljlfr" localSheetId="11" hidden="1">{#N/A,#N/A,FALSE,"Plan1";#N/A,#N/A,FALSE,"Plan2"}</definedName>
    <definedName name="kdfljlfr" localSheetId="13" hidden="1">{#N/A,#N/A,FALSE,"Plan1";#N/A,#N/A,FALSE,"Plan2"}</definedName>
    <definedName name="kdfljlfr" hidden="1">{#N/A,#N/A,FALSE,"Plan1";#N/A,#N/A,FALSE,"Plan2"}</definedName>
    <definedName name="kdhfgkdfhytgu" localSheetId="14" hidden="1">{#N/A,#N/A,FALSE,"Plan1";#N/A,#N/A,FALSE,"Plan2"}</definedName>
    <definedName name="kdhfgkdfhytgu" localSheetId="7" hidden="1">{#N/A,#N/A,FALSE,"Plan1";#N/A,#N/A,FALSE,"Plan2"}</definedName>
    <definedName name="kdhfgkdfhytgu" localSheetId="1" hidden="1">{#N/A,#N/A,FALSE,"Plan1";#N/A,#N/A,FALSE,"Plan2"}</definedName>
    <definedName name="kdhfgkdfhytgu" localSheetId="2" hidden="1">{#N/A,#N/A,FALSE,"Plan1";#N/A,#N/A,FALSE,"Plan2"}</definedName>
    <definedName name="kdhfgkdfhytgu" localSheetId="9" hidden="1">{#N/A,#N/A,FALSE,"Plan1";#N/A,#N/A,FALSE,"Plan2"}</definedName>
    <definedName name="kdhfgkdfhytgu" localSheetId="5" hidden="1">{#N/A,#N/A,FALSE,"Plan1";#N/A,#N/A,FALSE,"Plan2"}</definedName>
    <definedName name="kdhfgkdfhytgu" localSheetId="4" hidden="1">{#N/A,#N/A,FALSE,"Plan1";#N/A,#N/A,FALSE,"Plan2"}</definedName>
    <definedName name="kdhfgkdfhytgu" localSheetId="8" hidden="1">{#N/A,#N/A,FALSE,"Plan1";#N/A,#N/A,FALSE,"Plan2"}</definedName>
    <definedName name="kdhfgkdfhytgu" localSheetId="12" hidden="1">{#N/A,#N/A,FALSE,"Plan1";#N/A,#N/A,FALSE,"Plan2"}</definedName>
    <definedName name="kdhfgkdfhytgu" localSheetId="16" hidden="1">{#N/A,#N/A,FALSE,"Plan1";#N/A,#N/A,FALSE,"Plan2"}</definedName>
    <definedName name="kdhfgkdfhytgu" localSheetId="0" hidden="1">{#N/A,#N/A,FALSE,"Plan1";#N/A,#N/A,FALSE,"Plan2"}</definedName>
    <definedName name="kdhfgkdfhytgu" localSheetId="11" hidden="1">{#N/A,#N/A,FALSE,"Plan1";#N/A,#N/A,FALSE,"Plan2"}</definedName>
    <definedName name="kdhfgkdfhytgu" localSheetId="13" hidden="1">{#N/A,#N/A,FALSE,"Plan1";#N/A,#N/A,FALSE,"Plan2"}</definedName>
    <definedName name="kdhfgkdfhytgu" hidden="1">{#N/A,#N/A,FALSE,"Plan1";#N/A,#N/A,FALSE,"Plan2"}</definedName>
    <definedName name="kdhgftfg" localSheetId="14" hidden="1">{#N/A,#N/A,FALSE,"Plan1";#N/A,#N/A,FALSE,"Plan2"}</definedName>
    <definedName name="kdhgftfg" localSheetId="7" hidden="1">{#N/A,#N/A,FALSE,"Plan1";#N/A,#N/A,FALSE,"Plan2"}</definedName>
    <definedName name="kdhgftfg" localSheetId="1" hidden="1">{#N/A,#N/A,FALSE,"Plan1";#N/A,#N/A,FALSE,"Plan2"}</definedName>
    <definedName name="kdhgftfg" localSheetId="2" hidden="1">{#N/A,#N/A,FALSE,"Plan1";#N/A,#N/A,FALSE,"Plan2"}</definedName>
    <definedName name="kdhgftfg" localSheetId="9" hidden="1">{#N/A,#N/A,FALSE,"Plan1";#N/A,#N/A,FALSE,"Plan2"}</definedName>
    <definedName name="kdhgftfg" localSheetId="5" hidden="1">{#N/A,#N/A,FALSE,"Plan1";#N/A,#N/A,FALSE,"Plan2"}</definedName>
    <definedName name="kdhgftfg" localSheetId="4" hidden="1">{#N/A,#N/A,FALSE,"Plan1";#N/A,#N/A,FALSE,"Plan2"}</definedName>
    <definedName name="kdhgftfg" localSheetId="8" hidden="1">{#N/A,#N/A,FALSE,"Plan1";#N/A,#N/A,FALSE,"Plan2"}</definedName>
    <definedName name="kdhgftfg" localSheetId="12" hidden="1">{#N/A,#N/A,FALSE,"Plan1";#N/A,#N/A,FALSE,"Plan2"}</definedName>
    <definedName name="kdhgftfg" localSheetId="16" hidden="1">{#N/A,#N/A,FALSE,"Plan1";#N/A,#N/A,FALSE,"Plan2"}</definedName>
    <definedName name="kdhgftfg" localSheetId="0" hidden="1">{#N/A,#N/A,FALSE,"Plan1";#N/A,#N/A,FALSE,"Plan2"}</definedName>
    <definedName name="kdhgftfg" localSheetId="11" hidden="1">{#N/A,#N/A,FALSE,"Plan1";#N/A,#N/A,FALSE,"Plan2"}</definedName>
    <definedName name="kdhgftfg" localSheetId="13" hidden="1">{#N/A,#N/A,FALSE,"Plan1";#N/A,#N/A,FALSE,"Plan2"}</definedName>
    <definedName name="kdhgftfg" hidden="1">{#N/A,#N/A,FALSE,"Plan1";#N/A,#N/A,FALSE,"Plan2"}</definedName>
    <definedName name="KDHKFGKKHGF" localSheetId="14" hidden="1">{#N/A,#N/A,FALSE,"Plan1";#N/A,#N/A,FALSE,"Plan2"}</definedName>
    <definedName name="KDHKFGKKHGF" localSheetId="7" hidden="1">{#N/A,#N/A,FALSE,"Plan1";#N/A,#N/A,FALSE,"Plan2"}</definedName>
    <definedName name="KDHKFGKKHGF" localSheetId="1" hidden="1">{#N/A,#N/A,FALSE,"Plan1";#N/A,#N/A,FALSE,"Plan2"}</definedName>
    <definedName name="KDHKFGKKHGF" localSheetId="2" hidden="1">{#N/A,#N/A,FALSE,"Plan1";#N/A,#N/A,FALSE,"Plan2"}</definedName>
    <definedName name="KDHKFGKKHGF" localSheetId="9" hidden="1">{#N/A,#N/A,FALSE,"Plan1";#N/A,#N/A,FALSE,"Plan2"}</definedName>
    <definedName name="KDHKFGKKHGF" localSheetId="5" hidden="1">{#N/A,#N/A,FALSE,"Plan1";#N/A,#N/A,FALSE,"Plan2"}</definedName>
    <definedName name="KDHKFGKKHGF" localSheetId="4" hidden="1">{#N/A,#N/A,FALSE,"Plan1";#N/A,#N/A,FALSE,"Plan2"}</definedName>
    <definedName name="KDHKFGKKHGF" localSheetId="8" hidden="1">{#N/A,#N/A,FALSE,"Plan1";#N/A,#N/A,FALSE,"Plan2"}</definedName>
    <definedName name="KDHKFGKKHGF" localSheetId="12" hidden="1">{#N/A,#N/A,FALSE,"Plan1";#N/A,#N/A,FALSE,"Plan2"}</definedName>
    <definedName name="KDHKFGKKHGF" localSheetId="16" hidden="1">{#N/A,#N/A,FALSE,"Plan1";#N/A,#N/A,FALSE,"Plan2"}</definedName>
    <definedName name="KDHKFGKKHGF" localSheetId="0" hidden="1">{#N/A,#N/A,FALSE,"Plan1";#N/A,#N/A,FALSE,"Plan2"}</definedName>
    <definedName name="KDHKFGKKHGF" localSheetId="11" hidden="1">{#N/A,#N/A,FALSE,"Plan1";#N/A,#N/A,FALSE,"Plan2"}</definedName>
    <definedName name="KDHKFGKKHGF" localSheetId="13" hidden="1">{#N/A,#N/A,FALSE,"Plan1";#N/A,#N/A,FALSE,"Plan2"}</definedName>
    <definedName name="KDHKFGKKHGF" hidden="1">{#N/A,#N/A,FALSE,"Plan1";#N/A,#N/A,FALSE,"Plan2"}</definedName>
    <definedName name="kdjfdr" localSheetId="2" hidden="1">#REF!</definedName>
    <definedName name="kdjfdr" localSheetId="5" hidden="1">#REF!</definedName>
    <definedName name="kdjfdr" localSheetId="0" hidden="1">#REF!</definedName>
    <definedName name="kdjfdr" hidden="1">#REF!</definedName>
    <definedName name="kdjgkfjgd" localSheetId="14" hidden="1">{#N/A,#N/A,FALSE,"Plan1";#N/A,#N/A,FALSE,"Plan2"}</definedName>
    <definedName name="kdjgkfjgd" localSheetId="7" hidden="1">{#N/A,#N/A,FALSE,"Plan1";#N/A,#N/A,FALSE,"Plan2"}</definedName>
    <definedName name="kdjgkfjgd" localSheetId="1" hidden="1">{#N/A,#N/A,FALSE,"Plan1";#N/A,#N/A,FALSE,"Plan2"}</definedName>
    <definedName name="kdjgkfjgd" localSheetId="2" hidden="1">{#N/A,#N/A,FALSE,"Plan1";#N/A,#N/A,FALSE,"Plan2"}</definedName>
    <definedName name="kdjgkfjgd" localSheetId="9" hidden="1">{#N/A,#N/A,FALSE,"Plan1";#N/A,#N/A,FALSE,"Plan2"}</definedName>
    <definedName name="kdjgkfjgd" localSheetId="5" hidden="1">{#N/A,#N/A,FALSE,"Plan1";#N/A,#N/A,FALSE,"Plan2"}</definedName>
    <definedName name="kdjgkfjgd" localSheetId="4" hidden="1">{#N/A,#N/A,FALSE,"Plan1";#N/A,#N/A,FALSE,"Plan2"}</definedName>
    <definedName name="kdjgkfjgd" localSheetId="8" hidden="1">{#N/A,#N/A,FALSE,"Plan1";#N/A,#N/A,FALSE,"Plan2"}</definedName>
    <definedName name="kdjgkfjgd" localSheetId="12" hidden="1">{#N/A,#N/A,FALSE,"Plan1";#N/A,#N/A,FALSE,"Plan2"}</definedName>
    <definedName name="kdjgkfjgd" localSheetId="16" hidden="1">{#N/A,#N/A,FALSE,"Plan1";#N/A,#N/A,FALSE,"Plan2"}</definedName>
    <definedName name="kdjgkfjgd" localSheetId="0" hidden="1">{#N/A,#N/A,FALSE,"Plan1";#N/A,#N/A,FALSE,"Plan2"}</definedName>
    <definedName name="kdjgkfjgd" localSheetId="11" hidden="1">{#N/A,#N/A,FALSE,"Plan1";#N/A,#N/A,FALSE,"Plan2"}</definedName>
    <definedName name="kdjgkfjgd" localSheetId="13" hidden="1">{#N/A,#N/A,FALSE,"Plan1";#N/A,#N/A,FALSE,"Plan2"}</definedName>
    <definedName name="kdjgkfjgd" hidden="1">{#N/A,#N/A,FALSE,"Plan1";#N/A,#N/A,FALSE,"Plan2"}</definedName>
    <definedName name="kdjglkdlgjd" localSheetId="14" hidden="1">{#N/A,#N/A,FALSE,"Plan1";#N/A,#N/A,FALSE,"Plan2"}</definedName>
    <definedName name="kdjglkdlgjd" localSheetId="7" hidden="1">{#N/A,#N/A,FALSE,"Plan1";#N/A,#N/A,FALSE,"Plan2"}</definedName>
    <definedName name="kdjglkdlgjd" localSheetId="1" hidden="1">{#N/A,#N/A,FALSE,"Plan1";#N/A,#N/A,FALSE,"Plan2"}</definedName>
    <definedName name="kdjglkdlgjd" localSheetId="2" hidden="1">{#N/A,#N/A,FALSE,"Plan1";#N/A,#N/A,FALSE,"Plan2"}</definedName>
    <definedName name="kdjglkdlgjd" localSheetId="9" hidden="1">{#N/A,#N/A,FALSE,"Plan1";#N/A,#N/A,FALSE,"Plan2"}</definedName>
    <definedName name="kdjglkdlgjd" localSheetId="5" hidden="1">{#N/A,#N/A,FALSE,"Plan1";#N/A,#N/A,FALSE,"Plan2"}</definedName>
    <definedName name="kdjglkdlgjd" localSheetId="4" hidden="1">{#N/A,#N/A,FALSE,"Plan1";#N/A,#N/A,FALSE,"Plan2"}</definedName>
    <definedName name="kdjglkdlgjd" localSheetId="8" hidden="1">{#N/A,#N/A,FALSE,"Plan1";#N/A,#N/A,FALSE,"Plan2"}</definedName>
    <definedName name="kdjglkdlgjd" localSheetId="12" hidden="1">{#N/A,#N/A,FALSE,"Plan1";#N/A,#N/A,FALSE,"Plan2"}</definedName>
    <definedName name="kdjglkdlgjd" localSheetId="16" hidden="1">{#N/A,#N/A,FALSE,"Plan1";#N/A,#N/A,FALSE,"Plan2"}</definedName>
    <definedName name="kdjglkdlgjd" localSheetId="0" hidden="1">{#N/A,#N/A,FALSE,"Plan1";#N/A,#N/A,FALSE,"Plan2"}</definedName>
    <definedName name="kdjglkdlgjd" localSheetId="11" hidden="1">{#N/A,#N/A,FALSE,"Plan1";#N/A,#N/A,FALSE,"Plan2"}</definedName>
    <definedName name="kdjglkdlgjd" localSheetId="13" hidden="1">{#N/A,#N/A,FALSE,"Plan1";#N/A,#N/A,FALSE,"Plan2"}</definedName>
    <definedName name="kdjglkdlgjd" hidden="1">{#N/A,#N/A,FALSE,"Plan1";#N/A,#N/A,FALSE,"Plan2"}</definedName>
    <definedName name="kdjsfkldjgkty" localSheetId="14" hidden="1">{#N/A,#N/A,FALSE,"Plan1";#N/A,#N/A,FALSE,"Plan2"}</definedName>
    <definedName name="kdjsfkldjgkty" localSheetId="7" hidden="1">{#N/A,#N/A,FALSE,"Plan1";#N/A,#N/A,FALSE,"Plan2"}</definedName>
    <definedName name="kdjsfkldjgkty" localSheetId="1" hidden="1">{#N/A,#N/A,FALSE,"Plan1";#N/A,#N/A,FALSE,"Plan2"}</definedName>
    <definedName name="kdjsfkldjgkty" localSheetId="2" hidden="1">{#N/A,#N/A,FALSE,"Plan1";#N/A,#N/A,FALSE,"Plan2"}</definedName>
    <definedName name="kdjsfkldjgkty" localSheetId="9" hidden="1">{#N/A,#N/A,FALSE,"Plan1";#N/A,#N/A,FALSE,"Plan2"}</definedName>
    <definedName name="kdjsfkldjgkty" localSheetId="5" hidden="1">{#N/A,#N/A,FALSE,"Plan1";#N/A,#N/A,FALSE,"Plan2"}</definedName>
    <definedName name="kdjsfkldjgkty" localSheetId="4" hidden="1">{#N/A,#N/A,FALSE,"Plan1";#N/A,#N/A,FALSE,"Plan2"}</definedName>
    <definedName name="kdjsfkldjgkty" localSheetId="8" hidden="1">{#N/A,#N/A,FALSE,"Plan1";#N/A,#N/A,FALSE,"Plan2"}</definedName>
    <definedName name="kdjsfkldjgkty" localSheetId="12" hidden="1">{#N/A,#N/A,FALSE,"Plan1";#N/A,#N/A,FALSE,"Plan2"}</definedName>
    <definedName name="kdjsfkldjgkty" localSheetId="16" hidden="1">{#N/A,#N/A,FALSE,"Plan1";#N/A,#N/A,FALSE,"Plan2"}</definedName>
    <definedName name="kdjsfkldjgkty" localSheetId="0" hidden="1">{#N/A,#N/A,FALSE,"Plan1";#N/A,#N/A,FALSE,"Plan2"}</definedName>
    <definedName name="kdjsfkldjgkty" localSheetId="11" hidden="1">{#N/A,#N/A,FALSE,"Plan1";#N/A,#N/A,FALSE,"Plan2"}</definedName>
    <definedName name="kdjsfkldjgkty" localSheetId="13" hidden="1">{#N/A,#N/A,FALSE,"Plan1";#N/A,#N/A,FALSE,"Plan2"}</definedName>
    <definedName name="kdjsfkldjgkty" hidden="1">{#N/A,#N/A,FALSE,"Plan1";#N/A,#N/A,FALSE,"Plan2"}</definedName>
    <definedName name="KDJU" localSheetId="14" hidden="1">{"'장비'!$A$3:$M$12"}</definedName>
    <definedName name="KDJU" localSheetId="7" hidden="1">{"'장비'!$A$3:$M$12"}</definedName>
    <definedName name="KDJU" localSheetId="1" hidden="1">{"'장비'!$A$3:$M$12"}</definedName>
    <definedName name="KDJU" localSheetId="2" hidden="1">{"'장비'!$A$3:$M$12"}</definedName>
    <definedName name="KDJU" localSheetId="9" hidden="1">{"'장비'!$A$3:$M$12"}</definedName>
    <definedName name="KDJU" localSheetId="5" hidden="1">{"'장비'!$A$3:$M$12"}</definedName>
    <definedName name="KDJU" localSheetId="4" hidden="1">{"'장비'!$A$3:$M$12"}</definedName>
    <definedName name="KDJU" localSheetId="8" hidden="1">{"'장비'!$A$3:$M$12"}</definedName>
    <definedName name="KDJU" localSheetId="12" hidden="1">{"'장비'!$A$3:$M$12"}</definedName>
    <definedName name="KDJU" localSheetId="16" hidden="1">{"'장비'!$A$3:$M$12"}</definedName>
    <definedName name="KDJU" localSheetId="0" hidden="1">{"'장비'!$A$3:$M$12"}</definedName>
    <definedName name="KDJU" localSheetId="11" hidden="1">{"'장비'!$A$3:$M$12"}</definedName>
    <definedName name="KDJU" localSheetId="13" hidden="1">{"'장비'!$A$3:$M$12"}</definedName>
    <definedName name="KDJU" hidden="1">{"'장비'!$A$3:$M$12"}</definedName>
    <definedName name="kdkjhgdkfhjk" localSheetId="14" hidden="1">{#N/A,#N/A,FALSE,"Plan1";#N/A,#N/A,FALSE,"Plan2"}</definedName>
    <definedName name="kdkjhgdkfhjk" localSheetId="7" hidden="1">{#N/A,#N/A,FALSE,"Plan1";#N/A,#N/A,FALSE,"Plan2"}</definedName>
    <definedName name="kdkjhgdkfhjk" localSheetId="1" hidden="1">{#N/A,#N/A,FALSE,"Plan1";#N/A,#N/A,FALSE,"Plan2"}</definedName>
    <definedName name="kdkjhgdkfhjk" localSheetId="2" hidden="1">{#N/A,#N/A,FALSE,"Plan1";#N/A,#N/A,FALSE,"Plan2"}</definedName>
    <definedName name="kdkjhgdkfhjk" localSheetId="9" hidden="1">{#N/A,#N/A,FALSE,"Plan1";#N/A,#N/A,FALSE,"Plan2"}</definedName>
    <definedName name="kdkjhgdkfhjk" localSheetId="5" hidden="1">{#N/A,#N/A,FALSE,"Plan1";#N/A,#N/A,FALSE,"Plan2"}</definedName>
    <definedName name="kdkjhgdkfhjk" localSheetId="4" hidden="1">{#N/A,#N/A,FALSE,"Plan1";#N/A,#N/A,FALSE,"Plan2"}</definedName>
    <definedName name="kdkjhgdkfhjk" localSheetId="8" hidden="1">{#N/A,#N/A,FALSE,"Plan1";#N/A,#N/A,FALSE,"Plan2"}</definedName>
    <definedName name="kdkjhgdkfhjk" localSheetId="12" hidden="1">{#N/A,#N/A,FALSE,"Plan1";#N/A,#N/A,FALSE,"Plan2"}</definedName>
    <definedName name="kdkjhgdkfhjk" localSheetId="16" hidden="1">{#N/A,#N/A,FALSE,"Plan1";#N/A,#N/A,FALSE,"Plan2"}</definedName>
    <definedName name="kdkjhgdkfhjk" localSheetId="0" hidden="1">{#N/A,#N/A,FALSE,"Plan1";#N/A,#N/A,FALSE,"Plan2"}</definedName>
    <definedName name="kdkjhgdkfhjk" localSheetId="11" hidden="1">{#N/A,#N/A,FALSE,"Plan1";#N/A,#N/A,FALSE,"Plan2"}</definedName>
    <definedName name="kdkjhgdkfhjk" localSheetId="13" hidden="1">{#N/A,#N/A,FALSE,"Plan1";#N/A,#N/A,FALSE,"Plan2"}</definedName>
    <definedName name="kdkjhgdkfhjk" hidden="1">{#N/A,#N/A,FALSE,"Plan1";#N/A,#N/A,FALSE,"Plan2"}</definedName>
    <definedName name="kdsf" localSheetId="14" hidden="1">{#N/A,#N/A,FALSE,"Plan1";#N/A,#N/A,FALSE,"Plan2"}</definedName>
    <definedName name="kdsf" localSheetId="7" hidden="1">{#N/A,#N/A,FALSE,"Plan1";#N/A,#N/A,FALSE,"Plan2"}</definedName>
    <definedName name="kdsf" localSheetId="1" hidden="1">{#N/A,#N/A,FALSE,"Plan1";#N/A,#N/A,FALSE,"Plan2"}</definedName>
    <definedName name="kdsf" localSheetId="2" hidden="1">{#N/A,#N/A,FALSE,"Plan1";#N/A,#N/A,FALSE,"Plan2"}</definedName>
    <definedName name="kdsf" localSheetId="9" hidden="1">{#N/A,#N/A,FALSE,"Plan1";#N/A,#N/A,FALSE,"Plan2"}</definedName>
    <definedName name="kdsf" localSheetId="5" hidden="1">{#N/A,#N/A,FALSE,"Plan1";#N/A,#N/A,FALSE,"Plan2"}</definedName>
    <definedName name="kdsf" localSheetId="4" hidden="1">{#N/A,#N/A,FALSE,"Plan1";#N/A,#N/A,FALSE,"Plan2"}</definedName>
    <definedName name="kdsf" localSheetId="8" hidden="1">{#N/A,#N/A,FALSE,"Plan1";#N/A,#N/A,FALSE,"Plan2"}</definedName>
    <definedName name="kdsf" localSheetId="12" hidden="1">{#N/A,#N/A,FALSE,"Plan1";#N/A,#N/A,FALSE,"Plan2"}</definedName>
    <definedName name="kdsf" localSheetId="16" hidden="1">{#N/A,#N/A,FALSE,"Plan1";#N/A,#N/A,FALSE,"Plan2"}</definedName>
    <definedName name="kdsf" localSheetId="0" hidden="1">{#N/A,#N/A,FALSE,"Plan1";#N/A,#N/A,FALSE,"Plan2"}</definedName>
    <definedName name="kdsf" localSheetId="11" hidden="1">{#N/A,#N/A,FALSE,"Plan1";#N/A,#N/A,FALSE,"Plan2"}</definedName>
    <definedName name="kdsf" localSheetId="13" hidden="1">{#N/A,#N/A,FALSE,"Plan1";#N/A,#N/A,FALSE,"Plan2"}</definedName>
    <definedName name="kdsf" hidden="1">{#N/A,#N/A,FALSE,"Plan1";#N/A,#N/A,FALSE,"Plan2"}</definedName>
    <definedName name="kdsr" localSheetId="14" hidden="1">{#N/A,#N/A,FALSE,"Plan1";#N/A,#N/A,FALSE,"Plan2"}</definedName>
    <definedName name="kdsr" localSheetId="7" hidden="1">{#N/A,#N/A,FALSE,"Plan1";#N/A,#N/A,FALSE,"Plan2"}</definedName>
    <definedName name="kdsr" localSheetId="1" hidden="1">{#N/A,#N/A,FALSE,"Plan1";#N/A,#N/A,FALSE,"Plan2"}</definedName>
    <definedName name="kdsr" localSheetId="2" hidden="1">{#N/A,#N/A,FALSE,"Plan1";#N/A,#N/A,FALSE,"Plan2"}</definedName>
    <definedName name="kdsr" localSheetId="9" hidden="1">{#N/A,#N/A,FALSE,"Plan1";#N/A,#N/A,FALSE,"Plan2"}</definedName>
    <definedName name="kdsr" localSheetId="5" hidden="1">{#N/A,#N/A,FALSE,"Plan1";#N/A,#N/A,FALSE,"Plan2"}</definedName>
    <definedName name="kdsr" localSheetId="4" hidden="1">{#N/A,#N/A,FALSE,"Plan1";#N/A,#N/A,FALSE,"Plan2"}</definedName>
    <definedName name="kdsr" localSheetId="8" hidden="1">{#N/A,#N/A,FALSE,"Plan1";#N/A,#N/A,FALSE,"Plan2"}</definedName>
    <definedName name="kdsr" localSheetId="12" hidden="1">{#N/A,#N/A,FALSE,"Plan1";#N/A,#N/A,FALSE,"Plan2"}</definedName>
    <definedName name="kdsr" localSheetId="16" hidden="1">{#N/A,#N/A,FALSE,"Plan1";#N/A,#N/A,FALSE,"Plan2"}</definedName>
    <definedName name="kdsr" localSheetId="0" hidden="1">{#N/A,#N/A,FALSE,"Plan1";#N/A,#N/A,FALSE,"Plan2"}</definedName>
    <definedName name="kdsr" localSheetId="11" hidden="1">{#N/A,#N/A,FALSE,"Plan1";#N/A,#N/A,FALSE,"Plan2"}</definedName>
    <definedName name="kdsr" localSheetId="13" hidden="1">{#N/A,#N/A,FALSE,"Plan1";#N/A,#N/A,FALSE,"Plan2"}</definedName>
    <definedName name="kdsr" hidden="1">{#N/A,#N/A,FALSE,"Plan1";#N/A,#N/A,FALSE,"Plan2"}</definedName>
    <definedName name="kergtfdstr" localSheetId="14" hidden="1">{#N/A,#N/A,FALSE,"Plan1";#N/A,#N/A,FALSE,"Plan2"}</definedName>
    <definedName name="kergtfdstr" localSheetId="7" hidden="1">{#N/A,#N/A,FALSE,"Plan1";#N/A,#N/A,FALSE,"Plan2"}</definedName>
    <definedName name="kergtfdstr" localSheetId="1" hidden="1">{#N/A,#N/A,FALSE,"Plan1";#N/A,#N/A,FALSE,"Plan2"}</definedName>
    <definedName name="kergtfdstr" localSheetId="2" hidden="1">{#N/A,#N/A,FALSE,"Plan1";#N/A,#N/A,FALSE,"Plan2"}</definedName>
    <definedName name="kergtfdstr" localSheetId="9" hidden="1">{#N/A,#N/A,FALSE,"Plan1";#N/A,#N/A,FALSE,"Plan2"}</definedName>
    <definedName name="kergtfdstr" localSheetId="5" hidden="1">{#N/A,#N/A,FALSE,"Plan1";#N/A,#N/A,FALSE,"Plan2"}</definedName>
    <definedName name="kergtfdstr" localSheetId="4" hidden="1">{#N/A,#N/A,FALSE,"Plan1";#N/A,#N/A,FALSE,"Plan2"}</definedName>
    <definedName name="kergtfdstr" localSheetId="8" hidden="1">{#N/A,#N/A,FALSE,"Plan1";#N/A,#N/A,FALSE,"Plan2"}</definedName>
    <definedName name="kergtfdstr" localSheetId="12" hidden="1">{#N/A,#N/A,FALSE,"Plan1";#N/A,#N/A,FALSE,"Plan2"}</definedName>
    <definedName name="kergtfdstr" localSheetId="16" hidden="1">{#N/A,#N/A,FALSE,"Plan1";#N/A,#N/A,FALSE,"Plan2"}</definedName>
    <definedName name="kergtfdstr" localSheetId="0" hidden="1">{#N/A,#N/A,FALSE,"Plan1";#N/A,#N/A,FALSE,"Plan2"}</definedName>
    <definedName name="kergtfdstr" localSheetId="11" hidden="1">{#N/A,#N/A,FALSE,"Plan1";#N/A,#N/A,FALSE,"Plan2"}</definedName>
    <definedName name="kergtfdstr" localSheetId="13" hidden="1">{#N/A,#N/A,FALSE,"Plan1";#N/A,#N/A,FALSE,"Plan2"}</definedName>
    <definedName name="kergtfdstr" hidden="1">{#N/A,#N/A,FALSE,"Plan1";#N/A,#N/A,FALSE,"Plan2"}</definedName>
    <definedName name="kesp" localSheetId="2">#REF!</definedName>
    <definedName name="kesp" localSheetId="5">#REF!</definedName>
    <definedName name="kesp">#REF!</definedName>
    <definedName name="KFDKTHGT" localSheetId="14" hidden="1">{#N/A,#N/A,FALSE,"Plan1";#N/A,#N/A,FALSE,"Plan2"}</definedName>
    <definedName name="KFDKTHGT" localSheetId="7" hidden="1">{#N/A,#N/A,FALSE,"Plan1";#N/A,#N/A,FALSE,"Plan2"}</definedName>
    <definedName name="KFDKTHGT" localSheetId="1" hidden="1">{#N/A,#N/A,FALSE,"Plan1";#N/A,#N/A,FALSE,"Plan2"}</definedName>
    <definedName name="KFDKTHGT" localSheetId="2" hidden="1">{#N/A,#N/A,FALSE,"Plan1";#N/A,#N/A,FALSE,"Plan2"}</definedName>
    <definedName name="KFDKTHGT" localSheetId="9" hidden="1">{#N/A,#N/A,FALSE,"Plan1";#N/A,#N/A,FALSE,"Plan2"}</definedName>
    <definedName name="KFDKTHGT" localSheetId="5" hidden="1">{#N/A,#N/A,FALSE,"Plan1";#N/A,#N/A,FALSE,"Plan2"}</definedName>
    <definedName name="KFDKTHGT" localSheetId="4" hidden="1">{#N/A,#N/A,FALSE,"Plan1";#N/A,#N/A,FALSE,"Plan2"}</definedName>
    <definedName name="KFDKTHGT" localSheetId="8" hidden="1">{#N/A,#N/A,FALSE,"Plan1";#N/A,#N/A,FALSE,"Plan2"}</definedName>
    <definedName name="KFDKTHGT" localSheetId="12" hidden="1">{#N/A,#N/A,FALSE,"Plan1";#N/A,#N/A,FALSE,"Plan2"}</definedName>
    <definedName name="KFDKTHGT" localSheetId="16" hidden="1">{#N/A,#N/A,FALSE,"Plan1";#N/A,#N/A,FALSE,"Plan2"}</definedName>
    <definedName name="KFDKTHGT" localSheetId="0" hidden="1">{#N/A,#N/A,FALSE,"Plan1";#N/A,#N/A,FALSE,"Plan2"}</definedName>
    <definedName name="KFDKTHGT" localSheetId="11" hidden="1">{#N/A,#N/A,FALSE,"Plan1";#N/A,#N/A,FALSE,"Plan2"}</definedName>
    <definedName name="KFDKTHGT" localSheetId="13" hidden="1">{#N/A,#N/A,FALSE,"Plan1";#N/A,#N/A,FALSE,"Plan2"}</definedName>
    <definedName name="KFDKTHGT" hidden="1">{#N/A,#N/A,FALSE,"Plan1";#N/A,#N/A,FALSE,"Plan2"}</definedName>
    <definedName name="kfdxlfdzs" localSheetId="14" hidden="1">{"Econ Consolidado",#N/A,FALSE,"Econ Consol";"Fluxo de Caixa",#N/A,FALSE,"Fluxo Caixa";"Investimentos",#N/A,FALSE,"Investimentos"}</definedName>
    <definedName name="kfdxlfdzs" localSheetId="7" hidden="1">{"Econ Consolidado",#N/A,FALSE,"Econ Consol";"Fluxo de Caixa",#N/A,FALSE,"Fluxo Caixa";"Investimentos",#N/A,FALSE,"Investimentos"}</definedName>
    <definedName name="kfdxlfdzs" localSheetId="1" hidden="1">{"Econ Consolidado",#N/A,FALSE,"Econ Consol";"Fluxo de Caixa",#N/A,FALSE,"Fluxo Caixa";"Investimentos",#N/A,FALSE,"Investimentos"}</definedName>
    <definedName name="kfdxlfdzs" localSheetId="2" hidden="1">{"Econ Consolidado",#N/A,FALSE,"Econ Consol";"Fluxo de Caixa",#N/A,FALSE,"Fluxo Caixa";"Investimentos",#N/A,FALSE,"Investimentos"}</definedName>
    <definedName name="kfdxlfdzs" localSheetId="9" hidden="1">{"Econ Consolidado",#N/A,FALSE,"Econ Consol";"Fluxo de Caixa",#N/A,FALSE,"Fluxo Caixa";"Investimentos",#N/A,FALSE,"Investimentos"}</definedName>
    <definedName name="kfdxlfdzs" localSheetId="5" hidden="1">{"Econ Consolidado",#N/A,FALSE,"Econ Consol";"Fluxo de Caixa",#N/A,FALSE,"Fluxo Caixa";"Investimentos",#N/A,FALSE,"Investimentos"}</definedName>
    <definedName name="kfdxlfdzs" localSheetId="4" hidden="1">{"Econ Consolidado",#N/A,FALSE,"Econ Consol";"Fluxo de Caixa",#N/A,FALSE,"Fluxo Caixa";"Investimentos",#N/A,FALSE,"Investimentos"}</definedName>
    <definedName name="kfdxlfdzs" localSheetId="8" hidden="1">{"Econ Consolidado",#N/A,FALSE,"Econ Consol";"Fluxo de Caixa",#N/A,FALSE,"Fluxo Caixa";"Investimentos",#N/A,FALSE,"Investimentos"}</definedName>
    <definedName name="kfdxlfdzs" localSheetId="12" hidden="1">{"Econ Consolidado",#N/A,FALSE,"Econ Consol";"Fluxo de Caixa",#N/A,FALSE,"Fluxo Caixa";"Investimentos",#N/A,FALSE,"Investimentos"}</definedName>
    <definedName name="kfdxlfdzs" localSheetId="16" hidden="1">{"Econ Consolidado",#N/A,FALSE,"Econ Consol";"Fluxo de Caixa",#N/A,FALSE,"Fluxo Caixa";"Investimentos",#N/A,FALSE,"Investimentos"}</definedName>
    <definedName name="kfdxlfdzs" localSheetId="0" hidden="1">{"Econ Consolidado",#N/A,FALSE,"Econ Consol";"Fluxo de Caixa",#N/A,FALSE,"Fluxo Caixa";"Investimentos",#N/A,FALSE,"Investimentos"}</definedName>
    <definedName name="kfdxlfdzs" localSheetId="11" hidden="1">{"Econ Consolidado",#N/A,FALSE,"Econ Consol";"Fluxo de Caixa",#N/A,FALSE,"Fluxo Caixa";"Investimentos",#N/A,FALSE,"Investimentos"}</definedName>
    <definedName name="kfdxlfdzs" localSheetId="13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14" hidden="1">{#N/A,#N/A,FALSE,"Plan1";#N/A,#N/A,FALSE,"Plan2"}</definedName>
    <definedName name="kfgkhjkjhy" localSheetId="7" hidden="1">{#N/A,#N/A,FALSE,"Plan1";#N/A,#N/A,FALSE,"Plan2"}</definedName>
    <definedName name="kfgkhjkjhy" localSheetId="1" hidden="1">{#N/A,#N/A,FALSE,"Plan1";#N/A,#N/A,FALSE,"Plan2"}</definedName>
    <definedName name="kfgkhjkjhy" localSheetId="2" hidden="1">{#N/A,#N/A,FALSE,"Plan1";#N/A,#N/A,FALSE,"Plan2"}</definedName>
    <definedName name="kfgkhjkjhy" localSheetId="9" hidden="1">{#N/A,#N/A,FALSE,"Plan1";#N/A,#N/A,FALSE,"Plan2"}</definedName>
    <definedName name="kfgkhjkjhy" localSheetId="5" hidden="1">{#N/A,#N/A,FALSE,"Plan1";#N/A,#N/A,FALSE,"Plan2"}</definedName>
    <definedName name="kfgkhjkjhy" localSheetId="4" hidden="1">{#N/A,#N/A,FALSE,"Plan1";#N/A,#N/A,FALSE,"Plan2"}</definedName>
    <definedName name="kfgkhjkjhy" localSheetId="8" hidden="1">{#N/A,#N/A,FALSE,"Plan1";#N/A,#N/A,FALSE,"Plan2"}</definedName>
    <definedName name="kfgkhjkjhy" localSheetId="12" hidden="1">{#N/A,#N/A,FALSE,"Plan1";#N/A,#N/A,FALSE,"Plan2"}</definedName>
    <definedName name="kfgkhjkjhy" localSheetId="16" hidden="1">{#N/A,#N/A,FALSE,"Plan1";#N/A,#N/A,FALSE,"Plan2"}</definedName>
    <definedName name="kfgkhjkjhy" localSheetId="0" hidden="1">{#N/A,#N/A,FALSE,"Plan1";#N/A,#N/A,FALSE,"Plan2"}</definedName>
    <definedName name="kfgkhjkjhy" localSheetId="11" hidden="1">{#N/A,#N/A,FALSE,"Plan1";#N/A,#N/A,FALSE,"Plan2"}</definedName>
    <definedName name="kfgkhjkjhy" localSheetId="13" hidden="1">{#N/A,#N/A,FALSE,"Plan1";#N/A,#N/A,FALSE,"Plan2"}</definedName>
    <definedName name="kfgkhjkjhy" hidden="1">{#N/A,#N/A,FALSE,"Plan1";#N/A,#N/A,FALSE,"Plan2"}</definedName>
    <definedName name="KFJFDSDF" localSheetId="14" hidden="1">{#N/A,#N/A,FALSE,"Plan1";#N/A,#N/A,FALSE,"Plan2"}</definedName>
    <definedName name="KFJFDSDF" localSheetId="7" hidden="1">{#N/A,#N/A,FALSE,"Plan1";#N/A,#N/A,FALSE,"Plan2"}</definedName>
    <definedName name="KFJFDSDF" localSheetId="1" hidden="1">{#N/A,#N/A,FALSE,"Plan1";#N/A,#N/A,FALSE,"Plan2"}</definedName>
    <definedName name="KFJFDSDF" localSheetId="2" hidden="1">{#N/A,#N/A,FALSE,"Plan1";#N/A,#N/A,FALSE,"Plan2"}</definedName>
    <definedName name="KFJFDSDF" localSheetId="9" hidden="1">{#N/A,#N/A,FALSE,"Plan1";#N/A,#N/A,FALSE,"Plan2"}</definedName>
    <definedName name="KFJFDSDF" localSheetId="5" hidden="1">{#N/A,#N/A,FALSE,"Plan1";#N/A,#N/A,FALSE,"Plan2"}</definedName>
    <definedName name="KFJFDSDF" localSheetId="4" hidden="1">{#N/A,#N/A,FALSE,"Plan1";#N/A,#N/A,FALSE,"Plan2"}</definedName>
    <definedName name="KFJFDSDF" localSheetId="8" hidden="1">{#N/A,#N/A,FALSE,"Plan1";#N/A,#N/A,FALSE,"Plan2"}</definedName>
    <definedName name="KFJFDSDF" localSheetId="12" hidden="1">{#N/A,#N/A,FALSE,"Plan1";#N/A,#N/A,FALSE,"Plan2"}</definedName>
    <definedName name="KFJFDSDF" localSheetId="16" hidden="1">{#N/A,#N/A,FALSE,"Plan1";#N/A,#N/A,FALSE,"Plan2"}</definedName>
    <definedName name="KFJFDSDF" localSheetId="0" hidden="1">{#N/A,#N/A,FALSE,"Plan1";#N/A,#N/A,FALSE,"Plan2"}</definedName>
    <definedName name="KFJFDSDF" localSheetId="11" hidden="1">{#N/A,#N/A,FALSE,"Plan1";#N/A,#N/A,FALSE,"Plan2"}</definedName>
    <definedName name="KFJFDSDF" localSheetId="13" hidden="1">{#N/A,#N/A,FALSE,"Plan1";#N/A,#N/A,FALSE,"Plan2"}</definedName>
    <definedName name="KFJFDSDF" hidden="1">{#N/A,#N/A,FALSE,"Plan1";#N/A,#N/A,FALSE,"Plan2"}</definedName>
    <definedName name="kfnkeasd" localSheetId="14" hidden="1">{#N/A,#N/A,FALSE,"Plan1";#N/A,#N/A,FALSE,"Plan2"}</definedName>
    <definedName name="kfnkeasd" localSheetId="7" hidden="1">{#N/A,#N/A,FALSE,"Plan1";#N/A,#N/A,FALSE,"Plan2"}</definedName>
    <definedName name="kfnkeasd" localSheetId="1" hidden="1">{#N/A,#N/A,FALSE,"Plan1";#N/A,#N/A,FALSE,"Plan2"}</definedName>
    <definedName name="kfnkeasd" localSheetId="2" hidden="1">{#N/A,#N/A,FALSE,"Plan1";#N/A,#N/A,FALSE,"Plan2"}</definedName>
    <definedName name="kfnkeasd" localSheetId="9" hidden="1">{#N/A,#N/A,FALSE,"Plan1";#N/A,#N/A,FALSE,"Plan2"}</definedName>
    <definedName name="kfnkeasd" localSheetId="5" hidden="1">{#N/A,#N/A,FALSE,"Plan1";#N/A,#N/A,FALSE,"Plan2"}</definedName>
    <definedName name="kfnkeasd" localSheetId="4" hidden="1">{#N/A,#N/A,FALSE,"Plan1";#N/A,#N/A,FALSE,"Plan2"}</definedName>
    <definedName name="kfnkeasd" localSheetId="8" hidden="1">{#N/A,#N/A,FALSE,"Plan1";#N/A,#N/A,FALSE,"Plan2"}</definedName>
    <definedName name="kfnkeasd" localSheetId="12" hidden="1">{#N/A,#N/A,FALSE,"Plan1";#N/A,#N/A,FALSE,"Plan2"}</definedName>
    <definedName name="kfnkeasd" localSheetId="16" hidden="1">{#N/A,#N/A,FALSE,"Plan1";#N/A,#N/A,FALSE,"Plan2"}</definedName>
    <definedName name="kfnkeasd" localSheetId="0" hidden="1">{#N/A,#N/A,FALSE,"Plan1";#N/A,#N/A,FALSE,"Plan2"}</definedName>
    <definedName name="kfnkeasd" localSheetId="11" hidden="1">{#N/A,#N/A,FALSE,"Plan1";#N/A,#N/A,FALSE,"Plan2"}</definedName>
    <definedName name="kfnkeasd" localSheetId="13" hidden="1">{#N/A,#N/A,FALSE,"Plan1";#N/A,#N/A,FALSE,"Plan2"}</definedName>
    <definedName name="kfnkeasd" hidden="1">{#N/A,#N/A,FALSE,"Plan1";#N/A,#N/A,FALSE,"Plan2"}</definedName>
    <definedName name="khdjkfkjhtg" localSheetId="14" hidden="1">{#N/A,#N/A,FALSE,"Plan1";#N/A,#N/A,FALSE,"Plan2"}</definedName>
    <definedName name="khdjkfkjhtg" localSheetId="7" hidden="1">{#N/A,#N/A,FALSE,"Plan1";#N/A,#N/A,FALSE,"Plan2"}</definedName>
    <definedName name="khdjkfkjhtg" localSheetId="1" hidden="1">{#N/A,#N/A,FALSE,"Plan1";#N/A,#N/A,FALSE,"Plan2"}</definedName>
    <definedName name="khdjkfkjhtg" localSheetId="2" hidden="1">{#N/A,#N/A,FALSE,"Plan1";#N/A,#N/A,FALSE,"Plan2"}</definedName>
    <definedName name="khdjkfkjhtg" localSheetId="9" hidden="1">{#N/A,#N/A,FALSE,"Plan1";#N/A,#N/A,FALSE,"Plan2"}</definedName>
    <definedName name="khdjkfkjhtg" localSheetId="5" hidden="1">{#N/A,#N/A,FALSE,"Plan1";#N/A,#N/A,FALSE,"Plan2"}</definedName>
    <definedName name="khdjkfkjhtg" localSheetId="4" hidden="1">{#N/A,#N/A,FALSE,"Plan1";#N/A,#N/A,FALSE,"Plan2"}</definedName>
    <definedName name="khdjkfkjhtg" localSheetId="8" hidden="1">{#N/A,#N/A,FALSE,"Plan1";#N/A,#N/A,FALSE,"Plan2"}</definedName>
    <definedName name="khdjkfkjhtg" localSheetId="12" hidden="1">{#N/A,#N/A,FALSE,"Plan1";#N/A,#N/A,FALSE,"Plan2"}</definedName>
    <definedName name="khdjkfkjhtg" localSheetId="16" hidden="1">{#N/A,#N/A,FALSE,"Plan1";#N/A,#N/A,FALSE,"Plan2"}</definedName>
    <definedName name="khdjkfkjhtg" localSheetId="0" hidden="1">{#N/A,#N/A,FALSE,"Plan1";#N/A,#N/A,FALSE,"Plan2"}</definedName>
    <definedName name="khdjkfkjhtg" localSheetId="11" hidden="1">{#N/A,#N/A,FALSE,"Plan1";#N/A,#N/A,FALSE,"Plan2"}</definedName>
    <definedName name="khdjkfkjhtg" localSheetId="13" hidden="1">{#N/A,#N/A,FALSE,"Plan1";#N/A,#N/A,FALSE,"Plan2"}</definedName>
    <definedName name="khdjkfkjhtg" hidden="1">{#N/A,#N/A,FALSE,"Plan1";#N/A,#N/A,FALSE,"Plan2"}</definedName>
    <definedName name="khdkfjhhfsdg" localSheetId="14" hidden="1">{#N/A,#N/A,FALSE,"Plan1";#N/A,#N/A,FALSE,"Plan2"}</definedName>
    <definedName name="khdkfjhhfsdg" localSheetId="7" hidden="1">{#N/A,#N/A,FALSE,"Plan1";#N/A,#N/A,FALSE,"Plan2"}</definedName>
    <definedName name="khdkfjhhfsdg" localSheetId="1" hidden="1">{#N/A,#N/A,FALSE,"Plan1";#N/A,#N/A,FALSE,"Plan2"}</definedName>
    <definedName name="khdkfjhhfsdg" localSheetId="2" hidden="1">{#N/A,#N/A,FALSE,"Plan1";#N/A,#N/A,FALSE,"Plan2"}</definedName>
    <definedName name="khdkfjhhfsdg" localSheetId="9" hidden="1">{#N/A,#N/A,FALSE,"Plan1";#N/A,#N/A,FALSE,"Plan2"}</definedName>
    <definedName name="khdkfjhhfsdg" localSheetId="5" hidden="1">{#N/A,#N/A,FALSE,"Plan1";#N/A,#N/A,FALSE,"Plan2"}</definedName>
    <definedName name="khdkfjhhfsdg" localSheetId="4" hidden="1">{#N/A,#N/A,FALSE,"Plan1";#N/A,#N/A,FALSE,"Plan2"}</definedName>
    <definedName name="khdkfjhhfsdg" localSheetId="8" hidden="1">{#N/A,#N/A,FALSE,"Plan1";#N/A,#N/A,FALSE,"Plan2"}</definedName>
    <definedName name="khdkfjhhfsdg" localSheetId="12" hidden="1">{#N/A,#N/A,FALSE,"Plan1";#N/A,#N/A,FALSE,"Plan2"}</definedName>
    <definedName name="khdkfjhhfsdg" localSheetId="16" hidden="1">{#N/A,#N/A,FALSE,"Plan1";#N/A,#N/A,FALSE,"Plan2"}</definedName>
    <definedName name="khdkfjhhfsdg" localSheetId="0" hidden="1">{#N/A,#N/A,FALSE,"Plan1";#N/A,#N/A,FALSE,"Plan2"}</definedName>
    <definedName name="khdkfjhhfsdg" localSheetId="11" hidden="1">{#N/A,#N/A,FALSE,"Plan1";#N/A,#N/A,FALSE,"Plan2"}</definedName>
    <definedName name="khdkfjhhfsdg" localSheetId="13" hidden="1">{#N/A,#N/A,FALSE,"Plan1";#N/A,#N/A,FALSE,"Plan2"}</definedName>
    <definedName name="khdkfjhhfsdg" hidden="1">{#N/A,#N/A,FALSE,"Plan1";#N/A,#N/A,FALSE,"Plan2"}</definedName>
    <definedName name="khdkjfhgudytu" localSheetId="14" hidden="1">{#N/A,#N/A,FALSE,"Plan1";#N/A,#N/A,FALSE,"Plan2"}</definedName>
    <definedName name="khdkjfhgudytu" localSheetId="7" hidden="1">{#N/A,#N/A,FALSE,"Plan1";#N/A,#N/A,FALSE,"Plan2"}</definedName>
    <definedName name="khdkjfhgudytu" localSheetId="1" hidden="1">{#N/A,#N/A,FALSE,"Plan1";#N/A,#N/A,FALSE,"Plan2"}</definedName>
    <definedName name="khdkjfhgudytu" localSheetId="2" hidden="1">{#N/A,#N/A,FALSE,"Plan1";#N/A,#N/A,FALSE,"Plan2"}</definedName>
    <definedName name="khdkjfhgudytu" localSheetId="9" hidden="1">{#N/A,#N/A,FALSE,"Plan1";#N/A,#N/A,FALSE,"Plan2"}</definedName>
    <definedName name="khdkjfhgudytu" localSheetId="5" hidden="1">{#N/A,#N/A,FALSE,"Plan1";#N/A,#N/A,FALSE,"Plan2"}</definedName>
    <definedName name="khdkjfhgudytu" localSheetId="4" hidden="1">{#N/A,#N/A,FALSE,"Plan1";#N/A,#N/A,FALSE,"Plan2"}</definedName>
    <definedName name="khdkjfhgudytu" localSheetId="8" hidden="1">{#N/A,#N/A,FALSE,"Plan1";#N/A,#N/A,FALSE,"Plan2"}</definedName>
    <definedName name="khdkjfhgudytu" localSheetId="12" hidden="1">{#N/A,#N/A,FALSE,"Plan1";#N/A,#N/A,FALSE,"Plan2"}</definedName>
    <definedName name="khdkjfhgudytu" localSheetId="16" hidden="1">{#N/A,#N/A,FALSE,"Plan1";#N/A,#N/A,FALSE,"Plan2"}</definedName>
    <definedName name="khdkjfhgudytu" localSheetId="0" hidden="1">{#N/A,#N/A,FALSE,"Plan1";#N/A,#N/A,FALSE,"Plan2"}</definedName>
    <definedName name="khdkjfhgudytu" localSheetId="11" hidden="1">{#N/A,#N/A,FALSE,"Plan1";#N/A,#N/A,FALSE,"Plan2"}</definedName>
    <definedName name="khdkjfhgudytu" localSheetId="13" hidden="1">{#N/A,#N/A,FALSE,"Plan1";#N/A,#N/A,FALSE,"Plan2"}</definedName>
    <definedName name="khdkjfhgudytu" hidden="1">{#N/A,#N/A,FALSE,"Plan1";#N/A,#N/A,FALSE,"Plan2"}</definedName>
    <definedName name="khfdghhhgd" localSheetId="14" hidden="1">{#N/A,#N/A,FALSE,"Plan1";#N/A,#N/A,FALSE,"Plan2"}</definedName>
    <definedName name="khfdghhhgd" localSheetId="7" hidden="1">{#N/A,#N/A,FALSE,"Plan1";#N/A,#N/A,FALSE,"Plan2"}</definedName>
    <definedName name="khfdghhhgd" localSheetId="1" hidden="1">{#N/A,#N/A,FALSE,"Plan1";#N/A,#N/A,FALSE,"Plan2"}</definedName>
    <definedName name="khfdghhhgd" localSheetId="2" hidden="1">{#N/A,#N/A,FALSE,"Plan1";#N/A,#N/A,FALSE,"Plan2"}</definedName>
    <definedName name="khfdghhhgd" localSheetId="9" hidden="1">{#N/A,#N/A,FALSE,"Plan1";#N/A,#N/A,FALSE,"Plan2"}</definedName>
    <definedName name="khfdghhhgd" localSheetId="5" hidden="1">{#N/A,#N/A,FALSE,"Plan1";#N/A,#N/A,FALSE,"Plan2"}</definedName>
    <definedName name="khfdghhhgd" localSheetId="4" hidden="1">{#N/A,#N/A,FALSE,"Plan1";#N/A,#N/A,FALSE,"Plan2"}</definedName>
    <definedName name="khfdghhhgd" localSheetId="8" hidden="1">{#N/A,#N/A,FALSE,"Plan1";#N/A,#N/A,FALSE,"Plan2"}</definedName>
    <definedName name="khfdghhhgd" localSheetId="12" hidden="1">{#N/A,#N/A,FALSE,"Plan1";#N/A,#N/A,FALSE,"Plan2"}</definedName>
    <definedName name="khfdghhhgd" localSheetId="16" hidden="1">{#N/A,#N/A,FALSE,"Plan1";#N/A,#N/A,FALSE,"Plan2"}</definedName>
    <definedName name="khfdghhhgd" localSheetId="0" hidden="1">{#N/A,#N/A,FALSE,"Plan1";#N/A,#N/A,FALSE,"Plan2"}</definedName>
    <definedName name="khfdghhhgd" localSheetId="11" hidden="1">{#N/A,#N/A,FALSE,"Plan1";#N/A,#N/A,FALSE,"Plan2"}</definedName>
    <definedName name="khfdghhhgd" localSheetId="13" hidden="1">{#N/A,#N/A,FALSE,"Plan1";#N/A,#N/A,FALSE,"Plan2"}</definedName>
    <definedName name="khfdghhhgd" hidden="1">{#N/A,#N/A,FALSE,"Plan1";#N/A,#N/A,FALSE,"Plan2"}</definedName>
    <definedName name="khfdkjhsdjf" localSheetId="14" hidden="1">{#N/A,#N/A,FALSE,"Plan1";#N/A,#N/A,FALSE,"Plan2"}</definedName>
    <definedName name="khfdkjhsdjf" localSheetId="7" hidden="1">{#N/A,#N/A,FALSE,"Plan1";#N/A,#N/A,FALSE,"Plan2"}</definedName>
    <definedName name="khfdkjhsdjf" localSheetId="1" hidden="1">{#N/A,#N/A,FALSE,"Plan1";#N/A,#N/A,FALSE,"Plan2"}</definedName>
    <definedName name="khfdkjhsdjf" localSheetId="2" hidden="1">{#N/A,#N/A,FALSE,"Plan1";#N/A,#N/A,FALSE,"Plan2"}</definedName>
    <definedName name="khfdkjhsdjf" localSheetId="9" hidden="1">{#N/A,#N/A,FALSE,"Plan1";#N/A,#N/A,FALSE,"Plan2"}</definedName>
    <definedName name="khfdkjhsdjf" localSheetId="5" hidden="1">{#N/A,#N/A,FALSE,"Plan1";#N/A,#N/A,FALSE,"Plan2"}</definedName>
    <definedName name="khfdkjhsdjf" localSheetId="4" hidden="1">{#N/A,#N/A,FALSE,"Plan1";#N/A,#N/A,FALSE,"Plan2"}</definedName>
    <definedName name="khfdkjhsdjf" localSheetId="8" hidden="1">{#N/A,#N/A,FALSE,"Plan1";#N/A,#N/A,FALSE,"Plan2"}</definedName>
    <definedName name="khfdkjhsdjf" localSheetId="12" hidden="1">{#N/A,#N/A,FALSE,"Plan1";#N/A,#N/A,FALSE,"Plan2"}</definedName>
    <definedName name="khfdkjhsdjf" localSheetId="16" hidden="1">{#N/A,#N/A,FALSE,"Plan1";#N/A,#N/A,FALSE,"Plan2"}</definedName>
    <definedName name="khfdkjhsdjf" localSheetId="0" hidden="1">{#N/A,#N/A,FALSE,"Plan1";#N/A,#N/A,FALSE,"Plan2"}</definedName>
    <definedName name="khfdkjhsdjf" localSheetId="11" hidden="1">{#N/A,#N/A,FALSE,"Plan1";#N/A,#N/A,FALSE,"Plan2"}</definedName>
    <definedName name="khfdkjhsdjf" localSheetId="13" hidden="1">{#N/A,#N/A,FALSE,"Plan1";#N/A,#N/A,FALSE,"Plan2"}</definedName>
    <definedName name="khfdkjhsdjf" hidden="1">{#N/A,#N/A,FALSE,"Plan1";#N/A,#N/A,FALSE,"Plan2"}</definedName>
    <definedName name="khgdkftfy" localSheetId="14" hidden="1">{#N/A,#N/A,FALSE,"Plan1";#N/A,#N/A,FALSE,"Plan2"}</definedName>
    <definedName name="khgdkftfy" localSheetId="7" hidden="1">{#N/A,#N/A,FALSE,"Plan1";#N/A,#N/A,FALSE,"Plan2"}</definedName>
    <definedName name="khgdkftfy" localSheetId="1" hidden="1">{#N/A,#N/A,FALSE,"Plan1";#N/A,#N/A,FALSE,"Plan2"}</definedName>
    <definedName name="khgdkftfy" localSheetId="2" hidden="1">{#N/A,#N/A,FALSE,"Plan1";#N/A,#N/A,FALSE,"Plan2"}</definedName>
    <definedName name="khgdkftfy" localSheetId="9" hidden="1">{#N/A,#N/A,FALSE,"Plan1";#N/A,#N/A,FALSE,"Plan2"}</definedName>
    <definedName name="khgdkftfy" localSheetId="5" hidden="1">{#N/A,#N/A,FALSE,"Plan1";#N/A,#N/A,FALSE,"Plan2"}</definedName>
    <definedName name="khgdkftfy" localSheetId="4" hidden="1">{#N/A,#N/A,FALSE,"Plan1";#N/A,#N/A,FALSE,"Plan2"}</definedName>
    <definedName name="khgdkftfy" localSheetId="8" hidden="1">{#N/A,#N/A,FALSE,"Plan1";#N/A,#N/A,FALSE,"Plan2"}</definedName>
    <definedName name="khgdkftfy" localSheetId="12" hidden="1">{#N/A,#N/A,FALSE,"Plan1";#N/A,#N/A,FALSE,"Plan2"}</definedName>
    <definedName name="khgdkftfy" localSheetId="16" hidden="1">{#N/A,#N/A,FALSE,"Plan1";#N/A,#N/A,FALSE,"Plan2"}</definedName>
    <definedName name="khgdkftfy" localSheetId="0" hidden="1">{#N/A,#N/A,FALSE,"Plan1";#N/A,#N/A,FALSE,"Plan2"}</definedName>
    <definedName name="khgdkftfy" localSheetId="11" hidden="1">{#N/A,#N/A,FALSE,"Plan1";#N/A,#N/A,FALSE,"Plan2"}</definedName>
    <definedName name="khgdkftfy" localSheetId="13" hidden="1">{#N/A,#N/A,FALSE,"Plan1";#N/A,#N/A,FALSE,"Plan2"}</definedName>
    <definedName name="khgdkftfy" hidden="1">{#N/A,#N/A,FALSE,"Plan1";#N/A,#N/A,FALSE,"Plan2"}</definedName>
    <definedName name="khgfhhtuhf" localSheetId="14" hidden="1">{#N/A,#N/A,FALSE,"Plan1";#N/A,#N/A,FALSE,"Plan2"}</definedName>
    <definedName name="khgfhhtuhf" localSheetId="7" hidden="1">{#N/A,#N/A,FALSE,"Plan1";#N/A,#N/A,FALSE,"Plan2"}</definedName>
    <definedName name="khgfhhtuhf" localSheetId="1" hidden="1">{#N/A,#N/A,FALSE,"Plan1";#N/A,#N/A,FALSE,"Plan2"}</definedName>
    <definedName name="khgfhhtuhf" localSheetId="2" hidden="1">{#N/A,#N/A,FALSE,"Plan1";#N/A,#N/A,FALSE,"Plan2"}</definedName>
    <definedName name="khgfhhtuhf" localSheetId="9" hidden="1">{#N/A,#N/A,FALSE,"Plan1";#N/A,#N/A,FALSE,"Plan2"}</definedName>
    <definedName name="khgfhhtuhf" localSheetId="5" hidden="1">{#N/A,#N/A,FALSE,"Plan1";#N/A,#N/A,FALSE,"Plan2"}</definedName>
    <definedName name="khgfhhtuhf" localSheetId="4" hidden="1">{#N/A,#N/A,FALSE,"Plan1";#N/A,#N/A,FALSE,"Plan2"}</definedName>
    <definedName name="khgfhhtuhf" localSheetId="8" hidden="1">{#N/A,#N/A,FALSE,"Plan1";#N/A,#N/A,FALSE,"Plan2"}</definedName>
    <definedName name="khgfhhtuhf" localSheetId="12" hidden="1">{#N/A,#N/A,FALSE,"Plan1";#N/A,#N/A,FALSE,"Plan2"}</definedName>
    <definedName name="khgfhhtuhf" localSheetId="16" hidden="1">{#N/A,#N/A,FALSE,"Plan1";#N/A,#N/A,FALSE,"Plan2"}</definedName>
    <definedName name="khgfhhtuhf" localSheetId="0" hidden="1">{#N/A,#N/A,FALSE,"Plan1";#N/A,#N/A,FALSE,"Plan2"}</definedName>
    <definedName name="khgfhhtuhf" localSheetId="11" hidden="1">{#N/A,#N/A,FALSE,"Plan1";#N/A,#N/A,FALSE,"Plan2"}</definedName>
    <definedName name="khgfhhtuhf" localSheetId="13" hidden="1">{#N/A,#N/A,FALSE,"Plan1";#N/A,#N/A,FALSE,"Plan2"}</definedName>
    <definedName name="khgfhhtuhf" hidden="1">{#N/A,#N/A,FALSE,"Plan1";#N/A,#N/A,FALSE,"Plan2"}</definedName>
    <definedName name="khjkh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4" hidden="1">{#N/A,#N/A,FALSE,"Plan1";#N/A,#N/A,FALSE,"Plan2"}</definedName>
    <definedName name="KHJKLSDF" localSheetId="7" hidden="1">{#N/A,#N/A,FALSE,"Plan1";#N/A,#N/A,FALSE,"Plan2"}</definedName>
    <definedName name="KHJKLSDF" localSheetId="1" hidden="1">{#N/A,#N/A,FALSE,"Plan1";#N/A,#N/A,FALSE,"Plan2"}</definedName>
    <definedName name="KHJKLSDF" localSheetId="2" hidden="1">{#N/A,#N/A,FALSE,"Plan1";#N/A,#N/A,FALSE,"Plan2"}</definedName>
    <definedName name="KHJKLSDF" localSheetId="9" hidden="1">{#N/A,#N/A,FALSE,"Plan1";#N/A,#N/A,FALSE,"Plan2"}</definedName>
    <definedName name="KHJKLSDF" localSheetId="5" hidden="1">{#N/A,#N/A,FALSE,"Plan1";#N/A,#N/A,FALSE,"Plan2"}</definedName>
    <definedName name="KHJKLSDF" localSheetId="4" hidden="1">{#N/A,#N/A,FALSE,"Plan1";#N/A,#N/A,FALSE,"Plan2"}</definedName>
    <definedName name="KHJKLSDF" localSheetId="8" hidden="1">{#N/A,#N/A,FALSE,"Plan1";#N/A,#N/A,FALSE,"Plan2"}</definedName>
    <definedName name="KHJKLSDF" localSheetId="12" hidden="1">{#N/A,#N/A,FALSE,"Plan1";#N/A,#N/A,FALSE,"Plan2"}</definedName>
    <definedName name="KHJKLSDF" localSheetId="16" hidden="1">{#N/A,#N/A,FALSE,"Plan1";#N/A,#N/A,FALSE,"Plan2"}</definedName>
    <definedName name="KHJKLSDF" localSheetId="0" hidden="1">{#N/A,#N/A,FALSE,"Plan1";#N/A,#N/A,FALSE,"Plan2"}</definedName>
    <definedName name="KHJKLSDF" localSheetId="11" hidden="1">{#N/A,#N/A,FALSE,"Plan1";#N/A,#N/A,FALSE,"Plan2"}</definedName>
    <definedName name="KHJKLSDF" localSheetId="13" hidden="1">{#N/A,#N/A,FALSE,"Plan1";#N/A,#N/A,FALSE,"Plan2"}</definedName>
    <definedName name="KHJKLSDF" hidden="1">{#N/A,#N/A,FALSE,"Plan1";#N/A,#N/A,FALSE,"Plan2"}</definedName>
    <definedName name="kieret" localSheetId="14" hidden="1">{#N/A,#N/A,FALSE,"Plan1";#N/A,#N/A,FALSE,"Plan2"}</definedName>
    <definedName name="kieret" localSheetId="7" hidden="1">{#N/A,#N/A,FALSE,"Plan1";#N/A,#N/A,FALSE,"Plan2"}</definedName>
    <definedName name="kieret" localSheetId="1" hidden="1">{#N/A,#N/A,FALSE,"Plan1";#N/A,#N/A,FALSE,"Plan2"}</definedName>
    <definedName name="kieret" localSheetId="2" hidden="1">{#N/A,#N/A,FALSE,"Plan1";#N/A,#N/A,FALSE,"Plan2"}</definedName>
    <definedName name="kieret" localSheetId="9" hidden="1">{#N/A,#N/A,FALSE,"Plan1";#N/A,#N/A,FALSE,"Plan2"}</definedName>
    <definedName name="kieret" localSheetId="5" hidden="1">{#N/A,#N/A,FALSE,"Plan1";#N/A,#N/A,FALSE,"Plan2"}</definedName>
    <definedName name="kieret" localSheetId="4" hidden="1">{#N/A,#N/A,FALSE,"Plan1";#N/A,#N/A,FALSE,"Plan2"}</definedName>
    <definedName name="kieret" localSheetId="8" hidden="1">{#N/A,#N/A,FALSE,"Plan1";#N/A,#N/A,FALSE,"Plan2"}</definedName>
    <definedName name="kieret" localSheetId="12" hidden="1">{#N/A,#N/A,FALSE,"Plan1";#N/A,#N/A,FALSE,"Plan2"}</definedName>
    <definedName name="kieret" localSheetId="16" hidden="1">{#N/A,#N/A,FALSE,"Plan1";#N/A,#N/A,FALSE,"Plan2"}</definedName>
    <definedName name="kieret" localSheetId="0" hidden="1">{#N/A,#N/A,FALSE,"Plan1";#N/A,#N/A,FALSE,"Plan2"}</definedName>
    <definedName name="kieret" localSheetId="11" hidden="1">{#N/A,#N/A,FALSE,"Plan1";#N/A,#N/A,FALSE,"Plan2"}</definedName>
    <definedName name="kieret" localSheetId="13" hidden="1">{#N/A,#N/A,FALSE,"Plan1";#N/A,#N/A,FALSE,"Plan2"}</definedName>
    <definedName name="kieret" hidden="1">{#N/A,#N/A,FALSE,"Plan1";#N/A,#N/A,FALSE,"Plan2"}</definedName>
    <definedName name="kiweokwr" localSheetId="2" hidden="1">#REF!</definedName>
    <definedName name="kiweokwr" localSheetId="5" hidden="1">#REF!</definedName>
    <definedName name="kiweokwr" localSheetId="0" hidden="1">#REF!</definedName>
    <definedName name="kiweokwr" hidden="1">#REF!</definedName>
    <definedName name="kjchkfhsezk" localSheetId="14" hidden="1">{#N/A,#N/A,FALSE,"Plan1";#N/A,#N/A,FALSE,"Plan2"}</definedName>
    <definedName name="kjchkfhsezk" localSheetId="7" hidden="1">{#N/A,#N/A,FALSE,"Plan1";#N/A,#N/A,FALSE,"Plan2"}</definedName>
    <definedName name="kjchkfhsezk" localSheetId="1" hidden="1">{#N/A,#N/A,FALSE,"Plan1";#N/A,#N/A,FALSE,"Plan2"}</definedName>
    <definedName name="kjchkfhsezk" localSheetId="2" hidden="1">{#N/A,#N/A,FALSE,"Plan1";#N/A,#N/A,FALSE,"Plan2"}</definedName>
    <definedName name="kjchkfhsezk" localSheetId="9" hidden="1">{#N/A,#N/A,FALSE,"Plan1";#N/A,#N/A,FALSE,"Plan2"}</definedName>
    <definedName name="kjchkfhsezk" localSheetId="5" hidden="1">{#N/A,#N/A,FALSE,"Plan1";#N/A,#N/A,FALSE,"Plan2"}</definedName>
    <definedName name="kjchkfhsezk" localSheetId="4" hidden="1">{#N/A,#N/A,FALSE,"Plan1";#N/A,#N/A,FALSE,"Plan2"}</definedName>
    <definedName name="kjchkfhsezk" localSheetId="8" hidden="1">{#N/A,#N/A,FALSE,"Plan1";#N/A,#N/A,FALSE,"Plan2"}</definedName>
    <definedName name="kjchkfhsezk" localSheetId="12" hidden="1">{#N/A,#N/A,FALSE,"Plan1";#N/A,#N/A,FALSE,"Plan2"}</definedName>
    <definedName name="kjchkfhsezk" localSheetId="16" hidden="1">{#N/A,#N/A,FALSE,"Plan1";#N/A,#N/A,FALSE,"Plan2"}</definedName>
    <definedName name="kjchkfhsezk" localSheetId="0" hidden="1">{#N/A,#N/A,FALSE,"Plan1";#N/A,#N/A,FALSE,"Plan2"}</definedName>
    <definedName name="kjchkfhsezk" localSheetId="11" hidden="1">{#N/A,#N/A,FALSE,"Plan1";#N/A,#N/A,FALSE,"Plan2"}</definedName>
    <definedName name="kjchkfhsezk" localSheetId="13" hidden="1">{#N/A,#N/A,FALSE,"Plan1";#N/A,#N/A,FALSE,"Plan2"}</definedName>
    <definedName name="kjchkfhsezk" hidden="1">{#N/A,#N/A,FALSE,"Plan1";#N/A,#N/A,FALSE,"Plan2"}</definedName>
    <definedName name="kjdghksef" localSheetId="14" hidden="1">{#N/A,#N/A,FALSE,"Plan1";#N/A,#N/A,FALSE,"Plan2"}</definedName>
    <definedName name="kjdghksef" localSheetId="7" hidden="1">{#N/A,#N/A,FALSE,"Plan1";#N/A,#N/A,FALSE,"Plan2"}</definedName>
    <definedName name="kjdghksef" localSheetId="1" hidden="1">{#N/A,#N/A,FALSE,"Plan1";#N/A,#N/A,FALSE,"Plan2"}</definedName>
    <definedName name="kjdghksef" localSheetId="2" hidden="1">{#N/A,#N/A,FALSE,"Plan1";#N/A,#N/A,FALSE,"Plan2"}</definedName>
    <definedName name="kjdghksef" localSheetId="9" hidden="1">{#N/A,#N/A,FALSE,"Plan1";#N/A,#N/A,FALSE,"Plan2"}</definedName>
    <definedName name="kjdghksef" localSheetId="5" hidden="1">{#N/A,#N/A,FALSE,"Plan1";#N/A,#N/A,FALSE,"Plan2"}</definedName>
    <definedName name="kjdghksef" localSheetId="4" hidden="1">{#N/A,#N/A,FALSE,"Plan1";#N/A,#N/A,FALSE,"Plan2"}</definedName>
    <definedName name="kjdghksef" localSheetId="8" hidden="1">{#N/A,#N/A,FALSE,"Plan1";#N/A,#N/A,FALSE,"Plan2"}</definedName>
    <definedName name="kjdghksef" localSheetId="12" hidden="1">{#N/A,#N/A,FALSE,"Plan1";#N/A,#N/A,FALSE,"Plan2"}</definedName>
    <definedName name="kjdghksef" localSheetId="16" hidden="1">{#N/A,#N/A,FALSE,"Plan1";#N/A,#N/A,FALSE,"Plan2"}</definedName>
    <definedName name="kjdghksef" localSheetId="0" hidden="1">{#N/A,#N/A,FALSE,"Plan1";#N/A,#N/A,FALSE,"Plan2"}</definedName>
    <definedName name="kjdghksef" localSheetId="11" hidden="1">{#N/A,#N/A,FALSE,"Plan1";#N/A,#N/A,FALSE,"Plan2"}</definedName>
    <definedName name="kjdghksef" localSheetId="13" hidden="1">{#N/A,#N/A,FALSE,"Plan1";#N/A,#N/A,FALSE,"Plan2"}</definedName>
    <definedName name="kjdghksef" hidden="1">{#N/A,#N/A,FALSE,"Plan1";#N/A,#N/A,FALSE,"Plan2"}</definedName>
    <definedName name="kjdkftyhtert" localSheetId="14" hidden="1">{#N/A,#N/A,FALSE,"Plan1";#N/A,#N/A,FALSE,"Plan2"}</definedName>
    <definedName name="kjdkftyhtert" localSheetId="7" hidden="1">{#N/A,#N/A,FALSE,"Plan1";#N/A,#N/A,FALSE,"Plan2"}</definedName>
    <definedName name="kjdkftyhtert" localSheetId="1" hidden="1">{#N/A,#N/A,FALSE,"Plan1";#N/A,#N/A,FALSE,"Plan2"}</definedName>
    <definedName name="kjdkftyhtert" localSheetId="2" hidden="1">{#N/A,#N/A,FALSE,"Plan1";#N/A,#N/A,FALSE,"Plan2"}</definedName>
    <definedName name="kjdkftyhtert" localSheetId="9" hidden="1">{#N/A,#N/A,FALSE,"Plan1";#N/A,#N/A,FALSE,"Plan2"}</definedName>
    <definedName name="kjdkftyhtert" localSheetId="5" hidden="1">{#N/A,#N/A,FALSE,"Plan1";#N/A,#N/A,FALSE,"Plan2"}</definedName>
    <definedName name="kjdkftyhtert" localSheetId="4" hidden="1">{#N/A,#N/A,FALSE,"Plan1";#N/A,#N/A,FALSE,"Plan2"}</definedName>
    <definedName name="kjdkftyhtert" localSheetId="8" hidden="1">{#N/A,#N/A,FALSE,"Plan1";#N/A,#N/A,FALSE,"Plan2"}</definedName>
    <definedName name="kjdkftyhtert" localSheetId="12" hidden="1">{#N/A,#N/A,FALSE,"Plan1";#N/A,#N/A,FALSE,"Plan2"}</definedName>
    <definedName name="kjdkftyhtert" localSheetId="16" hidden="1">{#N/A,#N/A,FALSE,"Plan1";#N/A,#N/A,FALSE,"Plan2"}</definedName>
    <definedName name="kjdkftyhtert" localSheetId="0" hidden="1">{#N/A,#N/A,FALSE,"Plan1";#N/A,#N/A,FALSE,"Plan2"}</definedName>
    <definedName name="kjdkftyhtert" localSheetId="11" hidden="1">{#N/A,#N/A,FALSE,"Plan1";#N/A,#N/A,FALSE,"Plan2"}</definedName>
    <definedName name="kjdkftyhtert" localSheetId="13" hidden="1">{#N/A,#N/A,FALSE,"Plan1";#N/A,#N/A,FALSE,"Plan2"}</definedName>
    <definedName name="kjdkftyhtert" hidden="1">{#N/A,#N/A,FALSE,"Plan1";#N/A,#N/A,FALSE,"Plan2"}</definedName>
    <definedName name="kjdlfkjds" localSheetId="14" hidden="1">{#N/A,#N/A,FALSE,"Plan1";#N/A,#N/A,FALSE,"Plan2"}</definedName>
    <definedName name="kjdlfkjds" localSheetId="7" hidden="1">{#N/A,#N/A,FALSE,"Plan1";#N/A,#N/A,FALSE,"Plan2"}</definedName>
    <definedName name="kjdlfkjds" localSheetId="1" hidden="1">{#N/A,#N/A,FALSE,"Plan1";#N/A,#N/A,FALSE,"Plan2"}</definedName>
    <definedName name="kjdlfkjds" localSheetId="2" hidden="1">{#N/A,#N/A,FALSE,"Plan1";#N/A,#N/A,FALSE,"Plan2"}</definedName>
    <definedName name="kjdlfkjds" localSheetId="9" hidden="1">{#N/A,#N/A,FALSE,"Plan1";#N/A,#N/A,FALSE,"Plan2"}</definedName>
    <definedName name="kjdlfkjds" localSheetId="5" hidden="1">{#N/A,#N/A,FALSE,"Plan1";#N/A,#N/A,FALSE,"Plan2"}</definedName>
    <definedName name="kjdlfkjds" localSheetId="4" hidden="1">{#N/A,#N/A,FALSE,"Plan1";#N/A,#N/A,FALSE,"Plan2"}</definedName>
    <definedName name="kjdlfkjds" localSheetId="8" hidden="1">{#N/A,#N/A,FALSE,"Plan1";#N/A,#N/A,FALSE,"Plan2"}</definedName>
    <definedName name="kjdlfkjds" localSheetId="12" hidden="1">{#N/A,#N/A,FALSE,"Plan1";#N/A,#N/A,FALSE,"Plan2"}</definedName>
    <definedName name="kjdlfkjds" localSheetId="16" hidden="1">{#N/A,#N/A,FALSE,"Plan1";#N/A,#N/A,FALSE,"Plan2"}</definedName>
    <definedName name="kjdlfkjds" localSheetId="0" hidden="1">{#N/A,#N/A,FALSE,"Plan1";#N/A,#N/A,FALSE,"Plan2"}</definedName>
    <definedName name="kjdlfkjds" localSheetId="11" hidden="1">{#N/A,#N/A,FALSE,"Plan1";#N/A,#N/A,FALSE,"Plan2"}</definedName>
    <definedName name="kjdlfkjds" localSheetId="13" hidden="1">{#N/A,#N/A,FALSE,"Plan1";#N/A,#N/A,FALSE,"Plan2"}</definedName>
    <definedName name="kjdlfkjds" hidden="1">{#N/A,#N/A,FALSE,"Plan1";#N/A,#N/A,FALSE,"Plan2"}</definedName>
    <definedName name="kjdzhfytrfy" localSheetId="14" hidden="1">{#N/A,#N/A,FALSE,"Plan1";#N/A,#N/A,FALSE,"Plan2"}</definedName>
    <definedName name="kjdzhfytrfy" localSheetId="7" hidden="1">{#N/A,#N/A,FALSE,"Plan1";#N/A,#N/A,FALSE,"Plan2"}</definedName>
    <definedName name="kjdzhfytrfy" localSheetId="1" hidden="1">{#N/A,#N/A,FALSE,"Plan1";#N/A,#N/A,FALSE,"Plan2"}</definedName>
    <definedName name="kjdzhfytrfy" localSheetId="2" hidden="1">{#N/A,#N/A,FALSE,"Plan1";#N/A,#N/A,FALSE,"Plan2"}</definedName>
    <definedName name="kjdzhfytrfy" localSheetId="9" hidden="1">{#N/A,#N/A,FALSE,"Plan1";#N/A,#N/A,FALSE,"Plan2"}</definedName>
    <definedName name="kjdzhfytrfy" localSheetId="5" hidden="1">{#N/A,#N/A,FALSE,"Plan1";#N/A,#N/A,FALSE,"Plan2"}</definedName>
    <definedName name="kjdzhfytrfy" localSheetId="4" hidden="1">{#N/A,#N/A,FALSE,"Plan1";#N/A,#N/A,FALSE,"Plan2"}</definedName>
    <definedName name="kjdzhfytrfy" localSheetId="8" hidden="1">{#N/A,#N/A,FALSE,"Plan1";#N/A,#N/A,FALSE,"Plan2"}</definedName>
    <definedName name="kjdzhfytrfy" localSheetId="12" hidden="1">{#N/A,#N/A,FALSE,"Plan1";#N/A,#N/A,FALSE,"Plan2"}</definedName>
    <definedName name="kjdzhfytrfy" localSheetId="16" hidden="1">{#N/A,#N/A,FALSE,"Plan1";#N/A,#N/A,FALSE,"Plan2"}</definedName>
    <definedName name="kjdzhfytrfy" localSheetId="0" hidden="1">{#N/A,#N/A,FALSE,"Plan1";#N/A,#N/A,FALSE,"Plan2"}</definedName>
    <definedName name="kjdzhfytrfy" localSheetId="11" hidden="1">{#N/A,#N/A,FALSE,"Plan1";#N/A,#N/A,FALSE,"Plan2"}</definedName>
    <definedName name="kjdzhfytrfy" localSheetId="13" hidden="1">{#N/A,#N/A,FALSE,"Plan1";#N/A,#N/A,FALSE,"Plan2"}</definedName>
    <definedName name="kjdzhfytrfy" hidden="1">{#N/A,#N/A,FALSE,"Plan1";#N/A,#N/A,FALSE,"Plan2"}</definedName>
    <definedName name="kjhdfgjthdft" localSheetId="14" hidden="1">{#N/A,#N/A,FALSE,"Plan1";#N/A,#N/A,FALSE,"Plan2"}</definedName>
    <definedName name="kjhdfgjthdft" localSheetId="7" hidden="1">{#N/A,#N/A,FALSE,"Plan1";#N/A,#N/A,FALSE,"Plan2"}</definedName>
    <definedName name="kjhdfgjthdft" localSheetId="1" hidden="1">{#N/A,#N/A,FALSE,"Plan1";#N/A,#N/A,FALSE,"Plan2"}</definedName>
    <definedName name="kjhdfgjthdft" localSheetId="2" hidden="1">{#N/A,#N/A,FALSE,"Plan1";#N/A,#N/A,FALSE,"Plan2"}</definedName>
    <definedName name="kjhdfgjthdft" localSheetId="9" hidden="1">{#N/A,#N/A,FALSE,"Plan1";#N/A,#N/A,FALSE,"Plan2"}</definedName>
    <definedName name="kjhdfgjthdft" localSheetId="5" hidden="1">{#N/A,#N/A,FALSE,"Plan1";#N/A,#N/A,FALSE,"Plan2"}</definedName>
    <definedName name="kjhdfgjthdft" localSheetId="4" hidden="1">{#N/A,#N/A,FALSE,"Plan1";#N/A,#N/A,FALSE,"Plan2"}</definedName>
    <definedName name="kjhdfgjthdft" localSheetId="8" hidden="1">{#N/A,#N/A,FALSE,"Plan1";#N/A,#N/A,FALSE,"Plan2"}</definedName>
    <definedName name="kjhdfgjthdft" localSheetId="12" hidden="1">{#N/A,#N/A,FALSE,"Plan1";#N/A,#N/A,FALSE,"Plan2"}</definedName>
    <definedName name="kjhdfgjthdft" localSheetId="16" hidden="1">{#N/A,#N/A,FALSE,"Plan1";#N/A,#N/A,FALSE,"Plan2"}</definedName>
    <definedName name="kjhdfgjthdft" localSheetId="0" hidden="1">{#N/A,#N/A,FALSE,"Plan1";#N/A,#N/A,FALSE,"Plan2"}</definedName>
    <definedName name="kjhdfgjthdft" localSheetId="11" hidden="1">{#N/A,#N/A,FALSE,"Plan1";#N/A,#N/A,FALSE,"Plan2"}</definedName>
    <definedName name="kjhdfgjthdft" localSheetId="13" hidden="1">{#N/A,#N/A,FALSE,"Plan1";#N/A,#N/A,FALSE,"Plan2"}</definedName>
    <definedName name="kjhdfgjthdft" hidden="1">{#N/A,#N/A,FALSE,"Plan1";#N/A,#N/A,FALSE,"Plan2"}</definedName>
    <definedName name="kjhsdf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4" hidden="1">{#N/A,#N/A,FALSE,"Plan1";#N/A,#N/A,FALSE,"Plan2"}</definedName>
    <definedName name="kjhsiorf" localSheetId="7" hidden="1">{#N/A,#N/A,FALSE,"Plan1";#N/A,#N/A,FALSE,"Plan2"}</definedName>
    <definedName name="kjhsiorf" localSheetId="1" hidden="1">{#N/A,#N/A,FALSE,"Plan1";#N/A,#N/A,FALSE,"Plan2"}</definedName>
    <definedName name="kjhsiorf" localSheetId="2" hidden="1">{#N/A,#N/A,FALSE,"Plan1";#N/A,#N/A,FALSE,"Plan2"}</definedName>
    <definedName name="kjhsiorf" localSheetId="9" hidden="1">{#N/A,#N/A,FALSE,"Plan1";#N/A,#N/A,FALSE,"Plan2"}</definedName>
    <definedName name="kjhsiorf" localSheetId="5" hidden="1">{#N/A,#N/A,FALSE,"Plan1";#N/A,#N/A,FALSE,"Plan2"}</definedName>
    <definedName name="kjhsiorf" localSheetId="4" hidden="1">{#N/A,#N/A,FALSE,"Plan1";#N/A,#N/A,FALSE,"Plan2"}</definedName>
    <definedName name="kjhsiorf" localSheetId="8" hidden="1">{#N/A,#N/A,FALSE,"Plan1";#N/A,#N/A,FALSE,"Plan2"}</definedName>
    <definedName name="kjhsiorf" localSheetId="12" hidden="1">{#N/A,#N/A,FALSE,"Plan1";#N/A,#N/A,FALSE,"Plan2"}</definedName>
    <definedName name="kjhsiorf" localSheetId="16" hidden="1">{#N/A,#N/A,FALSE,"Plan1";#N/A,#N/A,FALSE,"Plan2"}</definedName>
    <definedName name="kjhsiorf" localSheetId="0" hidden="1">{#N/A,#N/A,FALSE,"Plan1";#N/A,#N/A,FALSE,"Plan2"}</definedName>
    <definedName name="kjhsiorf" localSheetId="11" hidden="1">{#N/A,#N/A,FALSE,"Plan1";#N/A,#N/A,FALSE,"Plan2"}</definedName>
    <definedName name="kjhsiorf" localSheetId="13" hidden="1">{#N/A,#N/A,FALSE,"Plan1";#N/A,#N/A,FALSE,"Plan2"}</definedName>
    <definedName name="kjhsiorf" hidden="1">{#N/A,#N/A,FALSE,"Plan1";#N/A,#N/A,FALSE,"Plan2"}</definedName>
    <definedName name="KJ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4" hidden="1">{#N/A,#N/A,FALSE,"Plan1";#N/A,#N/A,FALSE,"Plan2"}</definedName>
    <definedName name="kjjwww" localSheetId="7" hidden="1">{#N/A,#N/A,FALSE,"Plan1";#N/A,#N/A,FALSE,"Plan2"}</definedName>
    <definedName name="kjjwww" localSheetId="1" hidden="1">{#N/A,#N/A,FALSE,"Plan1";#N/A,#N/A,FALSE,"Plan2"}</definedName>
    <definedName name="kjjwww" localSheetId="2" hidden="1">{#N/A,#N/A,FALSE,"Plan1";#N/A,#N/A,FALSE,"Plan2"}</definedName>
    <definedName name="kjjwww" localSheetId="9" hidden="1">{#N/A,#N/A,FALSE,"Plan1";#N/A,#N/A,FALSE,"Plan2"}</definedName>
    <definedName name="kjjwww" localSheetId="5" hidden="1">{#N/A,#N/A,FALSE,"Plan1";#N/A,#N/A,FALSE,"Plan2"}</definedName>
    <definedName name="kjjwww" localSheetId="4" hidden="1">{#N/A,#N/A,FALSE,"Plan1";#N/A,#N/A,FALSE,"Plan2"}</definedName>
    <definedName name="kjjwww" localSheetId="8" hidden="1">{#N/A,#N/A,FALSE,"Plan1";#N/A,#N/A,FALSE,"Plan2"}</definedName>
    <definedName name="kjjwww" localSheetId="12" hidden="1">{#N/A,#N/A,FALSE,"Plan1";#N/A,#N/A,FALSE,"Plan2"}</definedName>
    <definedName name="kjjwww" localSheetId="16" hidden="1">{#N/A,#N/A,FALSE,"Plan1";#N/A,#N/A,FALSE,"Plan2"}</definedName>
    <definedName name="kjjwww" localSheetId="0" hidden="1">{#N/A,#N/A,FALSE,"Plan1";#N/A,#N/A,FALSE,"Plan2"}</definedName>
    <definedName name="kjjwww" localSheetId="11" hidden="1">{#N/A,#N/A,FALSE,"Plan1";#N/A,#N/A,FALSE,"Plan2"}</definedName>
    <definedName name="kjjwww" localSheetId="13" hidden="1">{#N/A,#N/A,FALSE,"Plan1";#N/A,#N/A,FALSE,"Plan2"}</definedName>
    <definedName name="kjjwww" hidden="1">{#N/A,#N/A,FALSE,"Plan1";#N/A,#N/A,FALSE,"Plan2"}</definedName>
    <definedName name="kjl" localSheetId="14" hidden="1">{#N/A,#N/A,FALSE,"ENG'G(보호계전기)"}</definedName>
    <definedName name="kjl" localSheetId="7" hidden="1">{#N/A,#N/A,FALSE,"ENG'G(보호계전기)"}</definedName>
    <definedName name="kjl" localSheetId="1" hidden="1">{#N/A,#N/A,FALSE,"ENG'G(보호계전기)"}</definedName>
    <definedName name="kjl" localSheetId="2" hidden="1">{#N/A,#N/A,FALSE,"ENG'G(보호계전기)"}</definedName>
    <definedName name="kjl" localSheetId="9" hidden="1">{#N/A,#N/A,FALSE,"ENG'G(보호계전기)"}</definedName>
    <definedName name="kjl" localSheetId="5" hidden="1">{#N/A,#N/A,FALSE,"ENG'G(보호계전기)"}</definedName>
    <definedName name="kjl" localSheetId="4" hidden="1">{#N/A,#N/A,FALSE,"ENG'G(보호계전기)"}</definedName>
    <definedName name="kjl" localSheetId="8" hidden="1">{#N/A,#N/A,FALSE,"ENG'G(보호계전기)"}</definedName>
    <definedName name="kjl" localSheetId="12" hidden="1">{#N/A,#N/A,FALSE,"ENG'G(보호계전기)"}</definedName>
    <definedName name="kjl" localSheetId="16" hidden="1">{#N/A,#N/A,FALSE,"ENG'G(보호계전기)"}</definedName>
    <definedName name="kjl" localSheetId="0" hidden="1">{#N/A,#N/A,FALSE,"ENG'G(보호계전기)"}</definedName>
    <definedName name="kjl" localSheetId="11" hidden="1">{#N/A,#N/A,FALSE,"ENG'G(보호계전기)"}</definedName>
    <definedName name="kjl" localSheetId="13" hidden="1">{#N/A,#N/A,FALSE,"ENG'G(보호계전기)"}</definedName>
    <definedName name="kjl" hidden="1">{#N/A,#N/A,FALSE,"ENG'G(보호계전기)"}</definedName>
    <definedName name="KJOI" localSheetId="14" hidden="1">{#N/A,#N/A,FALSE,"Plan1";#N/A,#N/A,FALSE,"Plan2"}</definedName>
    <definedName name="KJOI" localSheetId="7" hidden="1">{#N/A,#N/A,FALSE,"Plan1";#N/A,#N/A,FALSE,"Plan2"}</definedName>
    <definedName name="KJOI" localSheetId="1" hidden="1">{#N/A,#N/A,FALSE,"Plan1";#N/A,#N/A,FALSE,"Plan2"}</definedName>
    <definedName name="KJOI" localSheetId="2" hidden="1">{#N/A,#N/A,FALSE,"Plan1";#N/A,#N/A,FALSE,"Plan2"}</definedName>
    <definedName name="KJOI" localSheetId="9" hidden="1">{#N/A,#N/A,FALSE,"Plan1";#N/A,#N/A,FALSE,"Plan2"}</definedName>
    <definedName name="KJOI" localSheetId="5" hidden="1">{#N/A,#N/A,FALSE,"Plan1";#N/A,#N/A,FALSE,"Plan2"}</definedName>
    <definedName name="KJOI" localSheetId="4" hidden="1">{#N/A,#N/A,FALSE,"Plan1";#N/A,#N/A,FALSE,"Plan2"}</definedName>
    <definedName name="KJOI" localSheetId="8" hidden="1">{#N/A,#N/A,FALSE,"Plan1";#N/A,#N/A,FALSE,"Plan2"}</definedName>
    <definedName name="KJOI" localSheetId="12" hidden="1">{#N/A,#N/A,FALSE,"Plan1";#N/A,#N/A,FALSE,"Plan2"}</definedName>
    <definedName name="KJOI" localSheetId="16" hidden="1">{#N/A,#N/A,FALSE,"Plan1";#N/A,#N/A,FALSE,"Plan2"}</definedName>
    <definedName name="KJOI" localSheetId="0" hidden="1">{#N/A,#N/A,FALSE,"Plan1";#N/A,#N/A,FALSE,"Plan2"}</definedName>
    <definedName name="KJOI" localSheetId="11" hidden="1">{#N/A,#N/A,FALSE,"Plan1";#N/A,#N/A,FALSE,"Plan2"}</definedName>
    <definedName name="KJOI" localSheetId="13" hidden="1">{#N/A,#N/A,FALSE,"Plan1";#N/A,#N/A,FALSE,"Plan2"}</definedName>
    <definedName name="KJOI" hidden="1">{#N/A,#N/A,FALSE,"Plan1";#N/A,#N/A,FALSE,"Plan2"}</definedName>
    <definedName name="kjqwerw" localSheetId="14" hidden="1">{#N/A,#N/A,FALSE,"Plan1";#N/A,#N/A,FALSE,"Plan2"}</definedName>
    <definedName name="kjqwerw" localSheetId="7" hidden="1">{#N/A,#N/A,FALSE,"Plan1";#N/A,#N/A,FALSE,"Plan2"}</definedName>
    <definedName name="kjqwerw" localSheetId="1" hidden="1">{#N/A,#N/A,FALSE,"Plan1";#N/A,#N/A,FALSE,"Plan2"}</definedName>
    <definedName name="kjqwerw" localSheetId="2" hidden="1">{#N/A,#N/A,FALSE,"Plan1";#N/A,#N/A,FALSE,"Plan2"}</definedName>
    <definedName name="kjqwerw" localSheetId="9" hidden="1">{#N/A,#N/A,FALSE,"Plan1";#N/A,#N/A,FALSE,"Plan2"}</definedName>
    <definedName name="kjqwerw" localSheetId="5" hidden="1">{#N/A,#N/A,FALSE,"Plan1";#N/A,#N/A,FALSE,"Plan2"}</definedName>
    <definedName name="kjqwerw" localSheetId="4" hidden="1">{#N/A,#N/A,FALSE,"Plan1";#N/A,#N/A,FALSE,"Plan2"}</definedName>
    <definedName name="kjqwerw" localSheetId="8" hidden="1">{#N/A,#N/A,FALSE,"Plan1";#N/A,#N/A,FALSE,"Plan2"}</definedName>
    <definedName name="kjqwerw" localSheetId="12" hidden="1">{#N/A,#N/A,FALSE,"Plan1";#N/A,#N/A,FALSE,"Plan2"}</definedName>
    <definedName name="kjqwerw" localSheetId="16" hidden="1">{#N/A,#N/A,FALSE,"Plan1";#N/A,#N/A,FALSE,"Plan2"}</definedName>
    <definedName name="kjqwerw" localSheetId="0" hidden="1">{#N/A,#N/A,FALSE,"Plan1";#N/A,#N/A,FALSE,"Plan2"}</definedName>
    <definedName name="kjqwerw" localSheetId="11" hidden="1">{#N/A,#N/A,FALSE,"Plan1";#N/A,#N/A,FALSE,"Plan2"}</definedName>
    <definedName name="kjqwerw" localSheetId="13" hidden="1">{#N/A,#N/A,FALSE,"Plan1";#N/A,#N/A,FALSE,"Plan2"}</definedName>
    <definedName name="kjqwerw" hidden="1">{#N/A,#N/A,FALSE,"Plan1";#N/A,#N/A,FALSE,"Plan2"}</definedName>
    <definedName name="kjsfert" localSheetId="14" hidden="1">{#N/A,#N/A,FALSE,"Plan1";#N/A,#N/A,FALSE,"Plan2"}</definedName>
    <definedName name="kjsfert" localSheetId="7" hidden="1">{#N/A,#N/A,FALSE,"Plan1";#N/A,#N/A,FALSE,"Plan2"}</definedName>
    <definedName name="kjsfert" localSheetId="1" hidden="1">{#N/A,#N/A,FALSE,"Plan1";#N/A,#N/A,FALSE,"Plan2"}</definedName>
    <definedName name="kjsfert" localSheetId="2" hidden="1">{#N/A,#N/A,FALSE,"Plan1";#N/A,#N/A,FALSE,"Plan2"}</definedName>
    <definedName name="kjsfert" localSheetId="9" hidden="1">{#N/A,#N/A,FALSE,"Plan1";#N/A,#N/A,FALSE,"Plan2"}</definedName>
    <definedName name="kjsfert" localSheetId="5" hidden="1">{#N/A,#N/A,FALSE,"Plan1";#N/A,#N/A,FALSE,"Plan2"}</definedName>
    <definedName name="kjsfert" localSheetId="4" hidden="1">{#N/A,#N/A,FALSE,"Plan1";#N/A,#N/A,FALSE,"Plan2"}</definedName>
    <definedName name="kjsfert" localSheetId="8" hidden="1">{#N/A,#N/A,FALSE,"Plan1";#N/A,#N/A,FALSE,"Plan2"}</definedName>
    <definedName name="kjsfert" localSheetId="12" hidden="1">{#N/A,#N/A,FALSE,"Plan1";#N/A,#N/A,FALSE,"Plan2"}</definedName>
    <definedName name="kjsfert" localSheetId="16" hidden="1">{#N/A,#N/A,FALSE,"Plan1";#N/A,#N/A,FALSE,"Plan2"}</definedName>
    <definedName name="kjsfert" localSheetId="0" hidden="1">{#N/A,#N/A,FALSE,"Plan1";#N/A,#N/A,FALSE,"Plan2"}</definedName>
    <definedName name="kjsfert" localSheetId="11" hidden="1">{#N/A,#N/A,FALSE,"Plan1";#N/A,#N/A,FALSE,"Plan2"}</definedName>
    <definedName name="kjsfert" localSheetId="13" hidden="1">{#N/A,#N/A,FALSE,"Plan1";#N/A,#N/A,FALSE,"Plan2"}</definedName>
    <definedName name="kjsfert" hidden="1">{#N/A,#N/A,FALSE,"Plan1";#N/A,#N/A,FALSE,"Plan2"}</definedName>
    <definedName name="KJXCFKR" localSheetId="14" hidden="1">{#N/A,#N/A,FALSE,"Plan1";#N/A,#N/A,FALSE,"Plan2"}</definedName>
    <definedName name="KJXCFKR" localSheetId="7" hidden="1">{#N/A,#N/A,FALSE,"Plan1";#N/A,#N/A,FALSE,"Plan2"}</definedName>
    <definedName name="KJXCFKR" localSheetId="1" hidden="1">{#N/A,#N/A,FALSE,"Plan1";#N/A,#N/A,FALSE,"Plan2"}</definedName>
    <definedName name="KJXCFKR" localSheetId="2" hidden="1">{#N/A,#N/A,FALSE,"Plan1";#N/A,#N/A,FALSE,"Plan2"}</definedName>
    <definedName name="KJXCFKR" localSheetId="9" hidden="1">{#N/A,#N/A,FALSE,"Plan1";#N/A,#N/A,FALSE,"Plan2"}</definedName>
    <definedName name="KJXCFKR" localSheetId="5" hidden="1">{#N/A,#N/A,FALSE,"Plan1";#N/A,#N/A,FALSE,"Plan2"}</definedName>
    <definedName name="KJXCFKR" localSheetId="4" hidden="1">{#N/A,#N/A,FALSE,"Plan1";#N/A,#N/A,FALSE,"Plan2"}</definedName>
    <definedName name="KJXCFKR" localSheetId="8" hidden="1">{#N/A,#N/A,FALSE,"Plan1";#N/A,#N/A,FALSE,"Plan2"}</definedName>
    <definedName name="KJXCFKR" localSheetId="12" hidden="1">{#N/A,#N/A,FALSE,"Plan1";#N/A,#N/A,FALSE,"Plan2"}</definedName>
    <definedName name="KJXCFKR" localSheetId="16" hidden="1">{#N/A,#N/A,FALSE,"Plan1";#N/A,#N/A,FALSE,"Plan2"}</definedName>
    <definedName name="KJXCFKR" localSheetId="0" hidden="1">{#N/A,#N/A,FALSE,"Plan1";#N/A,#N/A,FALSE,"Plan2"}</definedName>
    <definedName name="KJXCFKR" localSheetId="11" hidden="1">{#N/A,#N/A,FALSE,"Plan1";#N/A,#N/A,FALSE,"Plan2"}</definedName>
    <definedName name="KJXCFKR" localSheetId="13" hidden="1">{#N/A,#N/A,FALSE,"Plan1";#N/A,#N/A,FALSE,"Plan2"}</definedName>
    <definedName name="KJXCFKR" hidden="1">{#N/A,#N/A,FALSE,"Plan1";#N/A,#N/A,FALSE,"Plan2"}</definedName>
    <definedName name="KJXDFD" localSheetId="14" hidden="1">{#N/A,#N/A,FALSE,"Plan1";#N/A,#N/A,FALSE,"Plan2"}</definedName>
    <definedName name="KJXDFD" localSheetId="7" hidden="1">{#N/A,#N/A,FALSE,"Plan1";#N/A,#N/A,FALSE,"Plan2"}</definedName>
    <definedName name="KJXDFD" localSheetId="1" hidden="1">{#N/A,#N/A,FALSE,"Plan1";#N/A,#N/A,FALSE,"Plan2"}</definedName>
    <definedName name="KJXDFD" localSheetId="2" hidden="1">{#N/A,#N/A,FALSE,"Plan1";#N/A,#N/A,FALSE,"Plan2"}</definedName>
    <definedName name="KJXDFD" localSheetId="9" hidden="1">{#N/A,#N/A,FALSE,"Plan1";#N/A,#N/A,FALSE,"Plan2"}</definedName>
    <definedName name="KJXDFD" localSheetId="5" hidden="1">{#N/A,#N/A,FALSE,"Plan1";#N/A,#N/A,FALSE,"Plan2"}</definedName>
    <definedName name="KJXDFD" localSheetId="4" hidden="1">{#N/A,#N/A,FALSE,"Plan1";#N/A,#N/A,FALSE,"Plan2"}</definedName>
    <definedName name="KJXDFD" localSheetId="8" hidden="1">{#N/A,#N/A,FALSE,"Plan1";#N/A,#N/A,FALSE,"Plan2"}</definedName>
    <definedName name="KJXDFD" localSheetId="12" hidden="1">{#N/A,#N/A,FALSE,"Plan1";#N/A,#N/A,FALSE,"Plan2"}</definedName>
    <definedName name="KJXDFD" localSheetId="16" hidden="1">{#N/A,#N/A,FALSE,"Plan1";#N/A,#N/A,FALSE,"Plan2"}</definedName>
    <definedName name="KJXDFD" localSheetId="0" hidden="1">{#N/A,#N/A,FALSE,"Plan1";#N/A,#N/A,FALSE,"Plan2"}</definedName>
    <definedName name="KJXDFD" localSheetId="11" hidden="1">{#N/A,#N/A,FALSE,"Plan1";#N/A,#N/A,FALSE,"Plan2"}</definedName>
    <definedName name="KJXDFD" localSheetId="13" hidden="1">{#N/A,#N/A,FALSE,"Plan1";#N/A,#N/A,FALSE,"Plan2"}</definedName>
    <definedName name="KJXDFD" hidden="1">{#N/A,#N/A,FALSE,"Plan1";#N/A,#N/A,FALSE,"Plan2"}</definedName>
    <definedName name="kjydhfkjghkjfh" localSheetId="2" hidden="1">#REF!</definedName>
    <definedName name="kjydhfkjghkjfh" localSheetId="5" hidden="1">#REF!</definedName>
    <definedName name="kjydhfkjghkjfh" localSheetId="0" hidden="1">#REF!</definedName>
    <definedName name="kjydhfkjghkjfh" hidden="1">#REF!</definedName>
    <definedName name="kk" localSheetId="2">#REF!</definedName>
    <definedName name="kk" localSheetId="5">#REF!</definedName>
    <definedName name="kk">#REF!</definedName>
    <definedName name="kk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4" hidden="1">{#N/A,#N/A,FALSE,"Plan1";#N/A,#N/A,FALSE,"Plan2"}</definedName>
    <definedName name="kkk" localSheetId="7" hidden="1">{#N/A,#N/A,FALSE,"Plan1";#N/A,#N/A,FALSE,"Plan2"}</definedName>
    <definedName name="kkk" localSheetId="1" hidden="1">{#N/A,#N/A,FALSE,"Plan1";#N/A,#N/A,FALSE,"Plan2"}</definedName>
    <definedName name="kkk" localSheetId="2" hidden="1">{#N/A,#N/A,FALSE,"Plan1";#N/A,#N/A,FALSE,"Plan2"}</definedName>
    <definedName name="kkk" localSheetId="9" hidden="1">{#N/A,#N/A,FALSE,"Plan1";#N/A,#N/A,FALSE,"Plan2"}</definedName>
    <definedName name="kkk" localSheetId="5" hidden="1">{#N/A,#N/A,FALSE,"Plan1";#N/A,#N/A,FALSE,"Plan2"}</definedName>
    <definedName name="kkk" localSheetId="4" hidden="1">{#N/A,#N/A,FALSE,"Plan1";#N/A,#N/A,FALSE,"Plan2"}</definedName>
    <definedName name="kkk" localSheetId="8" hidden="1">{#N/A,#N/A,FALSE,"Plan1";#N/A,#N/A,FALSE,"Plan2"}</definedName>
    <definedName name="kkk" localSheetId="12" hidden="1">{#N/A,#N/A,FALSE,"Plan1";#N/A,#N/A,FALSE,"Plan2"}</definedName>
    <definedName name="kkk" localSheetId="16" hidden="1">{#N/A,#N/A,FALSE,"Plan1";#N/A,#N/A,FALSE,"Plan2"}</definedName>
    <definedName name="kkk" localSheetId="0" hidden="1">{#N/A,#N/A,FALSE,"Plan1";#N/A,#N/A,FALSE,"Plan2"}</definedName>
    <definedName name="kkk" localSheetId="11" hidden="1">{#N/A,#N/A,FALSE,"Plan1";#N/A,#N/A,FALSE,"Plan2"}</definedName>
    <definedName name="kkk" localSheetId="13" hidden="1">{#N/A,#N/A,FALSE,"Plan1";#N/A,#N/A,FALSE,"Plan2"}</definedName>
    <definedName name="kkk" hidden="1">{#N/A,#N/A,FALSE,"Plan1";#N/A,#N/A,FALSE,"Plan2"}</definedName>
    <definedName name="kkkkk" localSheetId="14" hidden="1">{#N/A,#N/A,FALSE,"Plan1";#N/A,#N/A,FALSE,"Plan2"}</definedName>
    <definedName name="kkkkk" localSheetId="7" hidden="1">{#N/A,#N/A,FALSE,"Plan1";#N/A,#N/A,FALSE,"Plan2"}</definedName>
    <definedName name="kkkkk" localSheetId="1" hidden="1">{#N/A,#N/A,FALSE,"Plan1";#N/A,#N/A,FALSE,"Plan2"}</definedName>
    <definedName name="kkkkk" localSheetId="2" hidden="1">{#N/A,#N/A,FALSE,"Plan1";#N/A,#N/A,FALSE,"Plan2"}</definedName>
    <definedName name="kkkkk" localSheetId="9" hidden="1">{#N/A,#N/A,FALSE,"Plan1";#N/A,#N/A,FALSE,"Plan2"}</definedName>
    <definedName name="kkkkk" localSheetId="5" hidden="1">{#N/A,#N/A,FALSE,"Plan1";#N/A,#N/A,FALSE,"Plan2"}</definedName>
    <definedName name="kkkkk" localSheetId="4" hidden="1">{#N/A,#N/A,FALSE,"Plan1";#N/A,#N/A,FALSE,"Plan2"}</definedName>
    <definedName name="kkkkk" localSheetId="8" hidden="1">{#N/A,#N/A,FALSE,"Plan1";#N/A,#N/A,FALSE,"Plan2"}</definedName>
    <definedName name="kkkkk" localSheetId="12" hidden="1">{#N/A,#N/A,FALSE,"Plan1";#N/A,#N/A,FALSE,"Plan2"}</definedName>
    <definedName name="kkkkk" localSheetId="16" hidden="1">{#N/A,#N/A,FALSE,"Plan1";#N/A,#N/A,FALSE,"Plan2"}</definedName>
    <definedName name="kkkkk" localSheetId="0" hidden="1">{#N/A,#N/A,FALSE,"Plan1";#N/A,#N/A,FALSE,"Plan2"}</definedName>
    <definedName name="kkkkk" localSheetId="11" hidden="1">{#N/A,#N/A,FALSE,"Plan1";#N/A,#N/A,FALSE,"Plan2"}</definedName>
    <definedName name="kkkkk" localSheetId="13" hidden="1">{#N/A,#N/A,FALSE,"Plan1";#N/A,#N/A,FALSE,"Plan2"}</definedName>
    <definedName name="kkkkk" hidden="1">{#N/A,#N/A,FALSE,"Plan1";#N/A,#N/A,FALSE,"Plan2"}</definedName>
    <definedName name="kkkkkk" localSheetId="14" hidden="1">{#N/A,#N/A,FALSE,"Plan1";#N/A,#N/A,FALSE,"Plan2"}</definedName>
    <definedName name="kkkkkk" localSheetId="7" hidden="1">{#N/A,#N/A,FALSE,"Plan1";#N/A,#N/A,FALSE,"Plan2"}</definedName>
    <definedName name="kkkkkk" localSheetId="1" hidden="1">{#N/A,#N/A,FALSE,"Plan1";#N/A,#N/A,FALSE,"Plan2"}</definedName>
    <definedName name="kkkkkk" localSheetId="2" hidden="1">{#N/A,#N/A,FALSE,"Plan1";#N/A,#N/A,FALSE,"Plan2"}</definedName>
    <definedName name="kkkkkk" localSheetId="9" hidden="1">{#N/A,#N/A,FALSE,"Plan1";#N/A,#N/A,FALSE,"Plan2"}</definedName>
    <definedName name="kkkkkk" localSheetId="5" hidden="1">{#N/A,#N/A,FALSE,"Plan1";#N/A,#N/A,FALSE,"Plan2"}</definedName>
    <definedName name="kkkkkk" localSheetId="4" hidden="1">{#N/A,#N/A,FALSE,"Plan1";#N/A,#N/A,FALSE,"Plan2"}</definedName>
    <definedName name="kkkkkk" localSheetId="8" hidden="1">{#N/A,#N/A,FALSE,"Plan1";#N/A,#N/A,FALSE,"Plan2"}</definedName>
    <definedName name="kkkkkk" localSheetId="12" hidden="1">{#N/A,#N/A,FALSE,"Plan1";#N/A,#N/A,FALSE,"Plan2"}</definedName>
    <definedName name="kkkkkk" localSheetId="16" hidden="1">{#N/A,#N/A,FALSE,"Plan1";#N/A,#N/A,FALSE,"Plan2"}</definedName>
    <definedName name="kkkkkk" localSheetId="0" hidden="1">{#N/A,#N/A,FALSE,"Plan1";#N/A,#N/A,FALSE,"Plan2"}</definedName>
    <definedName name="kkkkkk" localSheetId="11" hidden="1">{#N/A,#N/A,FALSE,"Plan1";#N/A,#N/A,FALSE,"Plan2"}</definedName>
    <definedName name="kkkkkk" localSheetId="13" hidden="1">{#N/A,#N/A,FALSE,"Plan1";#N/A,#N/A,FALSE,"Plan2"}</definedName>
    <definedName name="kkkkkk" hidden="1">{#N/A,#N/A,FALSE,"Plan1";#N/A,#N/A,FALSE,"Plan2"}</definedName>
    <definedName name="kk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4" hidden="1">{#N/A,#N/A,FALSE,"Plan1";#N/A,#N/A,FALSE,"Plan2"}</definedName>
    <definedName name="kksaklçer" localSheetId="7" hidden="1">{#N/A,#N/A,FALSE,"Plan1";#N/A,#N/A,FALSE,"Plan2"}</definedName>
    <definedName name="kksaklçer" localSheetId="1" hidden="1">{#N/A,#N/A,FALSE,"Plan1";#N/A,#N/A,FALSE,"Plan2"}</definedName>
    <definedName name="kksaklçer" localSheetId="2" hidden="1">{#N/A,#N/A,FALSE,"Plan1";#N/A,#N/A,FALSE,"Plan2"}</definedName>
    <definedName name="kksaklçer" localSheetId="9" hidden="1">{#N/A,#N/A,FALSE,"Plan1";#N/A,#N/A,FALSE,"Plan2"}</definedName>
    <definedName name="kksaklçer" localSheetId="5" hidden="1">{#N/A,#N/A,FALSE,"Plan1";#N/A,#N/A,FALSE,"Plan2"}</definedName>
    <definedName name="kksaklçer" localSheetId="4" hidden="1">{#N/A,#N/A,FALSE,"Plan1";#N/A,#N/A,FALSE,"Plan2"}</definedName>
    <definedName name="kksaklçer" localSheetId="8" hidden="1">{#N/A,#N/A,FALSE,"Plan1";#N/A,#N/A,FALSE,"Plan2"}</definedName>
    <definedName name="kksaklçer" localSheetId="12" hidden="1">{#N/A,#N/A,FALSE,"Plan1";#N/A,#N/A,FALSE,"Plan2"}</definedName>
    <definedName name="kksaklçer" localSheetId="16" hidden="1">{#N/A,#N/A,FALSE,"Plan1";#N/A,#N/A,FALSE,"Plan2"}</definedName>
    <definedName name="kksaklçer" localSheetId="0" hidden="1">{#N/A,#N/A,FALSE,"Plan1";#N/A,#N/A,FALSE,"Plan2"}</definedName>
    <definedName name="kksaklçer" localSheetId="11" hidden="1">{#N/A,#N/A,FALSE,"Plan1";#N/A,#N/A,FALSE,"Plan2"}</definedName>
    <definedName name="kksaklçer" localSheetId="13" hidden="1">{#N/A,#N/A,FALSE,"Plan1";#N/A,#N/A,FALSE,"Plan2"}</definedName>
    <definedName name="kksaklçer" hidden="1">{#N/A,#N/A,FALSE,"Plan1";#N/A,#N/A,FALSE,"Plan2"}</definedName>
    <definedName name="kksarde" localSheetId="14" hidden="1">{#N/A,#N/A,FALSE,"Plan1";#N/A,#N/A,FALSE,"Plan2"}</definedName>
    <definedName name="kksarde" localSheetId="7" hidden="1">{#N/A,#N/A,FALSE,"Plan1";#N/A,#N/A,FALSE,"Plan2"}</definedName>
    <definedName name="kksarde" localSheetId="1" hidden="1">{#N/A,#N/A,FALSE,"Plan1";#N/A,#N/A,FALSE,"Plan2"}</definedName>
    <definedName name="kksarde" localSheetId="2" hidden="1">{#N/A,#N/A,FALSE,"Plan1";#N/A,#N/A,FALSE,"Plan2"}</definedName>
    <definedName name="kksarde" localSheetId="9" hidden="1">{#N/A,#N/A,FALSE,"Plan1";#N/A,#N/A,FALSE,"Plan2"}</definedName>
    <definedName name="kksarde" localSheetId="5" hidden="1">{#N/A,#N/A,FALSE,"Plan1";#N/A,#N/A,FALSE,"Plan2"}</definedName>
    <definedName name="kksarde" localSheetId="4" hidden="1">{#N/A,#N/A,FALSE,"Plan1";#N/A,#N/A,FALSE,"Plan2"}</definedName>
    <definedName name="kksarde" localSheetId="8" hidden="1">{#N/A,#N/A,FALSE,"Plan1";#N/A,#N/A,FALSE,"Plan2"}</definedName>
    <definedName name="kksarde" localSheetId="12" hidden="1">{#N/A,#N/A,FALSE,"Plan1";#N/A,#N/A,FALSE,"Plan2"}</definedName>
    <definedName name="kksarde" localSheetId="16" hidden="1">{#N/A,#N/A,FALSE,"Plan1";#N/A,#N/A,FALSE,"Plan2"}</definedName>
    <definedName name="kksarde" localSheetId="0" hidden="1">{#N/A,#N/A,FALSE,"Plan1";#N/A,#N/A,FALSE,"Plan2"}</definedName>
    <definedName name="kksarde" localSheetId="11" hidden="1">{#N/A,#N/A,FALSE,"Plan1";#N/A,#N/A,FALSE,"Plan2"}</definedName>
    <definedName name="kksarde" localSheetId="13" hidden="1">{#N/A,#N/A,FALSE,"Plan1";#N/A,#N/A,FALSE,"Plan2"}</definedName>
    <definedName name="kksarde" hidden="1">{#N/A,#N/A,FALSE,"Plan1";#N/A,#N/A,FALSE,"Plan2"}</definedName>
    <definedName name="klaskldjsw" localSheetId="14" hidden="1">{#N/A,#N/A,FALSE,"Plan1";#N/A,#N/A,FALSE,"Plan2"}</definedName>
    <definedName name="klaskldjsw" localSheetId="7" hidden="1">{#N/A,#N/A,FALSE,"Plan1";#N/A,#N/A,FALSE,"Plan2"}</definedName>
    <definedName name="klaskldjsw" localSheetId="1" hidden="1">{#N/A,#N/A,FALSE,"Plan1";#N/A,#N/A,FALSE,"Plan2"}</definedName>
    <definedName name="klaskldjsw" localSheetId="2" hidden="1">{#N/A,#N/A,FALSE,"Plan1";#N/A,#N/A,FALSE,"Plan2"}</definedName>
    <definedName name="klaskldjsw" localSheetId="9" hidden="1">{#N/A,#N/A,FALSE,"Plan1";#N/A,#N/A,FALSE,"Plan2"}</definedName>
    <definedName name="klaskldjsw" localSheetId="5" hidden="1">{#N/A,#N/A,FALSE,"Plan1";#N/A,#N/A,FALSE,"Plan2"}</definedName>
    <definedName name="klaskldjsw" localSheetId="4" hidden="1">{#N/A,#N/A,FALSE,"Plan1";#N/A,#N/A,FALSE,"Plan2"}</definedName>
    <definedName name="klaskldjsw" localSheetId="8" hidden="1">{#N/A,#N/A,FALSE,"Plan1";#N/A,#N/A,FALSE,"Plan2"}</definedName>
    <definedName name="klaskldjsw" localSheetId="12" hidden="1">{#N/A,#N/A,FALSE,"Plan1";#N/A,#N/A,FALSE,"Plan2"}</definedName>
    <definedName name="klaskldjsw" localSheetId="16" hidden="1">{#N/A,#N/A,FALSE,"Plan1";#N/A,#N/A,FALSE,"Plan2"}</definedName>
    <definedName name="klaskldjsw" localSheetId="0" hidden="1">{#N/A,#N/A,FALSE,"Plan1";#N/A,#N/A,FALSE,"Plan2"}</definedName>
    <definedName name="klaskldjsw" localSheetId="11" hidden="1">{#N/A,#N/A,FALSE,"Plan1";#N/A,#N/A,FALSE,"Plan2"}</definedName>
    <definedName name="klaskldjsw" localSheetId="13" hidden="1">{#N/A,#N/A,FALSE,"Plan1";#N/A,#N/A,FALSE,"Plan2"}</definedName>
    <definedName name="klaskldjsw" hidden="1">{#N/A,#N/A,FALSE,"Plan1";#N/A,#N/A,FALSE,"Plan2"}</definedName>
    <definedName name="klçkop" localSheetId="14" hidden="1">{#N/A,#N/A,FALSE,"Plan1";#N/A,#N/A,FALSE,"Plan2"}</definedName>
    <definedName name="klçkop" localSheetId="7" hidden="1">{#N/A,#N/A,FALSE,"Plan1";#N/A,#N/A,FALSE,"Plan2"}</definedName>
    <definedName name="klçkop" localSheetId="1" hidden="1">{#N/A,#N/A,FALSE,"Plan1";#N/A,#N/A,FALSE,"Plan2"}</definedName>
    <definedName name="klçkop" localSheetId="2" hidden="1">{#N/A,#N/A,FALSE,"Plan1";#N/A,#N/A,FALSE,"Plan2"}</definedName>
    <definedName name="klçkop" localSheetId="9" hidden="1">{#N/A,#N/A,FALSE,"Plan1";#N/A,#N/A,FALSE,"Plan2"}</definedName>
    <definedName name="klçkop" localSheetId="5" hidden="1">{#N/A,#N/A,FALSE,"Plan1";#N/A,#N/A,FALSE,"Plan2"}</definedName>
    <definedName name="klçkop" localSheetId="4" hidden="1">{#N/A,#N/A,FALSE,"Plan1";#N/A,#N/A,FALSE,"Plan2"}</definedName>
    <definedName name="klçkop" localSheetId="8" hidden="1">{#N/A,#N/A,FALSE,"Plan1";#N/A,#N/A,FALSE,"Plan2"}</definedName>
    <definedName name="klçkop" localSheetId="12" hidden="1">{#N/A,#N/A,FALSE,"Plan1";#N/A,#N/A,FALSE,"Plan2"}</definedName>
    <definedName name="klçkop" localSheetId="16" hidden="1">{#N/A,#N/A,FALSE,"Plan1";#N/A,#N/A,FALSE,"Plan2"}</definedName>
    <definedName name="klçkop" localSheetId="0" hidden="1">{#N/A,#N/A,FALSE,"Plan1";#N/A,#N/A,FALSE,"Plan2"}</definedName>
    <definedName name="klçkop" localSheetId="11" hidden="1">{#N/A,#N/A,FALSE,"Plan1";#N/A,#N/A,FALSE,"Plan2"}</definedName>
    <definedName name="klçkop" localSheetId="13" hidden="1">{#N/A,#N/A,FALSE,"Plan1";#N/A,#N/A,FALSE,"Plan2"}</definedName>
    <definedName name="klçkop" hidden="1">{#N/A,#N/A,FALSE,"Plan1";#N/A,#N/A,FALSE,"Plan2"}</definedName>
    <definedName name="KLDFNTRDT" localSheetId="14" hidden="1">{#N/A,#N/A,FALSE,"Plan1";#N/A,#N/A,FALSE,"Plan2"}</definedName>
    <definedName name="KLDFNTRDT" localSheetId="7" hidden="1">{#N/A,#N/A,FALSE,"Plan1";#N/A,#N/A,FALSE,"Plan2"}</definedName>
    <definedName name="KLDFNTRDT" localSheetId="1" hidden="1">{#N/A,#N/A,FALSE,"Plan1";#N/A,#N/A,FALSE,"Plan2"}</definedName>
    <definedName name="KLDFNTRDT" localSheetId="2" hidden="1">{#N/A,#N/A,FALSE,"Plan1";#N/A,#N/A,FALSE,"Plan2"}</definedName>
    <definedName name="KLDFNTRDT" localSheetId="9" hidden="1">{#N/A,#N/A,FALSE,"Plan1";#N/A,#N/A,FALSE,"Plan2"}</definedName>
    <definedName name="KLDFNTRDT" localSheetId="5" hidden="1">{#N/A,#N/A,FALSE,"Plan1";#N/A,#N/A,FALSE,"Plan2"}</definedName>
    <definedName name="KLDFNTRDT" localSheetId="4" hidden="1">{#N/A,#N/A,FALSE,"Plan1";#N/A,#N/A,FALSE,"Plan2"}</definedName>
    <definedName name="KLDFNTRDT" localSheetId="8" hidden="1">{#N/A,#N/A,FALSE,"Plan1";#N/A,#N/A,FALSE,"Plan2"}</definedName>
    <definedName name="KLDFNTRDT" localSheetId="12" hidden="1">{#N/A,#N/A,FALSE,"Plan1";#N/A,#N/A,FALSE,"Plan2"}</definedName>
    <definedName name="KLDFNTRDT" localSheetId="16" hidden="1">{#N/A,#N/A,FALSE,"Plan1";#N/A,#N/A,FALSE,"Plan2"}</definedName>
    <definedName name="KLDFNTRDT" localSheetId="0" hidden="1">{#N/A,#N/A,FALSE,"Plan1";#N/A,#N/A,FALSE,"Plan2"}</definedName>
    <definedName name="KLDFNTRDT" localSheetId="11" hidden="1">{#N/A,#N/A,FALSE,"Plan1";#N/A,#N/A,FALSE,"Plan2"}</definedName>
    <definedName name="KLDFNTRDT" localSheetId="13" hidden="1">{#N/A,#N/A,FALSE,"Plan1";#N/A,#N/A,FALSE,"Plan2"}</definedName>
    <definedName name="KLDFNTRDT" hidden="1">{#N/A,#N/A,FALSE,"Plan1";#N/A,#N/A,FALSE,"Plan2"}</definedName>
    <definedName name="klhjsdklhdf" localSheetId="14" hidden="1">{#N/A,#N/A,FALSE,"Plan1";#N/A,#N/A,FALSE,"Plan2"}</definedName>
    <definedName name="klhjsdklhdf" localSheetId="7" hidden="1">{#N/A,#N/A,FALSE,"Plan1";#N/A,#N/A,FALSE,"Plan2"}</definedName>
    <definedName name="klhjsdklhdf" localSheetId="1" hidden="1">{#N/A,#N/A,FALSE,"Plan1";#N/A,#N/A,FALSE,"Plan2"}</definedName>
    <definedName name="klhjsdklhdf" localSheetId="2" hidden="1">{#N/A,#N/A,FALSE,"Plan1";#N/A,#N/A,FALSE,"Plan2"}</definedName>
    <definedName name="klhjsdklhdf" localSheetId="9" hidden="1">{#N/A,#N/A,FALSE,"Plan1";#N/A,#N/A,FALSE,"Plan2"}</definedName>
    <definedName name="klhjsdklhdf" localSheetId="5" hidden="1">{#N/A,#N/A,FALSE,"Plan1";#N/A,#N/A,FALSE,"Plan2"}</definedName>
    <definedName name="klhjsdklhdf" localSheetId="4" hidden="1">{#N/A,#N/A,FALSE,"Plan1";#N/A,#N/A,FALSE,"Plan2"}</definedName>
    <definedName name="klhjsdklhdf" localSheetId="8" hidden="1">{#N/A,#N/A,FALSE,"Plan1";#N/A,#N/A,FALSE,"Plan2"}</definedName>
    <definedName name="klhjsdklhdf" localSheetId="12" hidden="1">{#N/A,#N/A,FALSE,"Plan1";#N/A,#N/A,FALSE,"Plan2"}</definedName>
    <definedName name="klhjsdklhdf" localSheetId="16" hidden="1">{#N/A,#N/A,FALSE,"Plan1";#N/A,#N/A,FALSE,"Plan2"}</definedName>
    <definedName name="klhjsdklhdf" localSheetId="0" hidden="1">{#N/A,#N/A,FALSE,"Plan1";#N/A,#N/A,FALSE,"Plan2"}</definedName>
    <definedName name="klhjsdklhdf" localSheetId="11" hidden="1">{#N/A,#N/A,FALSE,"Plan1";#N/A,#N/A,FALSE,"Plan2"}</definedName>
    <definedName name="klhjsdklhdf" localSheetId="13" hidden="1">{#N/A,#N/A,FALSE,"Plan1";#N/A,#N/A,FALSE,"Plan2"}</definedName>
    <definedName name="klhjsdklhdf" hidden="1">{#N/A,#N/A,FALSE,"Plan1";#N/A,#N/A,FALSE,"Plan2"}</definedName>
    <definedName name="KLHSKLRHWE" localSheetId="14" hidden="1">{#N/A,#N/A,FALSE,"Plan1";#N/A,#N/A,FALSE,"Plan2"}</definedName>
    <definedName name="KLHSKLRHWE" localSheetId="7" hidden="1">{#N/A,#N/A,FALSE,"Plan1";#N/A,#N/A,FALSE,"Plan2"}</definedName>
    <definedName name="KLHSKLRHWE" localSheetId="1" hidden="1">{#N/A,#N/A,FALSE,"Plan1";#N/A,#N/A,FALSE,"Plan2"}</definedName>
    <definedName name="KLHSKLRHWE" localSheetId="2" hidden="1">{#N/A,#N/A,FALSE,"Plan1";#N/A,#N/A,FALSE,"Plan2"}</definedName>
    <definedName name="KLHSKLRHWE" localSheetId="9" hidden="1">{#N/A,#N/A,FALSE,"Plan1";#N/A,#N/A,FALSE,"Plan2"}</definedName>
    <definedName name="KLHSKLRHWE" localSheetId="5" hidden="1">{#N/A,#N/A,FALSE,"Plan1";#N/A,#N/A,FALSE,"Plan2"}</definedName>
    <definedName name="KLHSKLRHWE" localSheetId="4" hidden="1">{#N/A,#N/A,FALSE,"Plan1";#N/A,#N/A,FALSE,"Plan2"}</definedName>
    <definedName name="KLHSKLRHWE" localSheetId="8" hidden="1">{#N/A,#N/A,FALSE,"Plan1";#N/A,#N/A,FALSE,"Plan2"}</definedName>
    <definedName name="KLHSKLRHWE" localSheetId="12" hidden="1">{#N/A,#N/A,FALSE,"Plan1";#N/A,#N/A,FALSE,"Plan2"}</definedName>
    <definedName name="KLHSKLRHWE" localSheetId="16" hidden="1">{#N/A,#N/A,FALSE,"Plan1";#N/A,#N/A,FALSE,"Plan2"}</definedName>
    <definedName name="KLHSKLRHWE" localSheetId="0" hidden="1">{#N/A,#N/A,FALSE,"Plan1";#N/A,#N/A,FALSE,"Plan2"}</definedName>
    <definedName name="KLHSKLRHWE" localSheetId="11" hidden="1">{#N/A,#N/A,FALSE,"Plan1";#N/A,#N/A,FALSE,"Plan2"}</definedName>
    <definedName name="KLHSKLRHWE" localSheetId="13" hidden="1">{#N/A,#N/A,FALSE,"Plan1";#N/A,#N/A,FALSE,"Plan2"}</definedName>
    <definedName name="KLHSKLRHWE" hidden="1">{#N/A,#N/A,FALSE,"Plan1";#N/A,#N/A,FALSE,"Plan2"}</definedName>
    <definedName name="KLJASKJD" localSheetId="14" hidden="1">{#N/A,#N/A,FALSE,"Plan1";#N/A,#N/A,FALSE,"Plan2"}</definedName>
    <definedName name="KLJASKJD" localSheetId="7" hidden="1">{#N/A,#N/A,FALSE,"Plan1";#N/A,#N/A,FALSE,"Plan2"}</definedName>
    <definedName name="KLJASKJD" localSheetId="1" hidden="1">{#N/A,#N/A,FALSE,"Plan1";#N/A,#N/A,FALSE,"Plan2"}</definedName>
    <definedName name="KLJASKJD" localSheetId="2" hidden="1">{#N/A,#N/A,FALSE,"Plan1";#N/A,#N/A,FALSE,"Plan2"}</definedName>
    <definedName name="KLJASKJD" localSheetId="9" hidden="1">{#N/A,#N/A,FALSE,"Plan1";#N/A,#N/A,FALSE,"Plan2"}</definedName>
    <definedName name="KLJASKJD" localSheetId="5" hidden="1">{#N/A,#N/A,FALSE,"Plan1";#N/A,#N/A,FALSE,"Plan2"}</definedName>
    <definedName name="KLJASKJD" localSheetId="4" hidden="1">{#N/A,#N/A,FALSE,"Plan1";#N/A,#N/A,FALSE,"Plan2"}</definedName>
    <definedName name="KLJASKJD" localSheetId="8" hidden="1">{#N/A,#N/A,FALSE,"Plan1";#N/A,#N/A,FALSE,"Plan2"}</definedName>
    <definedName name="KLJASKJD" localSheetId="12" hidden="1">{#N/A,#N/A,FALSE,"Plan1";#N/A,#N/A,FALSE,"Plan2"}</definedName>
    <definedName name="KLJASKJD" localSheetId="16" hidden="1">{#N/A,#N/A,FALSE,"Plan1";#N/A,#N/A,FALSE,"Plan2"}</definedName>
    <definedName name="KLJASKJD" localSheetId="0" hidden="1">{#N/A,#N/A,FALSE,"Plan1";#N/A,#N/A,FALSE,"Plan2"}</definedName>
    <definedName name="KLJASKJD" localSheetId="11" hidden="1">{#N/A,#N/A,FALSE,"Plan1";#N/A,#N/A,FALSE,"Plan2"}</definedName>
    <definedName name="KLJASKJD" localSheetId="13" hidden="1">{#N/A,#N/A,FALSE,"Plan1";#N/A,#N/A,FALSE,"Plan2"}</definedName>
    <definedName name="KLJASKJD" hidden="1">{#N/A,#N/A,FALSE,"Plan1";#N/A,#N/A,FALSE,"Plan2"}</definedName>
    <definedName name="KLJDXLG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4" hidden="1">{#N/A,#N/A,FALSE,"Plan1";#N/A,#N/A,FALSE,"Plan2"}</definedName>
    <definedName name="kljeflwr" localSheetId="7" hidden="1">{#N/A,#N/A,FALSE,"Plan1";#N/A,#N/A,FALSE,"Plan2"}</definedName>
    <definedName name="kljeflwr" localSheetId="1" hidden="1">{#N/A,#N/A,FALSE,"Plan1";#N/A,#N/A,FALSE,"Plan2"}</definedName>
    <definedName name="kljeflwr" localSheetId="2" hidden="1">{#N/A,#N/A,FALSE,"Plan1";#N/A,#N/A,FALSE,"Plan2"}</definedName>
    <definedName name="kljeflwr" localSheetId="9" hidden="1">{#N/A,#N/A,FALSE,"Plan1";#N/A,#N/A,FALSE,"Plan2"}</definedName>
    <definedName name="kljeflwr" localSheetId="5" hidden="1">{#N/A,#N/A,FALSE,"Plan1";#N/A,#N/A,FALSE,"Plan2"}</definedName>
    <definedName name="kljeflwr" localSheetId="4" hidden="1">{#N/A,#N/A,FALSE,"Plan1";#N/A,#N/A,FALSE,"Plan2"}</definedName>
    <definedName name="kljeflwr" localSheetId="8" hidden="1">{#N/A,#N/A,FALSE,"Plan1";#N/A,#N/A,FALSE,"Plan2"}</definedName>
    <definedName name="kljeflwr" localSheetId="12" hidden="1">{#N/A,#N/A,FALSE,"Plan1";#N/A,#N/A,FALSE,"Plan2"}</definedName>
    <definedName name="kljeflwr" localSheetId="16" hidden="1">{#N/A,#N/A,FALSE,"Plan1";#N/A,#N/A,FALSE,"Plan2"}</definedName>
    <definedName name="kljeflwr" localSheetId="0" hidden="1">{#N/A,#N/A,FALSE,"Plan1";#N/A,#N/A,FALSE,"Plan2"}</definedName>
    <definedName name="kljeflwr" localSheetId="11" hidden="1">{#N/A,#N/A,FALSE,"Plan1";#N/A,#N/A,FALSE,"Plan2"}</definedName>
    <definedName name="kljeflwr" localSheetId="13" hidden="1">{#N/A,#N/A,FALSE,"Plan1";#N/A,#N/A,FALSE,"Plan2"}</definedName>
    <definedName name="kljeflwr" hidden="1">{#N/A,#N/A,FALSE,"Plan1";#N/A,#N/A,FALSE,"Plan2"}</definedName>
    <definedName name="kljflgjrf" localSheetId="14" hidden="1">{#N/A,#N/A,FALSE,"Plan1";#N/A,#N/A,FALSE,"Plan2"}</definedName>
    <definedName name="kljflgjrf" localSheetId="7" hidden="1">{#N/A,#N/A,FALSE,"Plan1";#N/A,#N/A,FALSE,"Plan2"}</definedName>
    <definedName name="kljflgjrf" localSheetId="1" hidden="1">{#N/A,#N/A,FALSE,"Plan1";#N/A,#N/A,FALSE,"Plan2"}</definedName>
    <definedName name="kljflgjrf" localSheetId="2" hidden="1">{#N/A,#N/A,FALSE,"Plan1";#N/A,#N/A,FALSE,"Plan2"}</definedName>
    <definedName name="kljflgjrf" localSheetId="9" hidden="1">{#N/A,#N/A,FALSE,"Plan1";#N/A,#N/A,FALSE,"Plan2"}</definedName>
    <definedName name="kljflgjrf" localSheetId="5" hidden="1">{#N/A,#N/A,FALSE,"Plan1";#N/A,#N/A,FALSE,"Plan2"}</definedName>
    <definedName name="kljflgjrf" localSheetId="4" hidden="1">{#N/A,#N/A,FALSE,"Plan1";#N/A,#N/A,FALSE,"Plan2"}</definedName>
    <definedName name="kljflgjrf" localSheetId="8" hidden="1">{#N/A,#N/A,FALSE,"Plan1";#N/A,#N/A,FALSE,"Plan2"}</definedName>
    <definedName name="kljflgjrf" localSheetId="12" hidden="1">{#N/A,#N/A,FALSE,"Plan1";#N/A,#N/A,FALSE,"Plan2"}</definedName>
    <definedName name="kljflgjrf" localSheetId="16" hidden="1">{#N/A,#N/A,FALSE,"Plan1";#N/A,#N/A,FALSE,"Plan2"}</definedName>
    <definedName name="kljflgjrf" localSheetId="0" hidden="1">{#N/A,#N/A,FALSE,"Plan1";#N/A,#N/A,FALSE,"Plan2"}</definedName>
    <definedName name="kljflgjrf" localSheetId="11" hidden="1">{#N/A,#N/A,FALSE,"Plan1";#N/A,#N/A,FALSE,"Plan2"}</definedName>
    <definedName name="kljflgjrf" localSheetId="13" hidden="1">{#N/A,#N/A,FALSE,"Plan1";#N/A,#N/A,FALSE,"Plan2"}</definedName>
    <definedName name="kljflgjrf" hidden="1">{#N/A,#N/A,FALSE,"Plan1";#N/A,#N/A,FALSE,"Plan2"}</definedName>
    <definedName name="kljgfdfr" localSheetId="14" hidden="1">{#N/A,#N/A,FALSE,"Plan1";#N/A,#N/A,FALSE,"Plan2"}</definedName>
    <definedName name="kljgfdfr" localSheetId="7" hidden="1">{#N/A,#N/A,FALSE,"Plan1";#N/A,#N/A,FALSE,"Plan2"}</definedName>
    <definedName name="kljgfdfr" localSheetId="1" hidden="1">{#N/A,#N/A,FALSE,"Plan1";#N/A,#N/A,FALSE,"Plan2"}</definedName>
    <definedName name="kljgfdfr" localSheetId="2" hidden="1">{#N/A,#N/A,FALSE,"Plan1";#N/A,#N/A,FALSE,"Plan2"}</definedName>
    <definedName name="kljgfdfr" localSheetId="9" hidden="1">{#N/A,#N/A,FALSE,"Plan1";#N/A,#N/A,FALSE,"Plan2"}</definedName>
    <definedName name="kljgfdfr" localSheetId="5" hidden="1">{#N/A,#N/A,FALSE,"Plan1";#N/A,#N/A,FALSE,"Plan2"}</definedName>
    <definedName name="kljgfdfr" localSheetId="4" hidden="1">{#N/A,#N/A,FALSE,"Plan1";#N/A,#N/A,FALSE,"Plan2"}</definedName>
    <definedName name="kljgfdfr" localSheetId="8" hidden="1">{#N/A,#N/A,FALSE,"Plan1";#N/A,#N/A,FALSE,"Plan2"}</definedName>
    <definedName name="kljgfdfr" localSheetId="12" hidden="1">{#N/A,#N/A,FALSE,"Plan1";#N/A,#N/A,FALSE,"Plan2"}</definedName>
    <definedName name="kljgfdfr" localSheetId="16" hidden="1">{#N/A,#N/A,FALSE,"Plan1";#N/A,#N/A,FALSE,"Plan2"}</definedName>
    <definedName name="kljgfdfr" localSheetId="0" hidden="1">{#N/A,#N/A,FALSE,"Plan1";#N/A,#N/A,FALSE,"Plan2"}</definedName>
    <definedName name="kljgfdfr" localSheetId="11" hidden="1">{#N/A,#N/A,FALSE,"Plan1";#N/A,#N/A,FALSE,"Plan2"}</definedName>
    <definedName name="kljgfdfr" localSheetId="13" hidden="1">{#N/A,#N/A,FALSE,"Plan1";#N/A,#N/A,FALSE,"Plan2"}</definedName>
    <definedName name="kljgfdfr" hidden="1">{#N/A,#N/A,FALSE,"Plan1";#N/A,#N/A,FALSE,"Plan2"}</definedName>
    <definedName name="kljgfjrt" localSheetId="14" hidden="1">{#N/A,#N/A,FALSE,"Plan1";#N/A,#N/A,FALSE,"Plan2"}</definedName>
    <definedName name="kljgfjrt" localSheetId="7" hidden="1">{#N/A,#N/A,FALSE,"Plan1";#N/A,#N/A,FALSE,"Plan2"}</definedName>
    <definedName name="kljgfjrt" localSheetId="1" hidden="1">{#N/A,#N/A,FALSE,"Plan1";#N/A,#N/A,FALSE,"Plan2"}</definedName>
    <definedName name="kljgfjrt" localSheetId="2" hidden="1">{#N/A,#N/A,FALSE,"Plan1";#N/A,#N/A,FALSE,"Plan2"}</definedName>
    <definedName name="kljgfjrt" localSheetId="9" hidden="1">{#N/A,#N/A,FALSE,"Plan1";#N/A,#N/A,FALSE,"Plan2"}</definedName>
    <definedName name="kljgfjrt" localSheetId="5" hidden="1">{#N/A,#N/A,FALSE,"Plan1";#N/A,#N/A,FALSE,"Plan2"}</definedName>
    <definedName name="kljgfjrt" localSheetId="4" hidden="1">{#N/A,#N/A,FALSE,"Plan1";#N/A,#N/A,FALSE,"Plan2"}</definedName>
    <definedName name="kljgfjrt" localSheetId="8" hidden="1">{#N/A,#N/A,FALSE,"Plan1";#N/A,#N/A,FALSE,"Plan2"}</definedName>
    <definedName name="kljgfjrt" localSheetId="12" hidden="1">{#N/A,#N/A,FALSE,"Plan1";#N/A,#N/A,FALSE,"Plan2"}</definedName>
    <definedName name="kljgfjrt" localSheetId="16" hidden="1">{#N/A,#N/A,FALSE,"Plan1";#N/A,#N/A,FALSE,"Plan2"}</definedName>
    <definedName name="kljgfjrt" localSheetId="0" hidden="1">{#N/A,#N/A,FALSE,"Plan1";#N/A,#N/A,FALSE,"Plan2"}</definedName>
    <definedName name="kljgfjrt" localSheetId="11" hidden="1">{#N/A,#N/A,FALSE,"Plan1";#N/A,#N/A,FALSE,"Plan2"}</definedName>
    <definedName name="kljgfjrt" localSheetId="13" hidden="1">{#N/A,#N/A,FALSE,"Plan1";#N/A,#N/A,FALSE,"Plan2"}</definedName>
    <definedName name="kljgfjrt" hidden="1">{#N/A,#N/A,FALSE,"Plan1";#N/A,#N/A,FALSE,"Plan2"}</definedName>
    <definedName name="kljlkdfj" localSheetId="14" hidden="1">{#N/A,#N/A,FALSE,"Plan1";#N/A,#N/A,FALSE,"Plan2"}</definedName>
    <definedName name="kljlkdfj" localSheetId="7" hidden="1">{#N/A,#N/A,FALSE,"Plan1";#N/A,#N/A,FALSE,"Plan2"}</definedName>
    <definedName name="kljlkdfj" localSheetId="1" hidden="1">{#N/A,#N/A,FALSE,"Plan1";#N/A,#N/A,FALSE,"Plan2"}</definedName>
    <definedName name="kljlkdfj" localSheetId="2" hidden="1">{#N/A,#N/A,FALSE,"Plan1";#N/A,#N/A,FALSE,"Plan2"}</definedName>
    <definedName name="kljlkdfj" localSheetId="9" hidden="1">{#N/A,#N/A,FALSE,"Plan1";#N/A,#N/A,FALSE,"Plan2"}</definedName>
    <definedName name="kljlkdfj" localSheetId="5" hidden="1">{#N/A,#N/A,FALSE,"Plan1";#N/A,#N/A,FALSE,"Plan2"}</definedName>
    <definedName name="kljlkdfj" localSheetId="4" hidden="1">{#N/A,#N/A,FALSE,"Plan1";#N/A,#N/A,FALSE,"Plan2"}</definedName>
    <definedName name="kljlkdfj" localSheetId="8" hidden="1">{#N/A,#N/A,FALSE,"Plan1";#N/A,#N/A,FALSE,"Plan2"}</definedName>
    <definedName name="kljlkdfj" localSheetId="12" hidden="1">{#N/A,#N/A,FALSE,"Plan1";#N/A,#N/A,FALSE,"Plan2"}</definedName>
    <definedName name="kljlkdfj" localSheetId="16" hidden="1">{#N/A,#N/A,FALSE,"Plan1";#N/A,#N/A,FALSE,"Plan2"}</definedName>
    <definedName name="kljlkdfj" localSheetId="0" hidden="1">{#N/A,#N/A,FALSE,"Plan1";#N/A,#N/A,FALSE,"Plan2"}</definedName>
    <definedName name="kljlkdfj" localSheetId="11" hidden="1">{#N/A,#N/A,FALSE,"Plan1";#N/A,#N/A,FALSE,"Plan2"}</definedName>
    <definedName name="kljlkdfj" localSheetId="13" hidden="1">{#N/A,#N/A,FALSE,"Plan1";#N/A,#N/A,FALSE,"Plan2"}</definedName>
    <definedName name="kljlkdfj" hidden="1">{#N/A,#N/A,FALSE,"Plan1";#N/A,#N/A,FALSE,"Plan2"}</definedName>
    <definedName name="kljsakjfr" localSheetId="14" hidden="1">{#N/A,#N/A,FALSE,"Plan1";#N/A,#N/A,FALSE,"Plan2"}</definedName>
    <definedName name="kljsakjfr" localSheetId="7" hidden="1">{#N/A,#N/A,FALSE,"Plan1";#N/A,#N/A,FALSE,"Plan2"}</definedName>
    <definedName name="kljsakjfr" localSheetId="1" hidden="1">{#N/A,#N/A,FALSE,"Plan1";#N/A,#N/A,FALSE,"Plan2"}</definedName>
    <definedName name="kljsakjfr" localSheetId="2" hidden="1">{#N/A,#N/A,FALSE,"Plan1";#N/A,#N/A,FALSE,"Plan2"}</definedName>
    <definedName name="kljsakjfr" localSheetId="9" hidden="1">{#N/A,#N/A,FALSE,"Plan1";#N/A,#N/A,FALSE,"Plan2"}</definedName>
    <definedName name="kljsakjfr" localSheetId="5" hidden="1">{#N/A,#N/A,FALSE,"Plan1";#N/A,#N/A,FALSE,"Plan2"}</definedName>
    <definedName name="kljsakjfr" localSheetId="4" hidden="1">{#N/A,#N/A,FALSE,"Plan1";#N/A,#N/A,FALSE,"Plan2"}</definedName>
    <definedName name="kljsakjfr" localSheetId="8" hidden="1">{#N/A,#N/A,FALSE,"Plan1";#N/A,#N/A,FALSE,"Plan2"}</definedName>
    <definedName name="kljsakjfr" localSheetId="12" hidden="1">{#N/A,#N/A,FALSE,"Plan1";#N/A,#N/A,FALSE,"Plan2"}</definedName>
    <definedName name="kljsakjfr" localSheetId="16" hidden="1">{#N/A,#N/A,FALSE,"Plan1";#N/A,#N/A,FALSE,"Plan2"}</definedName>
    <definedName name="kljsakjfr" localSheetId="0" hidden="1">{#N/A,#N/A,FALSE,"Plan1";#N/A,#N/A,FALSE,"Plan2"}</definedName>
    <definedName name="kljsakjfr" localSheetId="11" hidden="1">{#N/A,#N/A,FALSE,"Plan1";#N/A,#N/A,FALSE,"Plan2"}</definedName>
    <definedName name="kljsakjfr" localSheetId="13" hidden="1">{#N/A,#N/A,FALSE,"Plan1";#N/A,#N/A,FALSE,"Plan2"}</definedName>
    <definedName name="kljsakjfr" hidden="1">{#N/A,#N/A,FALSE,"Plan1";#N/A,#N/A,FALSE,"Plan2"}</definedName>
    <definedName name="kljsdje" localSheetId="14" hidden="1">{#N/A,#N/A,FALSE,"Plan1";#N/A,#N/A,FALSE,"Plan2"}</definedName>
    <definedName name="kljsdje" localSheetId="7" hidden="1">{#N/A,#N/A,FALSE,"Plan1";#N/A,#N/A,FALSE,"Plan2"}</definedName>
    <definedName name="kljsdje" localSheetId="1" hidden="1">{#N/A,#N/A,FALSE,"Plan1";#N/A,#N/A,FALSE,"Plan2"}</definedName>
    <definedName name="kljsdje" localSheetId="2" hidden="1">{#N/A,#N/A,FALSE,"Plan1";#N/A,#N/A,FALSE,"Plan2"}</definedName>
    <definedName name="kljsdje" localSheetId="9" hidden="1">{#N/A,#N/A,FALSE,"Plan1";#N/A,#N/A,FALSE,"Plan2"}</definedName>
    <definedName name="kljsdje" localSheetId="5" hidden="1">{#N/A,#N/A,FALSE,"Plan1";#N/A,#N/A,FALSE,"Plan2"}</definedName>
    <definedName name="kljsdje" localSheetId="4" hidden="1">{#N/A,#N/A,FALSE,"Plan1";#N/A,#N/A,FALSE,"Plan2"}</definedName>
    <definedName name="kljsdje" localSheetId="8" hidden="1">{#N/A,#N/A,FALSE,"Plan1";#N/A,#N/A,FALSE,"Plan2"}</definedName>
    <definedName name="kljsdje" localSheetId="12" hidden="1">{#N/A,#N/A,FALSE,"Plan1";#N/A,#N/A,FALSE,"Plan2"}</definedName>
    <definedName name="kljsdje" localSheetId="16" hidden="1">{#N/A,#N/A,FALSE,"Plan1";#N/A,#N/A,FALSE,"Plan2"}</definedName>
    <definedName name="kljsdje" localSheetId="0" hidden="1">{#N/A,#N/A,FALSE,"Plan1";#N/A,#N/A,FALSE,"Plan2"}</definedName>
    <definedName name="kljsdje" localSheetId="11" hidden="1">{#N/A,#N/A,FALSE,"Plan1";#N/A,#N/A,FALSE,"Plan2"}</definedName>
    <definedName name="kljsdje" localSheetId="13" hidden="1">{#N/A,#N/A,FALSE,"Plan1";#N/A,#N/A,FALSE,"Plan2"}</definedName>
    <definedName name="kljsdje" hidden="1">{#N/A,#N/A,FALSE,"Plan1";#N/A,#N/A,FALSE,"Plan2"}</definedName>
    <definedName name="kljsfwe" localSheetId="14" hidden="1">{#N/A,#N/A,FALSE,"Plan1";#N/A,#N/A,FALSE,"Plan2"}</definedName>
    <definedName name="kljsfwe" localSheetId="7" hidden="1">{#N/A,#N/A,FALSE,"Plan1";#N/A,#N/A,FALSE,"Plan2"}</definedName>
    <definedName name="kljsfwe" localSheetId="1" hidden="1">{#N/A,#N/A,FALSE,"Plan1";#N/A,#N/A,FALSE,"Plan2"}</definedName>
    <definedName name="kljsfwe" localSheetId="2" hidden="1">{#N/A,#N/A,FALSE,"Plan1";#N/A,#N/A,FALSE,"Plan2"}</definedName>
    <definedName name="kljsfwe" localSheetId="9" hidden="1">{#N/A,#N/A,FALSE,"Plan1";#N/A,#N/A,FALSE,"Plan2"}</definedName>
    <definedName name="kljsfwe" localSheetId="5" hidden="1">{#N/A,#N/A,FALSE,"Plan1";#N/A,#N/A,FALSE,"Plan2"}</definedName>
    <definedName name="kljsfwe" localSheetId="4" hidden="1">{#N/A,#N/A,FALSE,"Plan1";#N/A,#N/A,FALSE,"Plan2"}</definedName>
    <definedName name="kljsfwe" localSheetId="8" hidden="1">{#N/A,#N/A,FALSE,"Plan1";#N/A,#N/A,FALSE,"Plan2"}</definedName>
    <definedName name="kljsfwe" localSheetId="12" hidden="1">{#N/A,#N/A,FALSE,"Plan1";#N/A,#N/A,FALSE,"Plan2"}</definedName>
    <definedName name="kljsfwe" localSheetId="16" hidden="1">{#N/A,#N/A,FALSE,"Plan1";#N/A,#N/A,FALSE,"Plan2"}</definedName>
    <definedName name="kljsfwe" localSheetId="0" hidden="1">{#N/A,#N/A,FALSE,"Plan1";#N/A,#N/A,FALSE,"Plan2"}</definedName>
    <definedName name="kljsfwe" localSheetId="11" hidden="1">{#N/A,#N/A,FALSE,"Plan1";#N/A,#N/A,FALSE,"Plan2"}</definedName>
    <definedName name="kljsfwe" localSheetId="13" hidden="1">{#N/A,#N/A,FALSE,"Plan1";#N/A,#N/A,FALSE,"Plan2"}</definedName>
    <definedName name="kljsfwe" hidden="1">{#N/A,#N/A,FALSE,"Plan1";#N/A,#N/A,FALSE,"Plan2"}</definedName>
    <definedName name="klk" localSheetId="14" hidden="1">{#N/A,#N/A,FALSE,"Plan1";#N/A,#N/A,FALSE,"Plan2"}</definedName>
    <definedName name="klk" localSheetId="7" hidden="1">{#N/A,#N/A,FALSE,"Plan1";#N/A,#N/A,FALSE,"Plan2"}</definedName>
    <definedName name="klk" localSheetId="1" hidden="1">{#N/A,#N/A,FALSE,"Plan1";#N/A,#N/A,FALSE,"Plan2"}</definedName>
    <definedName name="klk" localSheetId="2" hidden="1">{#N/A,#N/A,FALSE,"Plan1";#N/A,#N/A,FALSE,"Plan2"}</definedName>
    <definedName name="klk" localSheetId="9" hidden="1">{#N/A,#N/A,FALSE,"Plan1";#N/A,#N/A,FALSE,"Plan2"}</definedName>
    <definedName name="klk" localSheetId="5" hidden="1">{#N/A,#N/A,FALSE,"Plan1";#N/A,#N/A,FALSE,"Plan2"}</definedName>
    <definedName name="klk" localSheetId="4" hidden="1">{#N/A,#N/A,FALSE,"Plan1";#N/A,#N/A,FALSE,"Plan2"}</definedName>
    <definedName name="klk" localSheetId="8" hidden="1">{#N/A,#N/A,FALSE,"Plan1";#N/A,#N/A,FALSE,"Plan2"}</definedName>
    <definedName name="klk" localSheetId="12" hidden="1">{#N/A,#N/A,FALSE,"Plan1";#N/A,#N/A,FALSE,"Plan2"}</definedName>
    <definedName name="klk" localSheetId="16" hidden="1">{#N/A,#N/A,FALSE,"Plan1";#N/A,#N/A,FALSE,"Plan2"}</definedName>
    <definedName name="klk" localSheetId="0" hidden="1">{#N/A,#N/A,FALSE,"Plan1";#N/A,#N/A,FALSE,"Plan2"}</definedName>
    <definedName name="klk" localSheetId="11" hidden="1">{#N/A,#N/A,FALSE,"Plan1";#N/A,#N/A,FALSE,"Plan2"}</definedName>
    <definedName name="klk" localSheetId="13" hidden="1">{#N/A,#N/A,FALSE,"Plan1";#N/A,#N/A,FALSE,"Plan2"}</definedName>
    <definedName name="klk" hidden="1">{#N/A,#N/A,FALSE,"Plan1";#N/A,#N/A,FALSE,"Plan2"}</definedName>
    <definedName name="KLKKLKÇJÇ" localSheetId="14" hidden="1">{#N/A,#N/A,FALSE,"Plan1";#N/A,#N/A,FALSE,"Plan2"}</definedName>
    <definedName name="KLKKLKÇJÇ" localSheetId="7" hidden="1">{#N/A,#N/A,FALSE,"Plan1";#N/A,#N/A,FALSE,"Plan2"}</definedName>
    <definedName name="KLKKLKÇJÇ" localSheetId="1" hidden="1">{#N/A,#N/A,FALSE,"Plan1";#N/A,#N/A,FALSE,"Plan2"}</definedName>
    <definedName name="KLKKLKÇJÇ" localSheetId="2" hidden="1">{#N/A,#N/A,FALSE,"Plan1";#N/A,#N/A,FALSE,"Plan2"}</definedName>
    <definedName name="KLKKLKÇJÇ" localSheetId="9" hidden="1">{#N/A,#N/A,FALSE,"Plan1";#N/A,#N/A,FALSE,"Plan2"}</definedName>
    <definedName name="KLKKLKÇJÇ" localSheetId="5" hidden="1">{#N/A,#N/A,FALSE,"Plan1";#N/A,#N/A,FALSE,"Plan2"}</definedName>
    <definedName name="KLKKLKÇJÇ" localSheetId="4" hidden="1">{#N/A,#N/A,FALSE,"Plan1";#N/A,#N/A,FALSE,"Plan2"}</definedName>
    <definedName name="KLKKLKÇJÇ" localSheetId="8" hidden="1">{#N/A,#N/A,FALSE,"Plan1";#N/A,#N/A,FALSE,"Plan2"}</definedName>
    <definedName name="KLKKLKÇJÇ" localSheetId="12" hidden="1">{#N/A,#N/A,FALSE,"Plan1";#N/A,#N/A,FALSE,"Plan2"}</definedName>
    <definedName name="KLKKLKÇJÇ" localSheetId="16" hidden="1">{#N/A,#N/A,FALSE,"Plan1";#N/A,#N/A,FALSE,"Plan2"}</definedName>
    <definedName name="KLKKLKÇJÇ" localSheetId="0" hidden="1">{#N/A,#N/A,FALSE,"Plan1";#N/A,#N/A,FALSE,"Plan2"}</definedName>
    <definedName name="KLKKLKÇJÇ" localSheetId="11" hidden="1">{#N/A,#N/A,FALSE,"Plan1";#N/A,#N/A,FALSE,"Plan2"}</definedName>
    <definedName name="KLKKLKÇJÇ" localSheetId="13" hidden="1">{#N/A,#N/A,FALSE,"Plan1";#N/A,#N/A,FALSE,"Plan2"}</definedName>
    <definedName name="KLKKLKÇJÇ" hidden="1">{#N/A,#N/A,FALSE,"Plan1";#N/A,#N/A,FALSE,"Plan2"}</definedName>
    <definedName name="KLSDFT" localSheetId="14" hidden="1">{#N/A,#N/A,FALSE,"Plan1";#N/A,#N/A,FALSE,"Plan2"}</definedName>
    <definedName name="KLSDFT" localSheetId="7" hidden="1">{#N/A,#N/A,FALSE,"Plan1";#N/A,#N/A,FALSE,"Plan2"}</definedName>
    <definedName name="KLSDFT" localSheetId="1" hidden="1">{#N/A,#N/A,FALSE,"Plan1";#N/A,#N/A,FALSE,"Plan2"}</definedName>
    <definedName name="KLSDFT" localSheetId="2" hidden="1">{#N/A,#N/A,FALSE,"Plan1";#N/A,#N/A,FALSE,"Plan2"}</definedName>
    <definedName name="KLSDFT" localSheetId="9" hidden="1">{#N/A,#N/A,FALSE,"Plan1";#N/A,#N/A,FALSE,"Plan2"}</definedName>
    <definedName name="KLSDFT" localSheetId="5" hidden="1">{#N/A,#N/A,FALSE,"Plan1";#N/A,#N/A,FALSE,"Plan2"}</definedName>
    <definedName name="KLSDFT" localSheetId="4" hidden="1">{#N/A,#N/A,FALSE,"Plan1";#N/A,#N/A,FALSE,"Plan2"}</definedName>
    <definedName name="KLSDFT" localSheetId="8" hidden="1">{#N/A,#N/A,FALSE,"Plan1";#N/A,#N/A,FALSE,"Plan2"}</definedName>
    <definedName name="KLSDFT" localSheetId="12" hidden="1">{#N/A,#N/A,FALSE,"Plan1";#N/A,#N/A,FALSE,"Plan2"}</definedName>
    <definedName name="KLSDFT" localSheetId="16" hidden="1">{#N/A,#N/A,FALSE,"Plan1";#N/A,#N/A,FALSE,"Plan2"}</definedName>
    <definedName name="KLSDFT" localSheetId="0" hidden="1">{#N/A,#N/A,FALSE,"Plan1";#N/A,#N/A,FALSE,"Plan2"}</definedName>
    <definedName name="KLSDFT" localSheetId="11" hidden="1">{#N/A,#N/A,FALSE,"Plan1";#N/A,#N/A,FALSE,"Plan2"}</definedName>
    <definedName name="KLSDFT" localSheetId="13" hidden="1">{#N/A,#N/A,FALSE,"Plan1";#N/A,#N/A,FALSE,"Plan2"}</definedName>
    <definedName name="KLSDFT" hidden="1">{#N/A,#N/A,FALSE,"Plan1";#N/A,#N/A,FALSE,"Plan2"}</definedName>
    <definedName name="KLSDHSJKHF" localSheetId="14" hidden="1">{#N/A,#N/A,FALSE,"Plan1";#N/A,#N/A,FALSE,"Plan2"}</definedName>
    <definedName name="KLSDHSJKHF" localSheetId="7" hidden="1">{#N/A,#N/A,FALSE,"Plan1";#N/A,#N/A,FALSE,"Plan2"}</definedName>
    <definedName name="KLSDHSJKHF" localSheetId="1" hidden="1">{#N/A,#N/A,FALSE,"Plan1";#N/A,#N/A,FALSE,"Plan2"}</definedName>
    <definedName name="KLSDHSJKHF" localSheetId="2" hidden="1">{#N/A,#N/A,FALSE,"Plan1";#N/A,#N/A,FALSE,"Plan2"}</definedName>
    <definedName name="KLSDHSJKHF" localSheetId="9" hidden="1">{#N/A,#N/A,FALSE,"Plan1";#N/A,#N/A,FALSE,"Plan2"}</definedName>
    <definedName name="KLSDHSJKHF" localSheetId="5" hidden="1">{#N/A,#N/A,FALSE,"Plan1";#N/A,#N/A,FALSE,"Plan2"}</definedName>
    <definedName name="KLSDHSJKHF" localSheetId="4" hidden="1">{#N/A,#N/A,FALSE,"Plan1";#N/A,#N/A,FALSE,"Plan2"}</definedName>
    <definedName name="KLSDHSJKHF" localSheetId="8" hidden="1">{#N/A,#N/A,FALSE,"Plan1";#N/A,#N/A,FALSE,"Plan2"}</definedName>
    <definedName name="KLSDHSJKHF" localSheetId="12" hidden="1">{#N/A,#N/A,FALSE,"Plan1";#N/A,#N/A,FALSE,"Plan2"}</definedName>
    <definedName name="KLSDHSJKHF" localSheetId="16" hidden="1">{#N/A,#N/A,FALSE,"Plan1";#N/A,#N/A,FALSE,"Plan2"}</definedName>
    <definedName name="KLSDHSJKHF" localSheetId="0" hidden="1">{#N/A,#N/A,FALSE,"Plan1";#N/A,#N/A,FALSE,"Plan2"}</definedName>
    <definedName name="KLSDHSJKHF" localSheetId="11" hidden="1">{#N/A,#N/A,FALSE,"Plan1";#N/A,#N/A,FALSE,"Plan2"}</definedName>
    <definedName name="KLSDHSJKHF" localSheetId="13" hidden="1">{#N/A,#N/A,FALSE,"Plan1";#N/A,#N/A,FALSE,"Plan2"}</definedName>
    <definedName name="KLSDHSJKHF" hidden="1">{#N/A,#N/A,FALSE,"Plan1";#N/A,#N/A,FALSE,"Plan2"}</definedName>
    <definedName name="klsdkre" localSheetId="14" hidden="1">{#N/A,#N/A,FALSE,"Plan1";#N/A,#N/A,FALSE,"Plan2"}</definedName>
    <definedName name="klsdkre" localSheetId="7" hidden="1">{#N/A,#N/A,FALSE,"Plan1";#N/A,#N/A,FALSE,"Plan2"}</definedName>
    <definedName name="klsdkre" localSheetId="1" hidden="1">{#N/A,#N/A,FALSE,"Plan1";#N/A,#N/A,FALSE,"Plan2"}</definedName>
    <definedName name="klsdkre" localSheetId="2" hidden="1">{#N/A,#N/A,FALSE,"Plan1";#N/A,#N/A,FALSE,"Plan2"}</definedName>
    <definedName name="klsdkre" localSheetId="9" hidden="1">{#N/A,#N/A,FALSE,"Plan1";#N/A,#N/A,FALSE,"Plan2"}</definedName>
    <definedName name="klsdkre" localSheetId="5" hidden="1">{#N/A,#N/A,FALSE,"Plan1";#N/A,#N/A,FALSE,"Plan2"}</definedName>
    <definedName name="klsdkre" localSheetId="4" hidden="1">{#N/A,#N/A,FALSE,"Plan1";#N/A,#N/A,FALSE,"Plan2"}</definedName>
    <definedName name="klsdkre" localSheetId="8" hidden="1">{#N/A,#N/A,FALSE,"Plan1";#N/A,#N/A,FALSE,"Plan2"}</definedName>
    <definedName name="klsdkre" localSheetId="12" hidden="1">{#N/A,#N/A,FALSE,"Plan1";#N/A,#N/A,FALSE,"Plan2"}</definedName>
    <definedName name="klsdkre" localSheetId="16" hidden="1">{#N/A,#N/A,FALSE,"Plan1";#N/A,#N/A,FALSE,"Plan2"}</definedName>
    <definedName name="klsdkre" localSheetId="0" hidden="1">{#N/A,#N/A,FALSE,"Plan1";#N/A,#N/A,FALSE,"Plan2"}</definedName>
    <definedName name="klsdkre" localSheetId="11" hidden="1">{#N/A,#N/A,FALSE,"Plan1";#N/A,#N/A,FALSE,"Plan2"}</definedName>
    <definedName name="klsdkre" localSheetId="13" hidden="1">{#N/A,#N/A,FALSE,"Plan1";#N/A,#N/A,FALSE,"Plan2"}</definedName>
    <definedName name="klsdkre" hidden="1">{#N/A,#N/A,FALSE,"Plan1";#N/A,#N/A,FALSE,"Plan2"}</definedName>
    <definedName name="KLSIDJE" localSheetId="14" hidden="1">{#N/A,#N/A,FALSE,"Plan1";#N/A,#N/A,FALSE,"Plan2"}</definedName>
    <definedName name="KLSIDJE" localSheetId="7" hidden="1">{#N/A,#N/A,FALSE,"Plan1";#N/A,#N/A,FALSE,"Plan2"}</definedName>
    <definedName name="KLSIDJE" localSheetId="1" hidden="1">{#N/A,#N/A,FALSE,"Plan1";#N/A,#N/A,FALSE,"Plan2"}</definedName>
    <definedName name="KLSIDJE" localSheetId="2" hidden="1">{#N/A,#N/A,FALSE,"Plan1";#N/A,#N/A,FALSE,"Plan2"}</definedName>
    <definedName name="KLSIDJE" localSheetId="9" hidden="1">{#N/A,#N/A,FALSE,"Plan1";#N/A,#N/A,FALSE,"Plan2"}</definedName>
    <definedName name="KLSIDJE" localSheetId="5" hidden="1">{#N/A,#N/A,FALSE,"Plan1";#N/A,#N/A,FALSE,"Plan2"}</definedName>
    <definedName name="KLSIDJE" localSheetId="4" hidden="1">{#N/A,#N/A,FALSE,"Plan1";#N/A,#N/A,FALSE,"Plan2"}</definedName>
    <definedName name="KLSIDJE" localSheetId="8" hidden="1">{#N/A,#N/A,FALSE,"Plan1";#N/A,#N/A,FALSE,"Plan2"}</definedName>
    <definedName name="KLSIDJE" localSheetId="12" hidden="1">{#N/A,#N/A,FALSE,"Plan1";#N/A,#N/A,FALSE,"Plan2"}</definedName>
    <definedName name="KLSIDJE" localSheetId="16" hidden="1">{#N/A,#N/A,FALSE,"Plan1";#N/A,#N/A,FALSE,"Plan2"}</definedName>
    <definedName name="KLSIDJE" localSheetId="0" hidden="1">{#N/A,#N/A,FALSE,"Plan1";#N/A,#N/A,FALSE,"Plan2"}</definedName>
    <definedName name="KLSIDJE" localSheetId="11" hidden="1">{#N/A,#N/A,FALSE,"Plan1";#N/A,#N/A,FALSE,"Plan2"}</definedName>
    <definedName name="KLSIDJE" localSheetId="13" hidden="1">{#N/A,#N/A,FALSE,"Plan1";#N/A,#N/A,FALSE,"Plan2"}</definedName>
    <definedName name="KLSIDJE" hidden="1">{#N/A,#N/A,FALSE,"Plan1";#N/A,#N/A,FALSE,"Plan2"}</definedName>
    <definedName name="klsjarsf" localSheetId="14" hidden="1">{#N/A,#N/A,FALSE,"Plan1";#N/A,#N/A,FALSE,"Plan2"}</definedName>
    <definedName name="klsjarsf" localSheetId="7" hidden="1">{#N/A,#N/A,FALSE,"Plan1";#N/A,#N/A,FALSE,"Plan2"}</definedName>
    <definedName name="klsjarsf" localSheetId="1" hidden="1">{#N/A,#N/A,FALSE,"Plan1";#N/A,#N/A,FALSE,"Plan2"}</definedName>
    <definedName name="klsjarsf" localSheetId="2" hidden="1">{#N/A,#N/A,FALSE,"Plan1";#N/A,#N/A,FALSE,"Plan2"}</definedName>
    <definedName name="klsjarsf" localSheetId="9" hidden="1">{#N/A,#N/A,FALSE,"Plan1";#N/A,#N/A,FALSE,"Plan2"}</definedName>
    <definedName name="klsjarsf" localSheetId="5" hidden="1">{#N/A,#N/A,FALSE,"Plan1";#N/A,#N/A,FALSE,"Plan2"}</definedName>
    <definedName name="klsjarsf" localSheetId="4" hidden="1">{#N/A,#N/A,FALSE,"Plan1";#N/A,#N/A,FALSE,"Plan2"}</definedName>
    <definedName name="klsjarsf" localSheetId="8" hidden="1">{#N/A,#N/A,FALSE,"Plan1";#N/A,#N/A,FALSE,"Plan2"}</definedName>
    <definedName name="klsjarsf" localSheetId="12" hidden="1">{#N/A,#N/A,FALSE,"Plan1";#N/A,#N/A,FALSE,"Plan2"}</definedName>
    <definedName name="klsjarsf" localSheetId="16" hidden="1">{#N/A,#N/A,FALSE,"Plan1";#N/A,#N/A,FALSE,"Plan2"}</definedName>
    <definedName name="klsjarsf" localSheetId="0" hidden="1">{#N/A,#N/A,FALSE,"Plan1";#N/A,#N/A,FALSE,"Plan2"}</definedName>
    <definedName name="klsjarsf" localSheetId="11" hidden="1">{#N/A,#N/A,FALSE,"Plan1";#N/A,#N/A,FALSE,"Plan2"}</definedName>
    <definedName name="klsjarsf" localSheetId="13" hidden="1">{#N/A,#N/A,FALSE,"Plan1";#N/A,#N/A,FALSE,"Plan2"}</definedName>
    <definedName name="klsjarsf" hidden="1">{#N/A,#N/A,FALSE,"Plan1";#N/A,#N/A,FALSE,"Plan2"}</definedName>
    <definedName name="klsjdwe" localSheetId="2" hidden="1">#REF!</definedName>
    <definedName name="klsjdwe" localSheetId="5" hidden="1">#REF!</definedName>
    <definedName name="klsjdwe" localSheetId="0" hidden="1">#REF!</definedName>
    <definedName name="klsjdwe" hidden="1">#REF!</definedName>
    <definedName name="klxhjfdkhser" localSheetId="14" hidden="1">{#N/A,#N/A,FALSE,"Plan1";#N/A,#N/A,FALSE,"Plan2"}</definedName>
    <definedName name="klxhjfdkhser" localSheetId="7" hidden="1">{#N/A,#N/A,FALSE,"Plan1";#N/A,#N/A,FALSE,"Plan2"}</definedName>
    <definedName name="klxhjfdkhser" localSheetId="1" hidden="1">{#N/A,#N/A,FALSE,"Plan1";#N/A,#N/A,FALSE,"Plan2"}</definedName>
    <definedName name="klxhjfdkhser" localSheetId="2" hidden="1">{#N/A,#N/A,FALSE,"Plan1";#N/A,#N/A,FALSE,"Plan2"}</definedName>
    <definedName name="klxhjfdkhser" localSheetId="9" hidden="1">{#N/A,#N/A,FALSE,"Plan1";#N/A,#N/A,FALSE,"Plan2"}</definedName>
    <definedName name="klxhjfdkhser" localSheetId="5" hidden="1">{#N/A,#N/A,FALSE,"Plan1";#N/A,#N/A,FALSE,"Plan2"}</definedName>
    <definedName name="klxhjfdkhser" localSheetId="4" hidden="1">{#N/A,#N/A,FALSE,"Plan1";#N/A,#N/A,FALSE,"Plan2"}</definedName>
    <definedName name="klxhjfdkhser" localSheetId="8" hidden="1">{#N/A,#N/A,FALSE,"Plan1";#N/A,#N/A,FALSE,"Plan2"}</definedName>
    <definedName name="klxhjfdkhser" localSheetId="12" hidden="1">{#N/A,#N/A,FALSE,"Plan1";#N/A,#N/A,FALSE,"Plan2"}</definedName>
    <definedName name="klxhjfdkhser" localSheetId="16" hidden="1">{#N/A,#N/A,FALSE,"Plan1";#N/A,#N/A,FALSE,"Plan2"}</definedName>
    <definedName name="klxhjfdkhser" localSheetId="0" hidden="1">{#N/A,#N/A,FALSE,"Plan1";#N/A,#N/A,FALSE,"Plan2"}</definedName>
    <definedName name="klxhjfdkhser" localSheetId="11" hidden="1">{#N/A,#N/A,FALSE,"Plan1";#N/A,#N/A,FALSE,"Plan2"}</definedName>
    <definedName name="klxhjfdkhser" localSheetId="13" hidden="1">{#N/A,#N/A,FALSE,"Plan1";#N/A,#N/A,FALSE,"Plan2"}</definedName>
    <definedName name="klxhjfdkhser" hidden="1">{#N/A,#N/A,FALSE,"Plan1";#N/A,#N/A,FALSE,"Plan2"}</definedName>
    <definedName name="kopipnsdfne" localSheetId="14" hidden="1">{#N/A,#N/A,FALSE,"Plan1";#N/A,#N/A,FALSE,"Plan2"}</definedName>
    <definedName name="kopipnsdfne" localSheetId="7" hidden="1">{#N/A,#N/A,FALSE,"Plan1";#N/A,#N/A,FALSE,"Plan2"}</definedName>
    <definedName name="kopipnsdfne" localSheetId="1" hidden="1">{#N/A,#N/A,FALSE,"Plan1";#N/A,#N/A,FALSE,"Plan2"}</definedName>
    <definedName name="kopipnsdfne" localSheetId="2" hidden="1">{#N/A,#N/A,FALSE,"Plan1";#N/A,#N/A,FALSE,"Plan2"}</definedName>
    <definedName name="kopipnsdfne" localSheetId="9" hidden="1">{#N/A,#N/A,FALSE,"Plan1";#N/A,#N/A,FALSE,"Plan2"}</definedName>
    <definedName name="kopipnsdfne" localSheetId="5" hidden="1">{#N/A,#N/A,FALSE,"Plan1";#N/A,#N/A,FALSE,"Plan2"}</definedName>
    <definedName name="kopipnsdfne" localSheetId="4" hidden="1">{#N/A,#N/A,FALSE,"Plan1";#N/A,#N/A,FALSE,"Plan2"}</definedName>
    <definedName name="kopipnsdfne" localSheetId="8" hidden="1">{#N/A,#N/A,FALSE,"Plan1";#N/A,#N/A,FALSE,"Plan2"}</definedName>
    <definedName name="kopipnsdfne" localSheetId="12" hidden="1">{#N/A,#N/A,FALSE,"Plan1";#N/A,#N/A,FALSE,"Plan2"}</definedName>
    <definedName name="kopipnsdfne" localSheetId="16" hidden="1">{#N/A,#N/A,FALSE,"Plan1";#N/A,#N/A,FALSE,"Plan2"}</definedName>
    <definedName name="kopipnsdfne" localSheetId="0" hidden="1">{#N/A,#N/A,FALSE,"Plan1";#N/A,#N/A,FALSE,"Plan2"}</definedName>
    <definedName name="kopipnsdfne" localSheetId="11" hidden="1">{#N/A,#N/A,FALSE,"Plan1";#N/A,#N/A,FALSE,"Plan2"}</definedName>
    <definedName name="kopipnsdfne" localSheetId="13" hidden="1">{#N/A,#N/A,FALSE,"Plan1";#N/A,#N/A,FALSE,"Plan2"}</definedName>
    <definedName name="kopipnsdfne" hidden="1">{#N/A,#N/A,FALSE,"Plan1";#N/A,#N/A,FALSE,"Plan2"}</definedName>
    <definedName name="kp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4" hidden="1">{#N/A,#N/A,FALSE,"Plan1";#N/A,#N/A,FALSE,"Plan2"}</definedName>
    <definedName name="KSDLDF" localSheetId="7" hidden="1">{#N/A,#N/A,FALSE,"Plan1";#N/A,#N/A,FALSE,"Plan2"}</definedName>
    <definedName name="KSDLDF" localSheetId="1" hidden="1">{#N/A,#N/A,FALSE,"Plan1";#N/A,#N/A,FALSE,"Plan2"}</definedName>
    <definedName name="KSDLDF" localSheetId="2" hidden="1">{#N/A,#N/A,FALSE,"Plan1";#N/A,#N/A,FALSE,"Plan2"}</definedName>
    <definedName name="KSDLDF" localSheetId="9" hidden="1">{#N/A,#N/A,FALSE,"Plan1";#N/A,#N/A,FALSE,"Plan2"}</definedName>
    <definedName name="KSDLDF" localSheetId="5" hidden="1">{#N/A,#N/A,FALSE,"Plan1";#N/A,#N/A,FALSE,"Plan2"}</definedName>
    <definedName name="KSDLDF" localSheetId="4" hidden="1">{#N/A,#N/A,FALSE,"Plan1";#N/A,#N/A,FALSE,"Plan2"}</definedName>
    <definedName name="KSDLDF" localSheetId="8" hidden="1">{#N/A,#N/A,FALSE,"Plan1";#N/A,#N/A,FALSE,"Plan2"}</definedName>
    <definedName name="KSDLDF" localSheetId="12" hidden="1">{#N/A,#N/A,FALSE,"Plan1";#N/A,#N/A,FALSE,"Plan2"}</definedName>
    <definedName name="KSDLDF" localSheetId="16" hidden="1">{#N/A,#N/A,FALSE,"Plan1";#N/A,#N/A,FALSE,"Plan2"}</definedName>
    <definedName name="KSDLDF" localSheetId="0" hidden="1">{#N/A,#N/A,FALSE,"Plan1";#N/A,#N/A,FALSE,"Plan2"}</definedName>
    <definedName name="KSDLDF" localSheetId="11" hidden="1">{#N/A,#N/A,FALSE,"Plan1";#N/A,#N/A,FALSE,"Plan2"}</definedName>
    <definedName name="KSDLDF" localSheetId="13" hidden="1">{#N/A,#N/A,FALSE,"Plan1";#N/A,#N/A,FALSE,"Plan2"}</definedName>
    <definedName name="KSDLDF" hidden="1">{#N/A,#N/A,FALSE,"Plan1";#N/A,#N/A,FALSE,"Plan2"}</definedName>
    <definedName name="ksdlkfsçzd" localSheetId="14" hidden="1">{#N/A,#N/A,FALSE,"Plan1";#N/A,#N/A,FALSE,"Plan2"}</definedName>
    <definedName name="ksdlkfsçzd" localSheetId="7" hidden="1">{#N/A,#N/A,FALSE,"Plan1";#N/A,#N/A,FALSE,"Plan2"}</definedName>
    <definedName name="ksdlkfsçzd" localSheetId="1" hidden="1">{#N/A,#N/A,FALSE,"Plan1";#N/A,#N/A,FALSE,"Plan2"}</definedName>
    <definedName name="ksdlkfsçzd" localSheetId="2" hidden="1">{#N/A,#N/A,FALSE,"Plan1";#N/A,#N/A,FALSE,"Plan2"}</definedName>
    <definedName name="ksdlkfsçzd" localSheetId="9" hidden="1">{#N/A,#N/A,FALSE,"Plan1";#N/A,#N/A,FALSE,"Plan2"}</definedName>
    <definedName name="ksdlkfsçzd" localSheetId="5" hidden="1">{#N/A,#N/A,FALSE,"Plan1";#N/A,#N/A,FALSE,"Plan2"}</definedName>
    <definedName name="ksdlkfsçzd" localSheetId="4" hidden="1">{#N/A,#N/A,FALSE,"Plan1";#N/A,#N/A,FALSE,"Plan2"}</definedName>
    <definedName name="ksdlkfsçzd" localSheetId="8" hidden="1">{#N/A,#N/A,FALSE,"Plan1";#N/A,#N/A,FALSE,"Plan2"}</definedName>
    <definedName name="ksdlkfsçzd" localSheetId="12" hidden="1">{#N/A,#N/A,FALSE,"Plan1";#N/A,#N/A,FALSE,"Plan2"}</definedName>
    <definedName name="ksdlkfsçzd" localSheetId="16" hidden="1">{#N/A,#N/A,FALSE,"Plan1";#N/A,#N/A,FALSE,"Plan2"}</definedName>
    <definedName name="ksdlkfsçzd" localSheetId="0" hidden="1">{#N/A,#N/A,FALSE,"Plan1";#N/A,#N/A,FALSE,"Plan2"}</definedName>
    <definedName name="ksdlkfsçzd" localSheetId="11" hidden="1">{#N/A,#N/A,FALSE,"Plan1";#N/A,#N/A,FALSE,"Plan2"}</definedName>
    <definedName name="ksdlkfsçzd" localSheetId="13" hidden="1">{#N/A,#N/A,FALSE,"Plan1";#N/A,#N/A,FALSE,"Plan2"}</definedName>
    <definedName name="ksdlkfsçzd" hidden="1">{#N/A,#N/A,FALSE,"Plan1";#N/A,#N/A,FALSE,"Plan2"}</definedName>
    <definedName name="KSDNFK" localSheetId="2">#REF!</definedName>
    <definedName name="KSDNFK" localSheetId="5">#REF!</definedName>
    <definedName name="KSDNFK">#REF!</definedName>
    <definedName name="ksdoçierfe" localSheetId="14" hidden="1">{#N/A,#N/A,FALSE,"Plan1";#N/A,#N/A,FALSE,"Plan2"}</definedName>
    <definedName name="ksdoçierfe" localSheetId="7" hidden="1">{#N/A,#N/A,FALSE,"Plan1";#N/A,#N/A,FALSE,"Plan2"}</definedName>
    <definedName name="ksdoçierfe" localSheetId="1" hidden="1">{#N/A,#N/A,FALSE,"Plan1";#N/A,#N/A,FALSE,"Plan2"}</definedName>
    <definedName name="ksdoçierfe" localSheetId="2" hidden="1">{#N/A,#N/A,FALSE,"Plan1";#N/A,#N/A,FALSE,"Plan2"}</definedName>
    <definedName name="ksdoçierfe" localSheetId="9" hidden="1">{#N/A,#N/A,FALSE,"Plan1";#N/A,#N/A,FALSE,"Plan2"}</definedName>
    <definedName name="ksdoçierfe" localSheetId="5" hidden="1">{#N/A,#N/A,FALSE,"Plan1";#N/A,#N/A,FALSE,"Plan2"}</definedName>
    <definedName name="ksdoçierfe" localSheetId="4" hidden="1">{#N/A,#N/A,FALSE,"Plan1";#N/A,#N/A,FALSE,"Plan2"}</definedName>
    <definedName name="ksdoçierfe" localSheetId="8" hidden="1">{#N/A,#N/A,FALSE,"Plan1";#N/A,#N/A,FALSE,"Plan2"}</definedName>
    <definedName name="ksdoçierfe" localSheetId="12" hidden="1">{#N/A,#N/A,FALSE,"Plan1";#N/A,#N/A,FALSE,"Plan2"}</definedName>
    <definedName name="ksdoçierfe" localSheetId="16" hidden="1">{#N/A,#N/A,FALSE,"Plan1";#N/A,#N/A,FALSE,"Plan2"}</definedName>
    <definedName name="ksdoçierfe" localSheetId="0" hidden="1">{#N/A,#N/A,FALSE,"Plan1";#N/A,#N/A,FALSE,"Plan2"}</definedName>
    <definedName name="ksdoçierfe" localSheetId="11" hidden="1">{#N/A,#N/A,FALSE,"Plan1";#N/A,#N/A,FALSE,"Plan2"}</definedName>
    <definedName name="ksdoçierfe" localSheetId="13" hidden="1">{#N/A,#N/A,FALSE,"Plan1";#N/A,#N/A,FALSE,"Plan2"}</definedName>
    <definedName name="ksdoçierfe" hidden="1">{#N/A,#N/A,FALSE,"Plan1";#N/A,#N/A,FALSE,"Plan2"}</definedName>
    <definedName name="ksdtrdrkf" localSheetId="14" hidden="1">{#N/A,#N/A,FALSE,"Plan1";#N/A,#N/A,FALSE,"Plan2"}</definedName>
    <definedName name="ksdtrdrkf" localSheetId="7" hidden="1">{#N/A,#N/A,FALSE,"Plan1";#N/A,#N/A,FALSE,"Plan2"}</definedName>
    <definedName name="ksdtrdrkf" localSheetId="1" hidden="1">{#N/A,#N/A,FALSE,"Plan1";#N/A,#N/A,FALSE,"Plan2"}</definedName>
    <definedName name="ksdtrdrkf" localSheetId="2" hidden="1">{#N/A,#N/A,FALSE,"Plan1";#N/A,#N/A,FALSE,"Plan2"}</definedName>
    <definedName name="ksdtrdrkf" localSheetId="9" hidden="1">{#N/A,#N/A,FALSE,"Plan1";#N/A,#N/A,FALSE,"Plan2"}</definedName>
    <definedName name="ksdtrdrkf" localSheetId="5" hidden="1">{#N/A,#N/A,FALSE,"Plan1";#N/A,#N/A,FALSE,"Plan2"}</definedName>
    <definedName name="ksdtrdrkf" localSheetId="4" hidden="1">{#N/A,#N/A,FALSE,"Plan1";#N/A,#N/A,FALSE,"Plan2"}</definedName>
    <definedName name="ksdtrdrkf" localSheetId="8" hidden="1">{#N/A,#N/A,FALSE,"Plan1";#N/A,#N/A,FALSE,"Plan2"}</definedName>
    <definedName name="ksdtrdrkf" localSheetId="12" hidden="1">{#N/A,#N/A,FALSE,"Plan1";#N/A,#N/A,FALSE,"Plan2"}</definedName>
    <definedName name="ksdtrdrkf" localSheetId="16" hidden="1">{#N/A,#N/A,FALSE,"Plan1";#N/A,#N/A,FALSE,"Plan2"}</definedName>
    <definedName name="ksdtrdrkf" localSheetId="0" hidden="1">{#N/A,#N/A,FALSE,"Plan1";#N/A,#N/A,FALSE,"Plan2"}</definedName>
    <definedName name="ksdtrdrkf" localSheetId="11" hidden="1">{#N/A,#N/A,FALSE,"Plan1";#N/A,#N/A,FALSE,"Plan2"}</definedName>
    <definedName name="ksdtrdrkf" localSheetId="13" hidden="1">{#N/A,#N/A,FALSE,"Plan1";#N/A,#N/A,FALSE,"Plan2"}</definedName>
    <definedName name="ksdtrdrkf" hidden="1">{#N/A,#N/A,FALSE,"Plan1";#N/A,#N/A,FALSE,"Plan2"}</definedName>
    <definedName name="KSFÇJDFJL" localSheetId="14" hidden="1">{#N/A,#N/A,FALSE,"Plan1";#N/A,#N/A,FALSE,"Plan2"}</definedName>
    <definedName name="KSFÇJDFJL" localSheetId="7" hidden="1">{#N/A,#N/A,FALSE,"Plan1";#N/A,#N/A,FALSE,"Plan2"}</definedName>
    <definedName name="KSFÇJDFJL" localSheetId="1" hidden="1">{#N/A,#N/A,FALSE,"Plan1";#N/A,#N/A,FALSE,"Plan2"}</definedName>
    <definedName name="KSFÇJDFJL" localSheetId="2" hidden="1">{#N/A,#N/A,FALSE,"Plan1";#N/A,#N/A,FALSE,"Plan2"}</definedName>
    <definedName name="KSFÇJDFJL" localSheetId="9" hidden="1">{#N/A,#N/A,FALSE,"Plan1";#N/A,#N/A,FALSE,"Plan2"}</definedName>
    <definedName name="KSFÇJDFJL" localSheetId="5" hidden="1">{#N/A,#N/A,FALSE,"Plan1";#N/A,#N/A,FALSE,"Plan2"}</definedName>
    <definedName name="KSFÇJDFJL" localSheetId="4" hidden="1">{#N/A,#N/A,FALSE,"Plan1";#N/A,#N/A,FALSE,"Plan2"}</definedName>
    <definedName name="KSFÇJDFJL" localSheetId="8" hidden="1">{#N/A,#N/A,FALSE,"Plan1";#N/A,#N/A,FALSE,"Plan2"}</definedName>
    <definedName name="KSFÇJDFJL" localSheetId="12" hidden="1">{#N/A,#N/A,FALSE,"Plan1";#N/A,#N/A,FALSE,"Plan2"}</definedName>
    <definedName name="KSFÇJDFJL" localSheetId="16" hidden="1">{#N/A,#N/A,FALSE,"Plan1";#N/A,#N/A,FALSE,"Plan2"}</definedName>
    <definedName name="KSFÇJDFJL" localSheetId="0" hidden="1">{#N/A,#N/A,FALSE,"Plan1";#N/A,#N/A,FALSE,"Plan2"}</definedName>
    <definedName name="KSFÇJDFJL" localSheetId="11" hidden="1">{#N/A,#N/A,FALSE,"Plan1";#N/A,#N/A,FALSE,"Plan2"}</definedName>
    <definedName name="KSFÇJDFJL" localSheetId="13" hidden="1">{#N/A,#N/A,FALSE,"Plan1";#N/A,#N/A,FALSE,"Plan2"}</definedName>
    <definedName name="KSFÇJDFJL" hidden="1">{#N/A,#N/A,FALSE,"Plan1";#N/A,#N/A,FALSE,"Plan2"}</definedName>
    <definedName name="ksfhse" localSheetId="14" hidden="1">{#N/A,#N/A,FALSE,"Plan1";#N/A,#N/A,FALSE,"Plan2"}</definedName>
    <definedName name="ksfhse" localSheetId="7" hidden="1">{#N/A,#N/A,FALSE,"Plan1";#N/A,#N/A,FALSE,"Plan2"}</definedName>
    <definedName name="ksfhse" localSheetId="1" hidden="1">{#N/A,#N/A,FALSE,"Plan1";#N/A,#N/A,FALSE,"Plan2"}</definedName>
    <definedName name="ksfhse" localSheetId="2" hidden="1">{#N/A,#N/A,FALSE,"Plan1";#N/A,#N/A,FALSE,"Plan2"}</definedName>
    <definedName name="ksfhse" localSheetId="9" hidden="1">{#N/A,#N/A,FALSE,"Plan1";#N/A,#N/A,FALSE,"Plan2"}</definedName>
    <definedName name="ksfhse" localSheetId="5" hidden="1">{#N/A,#N/A,FALSE,"Plan1";#N/A,#N/A,FALSE,"Plan2"}</definedName>
    <definedName name="ksfhse" localSheetId="4" hidden="1">{#N/A,#N/A,FALSE,"Plan1";#N/A,#N/A,FALSE,"Plan2"}</definedName>
    <definedName name="ksfhse" localSheetId="8" hidden="1">{#N/A,#N/A,FALSE,"Plan1";#N/A,#N/A,FALSE,"Plan2"}</definedName>
    <definedName name="ksfhse" localSheetId="12" hidden="1">{#N/A,#N/A,FALSE,"Plan1";#N/A,#N/A,FALSE,"Plan2"}</definedName>
    <definedName name="ksfhse" localSheetId="16" hidden="1">{#N/A,#N/A,FALSE,"Plan1";#N/A,#N/A,FALSE,"Plan2"}</definedName>
    <definedName name="ksfhse" localSheetId="0" hidden="1">{#N/A,#N/A,FALSE,"Plan1";#N/A,#N/A,FALSE,"Plan2"}</definedName>
    <definedName name="ksfhse" localSheetId="11" hidden="1">{#N/A,#N/A,FALSE,"Plan1";#N/A,#N/A,FALSE,"Plan2"}</definedName>
    <definedName name="ksfhse" localSheetId="13" hidden="1">{#N/A,#N/A,FALSE,"Plan1";#N/A,#N/A,FALSE,"Plan2"}</definedName>
    <definedName name="ksfhse" hidden="1">{#N/A,#N/A,FALSE,"Plan1";#N/A,#N/A,FALSE,"Plan2"}</definedName>
    <definedName name="KSRKOE" localSheetId="14" hidden="1">{#N/A,#N/A,FALSE,"Plan1";#N/A,#N/A,FALSE,"Plan2"}</definedName>
    <definedName name="KSRKOE" localSheetId="7" hidden="1">{#N/A,#N/A,FALSE,"Plan1";#N/A,#N/A,FALSE,"Plan2"}</definedName>
    <definedName name="KSRKOE" localSheetId="1" hidden="1">{#N/A,#N/A,FALSE,"Plan1";#N/A,#N/A,FALSE,"Plan2"}</definedName>
    <definedName name="KSRKOE" localSheetId="2" hidden="1">{#N/A,#N/A,FALSE,"Plan1";#N/A,#N/A,FALSE,"Plan2"}</definedName>
    <definedName name="KSRKOE" localSheetId="9" hidden="1">{#N/A,#N/A,FALSE,"Plan1";#N/A,#N/A,FALSE,"Plan2"}</definedName>
    <definedName name="KSRKOE" localSheetId="5" hidden="1">{#N/A,#N/A,FALSE,"Plan1";#N/A,#N/A,FALSE,"Plan2"}</definedName>
    <definedName name="KSRKOE" localSheetId="4" hidden="1">{#N/A,#N/A,FALSE,"Plan1";#N/A,#N/A,FALSE,"Plan2"}</definedName>
    <definedName name="KSRKOE" localSheetId="8" hidden="1">{#N/A,#N/A,FALSE,"Plan1";#N/A,#N/A,FALSE,"Plan2"}</definedName>
    <definedName name="KSRKOE" localSheetId="12" hidden="1">{#N/A,#N/A,FALSE,"Plan1";#N/A,#N/A,FALSE,"Plan2"}</definedName>
    <definedName name="KSRKOE" localSheetId="16" hidden="1">{#N/A,#N/A,FALSE,"Plan1";#N/A,#N/A,FALSE,"Plan2"}</definedName>
    <definedName name="KSRKOE" localSheetId="0" hidden="1">{#N/A,#N/A,FALSE,"Plan1";#N/A,#N/A,FALSE,"Plan2"}</definedName>
    <definedName name="KSRKOE" localSheetId="11" hidden="1">{#N/A,#N/A,FALSE,"Plan1";#N/A,#N/A,FALSE,"Plan2"}</definedName>
    <definedName name="KSRKOE" localSheetId="13" hidden="1">{#N/A,#N/A,FALSE,"Plan1";#N/A,#N/A,FALSE,"Plan2"}</definedName>
    <definedName name="KSRKOE" hidden="1">{#N/A,#N/A,FALSE,"Plan1";#N/A,#N/A,FALSE,"Plan2"}</definedName>
    <definedName name="KSWKE" localSheetId="14" hidden="1">{#N/A,#N/A,FALSE,"Plan1";#N/A,#N/A,FALSE,"Plan2"}</definedName>
    <definedName name="KSWKE" localSheetId="7" hidden="1">{#N/A,#N/A,FALSE,"Plan1";#N/A,#N/A,FALSE,"Plan2"}</definedName>
    <definedName name="KSWKE" localSheetId="1" hidden="1">{#N/A,#N/A,FALSE,"Plan1";#N/A,#N/A,FALSE,"Plan2"}</definedName>
    <definedName name="KSWKE" localSheetId="2" hidden="1">{#N/A,#N/A,FALSE,"Plan1";#N/A,#N/A,FALSE,"Plan2"}</definedName>
    <definedName name="KSWKE" localSheetId="9" hidden="1">{#N/A,#N/A,FALSE,"Plan1";#N/A,#N/A,FALSE,"Plan2"}</definedName>
    <definedName name="KSWKE" localSheetId="5" hidden="1">{#N/A,#N/A,FALSE,"Plan1";#N/A,#N/A,FALSE,"Plan2"}</definedName>
    <definedName name="KSWKE" localSheetId="4" hidden="1">{#N/A,#N/A,FALSE,"Plan1";#N/A,#N/A,FALSE,"Plan2"}</definedName>
    <definedName name="KSWKE" localSheetId="8" hidden="1">{#N/A,#N/A,FALSE,"Plan1";#N/A,#N/A,FALSE,"Plan2"}</definedName>
    <definedName name="KSWKE" localSheetId="12" hidden="1">{#N/A,#N/A,FALSE,"Plan1";#N/A,#N/A,FALSE,"Plan2"}</definedName>
    <definedName name="KSWKE" localSheetId="16" hidden="1">{#N/A,#N/A,FALSE,"Plan1";#N/A,#N/A,FALSE,"Plan2"}</definedName>
    <definedName name="KSWKE" localSheetId="0" hidden="1">{#N/A,#N/A,FALSE,"Plan1";#N/A,#N/A,FALSE,"Plan2"}</definedName>
    <definedName name="KSWKE" localSheetId="11" hidden="1">{#N/A,#N/A,FALSE,"Plan1";#N/A,#N/A,FALSE,"Plan2"}</definedName>
    <definedName name="KSWKE" localSheetId="13" hidden="1">{#N/A,#N/A,FALSE,"Plan1";#N/A,#N/A,FALSE,"Plan2"}</definedName>
    <definedName name="KSWKE" hidden="1">{#N/A,#N/A,FALSE,"Plan1";#N/A,#N/A,FALSE,"Plan2"}</definedName>
    <definedName name="kubus" localSheetId="2">#REF!</definedName>
    <definedName name="kubus" localSheetId="9">#REF!</definedName>
    <definedName name="kubus" localSheetId="5">#REF!</definedName>
    <definedName name="kubus" localSheetId="24">#REF!</definedName>
    <definedName name="kubus" localSheetId="23">#REF!</definedName>
    <definedName name="kubus">#REF!</definedName>
    <definedName name="kubus1" localSheetId="2">#REF!</definedName>
    <definedName name="kubus1" localSheetId="5">#REF!</definedName>
    <definedName name="kubus1" localSheetId="24">#REF!</definedName>
    <definedName name="kubus1" localSheetId="23">#REF!</definedName>
    <definedName name="kubus1">#REF!</definedName>
    <definedName name="kysdusf" localSheetId="14" hidden="1">{#N/A,#N/A,FALSE,"Plan1";#N/A,#N/A,FALSE,"Plan2"}</definedName>
    <definedName name="kysdusf" localSheetId="7" hidden="1">{#N/A,#N/A,FALSE,"Plan1";#N/A,#N/A,FALSE,"Plan2"}</definedName>
    <definedName name="kysdusf" localSheetId="1" hidden="1">{#N/A,#N/A,FALSE,"Plan1";#N/A,#N/A,FALSE,"Plan2"}</definedName>
    <definedName name="kysdusf" localSheetId="2" hidden="1">{#N/A,#N/A,FALSE,"Plan1";#N/A,#N/A,FALSE,"Plan2"}</definedName>
    <definedName name="kysdusf" localSheetId="9" hidden="1">{#N/A,#N/A,FALSE,"Plan1";#N/A,#N/A,FALSE,"Plan2"}</definedName>
    <definedName name="kysdusf" localSheetId="5" hidden="1">{#N/A,#N/A,FALSE,"Plan1";#N/A,#N/A,FALSE,"Plan2"}</definedName>
    <definedName name="kysdusf" localSheetId="4" hidden="1">{#N/A,#N/A,FALSE,"Plan1";#N/A,#N/A,FALSE,"Plan2"}</definedName>
    <definedName name="kysdusf" localSheetId="8" hidden="1">{#N/A,#N/A,FALSE,"Plan1";#N/A,#N/A,FALSE,"Plan2"}</definedName>
    <definedName name="kysdusf" localSheetId="12" hidden="1">{#N/A,#N/A,FALSE,"Plan1";#N/A,#N/A,FALSE,"Plan2"}</definedName>
    <definedName name="kysdusf" localSheetId="16" hidden="1">{#N/A,#N/A,FALSE,"Plan1";#N/A,#N/A,FALSE,"Plan2"}</definedName>
    <definedName name="kysdusf" localSheetId="0" hidden="1">{#N/A,#N/A,FALSE,"Plan1";#N/A,#N/A,FALSE,"Plan2"}</definedName>
    <definedName name="kysdusf" localSheetId="11" hidden="1">{#N/A,#N/A,FALSE,"Plan1";#N/A,#N/A,FALSE,"Plan2"}</definedName>
    <definedName name="kysdusf" localSheetId="13" hidden="1">{#N/A,#N/A,FALSE,"Plan1";#N/A,#N/A,FALSE,"Plan2"}</definedName>
    <definedName name="kysdusf" hidden="1">{#N/A,#N/A,FALSE,"Plan1";#N/A,#N/A,FALSE,"Plan2"}</definedName>
    <definedName name="kzslçdkçle" localSheetId="14" hidden="1">{#N/A,#N/A,FALSE,"Plan1";#N/A,#N/A,FALSE,"Plan2"}</definedName>
    <definedName name="kzslçdkçle" localSheetId="7" hidden="1">{#N/A,#N/A,FALSE,"Plan1";#N/A,#N/A,FALSE,"Plan2"}</definedName>
    <definedName name="kzslçdkçle" localSheetId="1" hidden="1">{#N/A,#N/A,FALSE,"Plan1";#N/A,#N/A,FALSE,"Plan2"}</definedName>
    <definedName name="kzslçdkçle" localSheetId="2" hidden="1">{#N/A,#N/A,FALSE,"Plan1";#N/A,#N/A,FALSE,"Plan2"}</definedName>
    <definedName name="kzslçdkçle" localSheetId="9" hidden="1">{#N/A,#N/A,FALSE,"Plan1";#N/A,#N/A,FALSE,"Plan2"}</definedName>
    <definedName name="kzslçdkçle" localSheetId="5" hidden="1">{#N/A,#N/A,FALSE,"Plan1";#N/A,#N/A,FALSE,"Plan2"}</definedName>
    <definedName name="kzslçdkçle" localSheetId="4" hidden="1">{#N/A,#N/A,FALSE,"Plan1";#N/A,#N/A,FALSE,"Plan2"}</definedName>
    <definedName name="kzslçdkçle" localSheetId="8" hidden="1">{#N/A,#N/A,FALSE,"Plan1";#N/A,#N/A,FALSE,"Plan2"}</definedName>
    <definedName name="kzslçdkçle" localSheetId="12" hidden="1">{#N/A,#N/A,FALSE,"Plan1";#N/A,#N/A,FALSE,"Plan2"}</definedName>
    <definedName name="kzslçdkçle" localSheetId="16" hidden="1">{#N/A,#N/A,FALSE,"Plan1";#N/A,#N/A,FALSE,"Plan2"}</definedName>
    <definedName name="kzslçdkçle" localSheetId="0" hidden="1">{#N/A,#N/A,FALSE,"Plan1";#N/A,#N/A,FALSE,"Plan2"}</definedName>
    <definedName name="kzslçdkçle" localSheetId="11" hidden="1">{#N/A,#N/A,FALSE,"Plan1";#N/A,#N/A,FALSE,"Plan2"}</definedName>
    <definedName name="kzslçdkçle" localSheetId="13" hidden="1">{#N/A,#N/A,FALSE,"Plan1";#N/A,#N/A,FALSE,"Plan2"}</definedName>
    <definedName name="kzslçdkçle" hidden="1">{#N/A,#N/A,FALSE,"Plan1";#N/A,#N/A,FALSE,"Plan2"}</definedName>
    <definedName name="L_" localSheetId="2">#REF!</definedName>
    <definedName name="L_" localSheetId="9">#REF!</definedName>
    <definedName name="L_" localSheetId="5">#REF!</definedName>
    <definedName name="L_" localSheetId="24">#REF!</definedName>
    <definedName name="L_">#REF!</definedName>
    <definedName name="LAEKWRK" localSheetId="14" hidden="1">{#N/A,#N/A,FALSE,"Plan1";#N/A,#N/A,FALSE,"Plan2"}</definedName>
    <definedName name="LAEKWRK" localSheetId="7" hidden="1">{#N/A,#N/A,FALSE,"Plan1";#N/A,#N/A,FALSE,"Plan2"}</definedName>
    <definedName name="LAEKWRK" localSheetId="1" hidden="1">{#N/A,#N/A,FALSE,"Plan1";#N/A,#N/A,FALSE,"Plan2"}</definedName>
    <definedName name="LAEKWRK" localSheetId="2" hidden="1">{#N/A,#N/A,FALSE,"Plan1";#N/A,#N/A,FALSE,"Plan2"}</definedName>
    <definedName name="LAEKWRK" localSheetId="9" hidden="1">{#N/A,#N/A,FALSE,"Plan1";#N/A,#N/A,FALSE,"Plan2"}</definedName>
    <definedName name="LAEKWRK" localSheetId="5" hidden="1">{#N/A,#N/A,FALSE,"Plan1";#N/A,#N/A,FALSE,"Plan2"}</definedName>
    <definedName name="LAEKWRK" localSheetId="4" hidden="1">{#N/A,#N/A,FALSE,"Plan1";#N/A,#N/A,FALSE,"Plan2"}</definedName>
    <definedName name="LAEKWRK" localSheetId="8" hidden="1">{#N/A,#N/A,FALSE,"Plan1";#N/A,#N/A,FALSE,"Plan2"}</definedName>
    <definedName name="LAEKWRK" localSheetId="12" hidden="1">{#N/A,#N/A,FALSE,"Plan1";#N/A,#N/A,FALSE,"Plan2"}</definedName>
    <definedName name="LAEKWRK" localSheetId="16" hidden="1">{#N/A,#N/A,FALSE,"Plan1";#N/A,#N/A,FALSE,"Plan2"}</definedName>
    <definedName name="LAEKWRK" localSheetId="0" hidden="1">{#N/A,#N/A,FALSE,"Plan1";#N/A,#N/A,FALSE,"Plan2"}</definedName>
    <definedName name="LAEKWRK" localSheetId="11" hidden="1">{#N/A,#N/A,FALSE,"Plan1";#N/A,#N/A,FALSE,"Plan2"}</definedName>
    <definedName name="LAEKWRK" localSheetId="13" hidden="1">{#N/A,#N/A,FALSE,"Plan1";#N/A,#N/A,FALSE,"Plan2"}</definedName>
    <definedName name="LAEKWRK" hidden="1">{#N/A,#N/A,FALSE,"Plan1";#N/A,#N/A,FALSE,"Plan2"}</definedName>
    <definedName name="laeqwep" localSheetId="2" hidden="1">#REF!</definedName>
    <definedName name="laeqwep" localSheetId="5" hidden="1">#REF!</definedName>
    <definedName name="laeqwep" localSheetId="0" hidden="1">#REF!</definedName>
    <definedName name="laeqwep" hidden="1">#REF!</definedName>
    <definedName name="LAKDEWRF" localSheetId="14" hidden="1">{#N/A,#N/A,FALSE,"Plan1";#N/A,#N/A,FALSE,"Plan2"}</definedName>
    <definedName name="LAKDEWRF" localSheetId="7" hidden="1">{#N/A,#N/A,FALSE,"Plan1";#N/A,#N/A,FALSE,"Plan2"}</definedName>
    <definedName name="LAKDEWRF" localSheetId="1" hidden="1">{#N/A,#N/A,FALSE,"Plan1";#N/A,#N/A,FALSE,"Plan2"}</definedName>
    <definedName name="LAKDEWRF" localSheetId="2" hidden="1">{#N/A,#N/A,FALSE,"Plan1";#N/A,#N/A,FALSE,"Plan2"}</definedName>
    <definedName name="LAKDEWRF" localSheetId="9" hidden="1">{#N/A,#N/A,FALSE,"Plan1";#N/A,#N/A,FALSE,"Plan2"}</definedName>
    <definedName name="LAKDEWRF" localSheetId="5" hidden="1">{#N/A,#N/A,FALSE,"Plan1";#N/A,#N/A,FALSE,"Plan2"}</definedName>
    <definedName name="LAKDEWRF" localSheetId="4" hidden="1">{#N/A,#N/A,FALSE,"Plan1";#N/A,#N/A,FALSE,"Plan2"}</definedName>
    <definedName name="LAKDEWRF" localSheetId="8" hidden="1">{#N/A,#N/A,FALSE,"Plan1";#N/A,#N/A,FALSE,"Plan2"}</definedName>
    <definedName name="LAKDEWRF" localSheetId="12" hidden="1">{#N/A,#N/A,FALSE,"Plan1";#N/A,#N/A,FALSE,"Plan2"}</definedName>
    <definedName name="LAKDEWRF" localSheetId="16" hidden="1">{#N/A,#N/A,FALSE,"Plan1";#N/A,#N/A,FALSE,"Plan2"}</definedName>
    <definedName name="LAKDEWRF" localSheetId="0" hidden="1">{#N/A,#N/A,FALSE,"Plan1";#N/A,#N/A,FALSE,"Plan2"}</definedName>
    <definedName name="LAKDEWRF" localSheetId="11" hidden="1">{#N/A,#N/A,FALSE,"Plan1";#N/A,#N/A,FALSE,"Plan2"}</definedName>
    <definedName name="LAKDEWRF" localSheetId="13" hidden="1">{#N/A,#N/A,FALSE,"Plan1";#N/A,#N/A,FALSE,"Plan2"}</definedName>
    <definedName name="LAKDEWRF" hidden="1">{#N/A,#N/A,FALSE,"Plan1";#N/A,#N/A,FALSE,"Plan2"}</definedName>
    <definedName name="Lancamentos" localSheetId="2">#REF!</definedName>
    <definedName name="Lancamentos" localSheetId="5">#REF!</definedName>
    <definedName name="Lancamentos">#REF!</definedName>
    <definedName name="LARGURA" localSheetId="2">#REF!</definedName>
    <definedName name="LARGURA" localSheetId="5">#REF!</definedName>
    <definedName name="LARGURA" localSheetId="24">#REF!</definedName>
    <definedName name="LARGURA" localSheetId="23">#REF!</definedName>
    <definedName name="LARGURA">#REF!</definedName>
    <definedName name="LASÇDSRLF" localSheetId="14" hidden="1">{#N/A,#N/A,FALSE,"Plan1";#N/A,#N/A,FALSE,"Plan2"}</definedName>
    <definedName name="LASÇDSRLF" localSheetId="7" hidden="1">{#N/A,#N/A,FALSE,"Plan1";#N/A,#N/A,FALSE,"Plan2"}</definedName>
    <definedName name="LASÇDSRLF" localSheetId="1" hidden="1">{#N/A,#N/A,FALSE,"Plan1";#N/A,#N/A,FALSE,"Plan2"}</definedName>
    <definedName name="LASÇDSRLF" localSheetId="2" hidden="1">{#N/A,#N/A,FALSE,"Plan1";#N/A,#N/A,FALSE,"Plan2"}</definedName>
    <definedName name="LASÇDSRLF" localSheetId="9" hidden="1">{#N/A,#N/A,FALSE,"Plan1";#N/A,#N/A,FALSE,"Plan2"}</definedName>
    <definedName name="LASÇDSRLF" localSheetId="5" hidden="1">{#N/A,#N/A,FALSE,"Plan1";#N/A,#N/A,FALSE,"Plan2"}</definedName>
    <definedName name="LASÇDSRLF" localSheetId="4" hidden="1">{#N/A,#N/A,FALSE,"Plan1";#N/A,#N/A,FALSE,"Plan2"}</definedName>
    <definedName name="LASÇDSRLF" localSheetId="8" hidden="1">{#N/A,#N/A,FALSE,"Plan1";#N/A,#N/A,FALSE,"Plan2"}</definedName>
    <definedName name="LASÇDSRLF" localSheetId="12" hidden="1">{#N/A,#N/A,FALSE,"Plan1";#N/A,#N/A,FALSE,"Plan2"}</definedName>
    <definedName name="LASÇDSRLF" localSheetId="16" hidden="1">{#N/A,#N/A,FALSE,"Plan1";#N/A,#N/A,FALSE,"Plan2"}</definedName>
    <definedName name="LASÇDSRLF" localSheetId="0" hidden="1">{#N/A,#N/A,FALSE,"Plan1";#N/A,#N/A,FALSE,"Plan2"}</definedName>
    <definedName name="LASÇDSRLF" localSheetId="11" hidden="1">{#N/A,#N/A,FALSE,"Plan1";#N/A,#N/A,FALSE,"Plan2"}</definedName>
    <definedName name="LASÇDSRLF" localSheetId="13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14" hidden="1">{#N/A,#N/A,FALSE,"Plan1";#N/A,#N/A,FALSE,"Plan2"}</definedName>
    <definedName name="lasrlswer" localSheetId="7" hidden="1">{#N/A,#N/A,FALSE,"Plan1";#N/A,#N/A,FALSE,"Plan2"}</definedName>
    <definedName name="lasrlswer" localSheetId="1" hidden="1">{#N/A,#N/A,FALSE,"Plan1";#N/A,#N/A,FALSE,"Plan2"}</definedName>
    <definedName name="lasrlswer" localSheetId="2" hidden="1">{#N/A,#N/A,FALSE,"Plan1";#N/A,#N/A,FALSE,"Plan2"}</definedName>
    <definedName name="lasrlswer" localSheetId="9" hidden="1">{#N/A,#N/A,FALSE,"Plan1";#N/A,#N/A,FALSE,"Plan2"}</definedName>
    <definedName name="lasrlswer" localSheetId="5" hidden="1">{#N/A,#N/A,FALSE,"Plan1";#N/A,#N/A,FALSE,"Plan2"}</definedName>
    <definedName name="lasrlswer" localSheetId="4" hidden="1">{#N/A,#N/A,FALSE,"Plan1";#N/A,#N/A,FALSE,"Plan2"}</definedName>
    <definedName name="lasrlswer" localSheetId="8" hidden="1">{#N/A,#N/A,FALSE,"Plan1";#N/A,#N/A,FALSE,"Plan2"}</definedName>
    <definedName name="lasrlswer" localSheetId="12" hidden="1">{#N/A,#N/A,FALSE,"Plan1";#N/A,#N/A,FALSE,"Plan2"}</definedName>
    <definedName name="lasrlswer" localSheetId="16" hidden="1">{#N/A,#N/A,FALSE,"Plan1";#N/A,#N/A,FALSE,"Plan2"}</definedName>
    <definedName name="lasrlswer" localSheetId="0" hidden="1">{#N/A,#N/A,FALSE,"Plan1";#N/A,#N/A,FALSE,"Plan2"}</definedName>
    <definedName name="lasrlswer" localSheetId="11" hidden="1">{#N/A,#N/A,FALSE,"Plan1";#N/A,#N/A,FALSE,"Plan2"}</definedName>
    <definedName name="lasrlswer" localSheetId="13" hidden="1">{#N/A,#N/A,FALSE,"Plan1";#N/A,#N/A,FALSE,"Plan2"}</definedName>
    <definedName name="lasrlswer" hidden="1">{#N/A,#N/A,FALSE,"Plan1";#N/A,#N/A,FALSE,"Plan2"}</definedName>
    <definedName name="LAZER" localSheetId="2">#REF!</definedName>
    <definedName name="LAZER" localSheetId="5">#REF!</definedName>
    <definedName name="LAZER">#REF!</definedName>
    <definedName name="lbla1" localSheetId="2" hidden="1">#REF!</definedName>
    <definedName name="lbla1" localSheetId="5" hidden="1">#REF!</definedName>
    <definedName name="lbla1" hidden="1">#REF!</definedName>
    <definedName name="lbla10" localSheetId="2" hidden="1">#REF!</definedName>
    <definedName name="lbla10" localSheetId="5" hidden="1">#REF!</definedName>
    <definedName name="lbla10" hidden="1">#REF!</definedName>
    <definedName name="lbla11" localSheetId="2" hidden="1">#REF!</definedName>
    <definedName name="lbla11" localSheetId="5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14" hidden="1">{#N/A,#N/A,FALSE,"Plan1";#N/A,#N/A,FALSE,"Plan2"}</definedName>
    <definedName name="lçadple4r" localSheetId="7" hidden="1">{#N/A,#N/A,FALSE,"Plan1";#N/A,#N/A,FALSE,"Plan2"}</definedName>
    <definedName name="lçadple4r" localSheetId="1" hidden="1">{#N/A,#N/A,FALSE,"Plan1";#N/A,#N/A,FALSE,"Plan2"}</definedName>
    <definedName name="lçadple4r" localSheetId="2" hidden="1">{#N/A,#N/A,FALSE,"Plan1";#N/A,#N/A,FALSE,"Plan2"}</definedName>
    <definedName name="lçadple4r" localSheetId="9" hidden="1">{#N/A,#N/A,FALSE,"Plan1";#N/A,#N/A,FALSE,"Plan2"}</definedName>
    <definedName name="lçadple4r" localSheetId="5" hidden="1">{#N/A,#N/A,FALSE,"Plan1";#N/A,#N/A,FALSE,"Plan2"}</definedName>
    <definedName name="lçadple4r" localSheetId="4" hidden="1">{#N/A,#N/A,FALSE,"Plan1";#N/A,#N/A,FALSE,"Plan2"}</definedName>
    <definedName name="lçadple4r" localSheetId="8" hidden="1">{#N/A,#N/A,FALSE,"Plan1";#N/A,#N/A,FALSE,"Plan2"}</definedName>
    <definedName name="lçadple4r" localSheetId="12" hidden="1">{#N/A,#N/A,FALSE,"Plan1";#N/A,#N/A,FALSE,"Plan2"}</definedName>
    <definedName name="lçadple4r" localSheetId="16" hidden="1">{#N/A,#N/A,FALSE,"Plan1";#N/A,#N/A,FALSE,"Plan2"}</definedName>
    <definedName name="lçadple4r" localSheetId="0" hidden="1">{#N/A,#N/A,FALSE,"Plan1";#N/A,#N/A,FALSE,"Plan2"}</definedName>
    <definedName name="lçadple4r" localSheetId="11" hidden="1">{#N/A,#N/A,FALSE,"Plan1";#N/A,#N/A,FALSE,"Plan2"}</definedName>
    <definedName name="lçadple4r" localSheetId="13" hidden="1">{#N/A,#N/A,FALSE,"Plan1";#N/A,#N/A,FALSE,"Plan2"}</definedName>
    <definedName name="lçadple4r" hidden="1">{#N/A,#N/A,FALSE,"Plan1";#N/A,#N/A,FALSE,"Plan2"}</definedName>
    <definedName name="lçasser" localSheetId="14" hidden="1">{#N/A,#N/A,FALSE,"Plan1";#N/A,#N/A,FALSE,"Plan2"}</definedName>
    <definedName name="lçasser" localSheetId="7" hidden="1">{#N/A,#N/A,FALSE,"Plan1";#N/A,#N/A,FALSE,"Plan2"}</definedName>
    <definedName name="lçasser" localSheetId="1" hidden="1">{#N/A,#N/A,FALSE,"Plan1";#N/A,#N/A,FALSE,"Plan2"}</definedName>
    <definedName name="lçasser" localSheetId="2" hidden="1">{#N/A,#N/A,FALSE,"Plan1";#N/A,#N/A,FALSE,"Plan2"}</definedName>
    <definedName name="lçasser" localSheetId="9" hidden="1">{#N/A,#N/A,FALSE,"Plan1";#N/A,#N/A,FALSE,"Plan2"}</definedName>
    <definedName name="lçasser" localSheetId="5" hidden="1">{#N/A,#N/A,FALSE,"Plan1";#N/A,#N/A,FALSE,"Plan2"}</definedName>
    <definedName name="lçasser" localSheetId="4" hidden="1">{#N/A,#N/A,FALSE,"Plan1";#N/A,#N/A,FALSE,"Plan2"}</definedName>
    <definedName name="lçasser" localSheetId="8" hidden="1">{#N/A,#N/A,FALSE,"Plan1";#N/A,#N/A,FALSE,"Plan2"}</definedName>
    <definedName name="lçasser" localSheetId="12" hidden="1">{#N/A,#N/A,FALSE,"Plan1";#N/A,#N/A,FALSE,"Plan2"}</definedName>
    <definedName name="lçasser" localSheetId="16" hidden="1">{#N/A,#N/A,FALSE,"Plan1";#N/A,#N/A,FALSE,"Plan2"}</definedName>
    <definedName name="lçasser" localSheetId="0" hidden="1">{#N/A,#N/A,FALSE,"Plan1";#N/A,#N/A,FALSE,"Plan2"}</definedName>
    <definedName name="lçasser" localSheetId="11" hidden="1">{#N/A,#N/A,FALSE,"Plan1";#N/A,#N/A,FALSE,"Plan2"}</definedName>
    <definedName name="lçasser" localSheetId="13" hidden="1">{#N/A,#N/A,FALSE,"Plan1";#N/A,#N/A,FALSE,"Plan2"}</definedName>
    <definedName name="lçasser" hidden="1">{#N/A,#N/A,FALSE,"Plan1";#N/A,#N/A,FALSE,"Plan2"}</definedName>
    <definedName name="lcdgjtklfrn" localSheetId="14" hidden="1">{#N/A,#N/A,FALSE,"Plan1";#N/A,#N/A,FALSE,"Plan2"}</definedName>
    <definedName name="lcdgjtklfrn" localSheetId="7" hidden="1">{#N/A,#N/A,FALSE,"Plan1";#N/A,#N/A,FALSE,"Plan2"}</definedName>
    <definedName name="lcdgjtklfrn" localSheetId="1" hidden="1">{#N/A,#N/A,FALSE,"Plan1";#N/A,#N/A,FALSE,"Plan2"}</definedName>
    <definedName name="lcdgjtklfrn" localSheetId="2" hidden="1">{#N/A,#N/A,FALSE,"Plan1";#N/A,#N/A,FALSE,"Plan2"}</definedName>
    <definedName name="lcdgjtklfrn" localSheetId="9" hidden="1">{#N/A,#N/A,FALSE,"Plan1";#N/A,#N/A,FALSE,"Plan2"}</definedName>
    <definedName name="lcdgjtklfrn" localSheetId="5" hidden="1">{#N/A,#N/A,FALSE,"Plan1";#N/A,#N/A,FALSE,"Plan2"}</definedName>
    <definedName name="lcdgjtklfrn" localSheetId="4" hidden="1">{#N/A,#N/A,FALSE,"Plan1";#N/A,#N/A,FALSE,"Plan2"}</definedName>
    <definedName name="lcdgjtklfrn" localSheetId="8" hidden="1">{#N/A,#N/A,FALSE,"Plan1";#N/A,#N/A,FALSE,"Plan2"}</definedName>
    <definedName name="lcdgjtklfrn" localSheetId="12" hidden="1">{#N/A,#N/A,FALSE,"Plan1";#N/A,#N/A,FALSE,"Plan2"}</definedName>
    <definedName name="lcdgjtklfrn" localSheetId="16" hidden="1">{#N/A,#N/A,FALSE,"Plan1";#N/A,#N/A,FALSE,"Plan2"}</definedName>
    <definedName name="lcdgjtklfrn" localSheetId="0" hidden="1">{#N/A,#N/A,FALSE,"Plan1";#N/A,#N/A,FALSE,"Plan2"}</definedName>
    <definedName name="lcdgjtklfrn" localSheetId="11" hidden="1">{#N/A,#N/A,FALSE,"Plan1";#N/A,#N/A,FALSE,"Plan2"}</definedName>
    <definedName name="lcdgjtklfrn" localSheetId="13" hidden="1">{#N/A,#N/A,FALSE,"Plan1";#N/A,#N/A,FALSE,"Plan2"}</definedName>
    <definedName name="lcdgjtklfrn" hidden="1">{#N/A,#N/A,FALSE,"Plan1";#N/A,#N/A,FALSE,"Plan2"}</definedName>
    <definedName name="lçfklsdkçaer" localSheetId="14" hidden="1">{#N/A,#N/A,FALSE,"Plan1";#N/A,#N/A,FALSE,"Plan2"}</definedName>
    <definedName name="lçfklsdkçaer" localSheetId="7" hidden="1">{#N/A,#N/A,FALSE,"Plan1";#N/A,#N/A,FALSE,"Plan2"}</definedName>
    <definedName name="lçfklsdkçaer" localSheetId="1" hidden="1">{#N/A,#N/A,FALSE,"Plan1";#N/A,#N/A,FALSE,"Plan2"}</definedName>
    <definedName name="lçfklsdkçaer" localSheetId="2" hidden="1">{#N/A,#N/A,FALSE,"Plan1";#N/A,#N/A,FALSE,"Plan2"}</definedName>
    <definedName name="lçfklsdkçaer" localSheetId="9" hidden="1">{#N/A,#N/A,FALSE,"Plan1";#N/A,#N/A,FALSE,"Plan2"}</definedName>
    <definedName name="lçfklsdkçaer" localSheetId="5" hidden="1">{#N/A,#N/A,FALSE,"Plan1";#N/A,#N/A,FALSE,"Plan2"}</definedName>
    <definedName name="lçfklsdkçaer" localSheetId="4" hidden="1">{#N/A,#N/A,FALSE,"Plan1";#N/A,#N/A,FALSE,"Plan2"}</definedName>
    <definedName name="lçfklsdkçaer" localSheetId="8" hidden="1">{#N/A,#N/A,FALSE,"Plan1";#N/A,#N/A,FALSE,"Plan2"}</definedName>
    <definedName name="lçfklsdkçaer" localSheetId="12" hidden="1">{#N/A,#N/A,FALSE,"Plan1";#N/A,#N/A,FALSE,"Plan2"}</definedName>
    <definedName name="lçfklsdkçaer" localSheetId="16" hidden="1">{#N/A,#N/A,FALSE,"Plan1";#N/A,#N/A,FALSE,"Plan2"}</definedName>
    <definedName name="lçfklsdkçaer" localSheetId="0" hidden="1">{#N/A,#N/A,FALSE,"Plan1";#N/A,#N/A,FALSE,"Plan2"}</definedName>
    <definedName name="lçfklsdkçaer" localSheetId="11" hidden="1">{#N/A,#N/A,FALSE,"Plan1";#N/A,#N/A,FALSE,"Plan2"}</definedName>
    <definedName name="lçfklsdkçaer" localSheetId="13" hidden="1">{#N/A,#N/A,FALSE,"Plan1";#N/A,#N/A,FALSE,"Plan2"}</definedName>
    <definedName name="lçfklsdkçaer" hidden="1">{#N/A,#N/A,FALSE,"Plan1";#N/A,#N/A,FALSE,"Plan2"}</definedName>
    <definedName name="lçjkgf" localSheetId="14" hidden="1">{#N/A,#N/A,FALSE,"Plan1";#N/A,#N/A,FALSE,"Plan2"}</definedName>
    <definedName name="lçjkgf" localSheetId="7" hidden="1">{#N/A,#N/A,FALSE,"Plan1";#N/A,#N/A,FALSE,"Plan2"}</definedName>
    <definedName name="lçjkgf" localSheetId="1" hidden="1">{#N/A,#N/A,FALSE,"Plan1";#N/A,#N/A,FALSE,"Plan2"}</definedName>
    <definedName name="lçjkgf" localSheetId="2" hidden="1">{#N/A,#N/A,FALSE,"Plan1";#N/A,#N/A,FALSE,"Plan2"}</definedName>
    <definedName name="lçjkgf" localSheetId="9" hidden="1">{#N/A,#N/A,FALSE,"Plan1";#N/A,#N/A,FALSE,"Plan2"}</definedName>
    <definedName name="lçjkgf" localSheetId="5" hidden="1">{#N/A,#N/A,FALSE,"Plan1";#N/A,#N/A,FALSE,"Plan2"}</definedName>
    <definedName name="lçjkgf" localSheetId="4" hidden="1">{#N/A,#N/A,FALSE,"Plan1";#N/A,#N/A,FALSE,"Plan2"}</definedName>
    <definedName name="lçjkgf" localSheetId="8" hidden="1">{#N/A,#N/A,FALSE,"Plan1";#N/A,#N/A,FALSE,"Plan2"}</definedName>
    <definedName name="lçjkgf" localSheetId="12" hidden="1">{#N/A,#N/A,FALSE,"Plan1";#N/A,#N/A,FALSE,"Plan2"}</definedName>
    <definedName name="lçjkgf" localSheetId="16" hidden="1">{#N/A,#N/A,FALSE,"Plan1";#N/A,#N/A,FALSE,"Plan2"}</definedName>
    <definedName name="lçjkgf" localSheetId="0" hidden="1">{#N/A,#N/A,FALSE,"Plan1";#N/A,#N/A,FALSE,"Plan2"}</definedName>
    <definedName name="lçjkgf" localSheetId="11" hidden="1">{#N/A,#N/A,FALSE,"Plan1";#N/A,#N/A,FALSE,"Plan2"}</definedName>
    <definedName name="lçjkgf" localSheetId="13" hidden="1">{#N/A,#N/A,FALSE,"Plan1";#N/A,#N/A,FALSE,"Plan2"}</definedName>
    <definedName name="lçjkgf" hidden="1">{#N/A,#N/A,FALSE,"Plan1";#N/A,#N/A,FALSE,"Plan2"}</definedName>
    <definedName name="LÇJSLDFJ" localSheetId="14" hidden="1">{#N/A,#N/A,FALSE,"Plan1";#N/A,#N/A,FALSE,"Plan2"}</definedName>
    <definedName name="LÇJSLDFJ" localSheetId="7" hidden="1">{#N/A,#N/A,FALSE,"Plan1";#N/A,#N/A,FALSE,"Plan2"}</definedName>
    <definedName name="LÇJSLDFJ" localSheetId="1" hidden="1">{#N/A,#N/A,FALSE,"Plan1";#N/A,#N/A,FALSE,"Plan2"}</definedName>
    <definedName name="LÇJSLDFJ" localSheetId="2" hidden="1">{#N/A,#N/A,FALSE,"Plan1";#N/A,#N/A,FALSE,"Plan2"}</definedName>
    <definedName name="LÇJSLDFJ" localSheetId="9" hidden="1">{#N/A,#N/A,FALSE,"Plan1";#N/A,#N/A,FALSE,"Plan2"}</definedName>
    <definedName name="LÇJSLDFJ" localSheetId="5" hidden="1">{#N/A,#N/A,FALSE,"Plan1";#N/A,#N/A,FALSE,"Plan2"}</definedName>
    <definedName name="LÇJSLDFJ" localSheetId="4" hidden="1">{#N/A,#N/A,FALSE,"Plan1";#N/A,#N/A,FALSE,"Plan2"}</definedName>
    <definedName name="LÇJSLDFJ" localSheetId="8" hidden="1">{#N/A,#N/A,FALSE,"Plan1";#N/A,#N/A,FALSE,"Plan2"}</definedName>
    <definedName name="LÇJSLDFJ" localSheetId="12" hidden="1">{#N/A,#N/A,FALSE,"Plan1";#N/A,#N/A,FALSE,"Plan2"}</definedName>
    <definedName name="LÇJSLDFJ" localSheetId="16" hidden="1">{#N/A,#N/A,FALSE,"Plan1";#N/A,#N/A,FALSE,"Plan2"}</definedName>
    <definedName name="LÇJSLDFJ" localSheetId="0" hidden="1">{#N/A,#N/A,FALSE,"Plan1";#N/A,#N/A,FALSE,"Plan2"}</definedName>
    <definedName name="LÇJSLDFJ" localSheetId="11" hidden="1">{#N/A,#N/A,FALSE,"Plan1";#N/A,#N/A,FALSE,"Plan2"}</definedName>
    <definedName name="LÇJSLDFJ" localSheetId="13" hidden="1">{#N/A,#N/A,FALSE,"Plan1";#N/A,#N/A,FALSE,"Plan2"}</definedName>
    <definedName name="LÇJSLDFJ" hidden="1">{#N/A,#N/A,FALSE,"Plan1";#N/A,#N/A,FALSE,"Plan2"}</definedName>
    <definedName name="LÇKÇSDRLK" localSheetId="14" hidden="1">{#N/A,#N/A,FALSE,"Plan1";#N/A,#N/A,FALSE,"Plan2"}</definedName>
    <definedName name="LÇKÇSDRLK" localSheetId="7" hidden="1">{#N/A,#N/A,FALSE,"Plan1";#N/A,#N/A,FALSE,"Plan2"}</definedName>
    <definedName name="LÇKÇSDRLK" localSheetId="1" hidden="1">{#N/A,#N/A,FALSE,"Plan1";#N/A,#N/A,FALSE,"Plan2"}</definedName>
    <definedName name="LÇKÇSDRLK" localSheetId="2" hidden="1">{#N/A,#N/A,FALSE,"Plan1";#N/A,#N/A,FALSE,"Plan2"}</definedName>
    <definedName name="LÇKÇSDRLK" localSheetId="9" hidden="1">{#N/A,#N/A,FALSE,"Plan1";#N/A,#N/A,FALSE,"Plan2"}</definedName>
    <definedName name="LÇKÇSDRLK" localSheetId="5" hidden="1">{#N/A,#N/A,FALSE,"Plan1";#N/A,#N/A,FALSE,"Plan2"}</definedName>
    <definedName name="LÇKÇSDRLK" localSheetId="4" hidden="1">{#N/A,#N/A,FALSE,"Plan1";#N/A,#N/A,FALSE,"Plan2"}</definedName>
    <definedName name="LÇKÇSDRLK" localSheetId="8" hidden="1">{#N/A,#N/A,FALSE,"Plan1";#N/A,#N/A,FALSE,"Plan2"}</definedName>
    <definedName name="LÇKÇSDRLK" localSheetId="12" hidden="1">{#N/A,#N/A,FALSE,"Plan1";#N/A,#N/A,FALSE,"Plan2"}</definedName>
    <definedName name="LÇKÇSDRLK" localSheetId="16" hidden="1">{#N/A,#N/A,FALSE,"Plan1";#N/A,#N/A,FALSE,"Plan2"}</definedName>
    <definedName name="LÇKÇSDRLK" localSheetId="0" hidden="1">{#N/A,#N/A,FALSE,"Plan1";#N/A,#N/A,FALSE,"Plan2"}</definedName>
    <definedName name="LÇKÇSDRLK" localSheetId="11" hidden="1">{#N/A,#N/A,FALSE,"Plan1";#N/A,#N/A,FALSE,"Plan2"}</definedName>
    <definedName name="LÇKÇSDRLK" localSheetId="13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4" hidden="1">{#N/A,#N/A,FALSE,"Plan1";#N/A,#N/A,FALSE,"Plan2"}</definedName>
    <definedName name="lçlfklçdglfdgt" localSheetId="7" hidden="1">{#N/A,#N/A,FALSE,"Plan1";#N/A,#N/A,FALSE,"Plan2"}</definedName>
    <definedName name="lçlfklçdglfdgt" localSheetId="1" hidden="1">{#N/A,#N/A,FALSE,"Plan1";#N/A,#N/A,FALSE,"Plan2"}</definedName>
    <definedName name="lçlfklçdglfdgt" localSheetId="2" hidden="1">{#N/A,#N/A,FALSE,"Plan1";#N/A,#N/A,FALSE,"Plan2"}</definedName>
    <definedName name="lçlfklçdglfdgt" localSheetId="9" hidden="1">{#N/A,#N/A,FALSE,"Plan1";#N/A,#N/A,FALSE,"Plan2"}</definedName>
    <definedName name="lçlfklçdglfdgt" localSheetId="5" hidden="1">{#N/A,#N/A,FALSE,"Plan1";#N/A,#N/A,FALSE,"Plan2"}</definedName>
    <definedName name="lçlfklçdglfdgt" localSheetId="4" hidden="1">{#N/A,#N/A,FALSE,"Plan1";#N/A,#N/A,FALSE,"Plan2"}</definedName>
    <definedName name="lçlfklçdglfdgt" localSheetId="8" hidden="1">{#N/A,#N/A,FALSE,"Plan1";#N/A,#N/A,FALSE,"Plan2"}</definedName>
    <definedName name="lçlfklçdglfdgt" localSheetId="12" hidden="1">{#N/A,#N/A,FALSE,"Plan1";#N/A,#N/A,FALSE,"Plan2"}</definedName>
    <definedName name="lçlfklçdglfdgt" localSheetId="16" hidden="1">{#N/A,#N/A,FALSE,"Plan1";#N/A,#N/A,FALSE,"Plan2"}</definedName>
    <definedName name="lçlfklçdglfdgt" localSheetId="0" hidden="1">{#N/A,#N/A,FALSE,"Plan1";#N/A,#N/A,FALSE,"Plan2"}</definedName>
    <definedName name="lçlfklçdglfdgt" localSheetId="11" hidden="1">{#N/A,#N/A,FALSE,"Plan1";#N/A,#N/A,FALSE,"Plan2"}</definedName>
    <definedName name="lçlfklçdglfdgt" localSheetId="13" hidden="1">{#N/A,#N/A,FALSE,"Plan1";#N/A,#N/A,FALSE,"Plan2"}</definedName>
    <definedName name="lçlfklçdglfdgt" hidden="1">{#N/A,#N/A,FALSE,"Plan1";#N/A,#N/A,FALSE,"Plan2"}</definedName>
    <definedName name="lçslrr4r" localSheetId="14" hidden="1">{#N/A,#N/A,FALSE,"Plan1";#N/A,#N/A,FALSE,"Plan2"}</definedName>
    <definedName name="lçslrr4r" localSheetId="7" hidden="1">{#N/A,#N/A,FALSE,"Plan1";#N/A,#N/A,FALSE,"Plan2"}</definedName>
    <definedName name="lçslrr4r" localSheetId="1" hidden="1">{#N/A,#N/A,FALSE,"Plan1";#N/A,#N/A,FALSE,"Plan2"}</definedName>
    <definedName name="lçslrr4r" localSheetId="2" hidden="1">{#N/A,#N/A,FALSE,"Plan1";#N/A,#N/A,FALSE,"Plan2"}</definedName>
    <definedName name="lçslrr4r" localSheetId="9" hidden="1">{#N/A,#N/A,FALSE,"Plan1";#N/A,#N/A,FALSE,"Plan2"}</definedName>
    <definedName name="lçslrr4r" localSheetId="5" hidden="1">{#N/A,#N/A,FALSE,"Plan1";#N/A,#N/A,FALSE,"Plan2"}</definedName>
    <definedName name="lçslrr4r" localSheetId="4" hidden="1">{#N/A,#N/A,FALSE,"Plan1";#N/A,#N/A,FALSE,"Plan2"}</definedName>
    <definedName name="lçslrr4r" localSheetId="8" hidden="1">{#N/A,#N/A,FALSE,"Plan1";#N/A,#N/A,FALSE,"Plan2"}</definedName>
    <definedName name="lçslrr4r" localSheetId="12" hidden="1">{#N/A,#N/A,FALSE,"Plan1";#N/A,#N/A,FALSE,"Plan2"}</definedName>
    <definedName name="lçslrr4r" localSheetId="16" hidden="1">{#N/A,#N/A,FALSE,"Plan1";#N/A,#N/A,FALSE,"Plan2"}</definedName>
    <definedName name="lçslrr4r" localSheetId="0" hidden="1">{#N/A,#N/A,FALSE,"Plan1";#N/A,#N/A,FALSE,"Plan2"}</definedName>
    <definedName name="lçslrr4r" localSheetId="11" hidden="1">{#N/A,#N/A,FALSE,"Plan1";#N/A,#N/A,FALSE,"Plan2"}</definedName>
    <definedName name="lçslrr4r" localSheetId="13" hidden="1">{#N/A,#N/A,FALSE,"Plan1";#N/A,#N/A,FALSE,"Plan2"}</definedName>
    <definedName name="lçslrr4r" hidden="1">{#N/A,#N/A,FALSE,"Plan1";#N/A,#N/A,FALSE,"Plan2"}</definedName>
    <definedName name="ldfjgry" localSheetId="14" hidden="1">{#N/A,#N/A,FALSE,"Plan1";#N/A,#N/A,FALSE,"Plan2"}</definedName>
    <definedName name="ldfjgry" localSheetId="7" hidden="1">{#N/A,#N/A,FALSE,"Plan1";#N/A,#N/A,FALSE,"Plan2"}</definedName>
    <definedName name="ldfjgry" localSheetId="1" hidden="1">{#N/A,#N/A,FALSE,"Plan1";#N/A,#N/A,FALSE,"Plan2"}</definedName>
    <definedName name="ldfjgry" localSheetId="2" hidden="1">{#N/A,#N/A,FALSE,"Plan1";#N/A,#N/A,FALSE,"Plan2"}</definedName>
    <definedName name="ldfjgry" localSheetId="9" hidden="1">{#N/A,#N/A,FALSE,"Plan1";#N/A,#N/A,FALSE,"Plan2"}</definedName>
    <definedName name="ldfjgry" localSheetId="5" hidden="1">{#N/A,#N/A,FALSE,"Plan1";#N/A,#N/A,FALSE,"Plan2"}</definedName>
    <definedName name="ldfjgry" localSheetId="4" hidden="1">{#N/A,#N/A,FALSE,"Plan1";#N/A,#N/A,FALSE,"Plan2"}</definedName>
    <definedName name="ldfjgry" localSheetId="8" hidden="1">{#N/A,#N/A,FALSE,"Plan1";#N/A,#N/A,FALSE,"Plan2"}</definedName>
    <definedName name="ldfjgry" localSheetId="12" hidden="1">{#N/A,#N/A,FALSE,"Plan1";#N/A,#N/A,FALSE,"Plan2"}</definedName>
    <definedName name="ldfjgry" localSheetId="16" hidden="1">{#N/A,#N/A,FALSE,"Plan1";#N/A,#N/A,FALSE,"Plan2"}</definedName>
    <definedName name="ldfjgry" localSheetId="0" hidden="1">{#N/A,#N/A,FALSE,"Plan1";#N/A,#N/A,FALSE,"Plan2"}</definedName>
    <definedName name="ldfjgry" localSheetId="11" hidden="1">{#N/A,#N/A,FALSE,"Plan1";#N/A,#N/A,FALSE,"Plan2"}</definedName>
    <definedName name="ldfjgry" localSheetId="13" hidden="1">{#N/A,#N/A,FALSE,"Plan1";#N/A,#N/A,FALSE,"Plan2"}</definedName>
    <definedName name="ldfjgry" hidden="1">{#N/A,#N/A,FALSE,"Plan1";#N/A,#N/A,FALSE,"Plan2"}</definedName>
    <definedName name="ldfjgtilrf" localSheetId="14" hidden="1">{#N/A,#N/A,FALSE,"Plan1";#N/A,#N/A,FALSE,"Plan2"}</definedName>
    <definedName name="ldfjgtilrf" localSheetId="7" hidden="1">{#N/A,#N/A,FALSE,"Plan1";#N/A,#N/A,FALSE,"Plan2"}</definedName>
    <definedName name="ldfjgtilrf" localSheetId="1" hidden="1">{#N/A,#N/A,FALSE,"Plan1";#N/A,#N/A,FALSE,"Plan2"}</definedName>
    <definedName name="ldfjgtilrf" localSheetId="2" hidden="1">{#N/A,#N/A,FALSE,"Plan1";#N/A,#N/A,FALSE,"Plan2"}</definedName>
    <definedName name="ldfjgtilrf" localSheetId="9" hidden="1">{#N/A,#N/A,FALSE,"Plan1";#N/A,#N/A,FALSE,"Plan2"}</definedName>
    <definedName name="ldfjgtilrf" localSheetId="5" hidden="1">{#N/A,#N/A,FALSE,"Plan1";#N/A,#N/A,FALSE,"Plan2"}</definedName>
    <definedName name="ldfjgtilrf" localSheetId="4" hidden="1">{#N/A,#N/A,FALSE,"Plan1";#N/A,#N/A,FALSE,"Plan2"}</definedName>
    <definedName name="ldfjgtilrf" localSheetId="8" hidden="1">{#N/A,#N/A,FALSE,"Plan1";#N/A,#N/A,FALSE,"Plan2"}</definedName>
    <definedName name="ldfjgtilrf" localSheetId="12" hidden="1">{#N/A,#N/A,FALSE,"Plan1";#N/A,#N/A,FALSE,"Plan2"}</definedName>
    <definedName name="ldfjgtilrf" localSheetId="16" hidden="1">{#N/A,#N/A,FALSE,"Plan1";#N/A,#N/A,FALSE,"Plan2"}</definedName>
    <definedName name="ldfjgtilrf" localSheetId="0" hidden="1">{#N/A,#N/A,FALSE,"Plan1";#N/A,#N/A,FALSE,"Plan2"}</definedName>
    <definedName name="ldfjgtilrf" localSheetId="11" hidden="1">{#N/A,#N/A,FALSE,"Plan1";#N/A,#N/A,FALSE,"Plan2"}</definedName>
    <definedName name="ldfjgtilrf" localSheetId="13" hidden="1">{#N/A,#N/A,FALSE,"Plan1";#N/A,#N/A,FALSE,"Plan2"}</definedName>
    <definedName name="ldfjgtilrf" hidden="1">{#N/A,#N/A,FALSE,"Plan1";#N/A,#N/A,FALSE,"Plan2"}</definedName>
    <definedName name="ldk" localSheetId="14" hidden="1">{#N/A,#N/A,FALSE,"Plan1";#N/A,#N/A,FALSE,"Plan2"}</definedName>
    <definedName name="ldk" localSheetId="7" hidden="1">{#N/A,#N/A,FALSE,"Plan1";#N/A,#N/A,FALSE,"Plan2"}</definedName>
    <definedName name="ldk" localSheetId="1" hidden="1">{#N/A,#N/A,FALSE,"Plan1";#N/A,#N/A,FALSE,"Plan2"}</definedName>
    <definedName name="ldk" localSheetId="2" hidden="1">{#N/A,#N/A,FALSE,"Plan1";#N/A,#N/A,FALSE,"Plan2"}</definedName>
    <definedName name="ldk" localSheetId="9" hidden="1">{#N/A,#N/A,FALSE,"Plan1";#N/A,#N/A,FALSE,"Plan2"}</definedName>
    <definedName name="ldk" localSheetId="5" hidden="1">{#N/A,#N/A,FALSE,"Plan1";#N/A,#N/A,FALSE,"Plan2"}</definedName>
    <definedName name="ldk" localSheetId="4" hidden="1">{#N/A,#N/A,FALSE,"Plan1";#N/A,#N/A,FALSE,"Plan2"}</definedName>
    <definedName name="ldk" localSheetId="8" hidden="1">{#N/A,#N/A,FALSE,"Plan1";#N/A,#N/A,FALSE,"Plan2"}</definedName>
    <definedName name="ldk" localSheetId="12" hidden="1">{#N/A,#N/A,FALSE,"Plan1";#N/A,#N/A,FALSE,"Plan2"}</definedName>
    <definedName name="ldk" localSheetId="16" hidden="1">{#N/A,#N/A,FALSE,"Plan1";#N/A,#N/A,FALSE,"Plan2"}</definedName>
    <definedName name="ldk" localSheetId="0" hidden="1">{#N/A,#N/A,FALSE,"Plan1";#N/A,#N/A,FALSE,"Plan2"}</definedName>
    <definedName name="ldk" localSheetId="11" hidden="1">{#N/A,#N/A,FALSE,"Plan1";#N/A,#N/A,FALSE,"Plan2"}</definedName>
    <definedName name="ldk" localSheetId="13" hidden="1">{#N/A,#N/A,FALSE,"Plan1";#N/A,#N/A,FALSE,"Plan2"}</definedName>
    <definedName name="ldk" hidden="1">{#N/A,#N/A,FALSE,"Plan1";#N/A,#N/A,FALSE,"Plan2"}</definedName>
    <definedName name="ldkgkdfjgkh" localSheetId="14" hidden="1">{#N/A,#N/A,FALSE,"Plan1";#N/A,#N/A,FALSE,"Plan2"}</definedName>
    <definedName name="ldkgkdfjgkh" localSheetId="7" hidden="1">{#N/A,#N/A,FALSE,"Plan1";#N/A,#N/A,FALSE,"Plan2"}</definedName>
    <definedName name="ldkgkdfjgkh" localSheetId="1" hidden="1">{#N/A,#N/A,FALSE,"Plan1";#N/A,#N/A,FALSE,"Plan2"}</definedName>
    <definedName name="ldkgkdfjgkh" localSheetId="2" hidden="1">{#N/A,#N/A,FALSE,"Plan1";#N/A,#N/A,FALSE,"Plan2"}</definedName>
    <definedName name="ldkgkdfjgkh" localSheetId="9" hidden="1">{#N/A,#N/A,FALSE,"Plan1";#N/A,#N/A,FALSE,"Plan2"}</definedName>
    <definedName name="ldkgkdfjgkh" localSheetId="5" hidden="1">{#N/A,#N/A,FALSE,"Plan1";#N/A,#N/A,FALSE,"Plan2"}</definedName>
    <definedName name="ldkgkdfjgkh" localSheetId="4" hidden="1">{#N/A,#N/A,FALSE,"Plan1";#N/A,#N/A,FALSE,"Plan2"}</definedName>
    <definedName name="ldkgkdfjgkh" localSheetId="8" hidden="1">{#N/A,#N/A,FALSE,"Plan1";#N/A,#N/A,FALSE,"Plan2"}</definedName>
    <definedName name="ldkgkdfjgkh" localSheetId="12" hidden="1">{#N/A,#N/A,FALSE,"Plan1";#N/A,#N/A,FALSE,"Plan2"}</definedName>
    <definedName name="ldkgkdfjgkh" localSheetId="16" hidden="1">{#N/A,#N/A,FALSE,"Plan1";#N/A,#N/A,FALSE,"Plan2"}</definedName>
    <definedName name="ldkgkdfjgkh" localSheetId="0" hidden="1">{#N/A,#N/A,FALSE,"Plan1";#N/A,#N/A,FALSE,"Plan2"}</definedName>
    <definedName name="ldkgkdfjgkh" localSheetId="11" hidden="1">{#N/A,#N/A,FALSE,"Plan1";#N/A,#N/A,FALSE,"Plan2"}</definedName>
    <definedName name="ldkgkdfjgkh" localSheetId="13" hidden="1">{#N/A,#N/A,FALSE,"Plan1";#N/A,#N/A,FALSE,"Plan2"}</definedName>
    <definedName name="ldkgkdfjgkh" hidden="1">{#N/A,#N/A,FALSE,"Plan1";#N/A,#N/A,FALSE,"Plan2"}</definedName>
    <definedName name="LDTJGR" localSheetId="14" hidden="1">{#N/A,#N/A,FALSE,"Plan1";#N/A,#N/A,FALSE,"Plan2"}</definedName>
    <definedName name="LDTJGR" localSheetId="7" hidden="1">{#N/A,#N/A,FALSE,"Plan1";#N/A,#N/A,FALSE,"Plan2"}</definedName>
    <definedName name="LDTJGR" localSheetId="1" hidden="1">{#N/A,#N/A,FALSE,"Plan1";#N/A,#N/A,FALSE,"Plan2"}</definedName>
    <definedName name="LDTJGR" localSheetId="2" hidden="1">{#N/A,#N/A,FALSE,"Plan1";#N/A,#N/A,FALSE,"Plan2"}</definedName>
    <definedName name="LDTJGR" localSheetId="9" hidden="1">{#N/A,#N/A,FALSE,"Plan1";#N/A,#N/A,FALSE,"Plan2"}</definedName>
    <definedName name="LDTJGR" localSheetId="5" hidden="1">{#N/A,#N/A,FALSE,"Plan1";#N/A,#N/A,FALSE,"Plan2"}</definedName>
    <definedName name="LDTJGR" localSheetId="4" hidden="1">{#N/A,#N/A,FALSE,"Plan1";#N/A,#N/A,FALSE,"Plan2"}</definedName>
    <definedName name="LDTJGR" localSheetId="8" hidden="1">{#N/A,#N/A,FALSE,"Plan1";#N/A,#N/A,FALSE,"Plan2"}</definedName>
    <definedName name="LDTJGR" localSheetId="12" hidden="1">{#N/A,#N/A,FALSE,"Plan1";#N/A,#N/A,FALSE,"Plan2"}</definedName>
    <definedName name="LDTJGR" localSheetId="16" hidden="1">{#N/A,#N/A,FALSE,"Plan1";#N/A,#N/A,FALSE,"Plan2"}</definedName>
    <definedName name="LDTJGR" localSheetId="0" hidden="1">{#N/A,#N/A,FALSE,"Plan1";#N/A,#N/A,FALSE,"Plan2"}</definedName>
    <definedName name="LDTJGR" localSheetId="11" hidden="1">{#N/A,#N/A,FALSE,"Plan1";#N/A,#N/A,FALSE,"Plan2"}</definedName>
    <definedName name="LDTJGR" localSheetId="13" hidden="1">{#N/A,#N/A,FALSE,"Plan1";#N/A,#N/A,FALSE,"Plan2"}</definedName>
    <definedName name="LDTJGR" hidden="1">{#N/A,#N/A,FALSE,"Plan1";#N/A,#N/A,FALSE,"Plan2"}</definedName>
    <definedName name="Leg" localSheetId="2" hidden="1">#REF!</definedName>
    <definedName name="Leg" localSheetId="5" hidden="1">#REF!</definedName>
    <definedName name="Leg" localSheetId="0" hidden="1">#REF!</definedName>
    <definedName name="Leg" hidden="1">#REF!</definedName>
    <definedName name="legr_cdi" localSheetId="2">#REF!</definedName>
    <definedName name="legr_cdi" localSheetId="5">#REF!</definedName>
    <definedName name="legr_cdi">#REF!</definedName>
    <definedName name="legr_hist" localSheetId="2">#REF!</definedName>
    <definedName name="legr_hist" localSheetId="5">#REF!</definedName>
    <definedName name="legr_hist">#REF!</definedName>
    <definedName name="legr_uss" localSheetId="2">#REF!</definedName>
    <definedName name="legr_uss" localSheetId="5">#REF!</definedName>
    <definedName name="legr_uss">#REF!</definedName>
    <definedName name="LEKG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2">#REF!</definedName>
    <definedName name="LEVANTAMENTO" localSheetId="5">#REF!</definedName>
    <definedName name="LEVANTAMENTO">#REF!</definedName>
    <definedName name="lfjdjrt" localSheetId="14" hidden="1">{#N/A,#N/A,FALSE,"Plan1";#N/A,#N/A,FALSE,"Plan2"}</definedName>
    <definedName name="lfjdjrt" localSheetId="7" hidden="1">{#N/A,#N/A,FALSE,"Plan1";#N/A,#N/A,FALSE,"Plan2"}</definedName>
    <definedName name="lfjdjrt" localSheetId="1" hidden="1">{#N/A,#N/A,FALSE,"Plan1";#N/A,#N/A,FALSE,"Plan2"}</definedName>
    <definedName name="lfjdjrt" localSheetId="2" hidden="1">{#N/A,#N/A,FALSE,"Plan1";#N/A,#N/A,FALSE,"Plan2"}</definedName>
    <definedName name="lfjdjrt" localSheetId="9" hidden="1">{#N/A,#N/A,FALSE,"Plan1";#N/A,#N/A,FALSE,"Plan2"}</definedName>
    <definedName name="lfjdjrt" localSheetId="5" hidden="1">{#N/A,#N/A,FALSE,"Plan1";#N/A,#N/A,FALSE,"Plan2"}</definedName>
    <definedName name="lfjdjrt" localSheetId="4" hidden="1">{#N/A,#N/A,FALSE,"Plan1";#N/A,#N/A,FALSE,"Plan2"}</definedName>
    <definedName name="lfjdjrt" localSheetId="8" hidden="1">{#N/A,#N/A,FALSE,"Plan1";#N/A,#N/A,FALSE,"Plan2"}</definedName>
    <definedName name="lfjdjrt" localSheetId="12" hidden="1">{#N/A,#N/A,FALSE,"Plan1";#N/A,#N/A,FALSE,"Plan2"}</definedName>
    <definedName name="lfjdjrt" localSheetId="16" hidden="1">{#N/A,#N/A,FALSE,"Plan1";#N/A,#N/A,FALSE,"Plan2"}</definedName>
    <definedName name="lfjdjrt" localSheetId="0" hidden="1">{#N/A,#N/A,FALSE,"Plan1";#N/A,#N/A,FALSE,"Plan2"}</definedName>
    <definedName name="lfjdjrt" localSheetId="11" hidden="1">{#N/A,#N/A,FALSE,"Plan1";#N/A,#N/A,FALSE,"Plan2"}</definedName>
    <definedName name="lfjdjrt" localSheetId="13" hidden="1">{#N/A,#N/A,FALSE,"Plan1";#N/A,#N/A,FALSE,"Plan2"}</definedName>
    <definedName name="lfjdjrt" hidden="1">{#N/A,#N/A,FALSE,"Plan1";#N/A,#N/A,FALSE,"Plan2"}</definedName>
    <definedName name="LI" localSheetId="2">#REF!</definedName>
    <definedName name="LI" localSheetId="9">#REF!</definedName>
    <definedName name="LI" localSheetId="5">#REF!</definedName>
    <definedName name="LI" localSheetId="24">#REF!</definedName>
    <definedName name="LI">#REF!</definedName>
    <definedName name="LIDER_OPER" localSheetId="2">#REF!</definedName>
    <definedName name="LIDER_OPER" localSheetId="5">#REF!</definedName>
    <definedName name="LIDER_OPER">#REF!</definedName>
    <definedName name="lidfjgklruf" localSheetId="14" hidden="1">{#N/A,#N/A,FALSE,"Plan1";#N/A,#N/A,FALSE,"Plan2"}</definedName>
    <definedName name="lidfjgklruf" localSheetId="7" hidden="1">{#N/A,#N/A,FALSE,"Plan1";#N/A,#N/A,FALSE,"Plan2"}</definedName>
    <definedName name="lidfjgklruf" localSheetId="1" hidden="1">{#N/A,#N/A,FALSE,"Plan1";#N/A,#N/A,FALSE,"Plan2"}</definedName>
    <definedName name="lidfjgklruf" localSheetId="2" hidden="1">{#N/A,#N/A,FALSE,"Plan1";#N/A,#N/A,FALSE,"Plan2"}</definedName>
    <definedName name="lidfjgklruf" localSheetId="9" hidden="1">{#N/A,#N/A,FALSE,"Plan1";#N/A,#N/A,FALSE,"Plan2"}</definedName>
    <definedName name="lidfjgklruf" localSheetId="5" hidden="1">{#N/A,#N/A,FALSE,"Plan1";#N/A,#N/A,FALSE,"Plan2"}</definedName>
    <definedName name="lidfjgklruf" localSheetId="4" hidden="1">{#N/A,#N/A,FALSE,"Plan1";#N/A,#N/A,FALSE,"Plan2"}</definedName>
    <definedName name="lidfjgklruf" localSheetId="8" hidden="1">{#N/A,#N/A,FALSE,"Plan1";#N/A,#N/A,FALSE,"Plan2"}</definedName>
    <definedName name="lidfjgklruf" localSheetId="12" hidden="1">{#N/A,#N/A,FALSE,"Plan1";#N/A,#N/A,FALSE,"Plan2"}</definedName>
    <definedName name="lidfjgklruf" localSheetId="16" hidden="1">{#N/A,#N/A,FALSE,"Plan1";#N/A,#N/A,FALSE,"Plan2"}</definedName>
    <definedName name="lidfjgklruf" localSheetId="0" hidden="1">{#N/A,#N/A,FALSE,"Plan1";#N/A,#N/A,FALSE,"Plan2"}</definedName>
    <definedName name="lidfjgklruf" localSheetId="11" hidden="1">{#N/A,#N/A,FALSE,"Plan1";#N/A,#N/A,FALSE,"Plan2"}</definedName>
    <definedName name="lidfjgklruf" localSheetId="13" hidden="1">{#N/A,#N/A,FALSE,"Plan1";#N/A,#N/A,FALSE,"Plan2"}</definedName>
    <definedName name="lidfjgklruf" hidden="1">{#N/A,#N/A,FALSE,"Plan1";#N/A,#N/A,FALSE,"Plan2"}</definedName>
    <definedName name="LII" localSheetId="2">#REF!</definedName>
    <definedName name="LII" localSheetId="9">#REF!</definedName>
    <definedName name="LII" localSheetId="5">#REF!</definedName>
    <definedName name="LII" localSheetId="24">#REF!</definedName>
    <definedName name="LII">#REF!</definedName>
    <definedName name="LIII" localSheetId="2">#REF!</definedName>
    <definedName name="LIII" localSheetId="5">#REF!</definedName>
    <definedName name="LIII" localSheetId="24">#REF!</definedName>
    <definedName name="LIII">#REF!</definedName>
    <definedName name="LIMBO" localSheetId="2">#REF!</definedName>
    <definedName name="LIMBO" localSheetId="5">#REF!</definedName>
    <definedName name="LIMBO">#REF!</definedName>
    <definedName name="limcount" hidden="1">3</definedName>
    <definedName name="LIN" localSheetId="2">#REF!</definedName>
    <definedName name="LIN" localSheetId="5">#REF!</definedName>
    <definedName name="LIN">#REF!</definedName>
    <definedName name="list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2">#REF!</definedName>
    <definedName name="LISTA" localSheetId="5">#REF!</definedName>
    <definedName name="LISTA">#REF!</definedName>
    <definedName name="LISTA_CONTAS" localSheetId="2">#REF!</definedName>
    <definedName name="LISTA_CONTAS" localSheetId="5">#REF!</definedName>
    <definedName name="LISTA_CONTAS">#REF!</definedName>
    <definedName name="lista_empresa" localSheetId="2">OFFSET(INDEX(#REF!,MATCH(#REF!,#REF!,0)),1,0,COUNTA(#REF!)-1)</definedName>
    <definedName name="lista_empresa" localSheetId="5">OFFSET(INDEX(#REF!,MATCH(#REF!,#REF!,0)),1,0,COUNTA(#REF!)-1)</definedName>
    <definedName name="lista_empresa">OFFSET(INDEX(#REF!,MATCH(#REF!,#REF!,0)),1,0,COUNTA(#REF!)-1)</definedName>
    <definedName name="LISTA_FORNECEDORES" localSheetId="2">#REF!</definedName>
    <definedName name="LISTA_FORNECEDORES" localSheetId="5">#REF!</definedName>
    <definedName name="LISTA_FORNECEDORES">#REF!</definedName>
    <definedName name="LISTSEL" localSheetId="2">#REF!</definedName>
    <definedName name="LISTSEL" localSheetId="5">#REF!</definedName>
    <definedName name="LISTSEL">#REF!</definedName>
    <definedName name="listt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2">#REF!</definedName>
    <definedName name="LIV" localSheetId="9">#REF!</definedName>
    <definedName name="LIV" localSheetId="5">#REF!</definedName>
    <definedName name="LIV" localSheetId="24">#REF!</definedName>
    <definedName name="LIV">#REF!</definedName>
    <definedName name="LIX" localSheetId="2">#REF!</definedName>
    <definedName name="LIX" localSheetId="5">#REF!</definedName>
    <definedName name="LIX" localSheetId="24">#REF!</definedName>
    <definedName name="LIX">#REF!</definedName>
    <definedName name="ljdfkgyt" localSheetId="14" hidden="1">{#N/A,#N/A,FALSE,"Plan1";#N/A,#N/A,FALSE,"Plan2"}</definedName>
    <definedName name="ljdfkgyt" localSheetId="7" hidden="1">{#N/A,#N/A,FALSE,"Plan1";#N/A,#N/A,FALSE,"Plan2"}</definedName>
    <definedName name="ljdfkgyt" localSheetId="1" hidden="1">{#N/A,#N/A,FALSE,"Plan1";#N/A,#N/A,FALSE,"Plan2"}</definedName>
    <definedName name="ljdfkgyt" localSheetId="2" hidden="1">{#N/A,#N/A,FALSE,"Plan1";#N/A,#N/A,FALSE,"Plan2"}</definedName>
    <definedName name="ljdfkgyt" localSheetId="9" hidden="1">{#N/A,#N/A,FALSE,"Plan1";#N/A,#N/A,FALSE,"Plan2"}</definedName>
    <definedName name="ljdfkgyt" localSheetId="5" hidden="1">{#N/A,#N/A,FALSE,"Plan1";#N/A,#N/A,FALSE,"Plan2"}</definedName>
    <definedName name="ljdfkgyt" localSheetId="4" hidden="1">{#N/A,#N/A,FALSE,"Plan1";#N/A,#N/A,FALSE,"Plan2"}</definedName>
    <definedName name="ljdfkgyt" localSheetId="8" hidden="1">{#N/A,#N/A,FALSE,"Plan1";#N/A,#N/A,FALSE,"Plan2"}</definedName>
    <definedName name="ljdfkgyt" localSheetId="12" hidden="1">{#N/A,#N/A,FALSE,"Plan1";#N/A,#N/A,FALSE,"Plan2"}</definedName>
    <definedName name="ljdfkgyt" localSheetId="16" hidden="1">{#N/A,#N/A,FALSE,"Plan1";#N/A,#N/A,FALSE,"Plan2"}</definedName>
    <definedName name="ljdfkgyt" localSheetId="0" hidden="1">{#N/A,#N/A,FALSE,"Plan1";#N/A,#N/A,FALSE,"Plan2"}</definedName>
    <definedName name="ljdfkgyt" localSheetId="11" hidden="1">{#N/A,#N/A,FALSE,"Plan1";#N/A,#N/A,FALSE,"Plan2"}</definedName>
    <definedName name="ljdfkgyt" localSheetId="13" hidden="1">{#N/A,#N/A,FALSE,"Plan1";#N/A,#N/A,FALSE,"Plan2"}</definedName>
    <definedName name="ljdfkgyt" hidden="1">{#N/A,#N/A,FALSE,"Plan1";#N/A,#N/A,FALSE,"Plan2"}</definedName>
    <definedName name="LJDFLJRL" localSheetId="14" hidden="1">{#N/A,#N/A,FALSE,"Plan1";#N/A,#N/A,FALSE,"Plan2"}</definedName>
    <definedName name="LJDFLJRL" localSheetId="7" hidden="1">{#N/A,#N/A,FALSE,"Plan1";#N/A,#N/A,FALSE,"Plan2"}</definedName>
    <definedName name="LJDFLJRL" localSheetId="1" hidden="1">{#N/A,#N/A,FALSE,"Plan1";#N/A,#N/A,FALSE,"Plan2"}</definedName>
    <definedName name="LJDFLJRL" localSheetId="2" hidden="1">{#N/A,#N/A,FALSE,"Plan1";#N/A,#N/A,FALSE,"Plan2"}</definedName>
    <definedName name="LJDFLJRL" localSheetId="9" hidden="1">{#N/A,#N/A,FALSE,"Plan1";#N/A,#N/A,FALSE,"Plan2"}</definedName>
    <definedName name="LJDFLJRL" localSheetId="5" hidden="1">{#N/A,#N/A,FALSE,"Plan1";#N/A,#N/A,FALSE,"Plan2"}</definedName>
    <definedName name="LJDFLJRL" localSheetId="4" hidden="1">{#N/A,#N/A,FALSE,"Plan1";#N/A,#N/A,FALSE,"Plan2"}</definedName>
    <definedName name="LJDFLJRL" localSheetId="8" hidden="1">{#N/A,#N/A,FALSE,"Plan1";#N/A,#N/A,FALSE,"Plan2"}</definedName>
    <definedName name="LJDFLJRL" localSheetId="12" hidden="1">{#N/A,#N/A,FALSE,"Plan1";#N/A,#N/A,FALSE,"Plan2"}</definedName>
    <definedName name="LJDFLJRL" localSheetId="16" hidden="1">{#N/A,#N/A,FALSE,"Plan1";#N/A,#N/A,FALSE,"Plan2"}</definedName>
    <definedName name="LJDFLJRL" localSheetId="0" hidden="1">{#N/A,#N/A,FALSE,"Plan1";#N/A,#N/A,FALSE,"Plan2"}</definedName>
    <definedName name="LJDFLJRL" localSheetId="11" hidden="1">{#N/A,#N/A,FALSE,"Plan1";#N/A,#N/A,FALSE,"Plan2"}</definedName>
    <definedName name="LJDFLJRL" localSheetId="13" hidden="1">{#N/A,#N/A,FALSE,"Plan1";#N/A,#N/A,FALSE,"Plan2"}</definedName>
    <definedName name="LJDFLJRL" hidden="1">{#N/A,#N/A,FALSE,"Plan1";#N/A,#N/A,FALSE,"Plan2"}</definedName>
    <definedName name="ljsdfrd" localSheetId="14" hidden="1">{#N/A,#N/A,FALSE,"Plan1";#N/A,#N/A,FALSE,"Plan2"}</definedName>
    <definedName name="ljsdfrd" localSheetId="7" hidden="1">{#N/A,#N/A,FALSE,"Plan1";#N/A,#N/A,FALSE,"Plan2"}</definedName>
    <definedName name="ljsdfrd" localSheetId="1" hidden="1">{#N/A,#N/A,FALSE,"Plan1";#N/A,#N/A,FALSE,"Plan2"}</definedName>
    <definedName name="ljsdfrd" localSheetId="2" hidden="1">{#N/A,#N/A,FALSE,"Plan1";#N/A,#N/A,FALSE,"Plan2"}</definedName>
    <definedName name="ljsdfrd" localSheetId="9" hidden="1">{#N/A,#N/A,FALSE,"Plan1";#N/A,#N/A,FALSE,"Plan2"}</definedName>
    <definedName name="ljsdfrd" localSheetId="5" hidden="1">{#N/A,#N/A,FALSE,"Plan1";#N/A,#N/A,FALSE,"Plan2"}</definedName>
    <definedName name="ljsdfrd" localSheetId="4" hidden="1">{#N/A,#N/A,FALSE,"Plan1";#N/A,#N/A,FALSE,"Plan2"}</definedName>
    <definedName name="ljsdfrd" localSheetId="8" hidden="1">{#N/A,#N/A,FALSE,"Plan1";#N/A,#N/A,FALSE,"Plan2"}</definedName>
    <definedName name="ljsdfrd" localSheetId="12" hidden="1">{#N/A,#N/A,FALSE,"Plan1";#N/A,#N/A,FALSE,"Plan2"}</definedName>
    <definedName name="ljsdfrd" localSheetId="16" hidden="1">{#N/A,#N/A,FALSE,"Plan1";#N/A,#N/A,FALSE,"Plan2"}</definedName>
    <definedName name="ljsdfrd" localSheetId="0" hidden="1">{#N/A,#N/A,FALSE,"Plan1";#N/A,#N/A,FALSE,"Plan2"}</definedName>
    <definedName name="ljsdfrd" localSheetId="11" hidden="1">{#N/A,#N/A,FALSE,"Plan1";#N/A,#N/A,FALSE,"Plan2"}</definedName>
    <definedName name="ljsdfrd" localSheetId="13" hidden="1">{#N/A,#N/A,FALSE,"Plan1";#N/A,#N/A,FALSE,"Plan2"}</definedName>
    <definedName name="ljsdfrd" hidden="1">{#N/A,#N/A,FALSE,"Plan1";#N/A,#N/A,FALSE,"Plan2"}</definedName>
    <definedName name="LJSFLDJDLKFJG" localSheetId="2" hidden="1">#REF!</definedName>
    <definedName name="LJSFLDJDLKFJG" localSheetId="5" hidden="1">#REF!</definedName>
    <definedName name="LJSFLDJDLKFJG" localSheetId="0" hidden="1">#REF!</definedName>
    <definedName name="LJSFLDJDLKFJG" hidden="1">#REF!</definedName>
    <definedName name="LK" localSheetId="14" hidden="1">{#N/A,#N/A,TRUE,"Quinzena 01 à 15-04-98 "}</definedName>
    <definedName name="LK" localSheetId="7" hidden="1">{#N/A,#N/A,TRUE,"Quinzena 01 à 15-04-98 "}</definedName>
    <definedName name="LK" localSheetId="1" hidden="1">{#N/A,#N/A,TRUE,"Quinzena 01 à 15-04-98 "}</definedName>
    <definedName name="LK" localSheetId="2" hidden="1">{#N/A,#N/A,TRUE,"Quinzena 01 à 15-04-98 "}</definedName>
    <definedName name="LK" localSheetId="9" hidden="1">{#N/A,#N/A,TRUE,"Quinzena 01 à 15-04-98 "}</definedName>
    <definedName name="LK" localSheetId="5" hidden="1">{#N/A,#N/A,TRUE,"Quinzena 01 à 15-04-98 "}</definedName>
    <definedName name="LK" localSheetId="4" hidden="1">{#N/A,#N/A,TRUE,"Quinzena 01 à 15-04-98 "}</definedName>
    <definedName name="LK" localSheetId="8" hidden="1">{#N/A,#N/A,TRUE,"Quinzena 01 à 15-04-98 "}</definedName>
    <definedName name="LK" localSheetId="12" hidden="1">{#N/A,#N/A,TRUE,"Quinzena 01 à 15-04-98 "}</definedName>
    <definedName name="LK" localSheetId="16" hidden="1">{#N/A,#N/A,TRUE,"Quinzena 01 à 15-04-98 "}</definedName>
    <definedName name="LK" localSheetId="0" hidden="1">{#N/A,#N/A,TRUE,"Quinzena 01 à 15-04-98 "}</definedName>
    <definedName name="LK" localSheetId="11" hidden="1">{#N/A,#N/A,TRUE,"Quinzena 01 à 15-04-98 "}</definedName>
    <definedName name="LK" localSheetId="13" hidden="1">{#N/A,#N/A,TRUE,"Quinzena 01 à 15-04-98 "}</definedName>
    <definedName name="LK" hidden="1">{#N/A,#N/A,TRUE,"Quinzena 01 à 15-04-98 "}</definedName>
    <definedName name="lkasdkeo" localSheetId="14" hidden="1">{#N/A,#N/A,FALSE,"Plan1";#N/A,#N/A,FALSE,"Plan2"}</definedName>
    <definedName name="lkasdkeo" localSheetId="7" hidden="1">{#N/A,#N/A,FALSE,"Plan1";#N/A,#N/A,FALSE,"Plan2"}</definedName>
    <definedName name="lkasdkeo" localSheetId="1" hidden="1">{#N/A,#N/A,FALSE,"Plan1";#N/A,#N/A,FALSE,"Plan2"}</definedName>
    <definedName name="lkasdkeo" localSheetId="2" hidden="1">{#N/A,#N/A,FALSE,"Plan1";#N/A,#N/A,FALSE,"Plan2"}</definedName>
    <definedName name="lkasdkeo" localSheetId="9" hidden="1">{#N/A,#N/A,FALSE,"Plan1";#N/A,#N/A,FALSE,"Plan2"}</definedName>
    <definedName name="lkasdkeo" localSheetId="5" hidden="1">{#N/A,#N/A,FALSE,"Plan1";#N/A,#N/A,FALSE,"Plan2"}</definedName>
    <definedName name="lkasdkeo" localSheetId="4" hidden="1">{#N/A,#N/A,FALSE,"Plan1";#N/A,#N/A,FALSE,"Plan2"}</definedName>
    <definedName name="lkasdkeo" localSheetId="8" hidden="1">{#N/A,#N/A,FALSE,"Plan1";#N/A,#N/A,FALSE,"Plan2"}</definedName>
    <definedName name="lkasdkeo" localSheetId="12" hidden="1">{#N/A,#N/A,FALSE,"Plan1";#N/A,#N/A,FALSE,"Plan2"}</definedName>
    <definedName name="lkasdkeo" localSheetId="16" hidden="1">{#N/A,#N/A,FALSE,"Plan1";#N/A,#N/A,FALSE,"Plan2"}</definedName>
    <definedName name="lkasdkeo" localSheetId="0" hidden="1">{#N/A,#N/A,FALSE,"Plan1";#N/A,#N/A,FALSE,"Plan2"}</definedName>
    <definedName name="lkasdkeo" localSheetId="11" hidden="1">{#N/A,#N/A,FALSE,"Plan1";#N/A,#N/A,FALSE,"Plan2"}</definedName>
    <definedName name="lkasdkeo" localSheetId="13" hidden="1">{#N/A,#N/A,FALSE,"Plan1";#N/A,#N/A,FALSE,"Plan2"}</definedName>
    <definedName name="lkasdkeo" hidden="1">{#N/A,#N/A,FALSE,"Plan1";#N/A,#N/A,FALSE,"Plan2"}</definedName>
    <definedName name="lkdeas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4" hidden="1">{#N/A,#N/A,FALSE,"Plan1";#N/A,#N/A,FALSE,"Plan2"}</definedName>
    <definedName name="lkdzxfsdrf" localSheetId="7" hidden="1">{#N/A,#N/A,FALSE,"Plan1";#N/A,#N/A,FALSE,"Plan2"}</definedName>
    <definedName name="lkdzxfsdrf" localSheetId="1" hidden="1">{#N/A,#N/A,FALSE,"Plan1";#N/A,#N/A,FALSE,"Plan2"}</definedName>
    <definedName name="lkdzxfsdrf" localSheetId="2" hidden="1">{#N/A,#N/A,FALSE,"Plan1";#N/A,#N/A,FALSE,"Plan2"}</definedName>
    <definedName name="lkdzxfsdrf" localSheetId="9" hidden="1">{#N/A,#N/A,FALSE,"Plan1";#N/A,#N/A,FALSE,"Plan2"}</definedName>
    <definedName name="lkdzxfsdrf" localSheetId="5" hidden="1">{#N/A,#N/A,FALSE,"Plan1";#N/A,#N/A,FALSE,"Plan2"}</definedName>
    <definedName name="lkdzxfsdrf" localSheetId="4" hidden="1">{#N/A,#N/A,FALSE,"Plan1";#N/A,#N/A,FALSE,"Plan2"}</definedName>
    <definedName name="lkdzxfsdrf" localSheetId="8" hidden="1">{#N/A,#N/A,FALSE,"Plan1";#N/A,#N/A,FALSE,"Plan2"}</definedName>
    <definedName name="lkdzxfsdrf" localSheetId="12" hidden="1">{#N/A,#N/A,FALSE,"Plan1";#N/A,#N/A,FALSE,"Plan2"}</definedName>
    <definedName name="lkdzxfsdrf" localSheetId="16" hidden="1">{#N/A,#N/A,FALSE,"Plan1";#N/A,#N/A,FALSE,"Plan2"}</definedName>
    <definedName name="lkdzxfsdrf" localSheetId="0" hidden="1">{#N/A,#N/A,FALSE,"Plan1";#N/A,#N/A,FALSE,"Plan2"}</definedName>
    <definedName name="lkdzxfsdrf" localSheetId="11" hidden="1">{#N/A,#N/A,FALSE,"Plan1";#N/A,#N/A,FALSE,"Plan2"}</definedName>
    <definedName name="lkdzxfsdrf" localSheetId="13" hidden="1">{#N/A,#N/A,FALSE,"Plan1";#N/A,#N/A,FALSE,"Plan2"}</definedName>
    <definedName name="lkdzxfsdrf" hidden="1">{#N/A,#N/A,FALSE,"Plan1";#N/A,#N/A,FALSE,"Plan2"}</definedName>
    <definedName name="lkfdkçtktr" localSheetId="14" hidden="1">{#N/A,#N/A,FALSE,"Plan1";#N/A,#N/A,FALSE,"Plan2"}</definedName>
    <definedName name="lkfdkçtktr" localSheetId="7" hidden="1">{#N/A,#N/A,FALSE,"Plan1";#N/A,#N/A,FALSE,"Plan2"}</definedName>
    <definedName name="lkfdkçtktr" localSheetId="1" hidden="1">{#N/A,#N/A,FALSE,"Plan1";#N/A,#N/A,FALSE,"Plan2"}</definedName>
    <definedName name="lkfdkçtktr" localSheetId="2" hidden="1">{#N/A,#N/A,FALSE,"Plan1";#N/A,#N/A,FALSE,"Plan2"}</definedName>
    <definedName name="lkfdkçtktr" localSheetId="9" hidden="1">{#N/A,#N/A,FALSE,"Plan1";#N/A,#N/A,FALSE,"Plan2"}</definedName>
    <definedName name="lkfdkçtktr" localSheetId="5" hidden="1">{#N/A,#N/A,FALSE,"Plan1";#N/A,#N/A,FALSE,"Plan2"}</definedName>
    <definedName name="lkfdkçtktr" localSheetId="4" hidden="1">{#N/A,#N/A,FALSE,"Plan1";#N/A,#N/A,FALSE,"Plan2"}</definedName>
    <definedName name="lkfdkçtktr" localSheetId="8" hidden="1">{#N/A,#N/A,FALSE,"Plan1";#N/A,#N/A,FALSE,"Plan2"}</definedName>
    <definedName name="lkfdkçtktr" localSheetId="12" hidden="1">{#N/A,#N/A,FALSE,"Plan1";#N/A,#N/A,FALSE,"Plan2"}</definedName>
    <definedName name="lkfdkçtktr" localSheetId="16" hidden="1">{#N/A,#N/A,FALSE,"Plan1";#N/A,#N/A,FALSE,"Plan2"}</definedName>
    <definedName name="lkfdkçtktr" localSheetId="0" hidden="1">{#N/A,#N/A,FALSE,"Plan1";#N/A,#N/A,FALSE,"Plan2"}</definedName>
    <definedName name="lkfdkçtktr" localSheetId="11" hidden="1">{#N/A,#N/A,FALSE,"Plan1";#N/A,#N/A,FALSE,"Plan2"}</definedName>
    <definedName name="lkfdkçtktr" localSheetId="13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14" hidden="1">{#N/A,#N/A,FALSE,"Plan1";#N/A,#N/A,FALSE,"Plan2"}</definedName>
    <definedName name="LKSSDKÇ\E" localSheetId="7" hidden="1">{#N/A,#N/A,FALSE,"Plan1";#N/A,#N/A,FALSE,"Plan2"}</definedName>
    <definedName name="LKSSDKÇ\E" localSheetId="1" hidden="1">{#N/A,#N/A,FALSE,"Plan1";#N/A,#N/A,FALSE,"Plan2"}</definedName>
    <definedName name="LKSSDKÇ\E" localSheetId="2" hidden="1">{#N/A,#N/A,FALSE,"Plan1";#N/A,#N/A,FALSE,"Plan2"}</definedName>
    <definedName name="LKSSDKÇ\E" localSheetId="9" hidden="1">{#N/A,#N/A,FALSE,"Plan1";#N/A,#N/A,FALSE,"Plan2"}</definedName>
    <definedName name="LKSSDKÇ\E" localSheetId="5" hidden="1">{#N/A,#N/A,FALSE,"Plan1";#N/A,#N/A,FALSE,"Plan2"}</definedName>
    <definedName name="LKSSDKÇ\E" localSheetId="4" hidden="1">{#N/A,#N/A,FALSE,"Plan1";#N/A,#N/A,FALSE,"Plan2"}</definedName>
    <definedName name="LKSSDKÇ\E" localSheetId="8" hidden="1">{#N/A,#N/A,FALSE,"Plan1";#N/A,#N/A,FALSE,"Plan2"}</definedName>
    <definedName name="LKSSDKÇ\E" localSheetId="12" hidden="1">{#N/A,#N/A,FALSE,"Plan1";#N/A,#N/A,FALSE,"Plan2"}</definedName>
    <definedName name="LKSSDKÇ\E" localSheetId="16" hidden="1">{#N/A,#N/A,FALSE,"Plan1";#N/A,#N/A,FALSE,"Plan2"}</definedName>
    <definedName name="LKSSDKÇ\E" localSheetId="0" hidden="1">{#N/A,#N/A,FALSE,"Plan1";#N/A,#N/A,FALSE,"Plan2"}</definedName>
    <definedName name="LKSSDKÇ\E" localSheetId="11" hidden="1">{#N/A,#N/A,FALSE,"Plan1";#N/A,#N/A,FALSE,"Plan2"}</definedName>
    <definedName name="LKSSDKÇ\E" localSheetId="13" hidden="1">{#N/A,#N/A,FALSE,"Plan1";#N/A,#N/A,FALSE,"Plan2"}</definedName>
    <definedName name="LKSSDKÇ\E" hidden="1">{#N/A,#N/A,FALSE,"Plan1";#N/A,#N/A,FALSE,"Plan2"}</definedName>
    <definedName name="lkt" localSheetId="14" hidden="1">{#N/A,#N/A,FALSE,"Plan1";#N/A,#N/A,FALSE,"Plan2"}</definedName>
    <definedName name="lkt" localSheetId="7" hidden="1">{#N/A,#N/A,FALSE,"Plan1";#N/A,#N/A,FALSE,"Plan2"}</definedName>
    <definedName name="lkt" localSheetId="1" hidden="1">{#N/A,#N/A,FALSE,"Plan1";#N/A,#N/A,FALSE,"Plan2"}</definedName>
    <definedName name="lkt" localSheetId="2" hidden="1">{#N/A,#N/A,FALSE,"Plan1";#N/A,#N/A,FALSE,"Plan2"}</definedName>
    <definedName name="lkt" localSheetId="9" hidden="1">{#N/A,#N/A,FALSE,"Plan1";#N/A,#N/A,FALSE,"Plan2"}</definedName>
    <definedName name="lkt" localSheetId="5" hidden="1">{#N/A,#N/A,FALSE,"Plan1";#N/A,#N/A,FALSE,"Plan2"}</definedName>
    <definedName name="lkt" localSheetId="4" hidden="1">{#N/A,#N/A,FALSE,"Plan1";#N/A,#N/A,FALSE,"Plan2"}</definedName>
    <definedName name="lkt" localSheetId="8" hidden="1">{#N/A,#N/A,FALSE,"Plan1";#N/A,#N/A,FALSE,"Plan2"}</definedName>
    <definedName name="lkt" localSheetId="12" hidden="1">{#N/A,#N/A,FALSE,"Plan1";#N/A,#N/A,FALSE,"Plan2"}</definedName>
    <definedName name="lkt" localSheetId="16" hidden="1">{#N/A,#N/A,FALSE,"Plan1";#N/A,#N/A,FALSE,"Plan2"}</definedName>
    <definedName name="lkt" localSheetId="0" hidden="1">{#N/A,#N/A,FALSE,"Plan1";#N/A,#N/A,FALSE,"Plan2"}</definedName>
    <definedName name="lkt" localSheetId="11" hidden="1">{#N/A,#N/A,FALSE,"Plan1";#N/A,#N/A,FALSE,"Plan2"}</definedName>
    <definedName name="lkt" localSheetId="13" hidden="1">{#N/A,#N/A,FALSE,"Plan1";#N/A,#N/A,FALSE,"Plan2"}</definedName>
    <definedName name="lkt" hidden="1">{#N/A,#N/A,FALSE,"Plan1";#N/A,#N/A,FALSE,"Plan2"}</definedName>
    <definedName name="lktlyklt" localSheetId="14" hidden="1">{#N/A,#N/A,FALSE,"Plan1";#N/A,#N/A,FALSE,"Plan2"}</definedName>
    <definedName name="lktlyklt" localSheetId="7" hidden="1">{#N/A,#N/A,FALSE,"Plan1";#N/A,#N/A,FALSE,"Plan2"}</definedName>
    <definedName name="lktlyklt" localSheetId="1" hidden="1">{#N/A,#N/A,FALSE,"Plan1";#N/A,#N/A,FALSE,"Plan2"}</definedName>
    <definedName name="lktlyklt" localSheetId="2" hidden="1">{#N/A,#N/A,FALSE,"Plan1";#N/A,#N/A,FALSE,"Plan2"}</definedName>
    <definedName name="lktlyklt" localSheetId="9" hidden="1">{#N/A,#N/A,FALSE,"Plan1";#N/A,#N/A,FALSE,"Plan2"}</definedName>
    <definedName name="lktlyklt" localSheetId="5" hidden="1">{#N/A,#N/A,FALSE,"Plan1";#N/A,#N/A,FALSE,"Plan2"}</definedName>
    <definedName name="lktlyklt" localSheetId="4" hidden="1">{#N/A,#N/A,FALSE,"Plan1";#N/A,#N/A,FALSE,"Plan2"}</definedName>
    <definedName name="lktlyklt" localSheetId="8" hidden="1">{#N/A,#N/A,FALSE,"Plan1";#N/A,#N/A,FALSE,"Plan2"}</definedName>
    <definedName name="lktlyklt" localSheetId="12" hidden="1">{#N/A,#N/A,FALSE,"Plan1";#N/A,#N/A,FALSE,"Plan2"}</definedName>
    <definedName name="lktlyklt" localSheetId="16" hidden="1">{#N/A,#N/A,FALSE,"Plan1";#N/A,#N/A,FALSE,"Plan2"}</definedName>
    <definedName name="lktlyklt" localSheetId="0" hidden="1">{#N/A,#N/A,FALSE,"Plan1";#N/A,#N/A,FALSE,"Plan2"}</definedName>
    <definedName name="lktlyklt" localSheetId="11" hidden="1">{#N/A,#N/A,FALSE,"Plan1";#N/A,#N/A,FALSE,"Plan2"}</definedName>
    <definedName name="lktlyklt" localSheetId="13" hidden="1">{#N/A,#N/A,FALSE,"Plan1";#N/A,#N/A,FALSE,"Plan2"}</definedName>
    <definedName name="lktlyklt" hidden="1">{#N/A,#N/A,FALSE,"Plan1";#N/A,#N/A,FALSE,"Plan2"}</definedName>
    <definedName name="LKTTYT" localSheetId="14" hidden="1">{#N/A,#N/A,FALSE,"Plan1";#N/A,#N/A,FALSE,"Plan2"}</definedName>
    <definedName name="LKTTYT" localSheetId="7" hidden="1">{#N/A,#N/A,FALSE,"Plan1";#N/A,#N/A,FALSE,"Plan2"}</definedName>
    <definedName name="LKTTYT" localSheetId="1" hidden="1">{#N/A,#N/A,FALSE,"Plan1";#N/A,#N/A,FALSE,"Plan2"}</definedName>
    <definedName name="LKTTYT" localSheetId="2" hidden="1">{#N/A,#N/A,FALSE,"Plan1";#N/A,#N/A,FALSE,"Plan2"}</definedName>
    <definedName name="LKTTYT" localSheetId="9" hidden="1">{#N/A,#N/A,FALSE,"Plan1";#N/A,#N/A,FALSE,"Plan2"}</definedName>
    <definedName name="LKTTYT" localSheetId="5" hidden="1">{#N/A,#N/A,FALSE,"Plan1";#N/A,#N/A,FALSE,"Plan2"}</definedName>
    <definedName name="LKTTYT" localSheetId="4" hidden="1">{#N/A,#N/A,FALSE,"Plan1";#N/A,#N/A,FALSE,"Plan2"}</definedName>
    <definedName name="LKTTYT" localSheetId="8" hidden="1">{#N/A,#N/A,FALSE,"Plan1";#N/A,#N/A,FALSE,"Plan2"}</definedName>
    <definedName name="LKTTYT" localSheetId="12" hidden="1">{#N/A,#N/A,FALSE,"Plan1";#N/A,#N/A,FALSE,"Plan2"}</definedName>
    <definedName name="LKTTYT" localSheetId="16" hidden="1">{#N/A,#N/A,FALSE,"Plan1";#N/A,#N/A,FALSE,"Plan2"}</definedName>
    <definedName name="LKTTYT" localSheetId="0" hidden="1">{#N/A,#N/A,FALSE,"Plan1";#N/A,#N/A,FALSE,"Plan2"}</definedName>
    <definedName name="LKTTYT" localSheetId="11" hidden="1">{#N/A,#N/A,FALSE,"Plan1";#N/A,#N/A,FALSE,"Plan2"}</definedName>
    <definedName name="LKTTYT" localSheetId="13" hidden="1">{#N/A,#N/A,FALSE,"Plan1";#N/A,#N/A,FALSE,"Plan2"}</definedName>
    <definedName name="LKTTYT" hidden="1">{#N/A,#N/A,FALSE,"Plan1";#N/A,#N/A,FALSE,"Plan2"}</definedName>
    <definedName name="llgg" localSheetId="14" hidden="1">{#N/A,#N/A,FALSE,"Plan1";#N/A,#N/A,FALSE,"Plan2"}</definedName>
    <definedName name="llgg" localSheetId="7" hidden="1">{#N/A,#N/A,FALSE,"Plan1";#N/A,#N/A,FALSE,"Plan2"}</definedName>
    <definedName name="llgg" localSheetId="1" hidden="1">{#N/A,#N/A,FALSE,"Plan1";#N/A,#N/A,FALSE,"Plan2"}</definedName>
    <definedName name="llgg" localSheetId="2" hidden="1">{#N/A,#N/A,FALSE,"Plan1";#N/A,#N/A,FALSE,"Plan2"}</definedName>
    <definedName name="llgg" localSheetId="9" hidden="1">{#N/A,#N/A,FALSE,"Plan1";#N/A,#N/A,FALSE,"Plan2"}</definedName>
    <definedName name="llgg" localSheetId="5" hidden="1">{#N/A,#N/A,FALSE,"Plan1";#N/A,#N/A,FALSE,"Plan2"}</definedName>
    <definedName name="llgg" localSheetId="4" hidden="1">{#N/A,#N/A,FALSE,"Plan1";#N/A,#N/A,FALSE,"Plan2"}</definedName>
    <definedName name="llgg" localSheetId="8" hidden="1">{#N/A,#N/A,FALSE,"Plan1";#N/A,#N/A,FALSE,"Plan2"}</definedName>
    <definedName name="llgg" localSheetId="12" hidden="1">{#N/A,#N/A,FALSE,"Plan1";#N/A,#N/A,FALSE,"Plan2"}</definedName>
    <definedName name="llgg" localSheetId="16" hidden="1">{#N/A,#N/A,FALSE,"Plan1";#N/A,#N/A,FALSE,"Plan2"}</definedName>
    <definedName name="llgg" localSheetId="0" hidden="1">{#N/A,#N/A,FALSE,"Plan1";#N/A,#N/A,FALSE,"Plan2"}</definedName>
    <definedName name="llgg" localSheetId="11" hidden="1">{#N/A,#N/A,FALSE,"Plan1";#N/A,#N/A,FALSE,"Plan2"}</definedName>
    <definedName name="llgg" localSheetId="13" hidden="1">{#N/A,#N/A,FALSE,"Plan1";#N/A,#N/A,FALSE,"Plan2"}</definedName>
    <definedName name="llgg" hidden="1">{#N/A,#N/A,FALSE,"Plan1";#N/A,#N/A,FALSE,"Plan2"}</definedName>
    <definedName name="LLL" localSheetId="14" hidden="1">{#N/A,#N/A,FALSE,"Plan1";#N/A,#N/A,FALSE,"Plan2"}</definedName>
    <definedName name="LLL" localSheetId="7" hidden="1">{#N/A,#N/A,FALSE,"Plan1";#N/A,#N/A,FALSE,"Plan2"}</definedName>
    <definedName name="LLL" localSheetId="1" hidden="1">{#N/A,#N/A,FALSE,"Plan1";#N/A,#N/A,FALSE,"Plan2"}</definedName>
    <definedName name="LLL" localSheetId="2" hidden="1">{#N/A,#N/A,FALSE,"Plan1";#N/A,#N/A,FALSE,"Plan2"}</definedName>
    <definedName name="LLL" localSheetId="9" hidden="1">{#N/A,#N/A,FALSE,"Plan1";#N/A,#N/A,FALSE,"Plan2"}</definedName>
    <definedName name="LLL" localSheetId="5" hidden="1">{#N/A,#N/A,FALSE,"Plan1";#N/A,#N/A,FALSE,"Plan2"}</definedName>
    <definedName name="LLL" localSheetId="4" hidden="1">{#N/A,#N/A,FALSE,"Plan1";#N/A,#N/A,FALSE,"Plan2"}</definedName>
    <definedName name="LLL" localSheetId="8" hidden="1">{#N/A,#N/A,FALSE,"Plan1";#N/A,#N/A,FALSE,"Plan2"}</definedName>
    <definedName name="LLL" localSheetId="12" hidden="1">{#N/A,#N/A,FALSE,"Plan1";#N/A,#N/A,FALSE,"Plan2"}</definedName>
    <definedName name="LLL" localSheetId="16" hidden="1">{#N/A,#N/A,FALSE,"Plan1";#N/A,#N/A,FALSE,"Plan2"}</definedName>
    <definedName name="LLL" localSheetId="0" hidden="1">{#N/A,#N/A,FALSE,"Plan1";#N/A,#N/A,FALSE,"Plan2"}</definedName>
    <definedName name="LLL" localSheetId="11" hidden="1">{#N/A,#N/A,FALSE,"Plan1";#N/A,#N/A,FALSE,"Plan2"}</definedName>
    <definedName name="LLL" localSheetId="13" hidden="1">{#N/A,#N/A,FALSE,"Plan1";#N/A,#N/A,FALSE,"Plan2"}</definedName>
    <definedName name="LLL" hidden="1">{#N/A,#N/A,FALSE,"Plan1";#N/A,#N/A,FALSE,"Plan2"}</definedName>
    <definedName name="LM_AR" localSheetId="14" hidden="1">{#N/A,#N/A,FALSE,"F-01"}</definedName>
    <definedName name="LM_AR" localSheetId="7" hidden="1">{#N/A,#N/A,FALSE,"F-01"}</definedName>
    <definedName name="LM_AR" localSheetId="1" hidden="1">{#N/A,#N/A,FALSE,"F-01"}</definedName>
    <definedName name="LM_AR" localSheetId="2" hidden="1">{#N/A,#N/A,FALSE,"F-01"}</definedName>
    <definedName name="LM_AR" localSheetId="9" hidden="1">{#N/A,#N/A,FALSE,"F-01"}</definedName>
    <definedName name="LM_AR" localSheetId="5" hidden="1">{#N/A,#N/A,FALSE,"F-01"}</definedName>
    <definedName name="LM_AR" localSheetId="4" hidden="1">{#N/A,#N/A,FALSE,"F-01"}</definedName>
    <definedName name="LM_AR" localSheetId="8" hidden="1">{#N/A,#N/A,FALSE,"F-01"}</definedName>
    <definedName name="LM_AR" localSheetId="12" hidden="1">{#N/A,#N/A,FALSE,"F-01"}</definedName>
    <definedName name="LM_AR" localSheetId="16" hidden="1">{#N/A,#N/A,FALSE,"F-01"}</definedName>
    <definedName name="LM_AR" localSheetId="0" hidden="1">{#N/A,#N/A,FALSE,"F-01"}</definedName>
    <definedName name="LM_AR" localSheetId="11" hidden="1">{#N/A,#N/A,FALSE,"F-01"}</definedName>
    <definedName name="LM_AR" localSheetId="13" hidden="1">{#N/A,#N/A,FALSE,"F-01"}</definedName>
    <definedName name="LM_AR" hidden="1">{#N/A,#N/A,FALSE,"F-01"}</definedName>
    <definedName name="LM_AT" localSheetId="14" hidden="1">{#N/A,#N/A,FALSE,"F-01"}</definedName>
    <definedName name="LM_AT" localSheetId="7" hidden="1">{#N/A,#N/A,FALSE,"F-01"}</definedName>
    <definedName name="LM_AT" localSheetId="1" hidden="1">{#N/A,#N/A,FALSE,"F-01"}</definedName>
    <definedName name="LM_AT" localSheetId="2" hidden="1">{#N/A,#N/A,FALSE,"F-01"}</definedName>
    <definedName name="LM_AT" localSheetId="9" hidden="1">{#N/A,#N/A,FALSE,"F-01"}</definedName>
    <definedName name="LM_AT" localSheetId="5" hidden="1">{#N/A,#N/A,FALSE,"F-01"}</definedName>
    <definedName name="LM_AT" localSheetId="4" hidden="1">{#N/A,#N/A,FALSE,"F-01"}</definedName>
    <definedName name="LM_AT" localSheetId="8" hidden="1">{#N/A,#N/A,FALSE,"F-01"}</definedName>
    <definedName name="LM_AT" localSheetId="12" hidden="1">{#N/A,#N/A,FALSE,"F-01"}</definedName>
    <definedName name="LM_AT" localSheetId="16" hidden="1">{#N/A,#N/A,FALSE,"F-01"}</definedName>
    <definedName name="LM_AT" localSheetId="0" hidden="1">{#N/A,#N/A,FALSE,"F-01"}</definedName>
    <definedName name="LM_AT" localSheetId="11" hidden="1">{#N/A,#N/A,FALSE,"F-01"}</definedName>
    <definedName name="LM_AT" localSheetId="13" hidden="1">{#N/A,#N/A,FALSE,"F-01"}</definedName>
    <definedName name="LM_AT" hidden="1">{#N/A,#N/A,FALSE,"F-01"}</definedName>
    <definedName name="LM_INC" localSheetId="14" hidden="1">{#N/A,#N/A,FALSE,"F-01"}</definedName>
    <definedName name="LM_INC" localSheetId="7" hidden="1">{#N/A,#N/A,FALSE,"F-01"}</definedName>
    <definedName name="LM_INC" localSheetId="1" hidden="1">{#N/A,#N/A,FALSE,"F-01"}</definedName>
    <definedName name="LM_INC" localSheetId="2" hidden="1">{#N/A,#N/A,FALSE,"F-01"}</definedName>
    <definedName name="LM_INC" localSheetId="9" hidden="1">{#N/A,#N/A,FALSE,"F-01"}</definedName>
    <definedName name="LM_INC" localSheetId="5" hidden="1">{#N/A,#N/A,FALSE,"F-01"}</definedName>
    <definedName name="LM_INC" localSheetId="4" hidden="1">{#N/A,#N/A,FALSE,"F-01"}</definedName>
    <definedName name="LM_INC" localSheetId="8" hidden="1">{#N/A,#N/A,FALSE,"F-01"}</definedName>
    <definedName name="LM_INC" localSheetId="12" hidden="1">{#N/A,#N/A,FALSE,"F-01"}</definedName>
    <definedName name="LM_INC" localSheetId="16" hidden="1">{#N/A,#N/A,FALSE,"F-01"}</definedName>
    <definedName name="LM_INC" localSheetId="0" hidden="1">{#N/A,#N/A,FALSE,"F-01"}</definedName>
    <definedName name="LM_INC" localSheetId="11" hidden="1">{#N/A,#N/A,FALSE,"F-01"}</definedName>
    <definedName name="LM_INC" localSheetId="13" hidden="1">{#N/A,#N/A,FALSE,"F-01"}</definedName>
    <definedName name="LM_INC" hidden="1">{#N/A,#N/A,FALSE,"F-01"}</definedName>
    <definedName name="LMPAS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2">#REF!</definedName>
    <definedName name="LOCALMENU" localSheetId="9">#REF!</definedName>
    <definedName name="LOCALMENU" localSheetId="5">#REF!</definedName>
    <definedName name="LOCALMENU" localSheetId="24">#REF!</definedName>
    <definedName name="LOCALMENU" localSheetId="23">#REF!</definedName>
    <definedName name="LOCALMENU">#REF!</definedName>
    <definedName name="LOCALOBRA" localSheetId="2">#REF!</definedName>
    <definedName name="LOCALOBRA" localSheetId="5">#REF!</definedName>
    <definedName name="LOCALOBRA">#REF!</definedName>
    <definedName name="LS" localSheetId="14">#REF!</definedName>
    <definedName name="LS" localSheetId="2">#REF!</definedName>
    <definedName name="LS" localSheetId="9">#REF!</definedName>
    <definedName name="LS" localSheetId="5">#REF!</definedName>
    <definedName name="LS" localSheetId="15">#REF!</definedName>
    <definedName name="LS" localSheetId="12">#REF!</definedName>
    <definedName name="LS" localSheetId="0">#REF!</definedName>
    <definedName name="LS" localSheetId="24">#REF!</definedName>
    <definedName name="LS" localSheetId="23">#REF!</definedName>
    <definedName name="LS">#REF!</definedName>
    <definedName name="LSDFKLDKFTR" localSheetId="14" hidden="1">{#N/A,#N/A,FALSE,"Plan1";#N/A,#N/A,FALSE,"Plan2"}</definedName>
    <definedName name="LSDFKLDKFTR" localSheetId="7" hidden="1">{#N/A,#N/A,FALSE,"Plan1";#N/A,#N/A,FALSE,"Plan2"}</definedName>
    <definedName name="LSDFKLDKFTR" localSheetId="1" hidden="1">{#N/A,#N/A,FALSE,"Plan1";#N/A,#N/A,FALSE,"Plan2"}</definedName>
    <definedName name="LSDFKLDKFTR" localSheetId="2" hidden="1">{#N/A,#N/A,FALSE,"Plan1";#N/A,#N/A,FALSE,"Plan2"}</definedName>
    <definedName name="LSDFKLDKFTR" localSheetId="9" hidden="1">{#N/A,#N/A,FALSE,"Plan1";#N/A,#N/A,FALSE,"Plan2"}</definedName>
    <definedName name="LSDFKLDKFTR" localSheetId="5" hidden="1">{#N/A,#N/A,FALSE,"Plan1";#N/A,#N/A,FALSE,"Plan2"}</definedName>
    <definedName name="LSDFKLDKFTR" localSheetId="4" hidden="1">{#N/A,#N/A,FALSE,"Plan1";#N/A,#N/A,FALSE,"Plan2"}</definedName>
    <definedName name="LSDFKLDKFTR" localSheetId="8" hidden="1">{#N/A,#N/A,FALSE,"Plan1";#N/A,#N/A,FALSE,"Plan2"}</definedName>
    <definedName name="LSDFKLDKFTR" localSheetId="12" hidden="1">{#N/A,#N/A,FALSE,"Plan1";#N/A,#N/A,FALSE,"Plan2"}</definedName>
    <definedName name="LSDFKLDKFTR" localSheetId="16" hidden="1">{#N/A,#N/A,FALSE,"Plan1";#N/A,#N/A,FALSE,"Plan2"}</definedName>
    <definedName name="LSDFKLDKFTR" localSheetId="0" hidden="1">{#N/A,#N/A,FALSE,"Plan1";#N/A,#N/A,FALSE,"Plan2"}</definedName>
    <definedName name="LSDFKLDKFTR" localSheetId="11" hidden="1">{#N/A,#N/A,FALSE,"Plan1";#N/A,#N/A,FALSE,"Plan2"}</definedName>
    <definedName name="LSDFKLDKFTR" localSheetId="13" hidden="1">{#N/A,#N/A,FALSE,"Plan1";#N/A,#N/A,FALSE,"Plan2"}</definedName>
    <definedName name="LSDFKLDKFTR" hidden="1">{#N/A,#N/A,FALSE,"Plan1";#N/A,#N/A,FALSE,"Plan2"}</definedName>
    <definedName name="lsdjs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4" hidden="1">{#N/A,#N/A,FALSE,"Plan1";#N/A,#N/A,FALSE,"Plan2"}</definedName>
    <definedName name="lsdkljfkg" localSheetId="7" hidden="1">{#N/A,#N/A,FALSE,"Plan1";#N/A,#N/A,FALSE,"Plan2"}</definedName>
    <definedName name="lsdkljfkg" localSheetId="1" hidden="1">{#N/A,#N/A,FALSE,"Plan1";#N/A,#N/A,FALSE,"Plan2"}</definedName>
    <definedName name="lsdkljfkg" localSheetId="2" hidden="1">{#N/A,#N/A,FALSE,"Plan1";#N/A,#N/A,FALSE,"Plan2"}</definedName>
    <definedName name="lsdkljfkg" localSheetId="9" hidden="1">{#N/A,#N/A,FALSE,"Plan1";#N/A,#N/A,FALSE,"Plan2"}</definedName>
    <definedName name="lsdkljfkg" localSheetId="5" hidden="1">{#N/A,#N/A,FALSE,"Plan1";#N/A,#N/A,FALSE,"Plan2"}</definedName>
    <definedName name="lsdkljfkg" localSheetId="4" hidden="1">{#N/A,#N/A,FALSE,"Plan1";#N/A,#N/A,FALSE,"Plan2"}</definedName>
    <definedName name="lsdkljfkg" localSheetId="8" hidden="1">{#N/A,#N/A,FALSE,"Plan1";#N/A,#N/A,FALSE,"Plan2"}</definedName>
    <definedName name="lsdkljfkg" localSheetId="12" hidden="1">{#N/A,#N/A,FALSE,"Plan1";#N/A,#N/A,FALSE,"Plan2"}</definedName>
    <definedName name="lsdkljfkg" localSheetId="16" hidden="1">{#N/A,#N/A,FALSE,"Plan1";#N/A,#N/A,FALSE,"Plan2"}</definedName>
    <definedName name="lsdkljfkg" localSheetId="0" hidden="1">{#N/A,#N/A,FALSE,"Plan1";#N/A,#N/A,FALSE,"Plan2"}</definedName>
    <definedName name="lsdkljfkg" localSheetId="11" hidden="1">{#N/A,#N/A,FALSE,"Plan1";#N/A,#N/A,FALSE,"Plan2"}</definedName>
    <definedName name="lsdkljfkg" localSheetId="13" hidden="1">{#N/A,#N/A,FALSE,"Plan1";#N/A,#N/A,FALSE,"Plan2"}</definedName>
    <definedName name="lsdkljfkg" hidden="1">{#N/A,#N/A,FALSE,"Plan1";#N/A,#N/A,FALSE,"Plan2"}</definedName>
    <definedName name="lsdsder" localSheetId="14" hidden="1">{#N/A,#N/A,FALSE,"Plan1";#N/A,#N/A,FALSE,"Plan2"}</definedName>
    <definedName name="lsdsder" localSheetId="7" hidden="1">{#N/A,#N/A,FALSE,"Plan1";#N/A,#N/A,FALSE,"Plan2"}</definedName>
    <definedName name="lsdsder" localSheetId="1" hidden="1">{#N/A,#N/A,FALSE,"Plan1";#N/A,#N/A,FALSE,"Plan2"}</definedName>
    <definedName name="lsdsder" localSheetId="2" hidden="1">{#N/A,#N/A,FALSE,"Plan1";#N/A,#N/A,FALSE,"Plan2"}</definedName>
    <definedName name="lsdsder" localSheetId="9" hidden="1">{#N/A,#N/A,FALSE,"Plan1";#N/A,#N/A,FALSE,"Plan2"}</definedName>
    <definedName name="lsdsder" localSheetId="5" hidden="1">{#N/A,#N/A,FALSE,"Plan1";#N/A,#N/A,FALSE,"Plan2"}</definedName>
    <definedName name="lsdsder" localSheetId="4" hidden="1">{#N/A,#N/A,FALSE,"Plan1";#N/A,#N/A,FALSE,"Plan2"}</definedName>
    <definedName name="lsdsder" localSheetId="8" hidden="1">{#N/A,#N/A,FALSE,"Plan1";#N/A,#N/A,FALSE,"Plan2"}</definedName>
    <definedName name="lsdsder" localSheetId="12" hidden="1">{#N/A,#N/A,FALSE,"Plan1";#N/A,#N/A,FALSE,"Plan2"}</definedName>
    <definedName name="lsdsder" localSheetId="16" hidden="1">{#N/A,#N/A,FALSE,"Plan1";#N/A,#N/A,FALSE,"Plan2"}</definedName>
    <definedName name="lsdsder" localSheetId="0" hidden="1">{#N/A,#N/A,FALSE,"Plan1";#N/A,#N/A,FALSE,"Plan2"}</definedName>
    <definedName name="lsdsder" localSheetId="11" hidden="1">{#N/A,#N/A,FALSE,"Plan1";#N/A,#N/A,FALSE,"Plan2"}</definedName>
    <definedName name="lsdsder" localSheetId="13" hidden="1">{#N/A,#N/A,FALSE,"Plan1";#N/A,#N/A,FALSE,"Plan2"}</definedName>
    <definedName name="lsdsder" hidden="1">{#N/A,#N/A,FALSE,"Plan1";#N/A,#N/A,FALSE,"Plan2"}</definedName>
    <definedName name="ltj6ljyhdjhngças" localSheetId="14" hidden="1">{#N/A,#N/A,FALSE,"Plan1";#N/A,#N/A,FALSE,"Plan2"}</definedName>
    <definedName name="ltj6ljyhdjhngças" localSheetId="7" hidden="1">{#N/A,#N/A,FALSE,"Plan1";#N/A,#N/A,FALSE,"Plan2"}</definedName>
    <definedName name="ltj6ljyhdjhngças" localSheetId="1" hidden="1">{#N/A,#N/A,FALSE,"Plan1";#N/A,#N/A,FALSE,"Plan2"}</definedName>
    <definedName name="ltj6ljyhdjhngças" localSheetId="2" hidden="1">{#N/A,#N/A,FALSE,"Plan1";#N/A,#N/A,FALSE,"Plan2"}</definedName>
    <definedName name="ltj6ljyhdjhngças" localSheetId="9" hidden="1">{#N/A,#N/A,FALSE,"Plan1";#N/A,#N/A,FALSE,"Plan2"}</definedName>
    <definedName name="ltj6ljyhdjhngças" localSheetId="5" hidden="1">{#N/A,#N/A,FALSE,"Plan1";#N/A,#N/A,FALSE,"Plan2"}</definedName>
    <definedName name="ltj6ljyhdjhngças" localSheetId="4" hidden="1">{#N/A,#N/A,FALSE,"Plan1";#N/A,#N/A,FALSE,"Plan2"}</definedName>
    <definedName name="ltj6ljyhdjhngças" localSheetId="8" hidden="1">{#N/A,#N/A,FALSE,"Plan1";#N/A,#N/A,FALSE,"Plan2"}</definedName>
    <definedName name="ltj6ljyhdjhngças" localSheetId="12" hidden="1">{#N/A,#N/A,FALSE,"Plan1";#N/A,#N/A,FALSE,"Plan2"}</definedName>
    <definedName name="ltj6ljyhdjhngças" localSheetId="16" hidden="1">{#N/A,#N/A,FALSE,"Plan1";#N/A,#N/A,FALSE,"Plan2"}</definedName>
    <definedName name="ltj6ljyhdjhngças" localSheetId="0" hidden="1">{#N/A,#N/A,FALSE,"Plan1";#N/A,#N/A,FALSE,"Plan2"}</definedName>
    <definedName name="ltj6ljyhdjhngças" localSheetId="11" hidden="1">{#N/A,#N/A,FALSE,"Plan1";#N/A,#N/A,FALSE,"Plan2"}</definedName>
    <definedName name="ltj6ljyhdjhngças" localSheetId="13" hidden="1">{#N/A,#N/A,FALSE,"Plan1";#N/A,#N/A,FALSE,"Plan2"}</definedName>
    <definedName name="ltj6ljyhdjhngças" hidden="1">{#N/A,#N/A,FALSE,"Plan1";#N/A,#N/A,FALSE,"Plan2"}</definedName>
    <definedName name="LUCRO" localSheetId="2">#REF!</definedName>
    <definedName name="LUCRO" localSheetId="5">#REF!</definedName>
    <definedName name="LUCRO">#REF!</definedName>
    <definedName name="luis_cdi" localSheetId="2">#REF!</definedName>
    <definedName name="luis_cdi" localSheetId="5">#REF!</definedName>
    <definedName name="luis_cdi">#REF!</definedName>
    <definedName name="luis_hist" localSheetId="2">#REF!</definedName>
    <definedName name="luis_hist" localSheetId="5">#REF!</definedName>
    <definedName name="luis_hist">#REF!</definedName>
    <definedName name="luis_uss" localSheetId="2">#REF!</definedName>
    <definedName name="luis_uss" localSheetId="5">#REF!</definedName>
    <definedName name="luis_uss">#REF!</definedName>
    <definedName name="LV" localSheetId="2">#REF!</definedName>
    <definedName name="LV" localSheetId="5">#REF!</definedName>
    <definedName name="LV" localSheetId="24">#REF!</definedName>
    <definedName name="LV">#REF!</definedName>
    <definedName name="LVI" localSheetId="2">#REF!</definedName>
    <definedName name="LVI" localSheetId="5">#REF!</definedName>
    <definedName name="LVI" localSheetId="24">#REF!</definedName>
    <definedName name="LVI">#REF!</definedName>
    <definedName name="LVII" localSheetId="2">#REF!</definedName>
    <definedName name="LVII" localSheetId="5">#REF!</definedName>
    <definedName name="LVII" localSheetId="24">#REF!</definedName>
    <definedName name="LVII">#REF!</definedName>
    <definedName name="LVIII" localSheetId="2">#REF!</definedName>
    <definedName name="LVIII" localSheetId="5">#REF!</definedName>
    <definedName name="LVIII" localSheetId="24">#REF!</definedName>
    <definedName name="LVIII">#REF!</definedName>
    <definedName name="lwaeddew" localSheetId="2" hidden="1">#REF!</definedName>
    <definedName name="lwaeddew" localSheetId="0" hidden="1">#REF!</definedName>
    <definedName name="lwaeddew" hidden="1">#REF!</definedName>
    <definedName name="LXX" localSheetId="2">#REF!</definedName>
    <definedName name="LXX" localSheetId="5">#REF!</definedName>
    <definedName name="LXX" localSheetId="24">#REF!</definedName>
    <definedName name="LXX">#REF!</definedName>
    <definedName name="LXXI" localSheetId="2">#REF!</definedName>
    <definedName name="LXXI" localSheetId="5">#REF!</definedName>
    <definedName name="LXXI" localSheetId="24">#REF!</definedName>
    <definedName name="LXXI">#REF!</definedName>
    <definedName name="LXXII" localSheetId="2">#REF!</definedName>
    <definedName name="LXXII" localSheetId="5">#REF!</definedName>
    <definedName name="LXXII" localSheetId="24">#REF!</definedName>
    <definedName name="LXXII">#REF!</definedName>
    <definedName name="LXXIII" localSheetId="2">#REF!</definedName>
    <definedName name="LXXIII" localSheetId="5">#REF!</definedName>
    <definedName name="LXXIII" localSheetId="24">#REF!</definedName>
    <definedName name="LXXIII">#REF!</definedName>
    <definedName name="LXXIV" localSheetId="2">#REF!</definedName>
    <definedName name="LXXIV" localSheetId="5">#REF!</definedName>
    <definedName name="LXXIV" localSheetId="24">#REF!</definedName>
    <definedName name="LXXIV">#REF!</definedName>
    <definedName name="LXXIX" localSheetId="2">#REF!</definedName>
    <definedName name="LXXIX" localSheetId="5">#REF!</definedName>
    <definedName name="LXXIX" localSheetId="24">#REF!</definedName>
    <definedName name="LXXIX">#REF!</definedName>
    <definedName name="LXXV" localSheetId="2">#REF!</definedName>
    <definedName name="LXXV" localSheetId="5">#REF!</definedName>
    <definedName name="LXXV" localSheetId="24">#REF!</definedName>
    <definedName name="LXXV">#REF!</definedName>
    <definedName name="LXXVI" localSheetId="2">#REF!</definedName>
    <definedName name="LXXVI" localSheetId="5">#REF!</definedName>
    <definedName name="LXXVI" localSheetId="24">#REF!</definedName>
    <definedName name="LXXVI">#REF!</definedName>
    <definedName name="LXXVII" localSheetId="2">#REF!</definedName>
    <definedName name="LXXVII" localSheetId="5">#REF!</definedName>
    <definedName name="LXXVII" localSheetId="24">#REF!</definedName>
    <definedName name="LXXVII">#REF!</definedName>
    <definedName name="LXXVIII" localSheetId="2">#REF!</definedName>
    <definedName name="LXXVIII" localSheetId="5">#REF!</definedName>
    <definedName name="LXXVIII" localSheetId="24">#REF!</definedName>
    <definedName name="LXXVIII">#REF!</definedName>
    <definedName name="LXXX" localSheetId="2">#REF!</definedName>
    <definedName name="LXXX" localSheetId="5">#REF!</definedName>
    <definedName name="LXXX" localSheetId="24">#REF!</definedName>
    <definedName name="LXXX">#REF!</definedName>
    <definedName name="LXXXI" localSheetId="2">#REF!</definedName>
    <definedName name="LXXXI" localSheetId="5">#REF!</definedName>
    <definedName name="LXXXI" localSheetId="24">#REF!</definedName>
    <definedName name="LXXXI">#REF!</definedName>
    <definedName name="LXXXII" localSheetId="2">#REF!</definedName>
    <definedName name="LXXXII" localSheetId="5">#REF!</definedName>
    <definedName name="LXXXII" localSheetId="24">#REF!</definedName>
    <definedName name="LXXXII">#REF!</definedName>
    <definedName name="LXXXIII" localSheetId="2">#REF!</definedName>
    <definedName name="LXXXIII" localSheetId="5">#REF!</definedName>
    <definedName name="LXXXIII" localSheetId="24">#REF!</definedName>
    <definedName name="LXXXIII">#REF!</definedName>
    <definedName name="LXXXIV" localSheetId="2">#REF!</definedName>
    <definedName name="LXXXIV" localSheetId="5">#REF!</definedName>
    <definedName name="LXXXIV" localSheetId="24">#REF!</definedName>
    <definedName name="LXXXIV">#REF!</definedName>
    <definedName name="LXXXV" localSheetId="2">#REF!</definedName>
    <definedName name="LXXXV" localSheetId="5">#REF!</definedName>
    <definedName name="LXXXV" localSheetId="24">#REF!</definedName>
    <definedName name="LXXXV">#REF!</definedName>
    <definedName name="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2">#REF!</definedName>
    <definedName name="MADRI" localSheetId="5">#REF!</definedName>
    <definedName name="MADRI">#REF!</definedName>
    <definedName name="mai17RJ" localSheetId="2">#REF!</definedName>
    <definedName name="mai17RJ" localSheetId="5">#REF!</definedName>
    <definedName name="mai17RJ">#REF!</definedName>
    <definedName name="MAIO" localSheetId="2">#REF!</definedName>
    <definedName name="MAIO" localSheetId="5">#REF!</definedName>
    <definedName name="MAIO">#REF!</definedName>
    <definedName name="MAIO2001" localSheetId="2">#REF!</definedName>
    <definedName name="MAIO2001" localSheetId="5">#REF!</definedName>
    <definedName name="MAIO2001">#REF!</definedName>
    <definedName name="MAISAP" localSheetId="14" hidden="1">{#N/A,#N/A,FALSE,"Plan1";#N/A,#N/A,FALSE,"Plan2"}</definedName>
    <definedName name="MAISAP" localSheetId="7" hidden="1">{#N/A,#N/A,FALSE,"Plan1";#N/A,#N/A,FALSE,"Plan2"}</definedName>
    <definedName name="MAISAP" localSheetId="1" hidden="1">{#N/A,#N/A,FALSE,"Plan1";#N/A,#N/A,FALSE,"Plan2"}</definedName>
    <definedName name="MAISAP" localSheetId="2" hidden="1">{#N/A,#N/A,FALSE,"Plan1";#N/A,#N/A,FALSE,"Plan2"}</definedName>
    <definedName name="MAISAP" localSheetId="9" hidden="1">{#N/A,#N/A,FALSE,"Plan1";#N/A,#N/A,FALSE,"Plan2"}</definedName>
    <definedName name="MAISAP" localSheetId="5" hidden="1">{#N/A,#N/A,FALSE,"Plan1";#N/A,#N/A,FALSE,"Plan2"}</definedName>
    <definedName name="MAISAP" localSheetId="4" hidden="1">{#N/A,#N/A,FALSE,"Plan1";#N/A,#N/A,FALSE,"Plan2"}</definedName>
    <definedName name="MAISAP" localSheetId="8" hidden="1">{#N/A,#N/A,FALSE,"Plan1";#N/A,#N/A,FALSE,"Plan2"}</definedName>
    <definedName name="MAISAP" localSheetId="12" hidden="1">{#N/A,#N/A,FALSE,"Plan1";#N/A,#N/A,FALSE,"Plan2"}</definedName>
    <definedName name="MAISAP" localSheetId="16" hidden="1">{#N/A,#N/A,FALSE,"Plan1";#N/A,#N/A,FALSE,"Plan2"}</definedName>
    <definedName name="MAISAP" localSheetId="0" hidden="1">{#N/A,#N/A,FALSE,"Plan1";#N/A,#N/A,FALSE,"Plan2"}</definedName>
    <definedName name="MAISAP" localSheetId="11" hidden="1">{#N/A,#N/A,FALSE,"Plan1";#N/A,#N/A,FALSE,"Plan2"}</definedName>
    <definedName name="MAISAP" localSheetId="13" hidden="1">{#N/A,#N/A,FALSE,"Plan1";#N/A,#N/A,FALSE,"Plan2"}</definedName>
    <definedName name="MAISAP" hidden="1">{#N/A,#N/A,FALSE,"Plan1";#N/A,#N/A,FALSE,"Plan2"}</definedName>
    <definedName name="MANT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2">#REF!</definedName>
    <definedName name="MAO_DE_OBRA" localSheetId="5">#REF!</definedName>
    <definedName name="MAO_DE_OBRA">#REF!</definedName>
    <definedName name="mar17RJ" localSheetId="2">#REF!</definedName>
    <definedName name="mar17RJ" localSheetId="5">#REF!</definedName>
    <definedName name="mar17RJ">#REF!</definedName>
    <definedName name="MARCAX" localSheetId="2">#REF!</definedName>
    <definedName name="MARCAX" localSheetId="5">#REF!</definedName>
    <definedName name="MARCAX">#REF!</definedName>
    <definedName name="MARÇO" localSheetId="2">#REF!</definedName>
    <definedName name="MARÇO" localSheetId="5">#REF!</definedName>
    <definedName name="MARÇO">#REF!</definedName>
    <definedName name="MARÇO2001" localSheetId="2">#REF!</definedName>
    <definedName name="MARÇO2001" localSheetId="5">#REF!</definedName>
    <definedName name="MARÇO2001">#REF!</definedName>
    <definedName name="martha" localSheetId="2">#REF!</definedName>
    <definedName name="martha" localSheetId="5">#REF!</definedName>
    <definedName name="martha">#REF!</definedName>
    <definedName name="MAST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2">#REF!</definedName>
    <definedName name="MATERIAL" localSheetId="5">#REF!</definedName>
    <definedName name="MATERIAL">#REF!</definedName>
    <definedName name="mattubcu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4" hidden="1">{#N/A,#N/A,FALSE,"Plan1";#N/A,#N/A,FALSE,"Plan2"}</definedName>
    <definedName name="MAURILIO" localSheetId="7" hidden="1">{#N/A,#N/A,FALSE,"Plan1";#N/A,#N/A,FALSE,"Plan2"}</definedName>
    <definedName name="MAURILIO" localSheetId="1" hidden="1">{#N/A,#N/A,FALSE,"Plan1";#N/A,#N/A,FALSE,"Plan2"}</definedName>
    <definedName name="MAURILIO" localSheetId="2" hidden="1">{#N/A,#N/A,FALSE,"Plan1";#N/A,#N/A,FALSE,"Plan2"}</definedName>
    <definedName name="MAURILIO" localSheetId="9" hidden="1">{#N/A,#N/A,FALSE,"Plan1";#N/A,#N/A,FALSE,"Plan2"}</definedName>
    <definedName name="MAURILIO" localSheetId="5" hidden="1">{#N/A,#N/A,FALSE,"Plan1";#N/A,#N/A,FALSE,"Plan2"}</definedName>
    <definedName name="MAURILIO" localSheetId="4" hidden="1">{#N/A,#N/A,FALSE,"Plan1";#N/A,#N/A,FALSE,"Plan2"}</definedName>
    <definedName name="MAURILIO" localSheetId="8" hidden="1">{#N/A,#N/A,FALSE,"Plan1";#N/A,#N/A,FALSE,"Plan2"}</definedName>
    <definedName name="MAURILIO" localSheetId="12" hidden="1">{#N/A,#N/A,FALSE,"Plan1";#N/A,#N/A,FALSE,"Plan2"}</definedName>
    <definedName name="MAURILIO" localSheetId="16" hidden="1">{#N/A,#N/A,FALSE,"Plan1";#N/A,#N/A,FALSE,"Plan2"}</definedName>
    <definedName name="MAURILIO" localSheetId="0" hidden="1">{#N/A,#N/A,FALSE,"Plan1";#N/A,#N/A,FALSE,"Plan2"}</definedName>
    <definedName name="MAURILIO" localSheetId="11" hidden="1">{#N/A,#N/A,FALSE,"Plan1";#N/A,#N/A,FALSE,"Plan2"}</definedName>
    <definedName name="MAURILIO" localSheetId="13" hidden="1">{#N/A,#N/A,FALSE,"Plan1";#N/A,#N/A,FALSE,"Plan2"}</definedName>
    <definedName name="MAURILIO" hidden="1">{#N/A,#N/A,FALSE,"Plan1";#N/A,#N/A,FALSE,"Plan2"}</definedName>
    <definedName name="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2">#REF!</definedName>
    <definedName name="MCMV" localSheetId="5">#REF!</definedName>
    <definedName name="MCMV">#REF!</definedName>
    <definedName name="mdfgtr" localSheetId="14" hidden="1">{#N/A,#N/A,FALSE,"Plan1";#N/A,#N/A,FALSE,"Plan2"}</definedName>
    <definedName name="mdfgtr" localSheetId="7" hidden="1">{#N/A,#N/A,FALSE,"Plan1";#N/A,#N/A,FALSE,"Plan2"}</definedName>
    <definedName name="mdfgtr" localSheetId="1" hidden="1">{#N/A,#N/A,FALSE,"Plan1";#N/A,#N/A,FALSE,"Plan2"}</definedName>
    <definedName name="mdfgtr" localSheetId="2" hidden="1">{#N/A,#N/A,FALSE,"Plan1";#N/A,#N/A,FALSE,"Plan2"}</definedName>
    <definedName name="mdfgtr" localSheetId="9" hidden="1">{#N/A,#N/A,FALSE,"Plan1";#N/A,#N/A,FALSE,"Plan2"}</definedName>
    <definedName name="mdfgtr" localSheetId="5" hidden="1">{#N/A,#N/A,FALSE,"Plan1";#N/A,#N/A,FALSE,"Plan2"}</definedName>
    <definedName name="mdfgtr" localSheetId="4" hidden="1">{#N/A,#N/A,FALSE,"Plan1";#N/A,#N/A,FALSE,"Plan2"}</definedName>
    <definedName name="mdfgtr" localSheetId="8" hidden="1">{#N/A,#N/A,FALSE,"Plan1";#N/A,#N/A,FALSE,"Plan2"}</definedName>
    <definedName name="mdfgtr" localSheetId="12" hidden="1">{#N/A,#N/A,FALSE,"Plan1";#N/A,#N/A,FALSE,"Plan2"}</definedName>
    <definedName name="mdfgtr" localSheetId="16" hidden="1">{#N/A,#N/A,FALSE,"Plan1";#N/A,#N/A,FALSE,"Plan2"}</definedName>
    <definedName name="mdfgtr" localSheetId="0" hidden="1">{#N/A,#N/A,FALSE,"Plan1";#N/A,#N/A,FALSE,"Plan2"}</definedName>
    <definedName name="mdfgtr" localSheetId="11" hidden="1">{#N/A,#N/A,FALSE,"Plan1";#N/A,#N/A,FALSE,"Plan2"}</definedName>
    <definedName name="mdfgtr" localSheetId="13" hidden="1">{#N/A,#N/A,FALSE,"Plan1";#N/A,#N/A,FALSE,"Plan2"}</definedName>
    <definedName name="mdfgtr" hidden="1">{#N/A,#N/A,FALSE,"Plan1";#N/A,#N/A,FALSE,"Plan2"}</definedName>
    <definedName name="MDSÇLFJKJSD" localSheetId="14" hidden="1">{#N/A,#N/A,FALSE,"Plan1";#N/A,#N/A,FALSE,"Plan2"}</definedName>
    <definedName name="MDSÇLFJKJSD" localSheetId="7" hidden="1">{#N/A,#N/A,FALSE,"Plan1";#N/A,#N/A,FALSE,"Plan2"}</definedName>
    <definedName name="MDSÇLFJKJSD" localSheetId="1" hidden="1">{#N/A,#N/A,FALSE,"Plan1";#N/A,#N/A,FALSE,"Plan2"}</definedName>
    <definedName name="MDSÇLFJKJSD" localSheetId="2" hidden="1">{#N/A,#N/A,FALSE,"Plan1";#N/A,#N/A,FALSE,"Plan2"}</definedName>
    <definedName name="MDSÇLFJKJSD" localSheetId="9" hidden="1">{#N/A,#N/A,FALSE,"Plan1";#N/A,#N/A,FALSE,"Plan2"}</definedName>
    <definedName name="MDSÇLFJKJSD" localSheetId="5" hidden="1">{#N/A,#N/A,FALSE,"Plan1";#N/A,#N/A,FALSE,"Plan2"}</definedName>
    <definedName name="MDSÇLFJKJSD" localSheetId="4" hidden="1">{#N/A,#N/A,FALSE,"Plan1";#N/A,#N/A,FALSE,"Plan2"}</definedName>
    <definedName name="MDSÇLFJKJSD" localSheetId="8" hidden="1">{#N/A,#N/A,FALSE,"Plan1";#N/A,#N/A,FALSE,"Plan2"}</definedName>
    <definedName name="MDSÇLFJKJSD" localSheetId="12" hidden="1">{#N/A,#N/A,FALSE,"Plan1";#N/A,#N/A,FALSE,"Plan2"}</definedName>
    <definedName name="MDSÇLFJKJSD" localSheetId="16" hidden="1">{#N/A,#N/A,FALSE,"Plan1";#N/A,#N/A,FALSE,"Plan2"}</definedName>
    <definedName name="MDSÇLFJKJSD" localSheetId="0" hidden="1">{#N/A,#N/A,FALSE,"Plan1";#N/A,#N/A,FALSE,"Plan2"}</definedName>
    <definedName name="MDSÇLFJKJSD" localSheetId="11" hidden="1">{#N/A,#N/A,FALSE,"Plan1";#N/A,#N/A,FALSE,"Plan2"}</definedName>
    <definedName name="MDSÇLFJKJSD" localSheetId="13" hidden="1">{#N/A,#N/A,FALSE,"Plan1";#N/A,#N/A,FALSE,"Plan2"}</definedName>
    <definedName name="MDSÇLFJKJSD" hidden="1">{#N/A,#N/A,FALSE,"Plan1";#N/A,#N/A,FALSE,"Plan2"}</definedName>
    <definedName name="ME" localSheetId="14" hidden="1">{"HW",#N/A,FALSE,"1998"}</definedName>
    <definedName name="ME" localSheetId="7" hidden="1">{"HW",#N/A,FALSE,"1998"}</definedName>
    <definedName name="ME" localSheetId="1" hidden="1">{"HW",#N/A,FALSE,"1998"}</definedName>
    <definedName name="ME" localSheetId="2" hidden="1">{"HW",#N/A,FALSE,"1998"}</definedName>
    <definedName name="ME" localSheetId="9" hidden="1">{"HW",#N/A,FALSE,"1998"}</definedName>
    <definedName name="ME" localSheetId="5" hidden="1">{"HW",#N/A,FALSE,"1998"}</definedName>
    <definedName name="ME" localSheetId="4" hidden="1">{"HW",#N/A,FALSE,"1998"}</definedName>
    <definedName name="ME" localSheetId="8" hidden="1">{"HW",#N/A,FALSE,"1998"}</definedName>
    <definedName name="ME" localSheetId="12" hidden="1">{"HW",#N/A,FALSE,"1998"}</definedName>
    <definedName name="ME" localSheetId="16" hidden="1">{"HW",#N/A,FALSE,"1998"}</definedName>
    <definedName name="ME" localSheetId="0" hidden="1">{"HW",#N/A,FALSE,"1998"}</definedName>
    <definedName name="ME" localSheetId="11" hidden="1">{"HW",#N/A,FALSE,"1998"}</definedName>
    <definedName name="ME" localSheetId="13" hidden="1">{"HW",#N/A,FALSE,"1998"}</definedName>
    <definedName name="ME" hidden="1">{"HW",#N/A,FALSE,"1998"}</definedName>
    <definedName name="Medido_Fin_Medições" localSheetId="2">#REF!</definedName>
    <definedName name="Medido_Fin_Medições" localSheetId="5">#REF!</definedName>
    <definedName name="Medido_Fin_Medições">#REF!</definedName>
    <definedName name="melo_cdi" localSheetId="2">#REF!</definedName>
    <definedName name="melo_cdi" localSheetId="5">#REF!</definedName>
    <definedName name="melo_cdi">#REF!</definedName>
    <definedName name="melo_hist" localSheetId="2">#REF!</definedName>
    <definedName name="melo_hist" localSheetId="5">#REF!</definedName>
    <definedName name="melo_hist">#REF!</definedName>
    <definedName name="melo_uss" localSheetId="2">#REF!</definedName>
    <definedName name="melo_uss" localSheetId="5">#REF!</definedName>
    <definedName name="melo_uss">#REF!</definedName>
    <definedName name="MEMÓRIA" localSheetId="2">#REF!</definedName>
    <definedName name="MEMÓRIA" localSheetId="5">#REF!</definedName>
    <definedName name="MEMÓRIA">#REF!</definedName>
    <definedName name="memória2" localSheetId="2">#REF!</definedName>
    <definedName name="memória2" localSheetId="5">#REF!</definedName>
    <definedName name="memória2">#REF!</definedName>
    <definedName name="mensal" localSheetId="2">#REF!</definedName>
    <definedName name="mensal" localSheetId="5">#REF!</definedName>
    <definedName name="mensal">#REF!</definedName>
    <definedName name="MENU" localSheetId="3">#REF!</definedName>
    <definedName name="MENU" localSheetId="14">#REF!</definedName>
    <definedName name="MENU" localSheetId="2">#REF!</definedName>
    <definedName name="MENU" localSheetId="5">#REF!</definedName>
    <definedName name="MENU" localSheetId="15">#REF!</definedName>
    <definedName name="MENU" localSheetId="12">#REF!</definedName>
    <definedName name="MENU" localSheetId="0">#REF!</definedName>
    <definedName name="MENU" localSheetId="24">#REF!</definedName>
    <definedName name="MENU">#REF!</definedName>
    <definedName name="MENU1" localSheetId="14">#REF!</definedName>
    <definedName name="MENU1" localSheetId="2">#REF!</definedName>
    <definedName name="MENU1" localSheetId="5">#REF!</definedName>
    <definedName name="MENU1" localSheetId="15">#REF!</definedName>
    <definedName name="MENU1" localSheetId="12">#REF!</definedName>
    <definedName name="MENU1" localSheetId="0">#REF!</definedName>
    <definedName name="MENU1" localSheetId="24">#REF!</definedName>
    <definedName name="MENU1">#REF!</definedName>
    <definedName name="MENU2" localSheetId="14">#REF!</definedName>
    <definedName name="MENU2" localSheetId="2">#REF!</definedName>
    <definedName name="MENU2" localSheetId="5">#REF!</definedName>
    <definedName name="MENU2" localSheetId="15">#REF!</definedName>
    <definedName name="MENU2" localSheetId="12">#REF!</definedName>
    <definedName name="MENU2" localSheetId="0">#REF!</definedName>
    <definedName name="MENU2" localSheetId="24">#REF!</definedName>
    <definedName name="MENU2">#REF!</definedName>
    <definedName name="MENU3" localSheetId="14">#REF!</definedName>
    <definedName name="MENU3" localSheetId="2">#REF!</definedName>
    <definedName name="MENU3" localSheetId="5">#REF!</definedName>
    <definedName name="MENU3" localSheetId="15">#REF!</definedName>
    <definedName name="MENU3" localSheetId="12">#REF!</definedName>
    <definedName name="MENU3" localSheetId="0">#REF!</definedName>
    <definedName name="MENU3" localSheetId="24">#REF!</definedName>
    <definedName name="MENU3">#REF!</definedName>
    <definedName name="MENU4" localSheetId="14">#REF!</definedName>
    <definedName name="MENU4" localSheetId="2">#REF!</definedName>
    <definedName name="MENU4" localSheetId="5">#REF!</definedName>
    <definedName name="MENU4" localSheetId="15">#REF!</definedName>
    <definedName name="MENU4" localSheetId="12">#REF!</definedName>
    <definedName name="MENU4" localSheetId="0">#REF!</definedName>
    <definedName name="MENU4" localSheetId="24">#REF!</definedName>
    <definedName name="MENU4">#REF!</definedName>
    <definedName name="MENU5" localSheetId="14">#REF!</definedName>
    <definedName name="MENU5" localSheetId="2">#REF!</definedName>
    <definedName name="MENU5" localSheetId="5">#REF!</definedName>
    <definedName name="MENU5" localSheetId="15">#REF!</definedName>
    <definedName name="MENU5" localSheetId="12">#REF!</definedName>
    <definedName name="MENU5" localSheetId="0">#REF!</definedName>
    <definedName name="MENU5" localSheetId="24">#REF!</definedName>
    <definedName name="MENU5">#REF!</definedName>
    <definedName name="MENU6" localSheetId="14">#REF!</definedName>
    <definedName name="MENU6" localSheetId="2">#REF!</definedName>
    <definedName name="MENU6" localSheetId="5">#REF!</definedName>
    <definedName name="MENU6" localSheetId="15">#REF!</definedName>
    <definedName name="MENU6" localSheetId="12">#REF!</definedName>
    <definedName name="MENU6" localSheetId="0">#REF!</definedName>
    <definedName name="MENU6" localSheetId="24">#REF!</definedName>
    <definedName name="MENU6">#REF!</definedName>
    <definedName name="MENUBOM" localSheetId="2">#REF!</definedName>
    <definedName name="MENUBOM" localSheetId="5">#REF!</definedName>
    <definedName name="MENUBOM">#REF!</definedName>
    <definedName name="MENUEQP" localSheetId="2">#REF!</definedName>
    <definedName name="MENUEQP" localSheetId="5">#REF!</definedName>
    <definedName name="MENUEQP">#REF!</definedName>
    <definedName name="MENUFIM" localSheetId="2">#REF!</definedName>
    <definedName name="MENUFIM" localSheetId="5">#REF!</definedName>
    <definedName name="MENUFIM">#REF!</definedName>
    <definedName name="MENUMED" localSheetId="2">#REF!</definedName>
    <definedName name="MENUMED" localSheetId="5">#REF!</definedName>
    <definedName name="MENUMED">#REF!</definedName>
    <definedName name="MENUOBRA" localSheetId="2">#REF!</definedName>
    <definedName name="MENUOBRA" localSheetId="5">#REF!</definedName>
    <definedName name="MENUOBRA">#REF!</definedName>
    <definedName name="MENUOUT" localSheetId="2">#REF!</definedName>
    <definedName name="MENUOUT" localSheetId="5">#REF!</definedName>
    <definedName name="MENUOUT">#REF!</definedName>
    <definedName name="MENUOUTRO" localSheetId="2">#REF!</definedName>
    <definedName name="MENUOUTRO" localSheetId="5">#REF!</definedName>
    <definedName name="MENUOUTRO">#REF!</definedName>
    <definedName name="menures" localSheetId="2">#REF!</definedName>
    <definedName name="menures" localSheetId="5">#REF!</definedName>
    <definedName name="menures">#REF!</definedName>
    <definedName name="Mês_data_base" localSheetId="2">#REF!</definedName>
    <definedName name="Mês_data_base" localSheetId="5">#REF!</definedName>
    <definedName name="Mês_data_base">#REF!</definedName>
    <definedName name="Mês_Medição_Fin_Medições" localSheetId="2">#REF!</definedName>
    <definedName name="Mês_Medição_Fin_Medições" localSheetId="5">#REF!</definedName>
    <definedName name="Mês_Medição_Fin_Medições">#REF!</definedName>
    <definedName name="mes_relatorio" localSheetId="2">#REF!</definedName>
    <definedName name="mes_relatorio" localSheetId="5">#REF!</definedName>
    <definedName name="mes_relatorio">#REF!</definedName>
    <definedName name="Meses" localSheetId="2">#REF!</definedName>
    <definedName name="Meses" localSheetId="5">#REF!</definedName>
    <definedName name="Meses">#REF!</definedName>
    <definedName name="MESTR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2">#REF!</definedName>
    <definedName name="meta_venda" localSheetId="5">#REF!</definedName>
    <definedName name="meta_venda">#REF!</definedName>
    <definedName name="MetaBP" localSheetId="2">#REF!</definedName>
    <definedName name="MetaBP" localSheetId="5">#REF!</definedName>
    <definedName name="MetaBP">#REF!</definedName>
    <definedName name="MILENA" localSheetId="2" hidden="1">#REF!</definedName>
    <definedName name="MILENA" localSheetId="0" hidden="1">#REF!</definedName>
    <definedName name="MILENA" hidden="1">#REF!</definedName>
    <definedName name="Minha_Casa_Minha_Vida" localSheetId="2">#REF!</definedName>
    <definedName name="Minha_Casa_Minha_Vida" localSheetId="5">#REF!</definedName>
    <definedName name="Minha_Casa_Minha_Vida">#REF!</definedName>
    <definedName name="MLMÇLKJKI" localSheetId="14" hidden="1">{#N/A,#N/A,FALSE,"Plan1";#N/A,#N/A,FALSE,"Plan2"}</definedName>
    <definedName name="MLMÇLKJKI" localSheetId="7" hidden="1">{#N/A,#N/A,FALSE,"Plan1";#N/A,#N/A,FALSE,"Plan2"}</definedName>
    <definedName name="MLMÇLKJKI" localSheetId="1" hidden="1">{#N/A,#N/A,FALSE,"Plan1";#N/A,#N/A,FALSE,"Plan2"}</definedName>
    <definedName name="MLMÇLKJKI" localSheetId="2" hidden="1">{#N/A,#N/A,FALSE,"Plan1";#N/A,#N/A,FALSE,"Plan2"}</definedName>
    <definedName name="MLMÇLKJKI" localSheetId="9" hidden="1">{#N/A,#N/A,FALSE,"Plan1";#N/A,#N/A,FALSE,"Plan2"}</definedName>
    <definedName name="MLMÇLKJKI" localSheetId="5" hidden="1">{#N/A,#N/A,FALSE,"Plan1";#N/A,#N/A,FALSE,"Plan2"}</definedName>
    <definedName name="MLMÇLKJKI" localSheetId="4" hidden="1">{#N/A,#N/A,FALSE,"Plan1";#N/A,#N/A,FALSE,"Plan2"}</definedName>
    <definedName name="MLMÇLKJKI" localSheetId="8" hidden="1">{#N/A,#N/A,FALSE,"Plan1";#N/A,#N/A,FALSE,"Plan2"}</definedName>
    <definedName name="MLMÇLKJKI" localSheetId="12" hidden="1">{#N/A,#N/A,FALSE,"Plan1";#N/A,#N/A,FALSE,"Plan2"}</definedName>
    <definedName name="MLMÇLKJKI" localSheetId="16" hidden="1">{#N/A,#N/A,FALSE,"Plan1";#N/A,#N/A,FALSE,"Plan2"}</definedName>
    <definedName name="MLMÇLKJKI" localSheetId="0" hidden="1">{#N/A,#N/A,FALSE,"Plan1";#N/A,#N/A,FALSE,"Plan2"}</definedName>
    <definedName name="MLMÇLKJKI" localSheetId="11" hidden="1">{#N/A,#N/A,FALSE,"Plan1";#N/A,#N/A,FALSE,"Plan2"}</definedName>
    <definedName name="MLMÇLKJKI" localSheetId="13" hidden="1">{#N/A,#N/A,FALSE,"Plan1";#N/A,#N/A,FALSE,"Plan2"}</definedName>
    <definedName name="MLMÇLKJKI" hidden="1">{#N/A,#N/A,FALSE,"Plan1";#N/A,#N/A,FALSE,"Plan2"}</definedName>
    <definedName name="M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4" hidden="1">{"tabela",#N/A,FALSE,"Tabela";"decoração",#N/A,FALSE,"Decor.";"Informações",#N/A,FALSE,"Inform."}</definedName>
    <definedName name="mmmmm" localSheetId="7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localSheetId="9" hidden="1">{"tabela",#N/A,FALSE,"Tabela";"decoração",#N/A,FALSE,"Decor.";"Informações",#N/A,FALSE,"Inform."}</definedName>
    <definedName name="mmmmm" localSheetId="5" hidden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localSheetId="8" hidden="1">{"tabela",#N/A,FALSE,"Tabela";"decoração",#N/A,FALSE,"Decor.";"Informações",#N/A,FALSE,"Inform."}</definedName>
    <definedName name="mmmmm" localSheetId="12" hidden="1">{"tabela",#N/A,FALSE,"Tabela";"decoração",#N/A,FALSE,"Decor.";"Informações",#N/A,FALSE,"Inform."}</definedName>
    <definedName name="mmmmm" localSheetId="16" hidden="1">{"tabela",#N/A,FALSE,"Tabela";"decoração",#N/A,FALSE,"Decor.";"Informações",#N/A,FALSE,"Inform."}</definedName>
    <definedName name="mmmmm" localSheetId="0" hidden="1">{"tabela",#N/A,FALSE,"Tabela";"decoração",#N/A,FALSE,"Decor.";"Informações",#N/A,FALSE,"Inform."}</definedName>
    <definedName name="mmmmm" localSheetId="11" hidden="1">{"tabela",#N/A,FALSE,"Tabela";"decoração",#N/A,FALSE,"Decor.";"Informações",#N/A,FALSE,"Inform."}</definedName>
    <definedName name="mmmmm" localSheetId="13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4" hidden="1">{#N/A,#N/A,FALSE,"Plan1";#N/A,#N/A,FALSE,"Plan2"}</definedName>
    <definedName name="MNBXFKGS" localSheetId="7" hidden="1">{#N/A,#N/A,FALSE,"Plan1";#N/A,#N/A,FALSE,"Plan2"}</definedName>
    <definedName name="MNBXFKGS" localSheetId="1" hidden="1">{#N/A,#N/A,FALSE,"Plan1";#N/A,#N/A,FALSE,"Plan2"}</definedName>
    <definedName name="MNBXFKGS" localSheetId="2" hidden="1">{#N/A,#N/A,FALSE,"Plan1";#N/A,#N/A,FALSE,"Plan2"}</definedName>
    <definedName name="MNBXFKGS" localSheetId="9" hidden="1">{#N/A,#N/A,FALSE,"Plan1";#N/A,#N/A,FALSE,"Plan2"}</definedName>
    <definedName name="MNBXFKGS" localSheetId="5" hidden="1">{#N/A,#N/A,FALSE,"Plan1";#N/A,#N/A,FALSE,"Plan2"}</definedName>
    <definedName name="MNBXFKGS" localSheetId="4" hidden="1">{#N/A,#N/A,FALSE,"Plan1";#N/A,#N/A,FALSE,"Plan2"}</definedName>
    <definedName name="MNBXFKGS" localSheetId="8" hidden="1">{#N/A,#N/A,FALSE,"Plan1";#N/A,#N/A,FALSE,"Plan2"}</definedName>
    <definedName name="MNBXFKGS" localSheetId="12" hidden="1">{#N/A,#N/A,FALSE,"Plan1";#N/A,#N/A,FALSE,"Plan2"}</definedName>
    <definedName name="MNBXFKGS" localSheetId="16" hidden="1">{#N/A,#N/A,FALSE,"Plan1";#N/A,#N/A,FALSE,"Plan2"}</definedName>
    <definedName name="MNBXFKGS" localSheetId="0" hidden="1">{#N/A,#N/A,FALSE,"Plan1";#N/A,#N/A,FALSE,"Plan2"}</definedName>
    <definedName name="MNBXFKGS" localSheetId="11" hidden="1">{#N/A,#N/A,FALSE,"Plan1";#N/A,#N/A,FALSE,"Plan2"}</definedName>
    <definedName name="MNBXFKGS" localSheetId="13" hidden="1">{#N/A,#N/A,FALSE,"Plan1";#N/A,#N/A,FALSE,"Plan2"}</definedName>
    <definedName name="MNBXFKGS" hidden="1">{#N/A,#N/A,FALSE,"Plan1";#N/A,#N/A,FALSE,"Plan2"}</definedName>
    <definedName name="mncvbgcvmc" localSheetId="14" hidden="1">{#N/A,#N/A,FALSE,"Plan1";#N/A,#N/A,FALSE,"Plan2"}</definedName>
    <definedName name="mncvbgcvmc" localSheetId="7" hidden="1">{#N/A,#N/A,FALSE,"Plan1";#N/A,#N/A,FALSE,"Plan2"}</definedName>
    <definedName name="mncvbgcvmc" localSheetId="1" hidden="1">{#N/A,#N/A,FALSE,"Plan1";#N/A,#N/A,FALSE,"Plan2"}</definedName>
    <definedName name="mncvbgcvmc" localSheetId="2" hidden="1">{#N/A,#N/A,FALSE,"Plan1";#N/A,#N/A,FALSE,"Plan2"}</definedName>
    <definedName name="mncvbgcvmc" localSheetId="9" hidden="1">{#N/A,#N/A,FALSE,"Plan1";#N/A,#N/A,FALSE,"Plan2"}</definedName>
    <definedName name="mncvbgcvmc" localSheetId="5" hidden="1">{#N/A,#N/A,FALSE,"Plan1";#N/A,#N/A,FALSE,"Plan2"}</definedName>
    <definedName name="mncvbgcvmc" localSheetId="4" hidden="1">{#N/A,#N/A,FALSE,"Plan1";#N/A,#N/A,FALSE,"Plan2"}</definedName>
    <definedName name="mncvbgcvmc" localSheetId="8" hidden="1">{#N/A,#N/A,FALSE,"Plan1";#N/A,#N/A,FALSE,"Plan2"}</definedName>
    <definedName name="mncvbgcvmc" localSheetId="12" hidden="1">{#N/A,#N/A,FALSE,"Plan1";#N/A,#N/A,FALSE,"Plan2"}</definedName>
    <definedName name="mncvbgcvmc" localSheetId="16" hidden="1">{#N/A,#N/A,FALSE,"Plan1";#N/A,#N/A,FALSE,"Plan2"}</definedName>
    <definedName name="mncvbgcvmc" localSheetId="0" hidden="1">{#N/A,#N/A,FALSE,"Plan1";#N/A,#N/A,FALSE,"Plan2"}</definedName>
    <definedName name="mncvbgcvmc" localSheetId="11" hidden="1">{#N/A,#N/A,FALSE,"Plan1";#N/A,#N/A,FALSE,"Plan2"}</definedName>
    <definedName name="mncvbgcvmc" localSheetId="13" hidden="1">{#N/A,#N/A,FALSE,"Plan1";#N/A,#N/A,FALSE,"Plan2"}</definedName>
    <definedName name="mncvbgcvmc" hidden="1">{#N/A,#N/A,FALSE,"Plan1";#N/A,#N/A,FALSE,"Plan2"}</definedName>
    <definedName name="MNDKZSFNCEA" localSheetId="14" hidden="1">{#N/A,#N/A,FALSE,"Plan1";#N/A,#N/A,FALSE,"Plan2"}</definedName>
    <definedName name="MNDKZSFNCEA" localSheetId="7" hidden="1">{#N/A,#N/A,FALSE,"Plan1";#N/A,#N/A,FALSE,"Plan2"}</definedName>
    <definedName name="MNDKZSFNCEA" localSheetId="1" hidden="1">{#N/A,#N/A,FALSE,"Plan1";#N/A,#N/A,FALSE,"Plan2"}</definedName>
    <definedName name="MNDKZSFNCEA" localSheetId="2" hidden="1">{#N/A,#N/A,FALSE,"Plan1";#N/A,#N/A,FALSE,"Plan2"}</definedName>
    <definedName name="MNDKZSFNCEA" localSheetId="9" hidden="1">{#N/A,#N/A,FALSE,"Plan1";#N/A,#N/A,FALSE,"Plan2"}</definedName>
    <definedName name="MNDKZSFNCEA" localSheetId="5" hidden="1">{#N/A,#N/A,FALSE,"Plan1";#N/A,#N/A,FALSE,"Plan2"}</definedName>
    <definedName name="MNDKZSFNCEA" localSheetId="4" hidden="1">{#N/A,#N/A,FALSE,"Plan1";#N/A,#N/A,FALSE,"Plan2"}</definedName>
    <definedName name="MNDKZSFNCEA" localSheetId="8" hidden="1">{#N/A,#N/A,FALSE,"Plan1";#N/A,#N/A,FALSE,"Plan2"}</definedName>
    <definedName name="MNDKZSFNCEA" localSheetId="12" hidden="1">{#N/A,#N/A,FALSE,"Plan1";#N/A,#N/A,FALSE,"Plan2"}</definedName>
    <definedName name="MNDKZSFNCEA" localSheetId="16" hidden="1">{#N/A,#N/A,FALSE,"Plan1";#N/A,#N/A,FALSE,"Plan2"}</definedName>
    <definedName name="MNDKZSFNCEA" localSheetId="0" hidden="1">{#N/A,#N/A,FALSE,"Plan1";#N/A,#N/A,FALSE,"Plan2"}</definedName>
    <definedName name="MNDKZSFNCEA" localSheetId="11" hidden="1">{#N/A,#N/A,FALSE,"Plan1";#N/A,#N/A,FALSE,"Plan2"}</definedName>
    <definedName name="MNDKZSFNCEA" localSheetId="13" hidden="1">{#N/A,#N/A,FALSE,"Plan1";#N/A,#N/A,FALSE,"Plan2"}</definedName>
    <definedName name="MNDKZSFNCEA" hidden="1">{#N/A,#N/A,FALSE,"Plan1";#N/A,#N/A,FALSE,"Plan2"}</definedName>
    <definedName name="mnhdshfgfhd" localSheetId="14" hidden="1">{#N/A,#N/A,FALSE,"Plan1";#N/A,#N/A,FALSE,"Plan2"}</definedName>
    <definedName name="mnhdshfgfhd" localSheetId="7" hidden="1">{#N/A,#N/A,FALSE,"Plan1";#N/A,#N/A,FALSE,"Plan2"}</definedName>
    <definedName name="mnhdshfgfhd" localSheetId="1" hidden="1">{#N/A,#N/A,FALSE,"Plan1";#N/A,#N/A,FALSE,"Plan2"}</definedName>
    <definedName name="mnhdshfgfhd" localSheetId="2" hidden="1">{#N/A,#N/A,FALSE,"Plan1";#N/A,#N/A,FALSE,"Plan2"}</definedName>
    <definedName name="mnhdshfgfhd" localSheetId="9" hidden="1">{#N/A,#N/A,FALSE,"Plan1";#N/A,#N/A,FALSE,"Plan2"}</definedName>
    <definedName name="mnhdshfgfhd" localSheetId="5" hidden="1">{#N/A,#N/A,FALSE,"Plan1";#N/A,#N/A,FALSE,"Plan2"}</definedName>
    <definedName name="mnhdshfgfhd" localSheetId="4" hidden="1">{#N/A,#N/A,FALSE,"Plan1";#N/A,#N/A,FALSE,"Plan2"}</definedName>
    <definedName name="mnhdshfgfhd" localSheetId="8" hidden="1">{#N/A,#N/A,FALSE,"Plan1";#N/A,#N/A,FALSE,"Plan2"}</definedName>
    <definedName name="mnhdshfgfhd" localSheetId="12" hidden="1">{#N/A,#N/A,FALSE,"Plan1";#N/A,#N/A,FALSE,"Plan2"}</definedName>
    <definedName name="mnhdshfgfhd" localSheetId="16" hidden="1">{#N/A,#N/A,FALSE,"Plan1";#N/A,#N/A,FALSE,"Plan2"}</definedName>
    <definedName name="mnhdshfgfhd" localSheetId="0" hidden="1">{#N/A,#N/A,FALSE,"Plan1";#N/A,#N/A,FALSE,"Plan2"}</definedName>
    <definedName name="mnhdshfgfhd" localSheetId="11" hidden="1">{#N/A,#N/A,FALSE,"Plan1";#N/A,#N/A,FALSE,"Plan2"}</definedName>
    <definedName name="mnhdshfgfhd" localSheetId="13" hidden="1">{#N/A,#N/A,FALSE,"Plan1";#N/A,#N/A,FALSE,"Plan2"}</definedName>
    <definedName name="mnhdshfgfhd" hidden="1">{#N/A,#N/A,FALSE,"Plan1";#N/A,#N/A,FALSE,"Plan2"}</definedName>
    <definedName name="mo" localSheetId="14">#REF!</definedName>
    <definedName name="mo" localSheetId="2">#REF!</definedName>
    <definedName name="mo" localSheetId="5">#REF!</definedName>
    <definedName name="mo" localSheetId="15">#REF!</definedName>
    <definedName name="mo" localSheetId="12">#REF!</definedName>
    <definedName name="mo" localSheetId="0">#REF!</definedName>
    <definedName name="mo">#REF!</definedName>
    <definedName name="mobr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4" hidden="1">{#N/A,#N/A,FALSE,"cdi";#N/A,#N/A,FALSE,"debent";#N/A,#N/A,FALSE,"fdos";#N/A,#N/A,FALSE,"resumo"}</definedName>
    <definedName name="Modelo1" localSheetId="7" hidden="1">{#N/A,#N/A,FALSE,"cdi";#N/A,#N/A,FALSE,"debent";#N/A,#N/A,FALSE,"fdos";#N/A,#N/A,FALSE,"resumo"}</definedName>
    <definedName name="Modelo1" localSheetId="1" hidden="1">{#N/A,#N/A,FALSE,"cdi";#N/A,#N/A,FALSE,"debent";#N/A,#N/A,FALSE,"fdos";#N/A,#N/A,FALSE,"resumo"}</definedName>
    <definedName name="Modelo1" localSheetId="2" hidden="1">{#N/A,#N/A,FALSE,"cdi";#N/A,#N/A,FALSE,"debent";#N/A,#N/A,FALSE,"fdos";#N/A,#N/A,FALSE,"resumo"}</definedName>
    <definedName name="Modelo1" localSheetId="9" hidden="1">{#N/A,#N/A,FALSE,"cdi";#N/A,#N/A,FALSE,"debent";#N/A,#N/A,FALSE,"fdos";#N/A,#N/A,FALSE,"resumo"}</definedName>
    <definedName name="Modelo1" localSheetId="5" hidden="1">{#N/A,#N/A,FALSE,"cdi";#N/A,#N/A,FALSE,"debent";#N/A,#N/A,FALSE,"fdos";#N/A,#N/A,FALSE,"resumo"}</definedName>
    <definedName name="Modelo1" localSheetId="4" hidden="1">{#N/A,#N/A,FALSE,"cdi";#N/A,#N/A,FALSE,"debent";#N/A,#N/A,FALSE,"fdos";#N/A,#N/A,FALSE,"resumo"}</definedName>
    <definedName name="Modelo1" localSheetId="8" hidden="1">{#N/A,#N/A,FALSE,"cdi";#N/A,#N/A,FALSE,"debent";#N/A,#N/A,FALSE,"fdos";#N/A,#N/A,FALSE,"resumo"}</definedName>
    <definedName name="Modelo1" localSheetId="12" hidden="1">{#N/A,#N/A,FALSE,"cdi";#N/A,#N/A,FALSE,"debent";#N/A,#N/A,FALSE,"fdos";#N/A,#N/A,FALSE,"resumo"}</definedName>
    <definedName name="Modelo1" localSheetId="16" hidden="1">{#N/A,#N/A,FALSE,"cdi";#N/A,#N/A,FALSE,"debent";#N/A,#N/A,FALSE,"fdos";#N/A,#N/A,FALSE,"resumo"}</definedName>
    <definedName name="Modelo1" localSheetId="0" hidden="1">{#N/A,#N/A,FALSE,"cdi";#N/A,#N/A,FALSE,"debent";#N/A,#N/A,FALSE,"fdos";#N/A,#N/A,FALSE,"resumo"}</definedName>
    <definedName name="Modelo1" localSheetId="11" hidden="1">{#N/A,#N/A,FALSE,"cdi";#N/A,#N/A,FALSE,"debent";#N/A,#N/A,FALSE,"fdos";#N/A,#N/A,FALSE,"resumo"}</definedName>
    <definedName name="Modelo1" localSheetId="13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14" hidden="1">{#N/A,#N/A,FALSE,"cdi";#N/A,#N/A,FALSE,"debent";#N/A,#N/A,FALSE,"fdos";#N/A,#N/A,FALSE,"resumo"}</definedName>
    <definedName name="Modelo1a" localSheetId="7" hidden="1">{#N/A,#N/A,FALSE,"cdi";#N/A,#N/A,FALSE,"debent";#N/A,#N/A,FALSE,"fdos";#N/A,#N/A,FALSE,"resumo"}</definedName>
    <definedName name="Modelo1a" localSheetId="1" hidden="1">{#N/A,#N/A,FALSE,"cdi";#N/A,#N/A,FALSE,"debent";#N/A,#N/A,FALSE,"fdos";#N/A,#N/A,FALSE,"resumo"}</definedName>
    <definedName name="Modelo1a" localSheetId="2" hidden="1">{#N/A,#N/A,FALSE,"cdi";#N/A,#N/A,FALSE,"debent";#N/A,#N/A,FALSE,"fdos";#N/A,#N/A,FALSE,"resumo"}</definedName>
    <definedName name="Modelo1a" localSheetId="9" hidden="1">{#N/A,#N/A,FALSE,"cdi";#N/A,#N/A,FALSE,"debent";#N/A,#N/A,FALSE,"fdos";#N/A,#N/A,FALSE,"resumo"}</definedName>
    <definedName name="Modelo1a" localSheetId="5" hidden="1">{#N/A,#N/A,FALSE,"cdi";#N/A,#N/A,FALSE,"debent";#N/A,#N/A,FALSE,"fdos";#N/A,#N/A,FALSE,"resumo"}</definedName>
    <definedName name="Modelo1a" localSheetId="4" hidden="1">{#N/A,#N/A,FALSE,"cdi";#N/A,#N/A,FALSE,"debent";#N/A,#N/A,FALSE,"fdos";#N/A,#N/A,FALSE,"resumo"}</definedName>
    <definedName name="Modelo1a" localSheetId="8" hidden="1">{#N/A,#N/A,FALSE,"cdi";#N/A,#N/A,FALSE,"debent";#N/A,#N/A,FALSE,"fdos";#N/A,#N/A,FALSE,"resumo"}</definedName>
    <definedName name="Modelo1a" localSheetId="12" hidden="1">{#N/A,#N/A,FALSE,"cdi";#N/A,#N/A,FALSE,"debent";#N/A,#N/A,FALSE,"fdos";#N/A,#N/A,FALSE,"resumo"}</definedName>
    <definedName name="Modelo1a" localSheetId="16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1a" localSheetId="11" hidden="1">{#N/A,#N/A,FALSE,"cdi";#N/A,#N/A,FALSE,"debent";#N/A,#N/A,FALSE,"fdos";#N/A,#N/A,FALSE,"resumo"}</definedName>
    <definedName name="Modelo1a" localSheetId="13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2">#REF!</definedName>
    <definedName name="módulo" localSheetId="5">#REF!</definedName>
    <definedName name="módulo">#REF!</definedName>
    <definedName name="mond_cdi" localSheetId="2">#REF!</definedName>
    <definedName name="mond_cdi" localSheetId="5">#REF!</definedName>
    <definedName name="mond_cdi">#REF!</definedName>
    <definedName name="mond_hist" localSheetId="2">#REF!</definedName>
    <definedName name="mond_hist" localSheetId="5">#REF!</definedName>
    <definedName name="mond_hist">#REF!</definedName>
    <definedName name="mond_uss" localSheetId="2">#REF!</definedName>
    <definedName name="mond_uss" localSheetId="5">#REF!</definedName>
    <definedName name="mond_uss">#REF!</definedName>
    <definedName name="MP" localSheetId="14" hidden="1">{#N/A,#N/A,FALSE,"CCTV"}</definedName>
    <definedName name="MP" localSheetId="7" hidden="1">{#N/A,#N/A,FALSE,"CCTV"}</definedName>
    <definedName name="MP" localSheetId="1" hidden="1">{#N/A,#N/A,FALSE,"CCTV"}</definedName>
    <definedName name="MP" localSheetId="2" hidden="1">{#N/A,#N/A,FALSE,"CCTV"}</definedName>
    <definedName name="MP" localSheetId="9" hidden="1">{#N/A,#N/A,FALSE,"CCTV"}</definedName>
    <definedName name="MP" localSheetId="5" hidden="1">{#N/A,#N/A,FALSE,"CCTV"}</definedName>
    <definedName name="MP" localSheetId="4" hidden="1">{#N/A,#N/A,FALSE,"CCTV"}</definedName>
    <definedName name="MP" localSheetId="8" hidden="1">{#N/A,#N/A,FALSE,"CCTV"}</definedName>
    <definedName name="MP" localSheetId="12" hidden="1">{#N/A,#N/A,FALSE,"CCTV"}</definedName>
    <definedName name="MP" localSheetId="16" hidden="1">{#N/A,#N/A,FALSE,"CCTV"}</definedName>
    <definedName name="MP" localSheetId="0" hidden="1">{#N/A,#N/A,FALSE,"CCTV"}</definedName>
    <definedName name="MP" localSheetId="11" hidden="1">{#N/A,#N/A,FALSE,"CCTV"}</definedName>
    <definedName name="MP" localSheetId="13" hidden="1">{#N/A,#N/A,FALSE,"CCTV"}</definedName>
    <definedName name="MP" hidden="1">{#N/A,#N/A,FALSE,"CCTV"}</definedName>
    <definedName name="MSDFJKDT" hidden="1">25</definedName>
    <definedName name="MSDRFSWER" localSheetId="14" hidden="1">{"Econ Consolidado",#N/A,FALSE,"Econ Consol";"Fluxo de Caixa",#N/A,FALSE,"Fluxo Caixa";"Investimentos",#N/A,FALSE,"Investimentos"}</definedName>
    <definedName name="MSDRFSWER" localSheetId="7" hidden="1">{"Econ Consolidado",#N/A,FALSE,"Econ Consol";"Fluxo de Caixa",#N/A,FALSE,"Fluxo Caixa";"Investimentos",#N/A,FALSE,"Investimentos"}</definedName>
    <definedName name="MSDRFSWER" localSheetId="1" hidden="1">{"Econ Consolidado",#N/A,FALSE,"Econ Consol";"Fluxo de Caixa",#N/A,FALSE,"Fluxo Caixa";"Investimentos",#N/A,FALSE,"Investimentos"}</definedName>
    <definedName name="MSDRFSWER" localSheetId="2" hidden="1">{"Econ Consolidado",#N/A,FALSE,"Econ Consol";"Fluxo de Caixa",#N/A,FALSE,"Fluxo Caixa";"Investimentos",#N/A,FALSE,"Investimentos"}</definedName>
    <definedName name="MSDRFSWER" localSheetId="9" hidden="1">{"Econ Consolidado",#N/A,FALSE,"Econ Consol";"Fluxo de Caixa",#N/A,FALSE,"Fluxo Caixa";"Investimentos",#N/A,FALSE,"Investimentos"}</definedName>
    <definedName name="MSDRFSWER" localSheetId="5" hidden="1">{"Econ Consolidado",#N/A,FALSE,"Econ Consol";"Fluxo de Caixa",#N/A,FALSE,"Fluxo Caixa";"Investimentos",#N/A,FALSE,"Investimentos"}</definedName>
    <definedName name="MSDRFSWER" localSheetId="4" hidden="1">{"Econ Consolidado",#N/A,FALSE,"Econ Consol";"Fluxo de Caixa",#N/A,FALSE,"Fluxo Caixa";"Investimentos",#N/A,FALSE,"Investimentos"}</definedName>
    <definedName name="MSDRFSWER" localSheetId="8" hidden="1">{"Econ Consolidado",#N/A,FALSE,"Econ Consol";"Fluxo de Caixa",#N/A,FALSE,"Fluxo Caixa";"Investimentos",#N/A,FALSE,"Investimentos"}</definedName>
    <definedName name="MSDRFSWER" localSheetId="12" hidden="1">{"Econ Consolidado",#N/A,FALSE,"Econ Consol";"Fluxo de Caixa",#N/A,FALSE,"Fluxo Caixa";"Investimentos",#N/A,FALSE,"Investimentos"}</definedName>
    <definedName name="MSDRFSWER" localSheetId="16" hidden="1">{"Econ Consolidado",#N/A,FALSE,"Econ Consol";"Fluxo de Caixa",#N/A,FALSE,"Fluxo Caixa";"Investimentos",#N/A,FALSE,"Investimentos"}</definedName>
    <definedName name="MSDRFSWER" localSheetId="0" hidden="1">{"Econ Consolidado",#N/A,FALSE,"Econ Consol";"Fluxo de Caixa",#N/A,FALSE,"Fluxo Caixa";"Investimentos",#N/A,FALSE,"Investimentos"}</definedName>
    <definedName name="MSDRFSWER" localSheetId="11" hidden="1">{"Econ Consolidado",#N/A,FALSE,"Econ Consol";"Fluxo de Caixa",#N/A,FALSE,"Fluxo Caixa";"Investimentos",#N/A,FALSE,"Investimentos"}</definedName>
    <definedName name="MSDRFSWER" localSheetId="13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2">#REF!</definedName>
    <definedName name="MURBOMB" localSheetId="5">#REF!</definedName>
    <definedName name="MURBOMB">#REF!</definedName>
    <definedName name="mzshdjshjs" localSheetId="14" hidden="1">{#N/A,#N/A,FALSE,"Plan1";#N/A,#N/A,FALSE,"Plan2"}</definedName>
    <definedName name="mzshdjshjs" localSheetId="7" hidden="1">{#N/A,#N/A,FALSE,"Plan1";#N/A,#N/A,FALSE,"Plan2"}</definedName>
    <definedName name="mzshdjshjs" localSheetId="1" hidden="1">{#N/A,#N/A,FALSE,"Plan1";#N/A,#N/A,FALSE,"Plan2"}</definedName>
    <definedName name="mzshdjshjs" localSheetId="2" hidden="1">{#N/A,#N/A,FALSE,"Plan1";#N/A,#N/A,FALSE,"Plan2"}</definedName>
    <definedName name="mzshdjshjs" localSheetId="9" hidden="1">{#N/A,#N/A,FALSE,"Plan1";#N/A,#N/A,FALSE,"Plan2"}</definedName>
    <definedName name="mzshdjshjs" localSheetId="5" hidden="1">{#N/A,#N/A,FALSE,"Plan1";#N/A,#N/A,FALSE,"Plan2"}</definedName>
    <definedName name="mzshdjshjs" localSheetId="4" hidden="1">{#N/A,#N/A,FALSE,"Plan1";#N/A,#N/A,FALSE,"Plan2"}</definedName>
    <definedName name="mzshdjshjs" localSheetId="8" hidden="1">{#N/A,#N/A,FALSE,"Plan1";#N/A,#N/A,FALSE,"Plan2"}</definedName>
    <definedName name="mzshdjshjs" localSheetId="12" hidden="1">{#N/A,#N/A,FALSE,"Plan1";#N/A,#N/A,FALSE,"Plan2"}</definedName>
    <definedName name="mzshdjshjs" localSheetId="16" hidden="1">{#N/A,#N/A,FALSE,"Plan1";#N/A,#N/A,FALSE,"Plan2"}</definedName>
    <definedName name="mzshdjshjs" localSheetId="0" hidden="1">{#N/A,#N/A,FALSE,"Plan1";#N/A,#N/A,FALSE,"Plan2"}</definedName>
    <definedName name="mzshdjshjs" localSheetId="11" hidden="1">{#N/A,#N/A,FALSE,"Plan1";#N/A,#N/A,FALSE,"Plan2"}</definedName>
    <definedName name="mzshdjshjs" localSheetId="13" hidden="1">{#N/A,#N/A,FALSE,"Plan1";#N/A,#N/A,FALSE,"Plan2"}</definedName>
    <definedName name="mzshdjshjs" hidden="1">{#N/A,#N/A,FALSE,"Plan1";#N/A,#N/A,FALSE,"Plan2"}</definedName>
    <definedName name="na" localSheetId="14" hidden="1">{#N/A,#N/A,FALSE,"$170M Cash";#N/A,#N/A,FALSE,"$250M Cash";#N/A,#N/A,FALSE,"$325M Cash"}</definedName>
    <definedName name="na" localSheetId="7" hidden="1">{#N/A,#N/A,FALSE,"$170M Cash";#N/A,#N/A,FALSE,"$250M Cash";#N/A,#N/A,FALSE,"$325M Cash"}</definedName>
    <definedName name="na" localSheetId="1" hidden="1">{#N/A,#N/A,FALSE,"$170M Cash";#N/A,#N/A,FALSE,"$250M Cash";#N/A,#N/A,FALSE,"$325M Cash"}</definedName>
    <definedName name="na" localSheetId="2" hidden="1">{#N/A,#N/A,FALSE,"$170M Cash";#N/A,#N/A,FALSE,"$250M Cash";#N/A,#N/A,FALSE,"$325M Cash"}</definedName>
    <definedName name="na" localSheetId="9" hidden="1">{#N/A,#N/A,FALSE,"$170M Cash";#N/A,#N/A,FALSE,"$250M Cash";#N/A,#N/A,FALSE,"$325M Cash"}</definedName>
    <definedName name="na" localSheetId="5" hidden="1">{#N/A,#N/A,FALSE,"$170M Cash";#N/A,#N/A,FALSE,"$250M Cash";#N/A,#N/A,FALSE,"$325M Cash"}</definedName>
    <definedName name="na" localSheetId="4" hidden="1">{#N/A,#N/A,FALSE,"$170M Cash";#N/A,#N/A,FALSE,"$250M Cash";#N/A,#N/A,FALSE,"$325M Cash"}</definedName>
    <definedName name="na" localSheetId="8" hidden="1">{#N/A,#N/A,FALSE,"$170M Cash";#N/A,#N/A,FALSE,"$250M Cash";#N/A,#N/A,FALSE,"$325M Cash"}</definedName>
    <definedName name="na" localSheetId="12" hidden="1">{#N/A,#N/A,FALSE,"$170M Cash";#N/A,#N/A,FALSE,"$250M Cash";#N/A,#N/A,FALSE,"$325M Cash"}</definedName>
    <definedName name="na" localSheetId="16" hidden="1">{#N/A,#N/A,FALSE,"$170M Cash";#N/A,#N/A,FALSE,"$250M Cash";#N/A,#N/A,FALSE,"$325M Cash"}</definedName>
    <definedName name="na" localSheetId="0" hidden="1">{#N/A,#N/A,FALSE,"$170M Cash";#N/A,#N/A,FALSE,"$250M Cash";#N/A,#N/A,FALSE,"$325M Cash"}</definedName>
    <definedName name="na" localSheetId="11" hidden="1">{#N/A,#N/A,FALSE,"$170M Cash";#N/A,#N/A,FALSE,"$250M Cash";#N/A,#N/A,FALSE,"$325M Cash"}</definedName>
    <definedName name="na" localSheetId="13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14" hidden="1">{#N/A,#N/A,FALSE,"Plan1";#N/A,#N/A,FALSE,"Plan2"}</definedName>
    <definedName name="ncdgrdhrtg" localSheetId="7" hidden="1">{#N/A,#N/A,FALSE,"Plan1";#N/A,#N/A,FALSE,"Plan2"}</definedName>
    <definedName name="ncdgrdhrtg" localSheetId="1" hidden="1">{#N/A,#N/A,FALSE,"Plan1";#N/A,#N/A,FALSE,"Plan2"}</definedName>
    <definedName name="ncdgrdhrtg" localSheetId="2" hidden="1">{#N/A,#N/A,FALSE,"Plan1";#N/A,#N/A,FALSE,"Plan2"}</definedName>
    <definedName name="ncdgrdhrtg" localSheetId="9" hidden="1">{#N/A,#N/A,FALSE,"Plan1";#N/A,#N/A,FALSE,"Plan2"}</definedName>
    <definedName name="ncdgrdhrtg" localSheetId="5" hidden="1">{#N/A,#N/A,FALSE,"Plan1";#N/A,#N/A,FALSE,"Plan2"}</definedName>
    <definedName name="ncdgrdhrtg" localSheetId="4" hidden="1">{#N/A,#N/A,FALSE,"Plan1";#N/A,#N/A,FALSE,"Plan2"}</definedName>
    <definedName name="ncdgrdhrtg" localSheetId="8" hidden="1">{#N/A,#N/A,FALSE,"Plan1";#N/A,#N/A,FALSE,"Plan2"}</definedName>
    <definedName name="ncdgrdhrtg" localSheetId="12" hidden="1">{#N/A,#N/A,FALSE,"Plan1";#N/A,#N/A,FALSE,"Plan2"}</definedName>
    <definedName name="ncdgrdhrtg" localSheetId="16" hidden="1">{#N/A,#N/A,FALSE,"Plan1";#N/A,#N/A,FALSE,"Plan2"}</definedName>
    <definedName name="ncdgrdhrtg" localSheetId="0" hidden="1">{#N/A,#N/A,FALSE,"Plan1";#N/A,#N/A,FALSE,"Plan2"}</definedName>
    <definedName name="ncdgrdhrtg" localSheetId="11" hidden="1">{#N/A,#N/A,FALSE,"Plan1";#N/A,#N/A,FALSE,"Plan2"}</definedName>
    <definedName name="ncdgrdhrtg" localSheetId="13" hidden="1">{#N/A,#N/A,FALSE,"Plan1";#N/A,#N/A,FALSE,"Plan2"}</definedName>
    <definedName name="ncdgrdhrtg" hidden="1">{#N/A,#N/A,FALSE,"Plan1";#N/A,#N/A,FALSE,"Plan2"}</definedName>
    <definedName name="nchngdfhgdh" localSheetId="14" hidden="1">{#N/A,#N/A,FALSE,"Plan1";#N/A,#N/A,FALSE,"Plan2"}</definedName>
    <definedName name="nchngdfhgdh" localSheetId="7" hidden="1">{#N/A,#N/A,FALSE,"Plan1";#N/A,#N/A,FALSE,"Plan2"}</definedName>
    <definedName name="nchngdfhgdh" localSheetId="1" hidden="1">{#N/A,#N/A,FALSE,"Plan1";#N/A,#N/A,FALSE,"Plan2"}</definedName>
    <definedName name="nchngdfhgdh" localSheetId="2" hidden="1">{#N/A,#N/A,FALSE,"Plan1";#N/A,#N/A,FALSE,"Plan2"}</definedName>
    <definedName name="nchngdfhgdh" localSheetId="9" hidden="1">{#N/A,#N/A,FALSE,"Plan1";#N/A,#N/A,FALSE,"Plan2"}</definedName>
    <definedName name="nchngdfhgdh" localSheetId="5" hidden="1">{#N/A,#N/A,FALSE,"Plan1";#N/A,#N/A,FALSE,"Plan2"}</definedName>
    <definedName name="nchngdfhgdh" localSheetId="4" hidden="1">{#N/A,#N/A,FALSE,"Plan1";#N/A,#N/A,FALSE,"Plan2"}</definedName>
    <definedName name="nchngdfhgdh" localSheetId="8" hidden="1">{#N/A,#N/A,FALSE,"Plan1";#N/A,#N/A,FALSE,"Plan2"}</definedName>
    <definedName name="nchngdfhgdh" localSheetId="12" hidden="1">{#N/A,#N/A,FALSE,"Plan1";#N/A,#N/A,FALSE,"Plan2"}</definedName>
    <definedName name="nchngdfhgdh" localSheetId="16" hidden="1">{#N/A,#N/A,FALSE,"Plan1";#N/A,#N/A,FALSE,"Plan2"}</definedName>
    <definedName name="nchngdfhgdh" localSheetId="0" hidden="1">{#N/A,#N/A,FALSE,"Plan1";#N/A,#N/A,FALSE,"Plan2"}</definedName>
    <definedName name="nchngdfhgdh" localSheetId="11" hidden="1">{#N/A,#N/A,FALSE,"Plan1";#N/A,#N/A,FALSE,"Plan2"}</definedName>
    <definedName name="nchngdfhgdh" localSheetId="13" hidden="1">{#N/A,#N/A,FALSE,"Plan1";#N/A,#N/A,FALSE,"Plan2"}</definedName>
    <definedName name="nchngdfhgdh" hidden="1">{#N/A,#N/A,FALSE,"Plan1";#N/A,#N/A,FALSE,"Plan2"}</definedName>
    <definedName name="NCJFKNGJHF" localSheetId="14" hidden="1">{#N/A,#N/A,FALSE,"Plan1";#N/A,#N/A,FALSE,"Plan2"}</definedName>
    <definedName name="NCJFKNGJHF" localSheetId="7" hidden="1">{#N/A,#N/A,FALSE,"Plan1";#N/A,#N/A,FALSE,"Plan2"}</definedName>
    <definedName name="NCJFKNGJHF" localSheetId="1" hidden="1">{#N/A,#N/A,FALSE,"Plan1";#N/A,#N/A,FALSE,"Plan2"}</definedName>
    <definedName name="NCJFKNGJHF" localSheetId="2" hidden="1">{#N/A,#N/A,FALSE,"Plan1";#N/A,#N/A,FALSE,"Plan2"}</definedName>
    <definedName name="NCJFKNGJHF" localSheetId="9" hidden="1">{#N/A,#N/A,FALSE,"Plan1";#N/A,#N/A,FALSE,"Plan2"}</definedName>
    <definedName name="NCJFKNGJHF" localSheetId="5" hidden="1">{#N/A,#N/A,FALSE,"Plan1";#N/A,#N/A,FALSE,"Plan2"}</definedName>
    <definedName name="NCJFKNGJHF" localSheetId="4" hidden="1">{#N/A,#N/A,FALSE,"Plan1";#N/A,#N/A,FALSE,"Plan2"}</definedName>
    <definedName name="NCJFKNGJHF" localSheetId="8" hidden="1">{#N/A,#N/A,FALSE,"Plan1";#N/A,#N/A,FALSE,"Plan2"}</definedName>
    <definedName name="NCJFKNGJHF" localSheetId="12" hidden="1">{#N/A,#N/A,FALSE,"Plan1";#N/A,#N/A,FALSE,"Plan2"}</definedName>
    <definedName name="NCJFKNGJHF" localSheetId="16" hidden="1">{#N/A,#N/A,FALSE,"Plan1";#N/A,#N/A,FALSE,"Plan2"}</definedName>
    <definedName name="NCJFKNGJHF" localSheetId="0" hidden="1">{#N/A,#N/A,FALSE,"Plan1";#N/A,#N/A,FALSE,"Plan2"}</definedName>
    <definedName name="NCJFKNGJHF" localSheetId="11" hidden="1">{#N/A,#N/A,FALSE,"Plan1";#N/A,#N/A,FALSE,"Plan2"}</definedName>
    <definedName name="NCJFKNGJHF" localSheetId="13" hidden="1">{#N/A,#N/A,FALSE,"Plan1";#N/A,#N/A,FALSE,"Plan2"}</definedName>
    <definedName name="NCJFKNGJHF" hidden="1">{#N/A,#N/A,FALSE,"Plan1";#N/A,#N/A,FALSE,"Plan2"}</definedName>
    <definedName name="NDATA" localSheetId="2">#REF!</definedName>
    <definedName name="NDATA" localSheetId="5">#REF!</definedName>
    <definedName name="NDATA">#REF!</definedName>
    <definedName name="ndcxhgdhf" localSheetId="14" hidden="1">{#N/A,#N/A,FALSE,"Plan1";#N/A,#N/A,FALSE,"Plan2"}</definedName>
    <definedName name="ndcxhgdhf" localSheetId="7" hidden="1">{#N/A,#N/A,FALSE,"Plan1";#N/A,#N/A,FALSE,"Plan2"}</definedName>
    <definedName name="ndcxhgdhf" localSheetId="1" hidden="1">{#N/A,#N/A,FALSE,"Plan1";#N/A,#N/A,FALSE,"Plan2"}</definedName>
    <definedName name="ndcxhgdhf" localSheetId="2" hidden="1">{#N/A,#N/A,FALSE,"Plan1";#N/A,#N/A,FALSE,"Plan2"}</definedName>
    <definedName name="ndcxhgdhf" localSheetId="9" hidden="1">{#N/A,#N/A,FALSE,"Plan1";#N/A,#N/A,FALSE,"Plan2"}</definedName>
    <definedName name="ndcxhgdhf" localSheetId="5" hidden="1">{#N/A,#N/A,FALSE,"Plan1";#N/A,#N/A,FALSE,"Plan2"}</definedName>
    <definedName name="ndcxhgdhf" localSheetId="4" hidden="1">{#N/A,#N/A,FALSE,"Plan1";#N/A,#N/A,FALSE,"Plan2"}</definedName>
    <definedName name="ndcxhgdhf" localSheetId="8" hidden="1">{#N/A,#N/A,FALSE,"Plan1";#N/A,#N/A,FALSE,"Plan2"}</definedName>
    <definedName name="ndcxhgdhf" localSheetId="12" hidden="1">{#N/A,#N/A,FALSE,"Plan1";#N/A,#N/A,FALSE,"Plan2"}</definedName>
    <definedName name="ndcxhgdhf" localSheetId="16" hidden="1">{#N/A,#N/A,FALSE,"Plan1";#N/A,#N/A,FALSE,"Plan2"}</definedName>
    <definedName name="ndcxhgdhf" localSheetId="0" hidden="1">{#N/A,#N/A,FALSE,"Plan1";#N/A,#N/A,FALSE,"Plan2"}</definedName>
    <definedName name="ndcxhgdhf" localSheetId="11" hidden="1">{#N/A,#N/A,FALSE,"Plan1";#N/A,#N/A,FALSE,"Plan2"}</definedName>
    <definedName name="ndcxhgdhf" localSheetId="13" hidden="1">{#N/A,#N/A,FALSE,"Plan1";#N/A,#N/A,FALSE,"Plan2"}</definedName>
    <definedName name="ndcxhgdhf" hidden="1">{#N/A,#N/A,FALSE,"Plan1";#N/A,#N/A,FALSE,"Plan2"}</definedName>
    <definedName name="ndfjnjkrhdgt" localSheetId="14" hidden="1">{#N/A,#N/A,FALSE,"Plan1";#N/A,#N/A,FALSE,"Plan2"}</definedName>
    <definedName name="ndfjnjkrhdgt" localSheetId="7" hidden="1">{#N/A,#N/A,FALSE,"Plan1";#N/A,#N/A,FALSE,"Plan2"}</definedName>
    <definedName name="ndfjnjkrhdgt" localSheetId="1" hidden="1">{#N/A,#N/A,FALSE,"Plan1";#N/A,#N/A,FALSE,"Plan2"}</definedName>
    <definedName name="ndfjnjkrhdgt" localSheetId="2" hidden="1">{#N/A,#N/A,FALSE,"Plan1";#N/A,#N/A,FALSE,"Plan2"}</definedName>
    <definedName name="ndfjnjkrhdgt" localSheetId="9" hidden="1">{#N/A,#N/A,FALSE,"Plan1";#N/A,#N/A,FALSE,"Plan2"}</definedName>
    <definedName name="ndfjnjkrhdgt" localSheetId="5" hidden="1">{#N/A,#N/A,FALSE,"Plan1";#N/A,#N/A,FALSE,"Plan2"}</definedName>
    <definedName name="ndfjnjkrhdgt" localSheetId="4" hidden="1">{#N/A,#N/A,FALSE,"Plan1";#N/A,#N/A,FALSE,"Plan2"}</definedName>
    <definedName name="ndfjnjkrhdgt" localSheetId="8" hidden="1">{#N/A,#N/A,FALSE,"Plan1";#N/A,#N/A,FALSE,"Plan2"}</definedName>
    <definedName name="ndfjnjkrhdgt" localSheetId="12" hidden="1">{#N/A,#N/A,FALSE,"Plan1";#N/A,#N/A,FALSE,"Plan2"}</definedName>
    <definedName name="ndfjnjkrhdgt" localSheetId="16" hidden="1">{#N/A,#N/A,FALSE,"Plan1";#N/A,#N/A,FALSE,"Plan2"}</definedName>
    <definedName name="ndfjnjkrhdgt" localSheetId="0" hidden="1">{#N/A,#N/A,FALSE,"Plan1";#N/A,#N/A,FALSE,"Plan2"}</definedName>
    <definedName name="ndfjnjkrhdgt" localSheetId="11" hidden="1">{#N/A,#N/A,FALSE,"Plan1";#N/A,#N/A,FALSE,"Plan2"}</definedName>
    <definedName name="ndfjnjkrhdgt" localSheetId="13" hidden="1">{#N/A,#N/A,FALSE,"Plan1";#N/A,#N/A,FALSE,"Plan2"}</definedName>
    <definedName name="ndfjnjkrhdgt" hidden="1">{#N/A,#N/A,FALSE,"Plan1";#N/A,#N/A,FALSE,"Plan2"}</definedName>
    <definedName name="ndfkghkjthfyst" localSheetId="14" hidden="1">{#N/A,#N/A,FALSE,"Plan1";#N/A,#N/A,FALSE,"Plan2"}</definedName>
    <definedName name="ndfkghkjthfyst" localSheetId="7" hidden="1">{#N/A,#N/A,FALSE,"Plan1";#N/A,#N/A,FALSE,"Plan2"}</definedName>
    <definedName name="ndfkghkjthfyst" localSheetId="1" hidden="1">{#N/A,#N/A,FALSE,"Plan1";#N/A,#N/A,FALSE,"Plan2"}</definedName>
    <definedName name="ndfkghkjthfyst" localSheetId="2" hidden="1">{#N/A,#N/A,FALSE,"Plan1";#N/A,#N/A,FALSE,"Plan2"}</definedName>
    <definedName name="ndfkghkjthfyst" localSheetId="9" hidden="1">{#N/A,#N/A,FALSE,"Plan1";#N/A,#N/A,FALSE,"Plan2"}</definedName>
    <definedName name="ndfkghkjthfyst" localSheetId="5" hidden="1">{#N/A,#N/A,FALSE,"Plan1";#N/A,#N/A,FALSE,"Plan2"}</definedName>
    <definedName name="ndfkghkjthfyst" localSheetId="4" hidden="1">{#N/A,#N/A,FALSE,"Plan1";#N/A,#N/A,FALSE,"Plan2"}</definedName>
    <definedName name="ndfkghkjthfyst" localSheetId="8" hidden="1">{#N/A,#N/A,FALSE,"Plan1";#N/A,#N/A,FALSE,"Plan2"}</definedName>
    <definedName name="ndfkghkjthfyst" localSheetId="12" hidden="1">{#N/A,#N/A,FALSE,"Plan1";#N/A,#N/A,FALSE,"Plan2"}</definedName>
    <definedName name="ndfkghkjthfyst" localSheetId="16" hidden="1">{#N/A,#N/A,FALSE,"Plan1";#N/A,#N/A,FALSE,"Plan2"}</definedName>
    <definedName name="ndfkghkjthfyst" localSheetId="0" hidden="1">{#N/A,#N/A,FALSE,"Plan1";#N/A,#N/A,FALSE,"Plan2"}</definedName>
    <definedName name="ndfkghkjthfyst" localSheetId="11" hidden="1">{#N/A,#N/A,FALSE,"Plan1";#N/A,#N/A,FALSE,"Plan2"}</definedName>
    <definedName name="ndfkghkjthfyst" localSheetId="13" hidden="1">{#N/A,#N/A,FALSE,"Plan1";#N/A,#N/A,FALSE,"Plan2"}</definedName>
    <definedName name="ndfkghkjthfyst" hidden="1">{#N/A,#N/A,FALSE,"Plan1";#N/A,#N/A,FALSE,"Plan2"}</definedName>
    <definedName name="ndfldslvjnvberugberqubquierbv" localSheetId="2">#REF!</definedName>
    <definedName name="ndfldslvjnvberugberqubquierbv" localSheetId="5">#REF!</definedName>
    <definedName name="ndfldslvjnvberugberqubquierbv">#REF!</definedName>
    <definedName name="NDJGKFKGHUFG" localSheetId="14" hidden="1">{#N/A,#N/A,FALSE,"Plan1";#N/A,#N/A,FALSE,"Plan2"}</definedName>
    <definedName name="NDJGKFKGHUFG" localSheetId="7" hidden="1">{#N/A,#N/A,FALSE,"Plan1";#N/A,#N/A,FALSE,"Plan2"}</definedName>
    <definedName name="NDJGKFKGHUFG" localSheetId="1" hidden="1">{#N/A,#N/A,FALSE,"Plan1";#N/A,#N/A,FALSE,"Plan2"}</definedName>
    <definedName name="NDJGKFKGHUFG" localSheetId="2" hidden="1">{#N/A,#N/A,FALSE,"Plan1";#N/A,#N/A,FALSE,"Plan2"}</definedName>
    <definedName name="NDJGKFKGHUFG" localSheetId="9" hidden="1">{#N/A,#N/A,FALSE,"Plan1";#N/A,#N/A,FALSE,"Plan2"}</definedName>
    <definedName name="NDJGKFKGHUFG" localSheetId="5" hidden="1">{#N/A,#N/A,FALSE,"Plan1";#N/A,#N/A,FALSE,"Plan2"}</definedName>
    <definedName name="NDJGKFKGHUFG" localSheetId="4" hidden="1">{#N/A,#N/A,FALSE,"Plan1";#N/A,#N/A,FALSE,"Plan2"}</definedName>
    <definedName name="NDJGKFKGHUFG" localSheetId="8" hidden="1">{#N/A,#N/A,FALSE,"Plan1";#N/A,#N/A,FALSE,"Plan2"}</definedName>
    <definedName name="NDJGKFKGHUFG" localSheetId="12" hidden="1">{#N/A,#N/A,FALSE,"Plan1";#N/A,#N/A,FALSE,"Plan2"}</definedName>
    <definedName name="NDJGKFKGHUFG" localSheetId="16" hidden="1">{#N/A,#N/A,FALSE,"Plan1";#N/A,#N/A,FALSE,"Plan2"}</definedName>
    <definedName name="NDJGKFKGHUFG" localSheetId="0" hidden="1">{#N/A,#N/A,FALSE,"Plan1";#N/A,#N/A,FALSE,"Plan2"}</definedName>
    <definedName name="NDJGKFKGHUFG" localSheetId="11" hidden="1">{#N/A,#N/A,FALSE,"Plan1";#N/A,#N/A,FALSE,"Plan2"}</definedName>
    <definedName name="NDJGKFKGHUFG" localSheetId="13" hidden="1">{#N/A,#N/A,FALSE,"Plan1";#N/A,#N/A,FALSE,"Plan2"}</definedName>
    <definedName name="NDJGKFKGHUFG" hidden="1">{#N/A,#N/A,FALSE,"Plan1";#N/A,#N/A,FALSE,"Plan2"}</definedName>
    <definedName name="ndrjkt" localSheetId="14" hidden="1">{#N/A,#N/A,FALSE,"Plan1";#N/A,#N/A,FALSE,"Plan2"}</definedName>
    <definedName name="ndrjkt" localSheetId="7" hidden="1">{#N/A,#N/A,FALSE,"Plan1";#N/A,#N/A,FALSE,"Plan2"}</definedName>
    <definedName name="ndrjkt" localSheetId="1" hidden="1">{#N/A,#N/A,FALSE,"Plan1";#N/A,#N/A,FALSE,"Plan2"}</definedName>
    <definedName name="ndrjkt" localSheetId="2" hidden="1">{#N/A,#N/A,FALSE,"Plan1";#N/A,#N/A,FALSE,"Plan2"}</definedName>
    <definedName name="ndrjkt" localSheetId="9" hidden="1">{#N/A,#N/A,FALSE,"Plan1";#N/A,#N/A,FALSE,"Plan2"}</definedName>
    <definedName name="ndrjkt" localSheetId="5" hidden="1">{#N/A,#N/A,FALSE,"Plan1";#N/A,#N/A,FALSE,"Plan2"}</definedName>
    <definedName name="ndrjkt" localSheetId="4" hidden="1">{#N/A,#N/A,FALSE,"Plan1";#N/A,#N/A,FALSE,"Plan2"}</definedName>
    <definedName name="ndrjkt" localSheetId="8" hidden="1">{#N/A,#N/A,FALSE,"Plan1";#N/A,#N/A,FALSE,"Plan2"}</definedName>
    <definedName name="ndrjkt" localSheetId="12" hidden="1">{#N/A,#N/A,FALSE,"Plan1";#N/A,#N/A,FALSE,"Plan2"}</definedName>
    <definedName name="ndrjkt" localSheetId="16" hidden="1">{#N/A,#N/A,FALSE,"Plan1";#N/A,#N/A,FALSE,"Plan2"}</definedName>
    <definedName name="ndrjkt" localSheetId="0" hidden="1">{#N/A,#N/A,FALSE,"Plan1";#N/A,#N/A,FALSE,"Plan2"}</definedName>
    <definedName name="ndrjkt" localSheetId="11" hidden="1">{#N/A,#N/A,FALSE,"Plan1";#N/A,#N/A,FALSE,"Plan2"}</definedName>
    <definedName name="ndrjkt" localSheetId="13" hidden="1">{#N/A,#N/A,FALSE,"Plan1";#N/A,#N/A,FALSE,"Plan2"}</definedName>
    <definedName name="ndrjkt" hidden="1">{#N/A,#N/A,FALSE,"Plan1";#N/A,#N/A,FALSE,"Plan2"}</definedName>
    <definedName name="new" localSheetId="14" hidden="1">{#N/A,#N/A,FALSE,"Global by BU";#N/A,#N/A,FALSE,"U.S. by BU";#N/A,#N/A,FALSE,"Canada by BU";#N/A,#N/A,FALSE,"Europe by BU";#N/A,#N/A,FALSE,"Asia by BU";#N/A,#N/A,FALSE,"Cala by BU"}</definedName>
    <definedName name="new" localSheetId="7" hidden="1">{#N/A,#N/A,FALSE,"Global by BU";#N/A,#N/A,FALSE,"U.S. by BU";#N/A,#N/A,FALSE,"Canada by BU";#N/A,#N/A,FALSE,"Europe by BU";#N/A,#N/A,FALSE,"Asia by BU";#N/A,#N/A,FALSE,"Cala by BU"}</definedName>
    <definedName name="new" localSheetId="1" hidden="1">{#N/A,#N/A,FALSE,"Global by BU";#N/A,#N/A,FALSE,"U.S. by BU";#N/A,#N/A,FALSE,"Canada by BU";#N/A,#N/A,FALSE,"Europe by BU";#N/A,#N/A,FALSE,"Asia by BU";#N/A,#N/A,FALSE,"Cala by BU"}</definedName>
    <definedName name="new" localSheetId="2" hidden="1">{#N/A,#N/A,FALSE,"Global by BU";#N/A,#N/A,FALSE,"U.S. by BU";#N/A,#N/A,FALSE,"Canada by BU";#N/A,#N/A,FALSE,"Europe by BU";#N/A,#N/A,FALSE,"Asia by BU";#N/A,#N/A,FALSE,"Cala by BU"}</definedName>
    <definedName name="new" localSheetId="9" hidden="1">{#N/A,#N/A,FALSE,"Global by BU";#N/A,#N/A,FALSE,"U.S. by BU";#N/A,#N/A,FALSE,"Canada by BU";#N/A,#N/A,FALSE,"Europe by BU";#N/A,#N/A,FALSE,"Asia by BU";#N/A,#N/A,FALSE,"Cala by BU"}</definedName>
    <definedName name="new" localSheetId="5" hidden="1">{#N/A,#N/A,FALSE,"Global by BU";#N/A,#N/A,FALSE,"U.S. by BU";#N/A,#N/A,FALSE,"Canada by BU";#N/A,#N/A,FALSE,"Europe by BU";#N/A,#N/A,FALSE,"Asia by BU";#N/A,#N/A,FALSE,"Cala by BU"}</definedName>
    <definedName name="new" localSheetId="4" hidden="1">{#N/A,#N/A,FALSE,"Global by BU";#N/A,#N/A,FALSE,"U.S. by BU";#N/A,#N/A,FALSE,"Canada by BU";#N/A,#N/A,FALSE,"Europe by BU";#N/A,#N/A,FALSE,"Asia by BU";#N/A,#N/A,FALSE,"Cala by BU"}</definedName>
    <definedName name="new" localSheetId="8" hidden="1">{#N/A,#N/A,FALSE,"Global by BU";#N/A,#N/A,FALSE,"U.S. by BU";#N/A,#N/A,FALSE,"Canada by BU";#N/A,#N/A,FALSE,"Europe by BU";#N/A,#N/A,FALSE,"Asia by BU";#N/A,#N/A,FALSE,"Cala by BU"}</definedName>
    <definedName name="new" localSheetId="12" hidden="1">{#N/A,#N/A,FALSE,"Global by BU";#N/A,#N/A,FALSE,"U.S. by BU";#N/A,#N/A,FALSE,"Canada by BU";#N/A,#N/A,FALSE,"Europe by BU";#N/A,#N/A,FALSE,"Asia by BU";#N/A,#N/A,FALSE,"Cala by BU"}</definedName>
    <definedName name="new" localSheetId="16" hidden="1">{#N/A,#N/A,FALSE,"Global by BU";#N/A,#N/A,FALSE,"U.S. by BU";#N/A,#N/A,FALSE,"Canada by BU";#N/A,#N/A,FALSE,"Europe by BU";#N/A,#N/A,FALSE,"Asia by BU";#N/A,#N/A,FALSE,"Cala by BU"}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" localSheetId="11" hidden="1">{#N/A,#N/A,FALSE,"Global by BU";#N/A,#N/A,FALSE,"U.S. by BU";#N/A,#N/A,FALSE,"Canada by BU";#N/A,#N/A,FALSE,"Europe by BU";#N/A,#N/A,FALSE,"Asia by BU";#N/A,#N/A,FALSE,"Cala by BU"}</definedName>
    <definedName name="new" localSheetId="13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14" hidden="1">{#N/A,#N/A,FALSE,"CCTV"}</definedName>
    <definedName name="NEWNAME" localSheetId="7" hidden="1">{#N/A,#N/A,FALSE,"CCTV"}</definedName>
    <definedName name="NEWNAME" localSheetId="1" hidden="1">{#N/A,#N/A,FALSE,"CCTV"}</definedName>
    <definedName name="NEWNAME" localSheetId="2" hidden="1">{#N/A,#N/A,FALSE,"CCTV"}</definedName>
    <definedName name="NEWNAME" localSheetId="9" hidden="1">{#N/A,#N/A,FALSE,"CCTV"}</definedName>
    <definedName name="NEWNAME" localSheetId="5" hidden="1">{#N/A,#N/A,FALSE,"CCTV"}</definedName>
    <definedName name="NEWNAME" localSheetId="4" hidden="1">{#N/A,#N/A,FALSE,"CCTV"}</definedName>
    <definedName name="NEWNAME" localSheetId="8" hidden="1">{#N/A,#N/A,FALSE,"CCTV"}</definedName>
    <definedName name="NEWNAME" localSheetId="12" hidden="1">{#N/A,#N/A,FALSE,"CCTV"}</definedName>
    <definedName name="NEWNAME" localSheetId="16" hidden="1">{#N/A,#N/A,FALSE,"CCTV"}</definedName>
    <definedName name="NEWNAME" localSheetId="0" hidden="1">{#N/A,#N/A,FALSE,"CCTV"}</definedName>
    <definedName name="NEWNAME" localSheetId="11" hidden="1">{#N/A,#N/A,FALSE,"CCTV"}</definedName>
    <definedName name="NEWNAME" localSheetId="13" hidden="1">{#N/A,#N/A,FALSE,"CCTV"}</definedName>
    <definedName name="NEWNAME" hidden="1">{#N/A,#N/A,FALSE,"CCTV"}</definedName>
    <definedName name="nfgjkhvhfghn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4" hidden="1">{#N/A,#N/A,FALSE,"Plan1";#N/A,#N/A,FALSE,"Plan2"}</definedName>
    <definedName name="nfkhdjkthde" localSheetId="7" hidden="1">{#N/A,#N/A,FALSE,"Plan1";#N/A,#N/A,FALSE,"Plan2"}</definedName>
    <definedName name="nfkhdjkthde" localSheetId="1" hidden="1">{#N/A,#N/A,FALSE,"Plan1";#N/A,#N/A,FALSE,"Plan2"}</definedName>
    <definedName name="nfkhdjkthde" localSheetId="2" hidden="1">{#N/A,#N/A,FALSE,"Plan1";#N/A,#N/A,FALSE,"Plan2"}</definedName>
    <definedName name="nfkhdjkthde" localSheetId="9" hidden="1">{#N/A,#N/A,FALSE,"Plan1";#N/A,#N/A,FALSE,"Plan2"}</definedName>
    <definedName name="nfkhdjkthde" localSheetId="5" hidden="1">{#N/A,#N/A,FALSE,"Plan1";#N/A,#N/A,FALSE,"Plan2"}</definedName>
    <definedName name="nfkhdjkthde" localSheetId="4" hidden="1">{#N/A,#N/A,FALSE,"Plan1";#N/A,#N/A,FALSE,"Plan2"}</definedName>
    <definedName name="nfkhdjkthde" localSheetId="8" hidden="1">{#N/A,#N/A,FALSE,"Plan1";#N/A,#N/A,FALSE,"Plan2"}</definedName>
    <definedName name="nfkhdjkthde" localSheetId="12" hidden="1">{#N/A,#N/A,FALSE,"Plan1";#N/A,#N/A,FALSE,"Plan2"}</definedName>
    <definedName name="nfkhdjkthde" localSheetId="16" hidden="1">{#N/A,#N/A,FALSE,"Plan1";#N/A,#N/A,FALSE,"Plan2"}</definedName>
    <definedName name="nfkhdjkthde" localSheetId="0" hidden="1">{#N/A,#N/A,FALSE,"Plan1";#N/A,#N/A,FALSE,"Plan2"}</definedName>
    <definedName name="nfkhdjkthde" localSheetId="11" hidden="1">{#N/A,#N/A,FALSE,"Plan1";#N/A,#N/A,FALSE,"Plan2"}</definedName>
    <definedName name="nfkhdjkthde" localSheetId="13" hidden="1">{#N/A,#N/A,FALSE,"Plan1";#N/A,#N/A,FALSE,"Plan2"}</definedName>
    <definedName name="nfkhdjkthde" hidden="1">{#N/A,#N/A,FALSE,"Plan1";#N/A,#N/A,FALSE,"Plan2"}</definedName>
    <definedName name="nh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4" hidden="1">{#N/A,#N/A,FALSE,"Plan1";#N/A,#N/A,FALSE,"Plan2"}</definedName>
    <definedName name="NHJHFDSHF" localSheetId="7" hidden="1">{#N/A,#N/A,FALSE,"Plan1";#N/A,#N/A,FALSE,"Plan2"}</definedName>
    <definedName name="NHJHFDSHF" localSheetId="1" hidden="1">{#N/A,#N/A,FALSE,"Plan1";#N/A,#N/A,FALSE,"Plan2"}</definedName>
    <definedName name="NHJHFDSHF" localSheetId="2" hidden="1">{#N/A,#N/A,FALSE,"Plan1";#N/A,#N/A,FALSE,"Plan2"}</definedName>
    <definedName name="NHJHFDSHF" localSheetId="9" hidden="1">{#N/A,#N/A,FALSE,"Plan1";#N/A,#N/A,FALSE,"Plan2"}</definedName>
    <definedName name="NHJHFDSHF" localSheetId="5" hidden="1">{#N/A,#N/A,FALSE,"Plan1";#N/A,#N/A,FALSE,"Plan2"}</definedName>
    <definedName name="NHJHFDSHF" localSheetId="4" hidden="1">{#N/A,#N/A,FALSE,"Plan1";#N/A,#N/A,FALSE,"Plan2"}</definedName>
    <definedName name="NHJHFDSHF" localSheetId="8" hidden="1">{#N/A,#N/A,FALSE,"Plan1";#N/A,#N/A,FALSE,"Plan2"}</definedName>
    <definedName name="NHJHFDSHF" localSheetId="12" hidden="1">{#N/A,#N/A,FALSE,"Plan1";#N/A,#N/A,FALSE,"Plan2"}</definedName>
    <definedName name="NHJHFDSHF" localSheetId="16" hidden="1">{#N/A,#N/A,FALSE,"Plan1";#N/A,#N/A,FALSE,"Plan2"}</definedName>
    <definedName name="NHJHFDSHF" localSheetId="0" hidden="1">{#N/A,#N/A,FALSE,"Plan1";#N/A,#N/A,FALSE,"Plan2"}</definedName>
    <definedName name="NHJHFDSHF" localSheetId="11" hidden="1">{#N/A,#N/A,FALSE,"Plan1";#N/A,#N/A,FALSE,"Plan2"}</definedName>
    <definedName name="NHJHFDSHF" localSheetId="13" hidden="1">{#N/A,#N/A,FALSE,"Plan1";#N/A,#N/A,FALSE,"Plan2"}</definedName>
    <definedName name="NHJHFDSHF" hidden="1">{#N/A,#N/A,FALSE,"Plan1";#N/A,#N/A,FALSE,"Plan2"}</definedName>
    <definedName name="NJSDFHERTG" localSheetId="14" hidden="1">{#N/A,#N/A,FALSE,"Plan1";#N/A,#N/A,FALSE,"Plan2"}</definedName>
    <definedName name="NJSDFHERTG" localSheetId="7" hidden="1">{#N/A,#N/A,FALSE,"Plan1";#N/A,#N/A,FALSE,"Plan2"}</definedName>
    <definedName name="NJSDFHERTG" localSheetId="1" hidden="1">{#N/A,#N/A,FALSE,"Plan1";#N/A,#N/A,FALSE,"Plan2"}</definedName>
    <definedName name="NJSDFHERTG" localSheetId="2" hidden="1">{#N/A,#N/A,FALSE,"Plan1";#N/A,#N/A,FALSE,"Plan2"}</definedName>
    <definedName name="NJSDFHERTG" localSheetId="9" hidden="1">{#N/A,#N/A,FALSE,"Plan1";#N/A,#N/A,FALSE,"Plan2"}</definedName>
    <definedName name="NJSDFHERTG" localSheetId="5" hidden="1">{#N/A,#N/A,FALSE,"Plan1";#N/A,#N/A,FALSE,"Plan2"}</definedName>
    <definedName name="NJSDFHERTG" localSheetId="4" hidden="1">{#N/A,#N/A,FALSE,"Plan1";#N/A,#N/A,FALSE,"Plan2"}</definedName>
    <definedName name="NJSDFHERTG" localSheetId="8" hidden="1">{#N/A,#N/A,FALSE,"Plan1";#N/A,#N/A,FALSE,"Plan2"}</definedName>
    <definedName name="NJSDFHERTG" localSheetId="12" hidden="1">{#N/A,#N/A,FALSE,"Plan1";#N/A,#N/A,FALSE,"Plan2"}</definedName>
    <definedName name="NJSDFHERTG" localSheetId="16" hidden="1">{#N/A,#N/A,FALSE,"Plan1";#N/A,#N/A,FALSE,"Plan2"}</definedName>
    <definedName name="NJSDFHERTG" localSheetId="0" hidden="1">{#N/A,#N/A,FALSE,"Plan1";#N/A,#N/A,FALSE,"Plan2"}</definedName>
    <definedName name="NJSDFHERTG" localSheetId="11" hidden="1">{#N/A,#N/A,FALSE,"Plan1";#N/A,#N/A,FALSE,"Plan2"}</definedName>
    <definedName name="NJSDFHERTG" localSheetId="13" hidden="1">{#N/A,#N/A,FALSE,"Plan1";#N/A,#N/A,FALSE,"Plan2"}</definedName>
    <definedName name="NJSDFHERTG" hidden="1">{#N/A,#N/A,FALSE,"Plan1";#N/A,#N/A,FALSE,"Plan2"}</definedName>
    <definedName name="nkfnsskdn" localSheetId="14" hidden="1">{#N/A,#N/A,FALSE,"Plan1";#N/A,#N/A,FALSE,"Plan2"}</definedName>
    <definedName name="nkfnsskdn" localSheetId="7" hidden="1">{#N/A,#N/A,FALSE,"Plan1";#N/A,#N/A,FALSE,"Plan2"}</definedName>
    <definedName name="nkfnsskdn" localSheetId="1" hidden="1">{#N/A,#N/A,FALSE,"Plan1";#N/A,#N/A,FALSE,"Plan2"}</definedName>
    <definedName name="nkfnsskdn" localSheetId="2" hidden="1">{#N/A,#N/A,FALSE,"Plan1";#N/A,#N/A,FALSE,"Plan2"}</definedName>
    <definedName name="nkfnsskdn" localSheetId="9" hidden="1">{#N/A,#N/A,FALSE,"Plan1";#N/A,#N/A,FALSE,"Plan2"}</definedName>
    <definedName name="nkfnsskdn" localSheetId="5" hidden="1">{#N/A,#N/A,FALSE,"Plan1";#N/A,#N/A,FALSE,"Plan2"}</definedName>
    <definedName name="nkfnsskdn" localSheetId="4" hidden="1">{#N/A,#N/A,FALSE,"Plan1";#N/A,#N/A,FALSE,"Plan2"}</definedName>
    <definedName name="nkfnsskdn" localSheetId="8" hidden="1">{#N/A,#N/A,FALSE,"Plan1";#N/A,#N/A,FALSE,"Plan2"}</definedName>
    <definedName name="nkfnsskdn" localSheetId="12" hidden="1">{#N/A,#N/A,FALSE,"Plan1";#N/A,#N/A,FALSE,"Plan2"}</definedName>
    <definedName name="nkfnsskdn" localSheetId="16" hidden="1">{#N/A,#N/A,FALSE,"Plan1";#N/A,#N/A,FALSE,"Plan2"}</definedName>
    <definedName name="nkfnsskdn" localSheetId="0" hidden="1">{#N/A,#N/A,FALSE,"Plan1";#N/A,#N/A,FALSE,"Plan2"}</definedName>
    <definedName name="nkfnsskdn" localSheetId="11" hidden="1">{#N/A,#N/A,FALSE,"Plan1";#N/A,#N/A,FALSE,"Plan2"}</definedName>
    <definedName name="nkfnsskdn" localSheetId="13" hidden="1">{#N/A,#N/A,FALSE,"Plan1";#N/A,#N/A,FALSE,"Plan2"}</definedName>
    <definedName name="nkfnsskdn" hidden="1">{#N/A,#N/A,FALSE,"Plan1";#N/A,#N/A,FALSE,"Plan2"}</definedName>
    <definedName name="NKJL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2">#REF!</definedName>
    <definedName name="nl" localSheetId="5">#REF!</definedName>
    <definedName name="nl">#REF!</definedName>
    <definedName name="nlaksjdwe" localSheetId="14" hidden="1">{#N/A,#N/A,FALSE,"Plan1";#N/A,#N/A,FALSE,"Plan2"}</definedName>
    <definedName name="nlaksjdwe" localSheetId="7" hidden="1">{#N/A,#N/A,FALSE,"Plan1";#N/A,#N/A,FALSE,"Plan2"}</definedName>
    <definedName name="nlaksjdwe" localSheetId="1" hidden="1">{#N/A,#N/A,FALSE,"Plan1";#N/A,#N/A,FALSE,"Plan2"}</definedName>
    <definedName name="nlaksjdwe" localSheetId="2" hidden="1">{#N/A,#N/A,FALSE,"Plan1";#N/A,#N/A,FALSE,"Plan2"}</definedName>
    <definedName name="nlaksjdwe" localSheetId="9" hidden="1">{#N/A,#N/A,FALSE,"Plan1";#N/A,#N/A,FALSE,"Plan2"}</definedName>
    <definedName name="nlaksjdwe" localSheetId="5" hidden="1">{#N/A,#N/A,FALSE,"Plan1";#N/A,#N/A,FALSE,"Plan2"}</definedName>
    <definedName name="nlaksjdwe" localSheetId="4" hidden="1">{#N/A,#N/A,FALSE,"Plan1";#N/A,#N/A,FALSE,"Plan2"}</definedName>
    <definedName name="nlaksjdwe" localSheetId="8" hidden="1">{#N/A,#N/A,FALSE,"Plan1";#N/A,#N/A,FALSE,"Plan2"}</definedName>
    <definedName name="nlaksjdwe" localSheetId="12" hidden="1">{#N/A,#N/A,FALSE,"Plan1";#N/A,#N/A,FALSE,"Plan2"}</definedName>
    <definedName name="nlaksjdwe" localSheetId="16" hidden="1">{#N/A,#N/A,FALSE,"Plan1";#N/A,#N/A,FALSE,"Plan2"}</definedName>
    <definedName name="nlaksjdwe" localSheetId="0" hidden="1">{#N/A,#N/A,FALSE,"Plan1";#N/A,#N/A,FALSE,"Plan2"}</definedName>
    <definedName name="nlaksjdwe" localSheetId="11" hidden="1">{#N/A,#N/A,FALSE,"Plan1";#N/A,#N/A,FALSE,"Plan2"}</definedName>
    <definedName name="nlaksjdwe" localSheetId="13" hidden="1">{#N/A,#N/A,FALSE,"Plan1";#N/A,#N/A,FALSE,"Plan2"}</definedName>
    <definedName name="nlaksjdwe" hidden="1">{#N/A,#N/A,FALSE,"Plan1";#N/A,#N/A,FALSE,"Plan2"}</definedName>
    <definedName name="nljsdfljfdsfr" localSheetId="14" hidden="1">{#N/A,#N/A,FALSE,"Plan1";#N/A,#N/A,FALSE,"Plan2"}</definedName>
    <definedName name="nljsdfljfdsfr" localSheetId="7" hidden="1">{#N/A,#N/A,FALSE,"Plan1";#N/A,#N/A,FALSE,"Plan2"}</definedName>
    <definedName name="nljsdfljfdsfr" localSheetId="1" hidden="1">{#N/A,#N/A,FALSE,"Plan1";#N/A,#N/A,FALSE,"Plan2"}</definedName>
    <definedName name="nljsdfljfdsfr" localSheetId="2" hidden="1">{#N/A,#N/A,FALSE,"Plan1";#N/A,#N/A,FALSE,"Plan2"}</definedName>
    <definedName name="nljsdfljfdsfr" localSheetId="9" hidden="1">{#N/A,#N/A,FALSE,"Plan1";#N/A,#N/A,FALSE,"Plan2"}</definedName>
    <definedName name="nljsdfljfdsfr" localSheetId="5" hidden="1">{#N/A,#N/A,FALSE,"Plan1";#N/A,#N/A,FALSE,"Plan2"}</definedName>
    <definedName name="nljsdfljfdsfr" localSheetId="4" hidden="1">{#N/A,#N/A,FALSE,"Plan1";#N/A,#N/A,FALSE,"Plan2"}</definedName>
    <definedName name="nljsdfljfdsfr" localSheetId="8" hidden="1">{#N/A,#N/A,FALSE,"Plan1";#N/A,#N/A,FALSE,"Plan2"}</definedName>
    <definedName name="nljsdfljfdsfr" localSheetId="12" hidden="1">{#N/A,#N/A,FALSE,"Plan1";#N/A,#N/A,FALSE,"Plan2"}</definedName>
    <definedName name="nljsdfljfdsfr" localSheetId="16" hidden="1">{#N/A,#N/A,FALSE,"Plan1";#N/A,#N/A,FALSE,"Plan2"}</definedName>
    <definedName name="nljsdfljfdsfr" localSheetId="0" hidden="1">{#N/A,#N/A,FALSE,"Plan1";#N/A,#N/A,FALSE,"Plan2"}</definedName>
    <definedName name="nljsdfljfdsfr" localSheetId="11" hidden="1">{#N/A,#N/A,FALSE,"Plan1";#N/A,#N/A,FALSE,"Plan2"}</definedName>
    <definedName name="nljsdfljfdsfr" localSheetId="13" hidden="1">{#N/A,#N/A,FALSE,"Plan1";#N/A,#N/A,FALSE,"Plan2"}</definedName>
    <definedName name="nljsdfljfdsfr" hidden="1">{#N/A,#N/A,FALSE,"Plan1";#N/A,#N/A,FALSE,"Plan2"}</definedName>
    <definedName name="nm_k1" localSheetId="2">#REF!</definedName>
    <definedName name="nm_k1" localSheetId="5">#REF!</definedName>
    <definedName name="nm_k1">#REF!</definedName>
    <definedName name="nm_k2" localSheetId="2">#REF!</definedName>
    <definedName name="nm_k2" localSheetId="5">#REF!</definedName>
    <definedName name="nm_k2">#REF!</definedName>
    <definedName name="nm_k3" localSheetId="2">#REF!</definedName>
    <definedName name="nm_k3" localSheetId="5">#REF!</definedName>
    <definedName name="nm_k3">#REF!</definedName>
    <definedName name="nmjdfhxj" localSheetId="14" hidden="1">{#N/A,#N/A,FALSE,"Plan1";#N/A,#N/A,FALSE,"Plan2"}</definedName>
    <definedName name="nmjdfhxj" localSheetId="7" hidden="1">{#N/A,#N/A,FALSE,"Plan1";#N/A,#N/A,FALSE,"Plan2"}</definedName>
    <definedName name="nmjdfhxj" localSheetId="1" hidden="1">{#N/A,#N/A,FALSE,"Plan1";#N/A,#N/A,FALSE,"Plan2"}</definedName>
    <definedName name="nmjdfhxj" localSheetId="2" hidden="1">{#N/A,#N/A,FALSE,"Plan1";#N/A,#N/A,FALSE,"Plan2"}</definedName>
    <definedName name="nmjdfhxj" localSheetId="9" hidden="1">{#N/A,#N/A,FALSE,"Plan1";#N/A,#N/A,FALSE,"Plan2"}</definedName>
    <definedName name="nmjdfhxj" localSheetId="5" hidden="1">{#N/A,#N/A,FALSE,"Plan1";#N/A,#N/A,FALSE,"Plan2"}</definedName>
    <definedName name="nmjdfhxj" localSheetId="4" hidden="1">{#N/A,#N/A,FALSE,"Plan1";#N/A,#N/A,FALSE,"Plan2"}</definedName>
    <definedName name="nmjdfhxj" localSheetId="8" hidden="1">{#N/A,#N/A,FALSE,"Plan1";#N/A,#N/A,FALSE,"Plan2"}</definedName>
    <definedName name="nmjdfhxj" localSheetId="12" hidden="1">{#N/A,#N/A,FALSE,"Plan1";#N/A,#N/A,FALSE,"Plan2"}</definedName>
    <definedName name="nmjdfhxj" localSheetId="16" hidden="1">{#N/A,#N/A,FALSE,"Plan1";#N/A,#N/A,FALSE,"Plan2"}</definedName>
    <definedName name="nmjdfhxj" localSheetId="0" hidden="1">{#N/A,#N/A,FALSE,"Plan1";#N/A,#N/A,FALSE,"Plan2"}</definedName>
    <definedName name="nmjdfhxj" localSheetId="11" hidden="1">{#N/A,#N/A,FALSE,"Plan1";#N/A,#N/A,FALSE,"Plan2"}</definedName>
    <definedName name="nmjdfhxj" localSheetId="13" hidden="1">{#N/A,#N/A,FALSE,"Plan1";#N/A,#N/A,FALSE,"Plan2"}</definedName>
    <definedName name="nmjdfhxj" hidden="1">{#N/A,#N/A,FALSE,"Plan1";#N/A,#N/A,FALSE,"Plan2"}</definedName>
    <definedName name="nnmn" localSheetId="14" hidden="1">{#N/A,#N/A,FALSE,"Plan1";#N/A,#N/A,FALSE,"Plan2"}</definedName>
    <definedName name="nnmn" localSheetId="7" hidden="1">{#N/A,#N/A,FALSE,"Plan1";#N/A,#N/A,FALSE,"Plan2"}</definedName>
    <definedName name="nnmn" localSheetId="1" hidden="1">{#N/A,#N/A,FALSE,"Plan1";#N/A,#N/A,FALSE,"Plan2"}</definedName>
    <definedName name="nnmn" localSheetId="2" hidden="1">{#N/A,#N/A,FALSE,"Plan1";#N/A,#N/A,FALSE,"Plan2"}</definedName>
    <definedName name="nnmn" localSheetId="9" hidden="1">{#N/A,#N/A,FALSE,"Plan1";#N/A,#N/A,FALSE,"Plan2"}</definedName>
    <definedName name="nnmn" localSheetId="5" hidden="1">{#N/A,#N/A,FALSE,"Plan1";#N/A,#N/A,FALSE,"Plan2"}</definedName>
    <definedName name="nnmn" localSheetId="4" hidden="1">{#N/A,#N/A,FALSE,"Plan1";#N/A,#N/A,FALSE,"Plan2"}</definedName>
    <definedName name="nnmn" localSheetId="8" hidden="1">{#N/A,#N/A,FALSE,"Plan1";#N/A,#N/A,FALSE,"Plan2"}</definedName>
    <definedName name="nnmn" localSheetId="12" hidden="1">{#N/A,#N/A,FALSE,"Plan1";#N/A,#N/A,FALSE,"Plan2"}</definedName>
    <definedName name="nnmn" localSheetId="16" hidden="1">{#N/A,#N/A,FALSE,"Plan1";#N/A,#N/A,FALSE,"Plan2"}</definedName>
    <definedName name="nnmn" localSheetId="0" hidden="1">{#N/A,#N/A,FALSE,"Plan1";#N/A,#N/A,FALSE,"Plan2"}</definedName>
    <definedName name="nnmn" localSheetId="11" hidden="1">{#N/A,#N/A,FALSE,"Plan1";#N/A,#N/A,FALSE,"Plan2"}</definedName>
    <definedName name="nnmn" localSheetId="13" hidden="1">{#N/A,#N/A,FALSE,"Plan1";#N/A,#N/A,FALSE,"Plan2"}</definedName>
    <definedName name="nnmn" hidden="1">{#N/A,#N/A,FALSE,"Plan1";#N/A,#N/A,FALSE,"Plan2"}</definedName>
    <definedName name="nnn" localSheetId="14" hidden="1">{#N/A,#N/A,FALSE,"Plan1";#N/A,#N/A,FALSE,"Plan2"}</definedName>
    <definedName name="nnn" localSheetId="7" hidden="1">{#N/A,#N/A,FALSE,"$170M Cash";#N/A,#N/A,FALSE,"$250M Cash";#N/A,#N/A,FALSE,"$325M Cash"}</definedName>
    <definedName name="nnn" localSheetId="1" hidden="1">{#N/A,#N/A,FALSE,"Plan1";#N/A,#N/A,FALSE,"Plan2"}</definedName>
    <definedName name="nnn" localSheetId="2" hidden="1">{#N/A,#N/A,FALSE,"Plan1";#N/A,#N/A,FALSE,"Plan2"}</definedName>
    <definedName name="nnn" localSheetId="9" hidden="1">{#N/A,#N/A,FALSE,"$170M Cash";#N/A,#N/A,FALSE,"$250M Cash";#N/A,#N/A,FALSE,"$325M Cash"}</definedName>
    <definedName name="nnn" localSheetId="5" hidden="1">{#N/A,#N/A,FALSE,"Plan1";#N/A,#N/A,FALSE,"Plan2"}</definedName>
    <definedName name="nnn" localSheetId="4" hidden="1">{#N/A,#N/A,FALSE,"Plan1";#N/A,#N/A,FALSE,"Plan2"}</definedName>
    <definedName name="nnn" localSheetId="8" hidden="1">{#N/A,#N/A,FALSE,"$170M Cash";#N/A,#N/A,FALSE,"$250M Cash";#N/A,#N/A,FALSE,"$325M Cash"}</definedName>
    <definedName name="nnn" localSheetId="12" hidden="1">{#N/A,#N/A,FALSE,"Plan1";#N/A,#N/A,FALSE,"Plan2"}</definedName>
    <definedName name="nnn" localSheetId="16" hidden="1">{#N/A,#N/A,FALSE,"Plan1";#N/A,#N/A,FALSE,"Plan2"}</definedName>
    <definedName name="nnn" localSheetId="0" hidden="1">{#N/A,#N/A,FALSE,"Plan1";#N/A,#N/A,FALSE,"Plan2"}</definedName>
    <definedName name="nnn" localSheetId="11" hidden="1">{#N/A,#N/A,FALSE,"Plan1";#N/A,#N/A,FALSE,"Plan2"}</definedName>
    <definedName name="nnn" localSheetId="13" hidden="1">{#N/A,#N/A,FALSE,"Plan1";#N/A,#N/A,FALSE,"Plan2"}</definedName>
    <definedName name="nnn" hidden="1">{#N/A,#N/A,FALSE,"Plan1";#N/A,#N/A,FALSE,"Plan2"}</definedName>
    <definedName name="nnnnnnnnnnn" localSheetId="14" hidden="1">{"HW",#N/A,FALSE,"1998"}</definedName>
    <definedName name="nnnnnnnnnnn" localSheetId="7" hidden="1">{"HW",#N/A,FALSE,"1998"}</definedName>
    <definedName name="nnnnnnnnnnn" localSheetId="1" hidden="1">{"HW",#N/A,FALSE,"1998"}</definedName>
    <definedName name="nnnnnnnnnnn" localSheetId="2" hidden="1">{"HW",#N/A,FALSE,"1998"}</definedName>
    <definedName name="nnnnnnnnnnn" localSheetId="9" hidden="1">{"HW",#N/A,FALSE,"1998"}</definedName>
    <definedName name="nnnnnnnnnnn" localSheetId="5" hidden="1">{"HW",#N/A,FALSE,"1998"}</definedName>
    <definedName name="nnnnnnnnnnn" localSheetId="4" hidden="1">{"HW",#N/A,FALSE,"1998"}</definedName>
    <definedName name="nnnnnnnnnnn" localSheetId="8" hidden="1">{"HW",#N/A,FALSE,"1998"}</definedName>
    <definedName name="nnnnnnnnnnn" localSheetId="12" hidden="1">{"HW",#N/A,FALSE,"1998"}</definedName>
    <definedName name="nnnnnnnnnnn" localSheetId="16" hidden="1">{"HW",#N/A,FALSE,"1998"}</definedName>
    <definedName name="nnnnnnnnnnn" localSheetId="0" hidden="1">{"HW",#N/A,FALSE,"1998"}</definedName>
    <definedName name="nnnnnnnnnnn" localSheetId="11" hidden="1">{"HW",#N/A,FALSE,"1998"}</definedName>
    <definedName name="nnnnnnnnnnn" localSheetId="13" hidden="1">{"HW",#N/A,FALSE,"1998"}</definedName>
    <definedName name="nnnnnnnnnnn" hidden="1">{"HW",#N/A,FALSE,"1998"}</definedName>
    <definedName name="NNNNNNNNNNNNNNN" localSheetId="14" hidden="1">{#N/A,#N/A,FALSE,"Plan1";#N/A,#N/A,FALSE,"Plan2"}</definedName>
    <definedName name="NNNNNNNNNNNNNNN" localSheetId="7" hidden="1">{#N/A,#N/A,FALSE,"Plan1";#N/A,#N/A,FALSE,"Plan2"}</definedName>
    <definedName name="NNNNNNNNNNNNNNN" localSheetId="1" hidden="1">{#N/A,#N/A,FALSE,"Plan1";#N/A,#N/A,FALSE,"Plan2"}</definedName>
    <definedName name="NNNNNNNNNNNNNNN" localSheetId="2" hidden="1">{#N/A,#N/A,FALSE,"Plan1";#N/A,#N/A,FALSE,"Plan2"}</definedName>
    <definedName name="NNNNNNNNNNNNNNN" localSheetId="9" hidden="1">{#N/A,#N/A,FALSE,"Plan1";#N/A,#N/A,FALSE,"Plan2"}</definedName>
    <definedName name="NNNNNNNNNNNNNNN" localSheetId="5" hidden="1">{#N/A,#N/A,FALSE,"Plan1";#N/A,#N/A,FALSE,"Plan2"}</definedName>
    <definedName name="NNNNNNNNNNNNNNN" localSheetId="4" hidden="1">{#N/A,#N/A,FALSE,"Plan1";#N/A,#N/A,FALSE,"Plan2"}</definedName>
    <definedName name="NNNNNNNNNNNNNNN" localSheetId="8" hidden="1">{#N/A,#N/A,FALSE,"Plan1";#N/A,#N/A,FALSE,"Plan2"}</definedName>
    <definedName name="NNNNNNNNNNNNNNN" localSheetId="12" hidden="1">{#N/A,#N/A,FALSE,"Plan1";#N/A,#N/A,FALSE,"Plan2"}</definedName>
    <definedName name="NNNNNNNNNNNNNNN" localSheetId="16" hidden="1">{#N/A,#N/A,FALSE,"Plan1";#N/A,#N/A,FALSE,"Plan2"}</definedName>
    <definedName name="NNNNNNNNNNNNNNN" localSheetId="0" hidden="1">{#N/A,#N/A,FALSE,"Plan1";#N/A,#N/A,FALSE,"Plan2"}</definedName>
    <definedName name="NNNNNNNNNNNNNNN" localSheetId="11" hidden="1">{#N/A,#N/A,FALSE,"Plan1";#N/A,#N/A,FALSE,"Plan2"}</definedName>
    <definedName name="NNNNNNNNNNNNNNN" localSheetId="13" hidden="1">{#N/A,#N/A,FALSE,"Plan1";#N/A,#N/A,FALSE,"Plan2"}</definedName>
    <definedName name="NNNNNNNNNNNNNNN" hidden="1">{#N/A,#N/A,FALSE,"Plan1";#N/A,#N/A,FALSE,"Plan2"}</definedName>
    <definedName name="nnnnnnnnnnnnnnnnnnnn" localSheetId="14" hidden="1">{#N/A,#N/A,FALSE,"Plan1";#N/A,#N/A,FALSE,"Plan2"}</definedName>
    <definedName name="nnnnnnnnnnnnnnnnnnnn" localSheetId="7" hidden="1">{#N/A,#N/A,FALSE,"Plan1";#N/A,#N/A,FALSE,"Plan2"}</definedName>
    <definedName name="nnnnnnnnnnnnnnnnnnnn" localSheetId="1" hidden="1">{#N/A,#N/A,FALSE,"Plan1";#N/A,#N/A,FALSE,"Plan2"}</definedName>
    <definedName name="nnnnnnnnnnnnnnnnnnnn" localSheetId="2" hidden="1">{#N/A,#N/A,FALSE,"Plan1";#N/A,#N/A,FALSE,"Plan2"}</definedName>
    <definedName name="nnnnnnnnnnnnnnnnnnnn" localSheetId="9" hidden="1">{#N/A,#N/A,FALSE,"Plan1";#N/A,#N/A,FALSE,"Plan2"}</definedName>
    <definedName name="nnnnnnnnnnnnnnnnnnnn" localSheetId="5" hidden="1">{#N/A,#N/A,FALSE,"Plan1";#N/A,#N/A,FALSE,"Plan2"}</definedName>
    <definedName name="nnnnnnnnnnnnnnnnnnnn" localSheetId="4" hidden="1">{#N/A,#N/A,FALSE,"Plan1";#N/A,#N/A,FALSE,"Plan2"}</definedName>
    <definedName name="nnnnnnnnnnnnnnnnnnnn" localSheetId="8" hidden="1">{#N/A,#N/A,FALSE,"Plan1";#N/A,#N/A,FALSE,"Plan2"}</definedName>
    <definedName name="nnnnnnnnnnnnnnnnnnnn" localSheetId="12" hidden="1">{#N/A,#N/A,FALSE,"Plan1";#N/A,#N/A,FALSE,"Plan2"}</definedName>
    <definedName name="nnnnnnnnnnnnnnnnnnnn" localSheetId="16" hidden="1">{#N/A,#N/A,FALSE,"Plan1";#N/A,#N/A,FALSE,"Plan2"}</definedName>
    <definedName name="nnnnnnnnnnnnnnnnnnnn" localSheetId="0" hidden="1">{#N/A,#N/A,FALSE,"Plan1";#N/A,#N/A,FALSE,"Plan2"}</definedName>
    <definedName name="nnnnnnnnnnnnnnnnnnnn" localSheetId="11" hidden="1">{#N/A,#N/A,FALSE,"Plan1";#N/A,#N/A,FALSE,"Plan2"}</definedName>
    <definedName name="nnnnnnnnnnnnnnnnnnnn" localSheetId="13" hidden="1">{#N/A,#N/A,FALSE,"Plan1";#N/A,#N/A,FALSE,"Plan2"}</definedName>
    <definedName name="nnnnnnnnnnnnnnnnnnnn" hidden="1">{#N/A,#N/A,FALSE,"Plan1";#N/A,#N/A,FALSE,"Plan2"}</definedName>
    <definedName name="NNXFT" localSheetId="14" hidden="1">{#N/A,#N/A,FALSE,"Plan1";#N/A,#N/A,FALSE,"Plan2"}</definedName>
    <definedName name="NNXFT" localSheetId="7" hidden="1">{#N/A,#N/A,FALSE,"Plan1";#N/A,#N/A,FALSE,"Plan2"}</definedName>
    <definedName name="NNXFT" localSheetId="1" hidden="1">{#N/A,#N/A,FALSE,"Plan1";#N/A,#N/A,FALSE,"Plan2"}</definedName>
    <definedName name="NNXFT" localSheetId="2" hidden="1">{#N/A,#N/A,FALSE,"Plan1";#N/A,#N/A,FALSE,"Plan2"}</definedName>
    <definedName name="NNXFT" localSheetId="9" hidden="1">{#N/A,#N/A,FALSE,"Plan1";#N/A,#N/A,FALSE,"Plan2"}</definedName>
    <definedName name="NNXFT" localSheetId="5" hidden="1">{#N/A,#N/A,FALSE,"Plan1";#N/A,#N/A,FALSE,"Plan2"}</definedName>
    <definedName name="NNXFT" localSheetId="4" hidden="1">{#N/A,#N/A,FALSE,"Plan1";#N/A,#N/A,FALSE,"Plan2"}</definedName>
    <definedName name="NNXFT" localSheetId="8" hidden="1">{#N/A,#N/A,FALSE,"Plan1";#N/A,#N/A,FALSE,"Plan2"}</definedName>
    <definedName name="NNXFT" localSheetId="12" hidden="1">{#N/A,#N/A,FALSE,"Plan1";#N/A,#N/A,FALSE,"Plan2"}</definedName>
    <definedName name="NNXFT" localSheetId="16" hidden="1">{#N/A,#N/A,FALSE,"Plan1";#N/A,#N/A,FALSE,"Plan2"}</definedName>
    <definedName name="NNXFT" localSheetId="0" hidden="1">{#N/A,#N/A,FALSE,"Plan1";#N/A,#N/A,FALSE,"Plan2"}</definedName>
    <definedName name="NNXFT" localSheetId="11" hidden="1">{#N/A,#N/A,FALSE,"Plan1";#N/A,#N/A,FALSE,"Plan2"}</definedName>
    <definedName name="NNXFT" localSheetId="13" hidden="1">{#N/A,#N/A,FALSE,"Plan1";#N/A,#N/A,FALSE,"Plan2"}</definedName>
    <definedName name="NNXFT" hidden="1">{#N/A,#N/A,FALSE,"Plan1";#N/A,#N/A,FALSE,"Plan2"}</definedName>
    <definedName name="no" localSheetId="2">#REF!</definedName>
    <definedName name="no" localSheetId="9">#REF!</definedName>
    <definedName name="no" localSheetId="5">#REF!</definedName>
    <definedName name="no" localSheetId="24">#REF!</definedName>
    <definedName name="no">#REF!</definedName>
    <definedName name="NOME" localSheetId="2">#REF!</definedName>
    <definedName name="NOME" localSheetId="5">#REF!</definedName>
    <definedName name="NOME">#REF!</definedName>
    <definedName name="nome2" localSheetId="2">#REF!</definedName>
    <definedName name="nome2" localSheetId="5">#REF!</definedName>
    <definedName name="nome2">#REF!</definedName>
    <definedName name="NOMEITEM" localSheetId="2">#REF!</definedName>
    <definedName name="NOMEITEM" localSheetId="5">#REF!</definedName>
    <definedName name="NOMEITEM">#REF!</definedName>
    <definedName name="NOMEOBRA" localSheetId="2">#REF!</definedName>
    <definedName name="NOMEOBRA" localSheetId="5">#REF!</definedName>
    <definedName name="NOMEOBRA">#REF!</definedName>
    <definedName name="nov17RJ" localSheetId="2">#REF!</definedName>
    <definedName name="nov17RJ" localSheetId="5">#REF!</definedName>
    <definedName name="nov17RJ">#REF!</definedName>
    <definedName name="NOVE" localSheetId="2">#REF!</definedName>
    <definedName name="NOVE" localSheetId="5">#REF!</definedName>
    <definedName name="NOVE" localSheetId="24">#REF!</definedName>
    <definedName name="NOVE">#REF!</definedName>
    <definedName name="NOVEMBRO" localSheetId="2">#REF!</definedName>
    <definedName name="NOVEMBRO" localSheetId="5">#REF!</definedName>
    <definedName name="NOVEMBRO">#REF!</definedName>
    <definedName name="nsdkfndgfdnatf" localSheetId="14" hidden="1">{#N/A,#N/A,FALSE,"Plan1";#N/A,#N/A,FALSE,"Plan2"}</definedName>
    <definedName name="nsdkfndgfdnatf" localSheetId="7" hidden="1">{#N/A,#N/A,FALSE,"Plan1";#N/A,#N/A,FALSE,"Plan2"}</definedName>
    <definedName name="nsdkfndgfdnatf" localSheetId="1" hidden="1">{#N/A,#N/A,FALSE,"Plan1";#N/A,#N/A,FALSE,"Plan2"}</definedName>
    <definedName name="nsdkfndgfdnatf" localSheetId="2" hidden="1">{#N/A,#N/A,FALSE,"Plan1";#N/A,#N/A,FALSE,"Plan2"}</definedName>
    <definedName name="nsdkfndgfdnatf" localSheetId="9" hidden="1">{#N/A,#N/A,FALSE,"Plan1";#N/A,#N/A,FALSE,"Plan2"}</definedName>
    <definedName name="nsdkfndgfdnatf" localSheetId="5" hidden="1">{#N/A,#N/A,FALSE,"Plan1";#N/A,#N/A,FALSE,"Plan2"}</definedName>
    <definedName name="nsdkfndgfdnatf" localSheetId="4" hidden="1">{#N/A,#N/A,FALSE,"Plan1";#N/A,#N/A,FALSE,"Plan2"}</definedName>
    <definedName name="nsdkfndgfdnatf" localSheetId="8" hidden="1">{#N/A,#N/A,FALSE,"Plan1";#N/A,#N/A,FALSE,"Plan2"}</definedName>
    <definedName name="nsdkfndgfdnatf" localSheetId="12" hidden="1">{#N/A,#N/A,FALSE,"Plan1";#N/A,#N/A,FALSE,"Plan2"}</definedName>
    <definedName name="nsdkfndgfdnatf" localSheetId="16" hidden="1">{#N/A,#N/A,FALSE,"Plan1";#N/A,#N/A,FALSE,"Plan2"}</definedName>
    <definedName name="nsdkfndgfdnatf" localSheetId="0" hidden="1">{#N/A,#N/A,FALSE,"Plan1";#N/A,#N/A,FALSE,"Plan2"}</definedName>
    <definedName name="nsdkfndgfdnatf" localSheetId="11" hidden="1">{#N/A,#N/A,FALSE,"Plan1";#N/A,#N/A,FALSE,"Plan2"}</definedName>
    <definedName name="nsdkfndgfdnatf" localSheetId="13" hidden="1">{#N/A,#N/A,FALSE,"Plan1";#N/A,#N/A,FALSE,"Plan2"}</definedName>
    <definedName name="nsdkfndgfdnatf" hidden="1">{#N/A,#N/A,FALSE,"Plan1";#N/A,#N/A,FALSE,"Plan2"}</definedName>
    <definedName name="nsfljdiljrf" localSheetId="14" hidden="1">{#N/A,#N/A,FALSE,"Plan1";#N/A,#N/A,FALSE,"Plan2"}</definedName>
    <definedName name="nsfljdiljrf" localSheetId="7" hidden="1">{#N/A,#N/A,FALSE,"Plan1";#N/A,#N/A,FALSE,"Plan2"}</definedName>
    <definedName name="nsfljdiljrf" localSheetId="1" hidden="1">{#N/A,#N/A,FALSE,"Plan1";#N/A,#N/A,FALSE,"Plan2"}</definedName>
    <definedName name="nsfljdiljrf" localSheetId="2" hidden="1">{#N/A,#N/A,FALSE,"Plan1";#N/A,#N/A,FALSE,"Plan2"}</definedName>
    <definedName name="nsfljdiljrf" localSheetId="9" hidden="1">{#N/A,#N/A,FALSE,"Plan1";#N/A,#N/A,FALSE,"Plan2"}</definedName>
    <definedName name="nsfljdiljrf" localSheetId="5" hidden="1">{#N/A,#N/A,FALSE,"Plan1";#N/A,#N/A,FALSE,"Plan2"}</definedName>
    <definedName name="nsfljdiljrf" localSheetId="4" hidden="1">{#N/A,#N/A,FALSE,"Plan1";#N/A,#N/A,FALSE,"Plan2"}</definedName>
    <definedName name="nsfljdiljrf" localSheetId="8" hidden="1">{#N/A,#N/A,FALSE,"Plan1";#N/A,#N/A,FALSE,"Plan2"}</definedName>
    <definedName name="nsfljdiljrf" localSheetId="12" hidden="1">{#N/A,#N/A,FALSE,"Plan1";#N/A,#N/A,FALSE,"Plan2"}</definedName>
    <definedName name="nsfljdiljrf" localSheetId="16" hidden="1">{#N/A,#N/A,FALSE,"Plan1";#N/A,#N/A,FALSE,"Plan2"}</definedName>
    <definedName name="nsfljdiljrf" localSheetId="0" hidden="1">{#N/A,#N/A,FALSE,"Plan1";#N/A,#N/A,FALSE,"Plan2"}</definedName>
    <definedName name="nsfljdiljrf" localSheetId="11" hidden="1">{#N/A,#N/A,FALSE,"Plan1";#N/A,#N/A,FALSE,"Plan2"}</definedName>
    <definedName name="nsfljdiljrf" localSheetId="13" hidden="1">{#N/A,#N/A,FALSE,"Plan1";#N/A,#N/A,FALSE,"Plan2"}</definedName>
    <definedName name="nsfljdiljrf" hidden="1">{#N/A,#N/A,FALSE,"Plan1";#N/A,#N/A,FALSE,"Plan2"}</definedName>
    <definedName name="NUCOPIAS" localSheetId="2">#REF!</definedName>
    <definedName name="NUCOPIAS" localSheetId="5">#REF!</definedName>
    <definedName name="NUCOPIAS">#REF!</definedName>
    <definedName name="NUMOBRA" localSheetId="2">#REF!</definedName>
    <definedName name="NUMOBRA" localSheetId="5">#REF!</definedName>
    <definedName name="NUMOBRA">#REF!</definedName>
    <definedName name="NutN" localSheetId="2">#REF!</definedName>
    <definedName name="NutN" localSheetId="5">#REF!</definedName>
    <definedName name="NutN">#REF!</definedName>
    <definedName name="nzxcnnjkd" localSheetId="14" hidden="1">{#N/A,#N/A,FALSE,"Plan1";#N/A,#N/A,FALSE,"Plan2"}</definedName>
    <definedName name="nzxcnnjkd" localSheetId="7" hidden="1">{#N/A,#N/A,FALSE,"Plan1";#N/A,#N/A,FALSE,"Plan2"}</definedName>
    <definedName name="nzxcnnjkd" localSheetId="1" hidden="1">{#N/A,#N/A,FALSE,"Plan1";#N/A,#N/A,FALSE,"Plan2"}</definedName>
    <definedName name="nzxcnnjkd" localSheetId="2" hidden="1">{#N/A,#N/A,FALSE,"Plan1";#N/A,#N/A,FALSE,"Plan2"}</definedName>
    <definedName name="nzxcnnjkd" localSheetId="9" hidden="1">{#N/A,#N/A,FALSE,"Plan1";#N/A,#N/A,FALSE,"Plan2"}</definedName>
    <definedName name="nzxcnnjkd" localSheetId="5" hidden="1">{#N/A,#N/A,FALSE,"Plan1";#N/A,#N/A,FALSE,"Plan2"}</definedName>
    <definedName name="nzxcnnjkd" localSheetId="4" hidden="1">{#N/A,#N/A,FALSE,"Plan1";#N/A,#N/A,FALSE,"Plan2"}</definedName>
    <definedName name="nzxcnnjkd" localSheetId="8" hidden="1">{#N/A,#N/A,FALSE,"Plan1";#N/A,#N/A,FALSE,"Plan2"}</definedName>
    <definedName name="nzxcnnjkd" localSheetId="12" hidden="1">{#N/A,#N/A,FALSE,"Plan1";#N/A,#N/A,FALSE,"Plan2"}</definedName>
    <definedName name="nzxcnnjkd" localSheetId="16" hidden="1">{#N/A,#N/A,FALSE,"Plan1";#N/A,#N/A,FALSE,"Plan2"}</definedName>
    <definedName name="nzxcnnjkd" localSheetId="0" hidden="1">{#N/A,#N/A,FALSE,"Plan1";#N/A,#N/A,FALSE,"Plan2"}</definedName>
    <definedName name="nzxcnnjkd" localSheetId="11" hidden="1">{#N/A,#N/A,FALSE,"Plan1";#N/A,#N/A,FALSE,"Plan2"}</definedName>
    <definedName name="nzxcnnjkd" localSheetId="13" hidden="1">{#N/A,#N/A,FALSE,"Plan1";#N/A,#N/A,FALSE,"Plan2"}</definedName>
    <definedName name="nzxcnnjkd" hidden="1">{#N/A,#N/A,FALSE,"Plan1";#N/A,#N/A,FALSE,"Plan2"}</definedName>
    <definedName name="OAE" localSheetId="14">#REF!</definedName>
    <definedName name="OAE" localSheetId="2">#REF!</definedName>
    <definedName name="OAE" localSheetId="5">#REF!</definedName>
    <definedName name="OAE" localSheetId="15">#REF!</definedName>
    <definedName name="OAE" localSheetId="12">#REF!</definedName>
    <definedName name="OAE" localSheetId="0">#REF!</definedName>
    <definedName name="OAE">#REF!</definedName>
    <definedName name="OBRA" localSheetId="2">#REF!</definedName>
    <definedName name="OBRA" localSheetId="5">#REF!</definedName>
    <definedName name="OBRA">#REF!</definedName>
    <definedName name="Obra_Fin_Medição" localSheetId="2">#REF!</definedName>
    <definedName name="Obra_Fin_Medição" localSheetId="5">#REF!</definedName>
    <definedName name="Obra_Fin_Medição">#REF!</definedName>
    <definedName name="OBRA_PROJETADO" localSheetId="2">#REF!</definedName>
    <definedName name="OBRA_PROJETADO" localSheetId="5">#REF!</definedName>
    <definedName name="OBRA_PROJETADO">#REF!</definedName>
    <definedName name="Obra_Rel_Controladoria" localSheetId="2">#REF!</definedName>
    <definedName name="Obra_Rel_Controladoria" localSheetId="5">#REF!</definedName>
    <definedName name="Obra_Rel_Controladoria">#REF!</definedName>
    <definedName name="Obra_Sienge" localSheetId="2">#REF!</definedName>
    <definedName name="Obra_Sienge" localSheetId="5">#REF!</definedName>
    <definedName name="Obra_Sienge">#REF!</definedName>
    <definedName name="Obra2_Fin_Medição" localSheetId="2">#REF!</definedName>
    <definedName name="Obra2_Fin_Medição" localSheetId="5">#REF!</definedName>
    <definedName name="Obra2_Fin_Medição">#REF!</definedName>
    <definedName name="OBRALOC" localSheetId="2">#REF!</definedName>
    <definedName name="OBRALOC" localSheetId="5">#REF!</definedName>
    <definedName name="OBRALOC">#REF!</definedName>
    <definedName name="OBRAS" localSheetId="2">#REF!</definedName>
    <definedName name="OBRAS" localSheetId="5">#REF!</definedName>
    <definedName name="OBRAS">#REF!</definedName>
    <definedName name="Obras_Apoio_Rel_Controladoria" localSheetId="2">#REF!</definedName>
    <definedName name="Obras_Apoio_Rel_Controladoria" localSheetId="5">#REF!</definedName>
    <definedName name="Obras_Apoio_Rel_Controladoria">#REF!</definedName>
    <definedName name="OBRAS_REALIZADO" localSheetId="2">#REF!</definedName>
    <definedName name="OBRAS_REALIZADO" localSheetId="5">#REF!</definedName>
    <definedName name="OBRAS_REALIZADO">#REF!</definedName>
    <definedName name="OBRASEL" localSheetId="2">#REF!</definedName>
    <definedName name="OBRASEL" localSheetId="5">#REF!</definedName>
    <definedName name="OBRASEL">#REF!</definedName>
    <definedName name="odflgj" hidden="1">25</definedName>
    <definedName name="odfuudor" localSheetId="14" hidden="1">{#N/A,#N/A,FALSE,"Plan1";#N/A,#N/A,FALSE,"Plan2"}</definedName>
    <definedName name="odfuudor" localSheetId="7" hidden="1">{#N/A,#N/A,FALSE,"Plan1";#N/A,#N/A,FALSE,"Plan2"}</definedName>
    <definedName name="odfuudor" localSheetId="1" hidden="1">{#N/A,#N/A,FALSE,"Plan1";#N/A,#N/A,FALSE,"Plan2"}</definedName>
    <definedName name="odfuudor" localSheetId="2" hidden="1">{#N/A,#N/A,FALSE,"Plan1";#N/A,#N/A,FALSE,"Plan2"}</definedName>
    <definedName name="odfuudor" localSheetId="9" hidden="1">{#N/A,#N/A,FALSE,"Plan1";#N/A,#N/A,FALSE,"Plan2"}</definedName>
    <definedName name="odfuudor" localSheetId="5" hidden="1">{#N/A,#N/A,FALSE,"Plan1";#N/A,#N/A,FALSE,"Plan2"}</definedName>
    <definedName name="odfuudor" localSheetId="4" hidden="1">{#N/A,#N/A,FALSE,"Plan1";#N/A,#N/A,FALSE,"Plan2"}</definedName>
    <definedName name="odfuudor" localSheetId="8" hidden="1">{#N/A,#N/A,FALSE,"Plan1";#N/A,#N/A,FALSE,"Plan2"}</definedName>
    <definedName name="odfuudor" localSheetId="12" hidden="1">{#N/A,#N/A,FALSE,"Plan1";#N/A,#N/A,FALSE,"Plan2"}</definedName>
    <definedName name="odfuudor" localSheetId="16" hidden="1">{#N/A,#N/A,FALSE,"Plan1";#N/A,#N/A,FALSE,"Plan2"}</definedName>
    <definedName name="odfuudor" localSheetId="0" hidden="1">{#N/A,#N/A,FALSE,"Plan1";#N/A,#N/A,FALSE,"Plan2"}</definedName>
    <definedName name="odfuudor" localSheetId="11" hidden="1">{#N/A,#N/A,FALSE,"Plan1";#N/A,#N/A,FALSE,"Plan2"}</definedName>
    <definedName name="odfuudor" localSheetId="13" hidden="1">{#N/A,#N/A,FALSE,"Plan1";#N/A,#N/A,FALSE,"Plan2"}</definedName>
    <definedName name="odfuudor" hidden="1">{#N/A,#N/A,FALSE,"Plan1";#N/A,#N/A,FALSE,"Plan2"}</definedName>
    <definedName name="ODH" localSheetId="2" hidden="1">#REF!</definedName>
    <definedName name="ODH" localSheetId="5" hidden="1">#REF!</definedName>
    <definedName name="ODH" localSheetId="0" hidden="1">#REF!</definedName>
    <definedName name="ODH" hidden="1">#REF!</definedName>
    <definedName name="oficial_mes" localSheetId="2">#REF!</definedName>
    <definedName name="oficial_mes" localSheetId="5">#REF!</definedName>
    <definedName name="oficial_mes">#REF!</definedName>
    <definedName name="oficial2_mes" localSheetId="2">#REF!</definedName>
    <definedName name="oficial2_mes" localSheetId="5">#REF!</definedName>
    <definedName name="oficial2_mes">#REF!</definedName>
    <definedName name="oiditrot" localSheetId="14" hidden="1">{#N/A,#N/A,FALSE,"Plan1";#N/A,#N/A,FALSE,"Plan2"}</definedName>
    <definedName name="oiditrot" localSheetId="7" hidden="1">{#N/A,#N/A,FALSE,"Plan1";#N/A,#N/A,FALSE,"Plan2"}</definedName>
    <definedName name="oiditrot" localSheetId="1" hidden="1">{#N/A,#N/A,FALSE,"Plan1";#N/A,#N/A,FALSE,"Plan2"}</definedName>
    <definedName name="oiditrot" localSheetId="2" hidden="1">{#N/A,#N/A,FALSE,"Plan1";#N/A,#N/A,FALSE,"Plan2"}</definedName>
    <definedName name="oiditrot" localSheetId="9" hidden="1">{#N/A,#N/A,FALSE,"Plan1";#N/A,#N/A,FALSE,"Plan2"}</definedName>
    <definedName name="oiditrot" localSheetId="5" hidden="1">{#N/A,#N/A,FALSE,"Plan1";#N/A,#N/A,FALSE,"Plan2"}</definedName>
    <definedName name="oiditrot" localSheetId="4" hidden="1">{#N/A,#N/A,FALSE,"Plan1";#N/A,#N/A,FALSE,"Plan2"}</definedName>
    <definedName name="oiditrot" localSheetId="8" hidden="1">{#N/A,#N/A,FALSE,"Plan1";#N/A,#N/A,FALSE,"Plan2"}</definedName>
    <definedName name="oiditrot" localSheetId="12" hidden="1">{#N/A,#N/A,FALSE,"Plan1";#N/A,#N/A,FALSE,"Plan2"}</definedName>
    <definedName name="oiditrot" localSheetId="16" hidden="1">{#N/A,#N/A,FALSE,"Plan1";#N/A,#N/A,FALSE,"Plan2"}</definedName>
    <definedName name="oiditrot" localSheetId="0" hidden="1">{#N/A,#N/A,FALSE,"Plan1";#N/A,#N/A,FALSE,"Plan2"}</definedName>
    <definedName name="oiditrot" localSheetId="11" hidden="1">{#N/A,#N/A,FALSE,"Plan1";#N/A,#N/A,FALSE,"Plan2"}</definedName>
    <definedName name="oiditrot" localSheetId="13" hidden="1">{#N/A,#N/A,FALSE,"Plan1";#N/A,#N/A,FALSE,"Plan2"}</definedName>
    <definedName name="oiditrot" hidden="1">{#N/A,#N/A,FALSE,"Plan1";#N/A,#N/A,FALSE,"Plan2"}</definedName>
    <definedName name="oio" localSheetId="14" hidden="1">{#N/A,#N/A,FALSE,"Plan1";#N/A,#N/A,FALSE,"Plan2"}</definedName>
    <definedName name="oio" localSheetId="7" hidden="1">{#N/A,#N/A,FALSE,"Plan1";#N/A,#N/A,FALSE,"Plan2"}</definedName>
    <definedName name="oio" localSheetId="1" hidden="1">{#N/A,#N/A,FALSE,"Plan1";#N/A,#N/A,FALSE,"Plan2"}</definedName>
    <definedName name="oio" localSheetId="2" hidden="1">{#N/A,#N/A,FALSE,"Plan1";#N/A,#N/A,FALSE,"Plan2"}</definedName>
    <definedName name="oio" localSheetId="9" hidden="1">{#N/A,#N/A,FALSE,"Plan1";#N/A,#N/A,FALSE,"Plan2"}</definedName>
    <definedName name="oio" localSheetId="5" hidden="1">{#N/A,#N/A,FALSE,"Plan1";#N/A,#N/A,FALSE,"Plan2"}</definedName>
    <definedName name="oio" localSheetId="4" hidden="1">{#N/A,#N/A,FALSE,"Plan1";#N/A,#N/A,FALSE,"Plan2"}</definedName>
    <definedName name="oio" localSheetId="8" hidden="1">{#N/A,#N/A,FALSE,"Plan1";#N/A,#N/A,FALSE,"Plan2"}</definedName>
    <definedName name="oio" localSheetId="12" hidden="1">{#N/A,#N/A,FALSE,"Plan1";#N/A,#N/A,FALSE,"Plan2"}</definedName>
    <definedName name="oio" localSheetId="16" hidden="1">{#N/A,#N/A,FALSE,"Plan1";#N/A,#N/A,FALSE,"Plan2"}</definedName>
    <definedName name="oio" localSheetId="0" hidden="1">{#N/A,#N/A,FALSE,"Plan1";#N/A,#N/A,FALSE,"Plan2"}</definedName>
    <definedName name="oio" localSheetId="11" hidden="1">{#N/A,#N/A,FALSE,"Plan1";#N/A,#N/A,FALSE,"Plan2"}</definedName>
    <definedName name="oio" localSheetId="13" hidden="1">{#N/A,#N/A,FALSE,"Plan1";#N/A,#N/A,FALSE,"Plan2"}</definedName>
    <definedName name="oio" hidden="1">{#N/A,#N/A,FALSE,"Plan1";#N/A,#N/A,FALSE,"Plan2"}</definedName>
    <definedName name="OITO" localSheetId="2">#REF!</definedName>
    <definedName name="OITO" localSheetId="9">#REF!</definedName>
    <definedName name="OITO" localSheetId="5">#REF!</definedName>
    <definedName name="OITO" localSheetId="24">#REF!</definedName>
    <definedName name="OITO">#REF!</definedName>
    <definedName name="oiufioorif" localSheetId="2" hidden="1">#REF!</definedName>
    <definedName name="oiufioorif" localSheetId="0" hidden="1">#REF!</definedName>
    <definedName name="oiufioorif" hidden="1">#REF!</definedName>
    <definedName name="OJÇLJ" localSheetId="14" hidden="1">{#N/A,#N/A,FALSE,"Plan1";#N/A,#N/A,FALSE,"Plan2"}</definedName>
    <definedName name="OJÇLJ" localSheetId="7" hidden="1">{#N/A,#N/A,FALSE,"Plan1";#N/A,#N/A,FALSE,"Plan2"}</definedName>
    <definedName name="OJÇLJ" localSheetId="1" hidden="1">{#N/A,#N/A,FALSE,"Plan1";#N/A,#N/A,FALSE,"Plan2"}</definedName>
    <definedName name="OJÇLJ" localSheetId="2" hidden="1">{#N/A,#N/A,FALSE,"Plan1";#N/A,#N/A,FALSE,"Plan2"}</definedName>
    <definedName name="OJÇLJ" localSheetId="9" hidden="1">{#N/A,#N/A,FALSE,"Plan1";#N/A,#N/A,FALSE,"Plan2"}</definedName>
    <definedName name="OJÇLJ" localSheetId="5" hidden="1">{#N/A,#N/A,FALSE,"Plan1";#N/A,#N/A,FALSE,"Plan2"}</definedName>
    <definedName name="OJÇLJ" localSheetId="4" hidden="1">{#N/A,#N/A,FALSE,"Plan1";#N/A,#N/A,FALSE,"Plan2"}</definedName>
    <definedName name="OJÇLJ" localSheetId="8" hidden="1">{#N/A,#N/A,FALSE,"Plan1";#N/A,#N/A,FALSE,"Plan2"}</definedName>
    <definedName name="OJÇLJ" localSheetId="12" hidden="1">{#N/A,#N/A,FALSE,"Plan1";#N/A,#N/A,FALSE,"Plan2"}</definedName>
    <definedName name="OJÇLJ" localSheetId="16" hidden="1">{#N/A,#N/A,FALSE,"Plan1";#N/A,#N/A,FALSE,"Plan2"}</definedName>
    <definedName name="OJÇLJ" localSheetId="0" hidden="1">{#N/A,#N/A,FALSE,"Plan1";#N/A,#N/A,FALSE,"Plan2"}</definedName>
    <definedName name="OJÇLJ" localSheetId="11" hidden="1">{#N/A,#N/A,FALSE,"Plan1";#N/A,#N/A,FALSE,"Plan2"}</definedName>
    <definedName name="OJÇLJ" localSheetId="13" hidden="1">{#N/A,#N/A,FALSE,"Plan1";#N/A,#N/A,FALSE,"Plan2"}</definedName>
    <definedName name="OJÇLJ" hidden="1">{#N/A,#N/A,FALSE,"Plan1";#N/A,#N/A,FALSE,"Plan2"}</definedName>
    <definedName name="ojkdfit" localSheetId="14" hidden="1">{#N/A,#N/A,FALSE,"Plan1";#N/A,#N/A,FALSE,"Plan2"}</definedName>
    <definedName name="ojkdfit" localSheetId="7" hidden="1">{#N/A,#N/A,FALSE,"Plan1";#N/A,#N/A,FALSE,"Plan2"}</definedName>
    <definedName name="ojkdfit" localSheetId="1" hidden="1">{#N/A,#N/A,FALSE,"Plan1";#N/A,#N/A,FALSE,"Plan2"}</definedName>
    <definedName name="ojkdfit" localSheetId="2" hidden="1">{#N/A,#N/A,FALSE,"Plan1";#N/A,#N/A,FALSE,"Plan2"}</definedName>
    <definedName name="ojkdfit" localSheetId="9" hidden="1">{#N/A,#N/A,FALSE,"Plan1";#N/A,#N/A,FALSE,"Plan2"}</definedName>
    <definedName name="ojkdfit" localSheetId="5" hidden="1">{#N/A,#N/A,FALSE,"Plan1";#N/A,#N/A,FALSE,"Plan2"}</definedName>
    <definedName name="ojkdfit" localSheetId="4" hidden="1">{#N/A,#N/A,FALSE,"Plan1";#N/A,#N/A,FALSE,"Plan2"}</definedName>
    <definedName name="ojkdfit" localSheetId="8" hidden="1">{#N/A,#N/A,FALSE,"Plan1";#N/A,#N/A,FALSE,"Plan2"}</definedName>
    <definedName name="ojkdfit" localSheetId="12" hidden="1">{#N/A,#N/A,FALSE,"Plan1";#N/A,#N/A,FALSE,"Plan2"}</definedName>
    <definedName name="ojkdfit" localSheetId="16" hidden="1">{#N/A,#N/A,FALSE,"Plan1";#N/A,#N/A,FALSE,"Plan2"}</definedName>
    <definedName name="ojkdfit" localSheetId="0" hidden="1">{#N/A,#N/A,FALSE,"Plan1";#N/A,#N/A,FALSE,"Plan2"}</definedName>
    <definedName name="ojkdfit" localSheetId="11" hidden="1">{#N/A,#N/A,FALSE,"Plan1";#N/A,#N/A,FALSE,"Plan2"}</definedName>
    <definedName name="ojkdfit" localSheetId="13" hidden="1">{#N/A,#N/A,FALSE,"Plan1";#N/A,#N/A,FALSE,"Plan2"}</definedName>
    <definedName name="ojkdfit" hidden="1">{#N/A,#N/A,FALSE,"Plan1";#N/A,#N/A,FALSE,"Plan2"}</definedName>
    <definedName name="oMISSOS" localSheetId="2" hidden="1">#REF!</definedName>
    <definedName name="oMISSOS" localSheetId="0" hidden="1">#REF!</definedName>
    <definedName name="oMISSOS" hidden="1">#REF!</definedName>
    <definedName name="ONZE" localSheetId="2">#REF!</definedName>
    <definedName name="ONZE" localSheetId="5">#REF!</definedName>
    <definedName name="ONZE" localSheetId="24">#REF!</definedName>
    <definedName name="ONZE">#REF!</definedName>
    <definedName name="ooo" localSheetId="14" hidden="1">{#N/A,#N/A,FALSE,"Plan1";#N/A,#N/A,FALSE,"Plan2"}</definedName>
    <definedName name="ooo" localSheetId="7" hidden="1">{#N/A,#N/A,FALSE,"Plan1";#N/A,#N/A,FALSE,"Plan2"}</definedName>
    <definedName name="ooo" localSheetId="1" hidden="1">{#N/A,#N/A,FALSE,"Plan1";#N/A,#N/A,FALSE,"Plan2"}</definedName>
    <definedName name="ooo" localSheetId="2" hidden="1">{#N/A,#N/A,FALSE,"Plan1";#N/A,#N/A,FALSE,"Plan2"}</definedName>
    <definedName name="ooo" localSheetId="9" hidden="1">{#N/A,#N/A,FALSE,"Plan1";#N/A,#N/A,FALSE,"Plan2"}</definedName>
    <definedName name="ooo" localSheetId="5" hidden="1">{#N/A,#N/A,FALSE,"Plan1";#N/A,#N/A,FALSE,"Plan2"}</definedName>
    <definedName name="ooo" localSheetId="4" hidden="1">{#N/A,#N/A,FALSE,"Plan1";#N/A,#N/A,FALSE,"Plan2"}</definedName>
    <definedName name="ooo" localSheetId="8" hidden="1">{#N/A,#N/A,FALSE,"Plan1";#N/A,#N/A,FALSE,"Plan2"}</definedName>
    <definedName name="ooo" localSheetId="12" hidden="1">{#N/A,#N/A,FALSE,"Plan1";#N/A,#N/A,FALSE,"Plan2"}</definedName>
    <definedName name="ooo" localSheetId="16" hidden="1">{#N/A,#N/A,FALSE,"Plan1";#N/A,#N/A,FALSE,"Plan2"}</definedName>
    <definedName name="ooo" localSheetId="0" hidden="1">{#N/A,#N/A,FALSE,"Plan1";#N/A,#N/A,FALSE,"Plan2"}</definedName>
    <definedName name="ooo" localSheetId="11" hidden="1">{#N/A,#N/A,FALSE,"Plan1";#N/A,#N/A,FALSE,"Plan2"}</definedName>
    <definedName name="ooo" localSheetId="13" hidden="1">{#N/A,#N/A,FALSE,"Plan1";#N/A,#N/A,FALSE,"Plan2"}</definedName>
    <definedName name="ooo" hidden="1">{#N/A,#N/A,FALSE,"Plan1";#N/A,#N/A,FALSE,"Plan2"}</definedName>
    <definedName name="OPASEDWED" localSheetId="14" hidden="1">{"Econ Consolidado",#N/A,FALSE,"Econ Consol";"Fluxo de Caixa",#N/A,FALSE,"Fluxo Caixa";"Investimentos",#N/A,FALSE,"Investimentos"}</definedName>
    <definedName name="OPASEDWED" localSheetId="7" hidden="1">{"Econ Consolidado",#N/A,FALSE,"Econ Consol";"Fluxo de Caixa",#N/A,FALSE,"Fluxo Caixa";"Investimentos",#N/A,FALSE,"Investimentos"}</definedName>
    <definedName name="OPASEDWED" localSheetId="1" hidden="1">{"Econ Consolidado",#N/A,FALSE,"Econ Consol";"Fluxo de Caixa",#N/A,FALSE,"Fluxo Caixa";"Investimentos",#N/A,FALSE,"Investimentos"}</definedName>
    <definedName name="OPASEDWED" localSheetId="2" hidden="1">{"Econ Consolidado",#N/A,FALSE,"Econ Consol";"Fluxo de Caixa",#N/A,FALSE,"Fluxo Caixa";"Investimentos",#N/A,FALSE,"Investimentos"}</definedName>
    <definedName name="OPASEDWED" localSheetId="9" hidden="1">{"Econ Consolidado",#N/A,FALSE,"Econ Consol";"Fluxo de Caixa",#N/A,FALSE,"Fluxo Caixa";"Investimentos",#N/A,FALSE,"Investimentos"}</definedName>
    <definedName name="OPASEDWED" localSheetId="5" hidden="1">{"Econ Consolidado",#N/A,FALSE,"Econ Consol";"Fluxo de Caixa",#N/A,FALSE,"Fluxo Caixa";"Investimentos",#N/A,FALSE,"Investimentos"}</definedName>
    <definedName name="OPASEDWED" localSheetId="4" hidden="1">{"Econ Consolidado",#N/A,FALSE,"Econ Consol";"Fluxo de Caixa",#N/A,FALSE,"Fluxo Caixa";"Investimentos",#N/A,FALSE,"Investimentos"}</definedName>
    <definedName name="OPASEDWED" localSheetId="8" hidden="1">{"Econ Consolidado",#N/A,FALSE,"Econ Consol";"Fluxo de Caixa",#N/A,FALSE,"Fluxo Caixa";"Investimentos",#N/A,FALSE,"Investimentos"}</definedName>
    <definedName name="OPASEDWED" localSheetId="12" hidden="1">{"Econ Consolidado",#N/A,FALSE,"Econ Consol";"Fluxo de Caixa",#N/A,FALSE,"Fluxo Caixa";"Investimentos",#N/A,FALSE,"Investimentos"}</definedName>
    <definedName name="OPASEDWED" localSheetId="16" hidden="1">{"Econ Consolidado",#N/A,FALSE,"Econ Consol";"Fluxo de Caixa",#N/A,FALSE,"Fluxo Caixa";"Investimentos",#N/A,FALSE,"Investimentos"}</definedName>
    <definedName name="OPASEDWED" localSheetId="0" hidden="1">{"Econ Consolidado",#N/A,FALSE,"Econ Consol";"Fluxo de Caixa",#N/A,FALSE,"Fluxo Caixa";"Investimentos",#N/A,FALSE,"Investimentos"}</definedName>
    <definedName name="OPASEDWED" localSheetId="11" hidden="1">{"Econ Consolidado",#N/A,FALSE,"Econ Consol";"Fluxo de Caixa",#N/A,FALSE,"Fluxo Caixa";"Investimentos",#N/A,FALSE,"Investimentos"}</definedName>
    <definedName name="OPASEDWED" localSheetId="13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2">#REF!</definedName>
    <definedName name="opcao_taxa_desconto" localSheetId="5">#REF!</definedName>
    <definedName name="opcao_taxa_desconto">#REF!</definedName>
    <definedName name="opções" localSheetId="2">#REF!</definedName>
    <definedName name="opções" localSheetId="5">#REF!</definedName>
    <definedName name="opções">#REF!</definedName>
    <definedName name="opiwre" localSheetId="14" hidden="1">{#N/A,#N/A,FALSE,"Plan1";#N/A,#N/A,FALSE,"Plan2"}</definedName>
    <definedName name="opiwre" localSheetId="7" hidden="1">{#N/A,#N/A,FALSE,"Plan1";#N/A,#N/A,FALSE,"Plan2"}</definedName>
    <definedName name="opiwre" localSheetId="1" hidden="1">{#N/A,#N/A,FALSE,"Plan1";#N/A,#N/A,FALSE,"Plan2"}</definedName>
    <definedName name="opiwre" localSheetId="2" hidden="1">{#N/A,#N/A,FALSE,"Plan1";#N/A,#N/A,FALSE,"Plan2"}</definedName>
    <definedName name="opiwre" localSheetId="9" hidden="1">{#N/A,#N/A,FALSE,"Plan1";#N/A,#N/A,FALSE,"Plan2"}</definedName>
    <definedName name="opiwre" localSheetId="5" hidden="1">{#N/A,#N/A,FALSE,"Plan1";#N/A,#N/A,FALSE,"Plan2"}</definedName>
    <definedName name="opiwre" localSheetId="4" hidden="1">{#N/A,#N/A,FALSE,"Plan1";#N/A,#N/A,FALSE,"Plan2"}</definedName>
    <definedName name="opiwre" localSheetId="8" hidden="1">{#N/A,#N/A,FALSE,"Plan1";#N/A,#N/A,FALSE,"Plan2"}</definedName>
    <definedName name="opiwre" localSheetId="12" hidden="1">{#N/A,#N/A,FALSE,"Plan1";#N/A,#N/A,FALSE,"Plan2"}</definedName>
    <definedName name="opiwre" localSheetId="16" hidden="1">{#N/A,#N/A,FALSE,"Plan1";#N/A,#N/A,FALSE,"Plan2"}</definedName>
    <definedName name="opiwre" localSheetId="0" hidden="1">{#N/A,#N/A,FALSE,"Plan1";#N/A,#N/A,FALSE,"Plan2"}</definedName>
    <definedName name="opiwre" localSheetId="11" hidden="1">{#N/A,#N/A,FALSE,"Plan1";#N/A,#N/A,FALSE,"Plan2"}</definedName>
    <definedName name="opiwre" localSheetId="13" hidden="1">{#N/A,#N/A,FALSE,"Plan1";#N/A,#N/A,FALSE,"Plan2"}</definedName>
    <definedName name="opiwre" hidden="1">{#N/A,#N/A,FALSE,"Plan1";#N/A,#N/A,FALSE,"Plan2"}</definedName>
    <definedName name="ORCAMEN" localSheetId="2">#REF!</definedName>
    <definedName name="ORCAMEN" localSheetId="5">#REF!</definedName>
    <definedName name="ORCAMEN">#REF!</definedName>
    <definedName name="Orcamentistas" localSheetId="2">#REF!</definedName>
    <definedName name="Orcamentistas" localSheetId="5">#REF!</definedName>
    <definedName name="Orcamentistas">#REF!</definedName>
    <definedName name="origem_recebiveis" localSheetId="2">#REF!</definedName>
    <definedName name="origem_recebiveis" localSheetId="5">#REF!</definedName>
    <definedName name="origem_recebiveis">#REF!</definedName>
    <definedName name="origem_unidades" localSheetId="2">#REF!</definedName>
    <definedName name="origem_unidades" localSheetId="5">#REF!</definedName>
    <definedName name="origem_unidades">#REF!</definedName>
    <definedName name="Origem2_Recebimento_Fin_Medições" localSheetId="2">#REF!</definedName>
    <definedName name="Origem2_Recebimento_Fin_Medições" localSheetId="5">#REF!</definedName>
    <definedName name="Origem2_Recebimento_Fin_Medições">#REF!</definedName>
    <definedName name="os" localSheetId="14" hidden="1">{#N/A,#N/A,FALSE,"TABLE"}</definedName>
    <definedName name="os" localSheetId="7" hidden="1">{#N/A,#N/A,FALSE,"TABLE"}</definedName>
    <definedName name="os" localSheetId="1" hidden="1">{#N/A,#N/A,FALSE,"TABLE"}</definedName>
    <definedName name="os" localSheetId="2" hidden="1">{#N/A,#N/A,FALSE,"TABLE"}</definedName>
    <definedName name="os" localSheetId="9" hidden="1">{#N/A,#N/A,FALSE,"TABLE"}</definedName>
    <definedName name="os" localSheetId="5" hidden="1">{#N/A,#N/A,FALSE,"TABLE"}</definedName>
    <definedName name="os" localSheetId="4" hidden="1">{#N/A,#N/A,FALSE,"TABLE"}</definedName>
    <definedName name="os" localSheetId="8" hidden="1">{#N/A,#N/A,FALSE,"TABLE"}</definedName>
    <definedName name="os" localSheetId="12" hidden="1">{#N/A,#N/A,FALSE,"TABLE"}</definedName>
    <definedName name="os" localSheetId="16" hidden="1">{#N/A,#N/A,FALSE,"TABLE"}</definedName>
    <definedName name="os" localSheetId="0" hidden="1">{#N/A,#N/A,FALSE,"TABLE"}</definedName>
    <definedName name="os" localSheetId="11" hidden="1">{#N/A,#N/A,FALSE,"TABLE"}</definedName>
    <definedName name="os" localSheetId="13" hidden="1">{#N/A,#N/A,FALSE,"TABLE"}</definedName>
    <definedName name="os" hidden="1">{#N/A,#N/A,FALSE,"TABLE"}</definedName>
    <definedName name="osca_cdi" localSheetId="2">#REF!</definedName>
    <definedName name="osca_cdi" localSheetId="5">#REF!</definedName>
    <definedName name="osca_cdi">#REF!</definedName>
    <definedName name="osca_hist" localSheetId="2">#REF!</definedName>
    <definedName name="osca_hist" localSheetId="5">#REF!</definedName>
    <definedName name="osca_hist">#REF!</definedName>
    <definedName name="osca_uss" localSheetId="2">#REF!</definedName>
    <definedName name="osca_uss" localSheetId="5">#REF!</definedName>
    <definedName name="osca_uss">#REF!</definedName>
    <definedName name="otodgkrjglsrd" localSheetId="14" hidden="1">{#N/A,#N/A,FALSE,"Plan1";#N/A,#N/A,FALSE,"Plan2"}</definedName>
    <definedName name="otodgkrjglsrd" localSheetId="7" hidden="1">{#N/A,#N/A,FALSE,"Plan1";#N/A,#N/A,FALSE,"Plan2"}</definedName>
    <definedName name="otodgkrjglsrd" localSheetId="1" hidden="1">{#N/A,#N/A,FALSE,"Plan1";#N/A,#N/A,FALSE,"Plan2"}</definedName>
    <definedName name="otodgkrjglsrd" localSheetId="2" hidden="1">{#N/A,#N/A,FALSE,"Plan1";#N/A,#N/A,FALSE,"Plan2"}</definedName>
    <definedName name="otodgkrjglsrd" localSheetId="9" hidden="1">{#N/A,#N/A,FALSE,"Plan1";#N/A,#N/A,FALSE,"Plan2"}</definedName>
    <definedName name="otodgkrjglsrd" localSheetId="5" hidden="1">{#N/A,#N/A,FALSE,"Plan1";#N/A,#N/A,FALSE,"Plan2"}</definedName>
    <definedName name="otodgkrjglsrd" localSheetId="4" hidden="1">{#N/A,#N/A,FALSE,"Plan1";#N/A,#N/A,FALSE,"Plan2"}</definedName>
    <definedName name="otodgkrjglsrd" localSheetId="8" hidden="1">{#N/A,#N/A,FALSE,"Plan1";#N/A,#N/A,FALSE,"Plan2"}</definedName>
    <definedName name="otodgkrjglsrd" localSheetId="12" hidden="1">{#N/A,#N/A,FALSE,"Plan1";#N/A,#N/A,FALSE,"Plan2"}</definedName>
    <definedName name="otodgkrjglsrd" localSheetId="16" hidden="1">{#N/A,#N/A,FALSE,"Plan1";#N/A,#N/A,FALSE,"Plan2"}</definedName>
    <definedName name="otodgkrjglsrd" localSheetId="0" hidden="1">{#N/A,#N/A,FALSE,"Plan1";#N/A,#N/A,FALSE,"Plan2"}</definedName>
    <definedName name="otodgkrjglsrd" localSheetId="11" hidden="1">{#N/A,#N/A,FALSE,"Plan1";#N/A,#N/A,FALSE,"Plan2"}</definedName>
    <definedName name="otodgkrjglsrd" localSheetId="13" hidden="1">{#N/A,#N/A,FALSE,"Plan1";#N/A,#N/A,FALSE,"Plan2"}</definedName>
    <definedName name="otodgkrjglsrd" hidden="1">{#N/A,#N/A,FALSE,"Plan1";#N/A,#N/A,FALSE,"Plan2"}</definedName>
    <definedName name="OUERWRSR" localSheetId="14" hidden="1">{#N/A,#N/A,FALSE,"Plan1";#N/A,#N/A,FALSE,"Plan2"}</definedName>
    <definedName name="OUERWRSR" localSheetId="7" hidden="1">{#N/A,#N/A,FALSE,"Plan1";#N/A,#N/A,FALSE,"Plan2"}</definedName>
    <definedName name="OUERWRSR" localSheetId="1" hidden="1">{#N/A,#N/A,FALSE,"Plan1";#N/A,#N/A,FALSE,"Plan2"}</definedName>
    <definedName name="OUERWRSR" localSheetId="2" hidden="1">{#N/A,#N/A,FALSE,"Plan1";#N/A,#N/A,FALSE,"Plan2"}</definedName>
    <definedName name="OUERWRSR" localSheetId="9" hidden="1">{#N/A,#N/A,FALSE,"Plan1";#N/A,#N/A,FALSE,"Plan2"}</definedName>
    <definedName name="OUERWRSR" localSheetId="5" hidden="1">{#N/A,#N/A,FALSE,"Plan1";#N/A,#N/A,FALSE,"Plan2"}</definedName>
    <definedName name="OUERWRSR" localSheetId="4" hidden="1">{#N/A,#N/A,FALSE,"Plan1";#N/A,#N/A,FALSE,"Plan2"}</definedName>
    <definedName name="OUERWRSR" localSheetId="8" hidden="1">{#N/A,#N/A,FALSE,"Plan1";#N/A,#N/A,FALSE,"Plan2"}</definedName>
    <definedName name="OUERWRSR" localSheetId="12" hidden="1">{#N/A,#N/A,FALSE,"Plan1";#N/A,#N/A,FALSE,"Plan2"}</definedName>
    <definedName name="OUERWRSR" localSheetId="16" hidden="1">{#N/A,#N/A,FALSE,"Plan1";#N/A,#N/A,FALSE,"Plan2"}</definedName>
    <definedName name="OUERWRSR" localSheetId="0" hidden="1">{#N/A,#N/A,FALSE,"Plan1";#N/A,#N/A,FALSE,"Plan2"}</definedName>
    <definedName name="OUERWRSR" localSheetId="11" hidden="1">{#N/A,#N/A,FALSE,"Plan1";#N/A,#N/A,FALSE,"Plan2"}</definedName>
    <definedName name="OUERWRSR" localSheetId="13" hidden="1">{#N/A,#N/A,FALSE,"Plan1";#N/A,#N/A,FALSE,"Plan2"}</definedName>
    <definedName name="OUERWRSR" hidden="1">{#N/A,#N/A,FALSE,"Plan1";#N/A,#N/A,FALSE,"Plan2"}</definedName>
    <definedName name="out17RJ" localSheetId="2">#REF!</definedName>
    <definedName name="out17RJ" localSheetId="5">#REF!</definedName>
    <definedName name="out17RJ">#REF!</definedName>
    <definedName name="outro" localSheetId="2" hidden="1">#REF!</definedName>
    <definedName name="outro" localSheetId="5" hidden="1">#REF!</definedName>
    <definedName name="outro" localSheetId="0" hidden="1">#REF!</definedName>
    <definedName name="outro" hidden="1">#REF!</definedName>
    <definedName name="OUTROS" localSheetId="2">#REF!</definedName>
    <definedName name="OUTROS" localSheetId="5">#REF!</definedName>
    <definedName name="OUTROS">#REF!</definedName>
    <definedName name="OUTROS_CCUSTO" localSheetId="2">#REF!</definedName>
    <definedName name="OUTROS_CCUSTO" localSheetId="5">#REF!</definedName>
    <definedName name="OUTROS_CCUSTO">#REF!</definedName>
    <definedName name="Outros_Pisos" localSheetId="2">#REF!</definedName>
    <definedName name="Outros_Pisos" localSheetId="5">#REF!</definedName>
    <definedName name="Outros_Pisos">#REF!</definedName>
    <definedName name="Outros1" localSheetId="2">#REF!</definedName>
    <definedName name="Outros1" localSheetId="5">#REF!</definedName>
    <definedName name="Outros1">#REF!</definedName>
    <definedName name="OUTUBRO" localSheetId="2">#REF!</definedName>
    <definedName name="OUTUBRO" localSheetId="5">#REF!</definedName>
    <definedName name="OUTUBRO">#REF!</definedName>
    <definedName name="overhaul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2">#REF!</definedName>
    <definedName name="oxfo_cdi" localSheetId="5">#REF!</definedName>
    <definedName name="oxfo_cdi">#REF!</definedName>
    <definedName name="oxfo_hist" localSheetId="2">#REF!</definedName>
    <definedName name="oxfo_hist" localSheetId="5">#REF!</definedName>
    <definedName name="oxfo_hist">#REF!</definedName>
    <definedName name="oxfo_uss" localSheetId="2">#REF!</definedName>
    <definedName name="oxfo_uss" localSheetId="5">#REF!</definedName>
    <definedName name="oxfo_uss">#REF!</definedName>
    <definedName name="P" localSheetId="2">#REF!</definedName>
    <definedName name="P" localSheetId="5">#REF!</definedName>
    <definedName name="P">#REF!</definedName>
    <definedName name="PA" localSheetId="2">#REF!</definedName>
    <definedName name="PA" localSheetId="5">#REF!</definedName>
    <definedName name="PA">#REF!</definedName>
    <definedName name="Padrao_A" localSheetId="2">#REF!</definedName>
    <definedName name="Padrao_A" localSheetId="5">#REF!</definedName>
    <definedName name="Padrao_A">#REF!</definedName>
    <definedName name="Padrao_B" localSheetId="2">#REF!</definedName>
    <definedName name="Padrao_B" localSheetId="5">#REF!</definedName>
    <definedName name="Padrao_B">#REF!</definedName>
    <definedName name="Padrao_C" localSheetId="2">#REF!</definedName>
    <definedName name="Padrao_C" localSheetId="5">#REF!</definedName>
    <definedName name="Padrao_C">#REF!</definedName>
    <definedName name="Padrao_D" localSheetId="2">#REF!</definedName>
    <definedName name="Padrao_D" localSheetId="5">#REF!</definedName>
    <definedName name="Padrao_D">#REF!</definedName>
    <definedName name="Padrao_E" localSheetId="2">#REF!</definedName>
    <definedName name="Padrao_E" localSheetId="5">#REF!</definedName>
    <definedName name="Padrao_E">#REF!</definedName>
    <definedName name="Padrao_F" localSheetId="2">#REF!</definedName>
    <definedName name="Padrao_F" localSheetId="5">#REF!</definedName>
    <definedName name="Padrao_F">#REF!</definedName>
    <definedName name="Pagamento_Num" localSheetId="14">ROW()-Linha_Cabeçalho</definedName>
    <definedName name="Pagamento_Num" localSheetId="7">ROW()-Linha_Cabeçalho</definedName>
    <definedName name="Pagamento_Num" localSheetId="1">ROW()-Linha_Cabeçalho</definedName>
    <definedName name="Pagamento_Num" localSheetId="2">ROW()-Linha_Cabeçalho</definedName>
    <definedName name="Pagamento_Num" localSheetId="9">ROW()-Linha_Cabeçalho</definedName>
    <definedName name="Pagamento_Num" localSheetId="5">ROW()-Linha_Cabeçalho</definedName>
    <definedName name="Pagamento_Num" localSheetId="4">ROW()-Linha_Cabeçalho</definedName>
    <definedName name="Pagamento_Num" localSheetId="8">ROW()-Linha_Cabeçalho</definedName>
    <definedName name="Pagamento_Num" localSheetId="12">ROW()-Linha_Cabeçalho</definedName>
    <definedName name="Pagamento_Num" localSheetId="0">ROW()-Linha_Cabeçalho</definedName>
    <definedName name="Pagamento_Num">ROW()-Linha_Cabeçalho</definedName>
    <definedName name="Pago_Até_2015_Controladoria" localSheetId="2">#REF!</definedName>
    <definedName name="Pago_Até_2015_Controladoria" localSheetId="9">#REF!</definedName>
    <definedName name="Pago_Até_2015_Controladoria" localSheetId="5">#REF!</definedName>
    <definedName name="Pago_Até_2015_Controladoria">#REF!</definedName>
    <definedName name="Pal_Workbook_GUID" hidden="1">"3HURD34M2XKWJ5V6M4BWCR5Q"</definedName>
    <definedName name="PAP" localSheetId="2">#REF!</definedName>
    <definedName name="PAP" localSheetId="5">#REF!</definedName>
    <definedName name="PAP">#REF!</definedName>
    <definedName name="PARAM_FIS_1" localSheetId="2">#REF!</definedName>
    <definedName name="PARAM_FIS_1" localSheetId="5">#REF!</definedName>
    <definedName name="PARAM_FIS_1">#REF!</definedName>
    <definedName name="PARAM_FIS_2" localSheetId="2">#REF!</definedName>
    <definedName name="PARAM_FIS_2" localSheetId="5">#REF!</definedName>
    <definedName name="PARAM_FIS_2">#REF!</definedName>
    <definedName name="ParamValues1" localSheetId="14">#REF!</definedName>
    <definedName name="ParamValues1" localSheetId="7">#REF!</definedName>
    <definedName name="ParamValues1" localSheetId="2">#REF!</definedName>
    <definedName name="ParamValues1" localSheetId="9">#REF!</definedName>
    <definedName name="ParamValues1" localSheetId="5">#REF!</definedName>
    <definedName name="ParamValues1" localSheetId="15">#REF!</definedName>
    <definedName name="ParamValues1" localSheetId="8">#REF!</definedName>
    <definedName name="ParamValues1" localSheetId="12">#REF!</definedName>
    <definedName name="ParamValues1" localSheetId="0">#REF!</definedName>
    <definedName name="ParamValues1">#REF!</definedName>
    <definedName name="ParamValues2" localSheetId="2">#REF!</definedName>
    <definedName name="ParamValues2" localSheetId="5">#REF!</definedName>
    <definedName name="ParamValues2">#REF!</definedName>
    <definedName name="Parao_E" localSheetId="2">#REF!</definedName>
    <definedName name="Parao_E" localSheetId="5">#REF!</definedName>
    <definedName name="Parao_E">#REF!</definedName>
    <definedName name="Parede1" localSheetId="2">#REF!</definedName>
    <definedName name="Parede1" localSheetId="5">#REF!</definedName>
    <definedName name="Parede1">#REF!</definedName>
    <definedName name="Parede2" localSheetId="2">#REF!</definedName>
    <definedName name="Parede2" localSheetId="5">#REF!</definedName>
    <definedName name="Parede2">#REF!</definedName>
    <definedName name="PAREDES" localSheetId="2">#REF!</definedName>
    <definedName name="PAREDES" localSheetId="5">#REF!</definedName>
    <definedName name="PAREDES">#REF!</definedName>
    <definedName name="PAV" localSheetId="14">#REF!</definedName>
    <definedName name="PAV" localSheetId="2">#REF!</definedName>
    <definedName name="PAV" localSheetId="5">#REF!</definedName>
    <definedName name="PAV" localSheetId="15">#REF!</definedName>
    <definedName name="PAV" localSheetId="12">#REF!</definedName>
    <definedName name="PAV" localSheetId="0">#REF!</definedName>
    <definedName name="PAV">#REF!</definedName>
    <definedName name="PAVILHAO" localSheetId="2">#REF!</definedName>
    <definedName name="PAVILHAO" localSheetId="5">#REF!</definedName>
    <definedName name="PAVILHAO">#REF!</definedName>
    <definedName name="PAVT" localSheetId="2">#REF!</definedName>
    <definedName name="PAVT" localSheetId="5">#REF!</definedName>
    <definedName name="PAVT">#REF!</definedName>
    <definedName name="pçgktr" hidden="1">#REF!</definedName>
    <definedName name="PDER" localSheetId="2">#REF!</definedName>
    <definedName name="PDER" localSheetId="5">#REF!</definedName>
    <definedName name="PDER">#REF!</definedName>
    <definedName name="PDIVERS" localSheetId="2">#REF!</definedName>
    <definedName name="PDIVERS" localSheetId="5">#REF!</definedName>
    <definedName name="PDIVERS">#REF!</definedName>
    <definedName name="PE" localSheetId="2">#REF!</definedName>
    <definedName name="PE" localSheetId="5">#REF!</definedName>
    <definedName name="PE">#REF!</definedName>
    <definedName name="PEMD" localSheetId="2">#REF!</definedName>
    <definedName name="PEMD" localSheetId="5">#REF!</definedName>
    <definedName name="PEMD">#REF!</definedName>
    <definedName name="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2">#REF!</definedName>
    <definedName name="perfura" localSheetId="5">#REF!</definedName>
    <definedName name="perfura">#REF!</definedName>
    <definedName name="Perímetro_lajão" localSheetId="2">#REF!</definedName>
    <definedName name="Perímetro_lajão" localSheetId="5">#REF!</definedName>
    <definedName name="Perímetro_lajão" localSheetId="0">#REF!</definedName>
    <definedName name="Perímetro_lajão">#REF!</definedName>
    <definedName name="Perímetro_Terreno" localSheetId="2">#REF!</definedName>
    <definedName name="Perímetro_Terreno" localSheetId="5">#REF!</definedName>
    <definedName name="Perímetro_Terreno" localSheetId="0">#REF!</definedName>
    <definedName name="Perímetro_Terreno">#REF!</definedName>
    <definedName name="Perímetro_torre" localSheetId="2">#REF!</definedName>
    <definedName name="Perímetro_torre" localSheetId="5">#REF!</definedName>
    <definedName name="Perímetro_torre" localSheetId="0">#REF!</definedName>
    <definedName name="Perímetro_torre">#REF!</definedName>
    <definedName name="pessoal" localSheetId="2">#REF!</definedName>
    <definedName name="pessoal" localSheetId="5">#REF!</definedName>
    <definedName name="pessoal">#REF!</definedName>
    <definedName name="petro2" hidden="1">#REF!</definedName>
    <definedName name="PhyG" localSheetId="2">#REF!</definedName>
    <definedName name="PhyG" localSheetId="5">#REF!</definedName>
    <definedName name="PhyG">#REF!</definedName>
    <definedName name="PhyGS" localSheetId="2">#REF!</definedName>
    <definedName name="PhyGS" localSheetId="5">#REF!</definedName>
    <definedName name="PhyGS">#REF!</definedName>
    <definedName name="PI" localSheetId="2">#REF!</definedName>
    <definedName name="PI" localSheetId="5">#REF!</definedName>
    <definedName name="PI">#REF!</definedName>
    <definedName name="piaz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2">#REF!</definedName>
    <definedName name="PIEQUIP" localSheetId="5">#REF!</definedName>
    <definedName name="PIEQUIP">#REF!</definedName>
    <definedName name="Pintura" localSheetId="9">#REF!</definedName>
    <definedName name="Pintura" localSheetId="5">#REF!</definedName>
    <definedName name="Pintura" localSheetId="12">#REF!</definedName>
    <definedName name="Pintura">#REF!</definedName>
    <definedName name="PIS_COFINS" localSheetId="2">#REF!</definedName>
    <definedName name="PIS_COFINS" localSheetId="9">#REF!</definedName>
    <definedName name="PIS_COFINS" localSheetId="5">#REF!</definedName>
    <definedName name="PIS_COFINS">#REF!</definedName>
    <definedName name="PisCofins" localSheetId="2">#REF!</definedName>
    <definedName name="PisCofins" localSheetId="5">#REF!</definedName>
    <definedName name="PisCofins">#REF!</definedName>
    <definedName name="Piso1" localSheetId="2">#REF!</definedName>
    <definedName name="Piso1" localSheetId="5">#REF!</definedName>
    <definedName name="Piso1">#REF!</definedName>
    <definedName name="Piso2" localSheetId="2">#REF!</definedName>
    <definedName name="Piso2" localSheetId="5">#REF!</definedName>
    <definedName name="Piso2">#REF!</definedName>
    <definedName name="PISOS" localSheetId="2">#REF!</definedName>
    <definedName name="PISOS" localSheetId="5">#REF!</definedName>
    <definedName name="PISOS">#REF!</definedName>
    <definedName name="PL" localSheetId="2">#REF!</definedName>
    <definedName name="PL" localSheetId="5">#REF!</definedName>
    <definedName name="PL">#REF!</definedName>
    <definedName name="PLACAS" localSheetId="14" hidden="1">{#N/A,#N/A,TRUE,"Quinzena 01 à 15-04-98 "}</definedName>
    <definedName name="PLACAS" localSheetId="7" hidden="1">{#N/A,#N/A,TRUE,"Quinzena 01 à 15-04-98 "}</definedName>
    <definedName name="PLACAS" localSheetId="1" hidden="1">{#N/A,#N/A,TRUE,"Quinzena 01 à 15-04-98 "}</definedName>
    <definedName name="PLACAS" localSheetId="2" hidden="1">{#N/A,#N/A,TRUE,"Quinzena 01 à 15-04-98 "}</definedName>
    <definedName name="PLACAS" localSheetId="9" hidden="1">{#N/A,#N/A,TRUE,"Quinzena 01 à 15-04-98 "}</definedName>
    <definedName name="PLACAS" localSheetId="5" hidden="1">{#N/A,#N/A,TRUE,"Quinzena 01 à 15-04-98 "}</definedName>
    <definedName name="PLACAS" localSheetId="4" hidden="1">{#N/A,#N/A,TRUE,"Quinzena 01 à 15-04-98 "}</definedName>
    <definedName name="PLACAS" localSheetId="8" hidden="1">{#N/A,#N/A,TRUE,"Quinzena 01 à 15-04-98 "}</definedName>
    <definedName name="PLACAS" localSheetId="12" hidden="1">{#N/A,#N/A,TRUE,"Quinzena 01 à 15-04-98 "}</definedName>
    <definedName name="PLACAS" localSheetId="16" hidden="1">{#N/A,#N/A,TRUE,"Quinzena 01 à 15-04-98 "}</definedName>
    <definedName name="PLACAS" localSheetId="0" hidden="1">{#N/A,#N/A,TRUE,"Quinzena 01 à 15-04-98 "}</definedName>
    <definedName name="PLACAS" localSheetId="11" hidden="1">{#N/A,#N/A,TRUE,"Quinzena 01 à 15-04-98 "}</definedName>
    <definedName name="PLACAS" localSheetId="13" hidden="1">{#N/A,#N/A,TRUE,"Quinzena 01 à 15-04-98 "}</definedName>
    <definedName name="PLACAS" hidden="1">{#N/A,#N/A,TRUE,"Quinzena 01 à 15-04-98 "}</definedName>
    <definedName name="Placas_Areas" localSheetId="14" hidden="1">{#N/A,#N/A,TRUE,"Quinzena 01 à 15-04-98 "}</definedName>
    <definedName name="Placas_Areas" localSheetId="7" hidden="1">{#N/A,#N/A,TRUE,"Quinzena 01 à 15-04-98 "}</definedName>
    <definedName name="Placas_Areas" localSheetId="1" hidden="1">{#N/A,#N/A,TRUE,"Quinzena 01 à 15-04-98 "}</definedName>
    <definedName name="Placas_Areas" localSheetId="2" hidden="1">{#N/A,#N/A,TRUE,"Quinzena 01 à 15-04-98 "}</definedName>
    <definedName name="Placas_Areas" localSheetId="9" hidden="1">{#N/A,#N/A,TRUE,"Quinzena 01 à 15-04-98 "}</definedName>
    <definedName name="Placas_Areas" localSheetId="5" hidden="1">{#N/A,#N/A,TRUE,"Quinzena 01 à 15-04-98 "}</definedName>
    <definedName name="Placas_Areas" localSheetId="4" hidden="1">{#N/A,#N/A,TRUE,"Quinzena 01 à 15-04-98 "}</definedName>
    <definedName name="Placas_Areas" localSheetId="8" hidden="1">{#N/A,#N/A,TRUE,"Quinzena 01 à 15-04-98 "}</definedName>
    <definedName name="Placas_Areas" localSheetId="12" hidden="1">{#N/A,#N/A,TRUE,"Quinzena 01 à 15-04-98 "}</definedName>
    <definedName name="Placas_Areas" localSheetId="16" hidden="1">{#N/A,#N/A,TRUE,"Quinzena 01 à 15-04-98 "}</definedName>
    <definedName name="Placas_Areas" localSheetId="0" hidden="1">{#N/A,#N/A,TRUE,"Quinzena 01 à 15-04-98 "}</definedName>
    <definedName name="Placas_Areas" localSheetId="11" hidden="1">{#N/A,#N/A,TRUE,"Quinzena 01 à 15-04-98 "}</definedName>
    <definedName name="Placas_Areas" localSheetId="13" hidden="1">{#N/A,#N/A,TRUE,"Quinzena 01 à 15-04-98 "}</definedName>
    <definedName name="Placas_Areas" hidden="1">{#N/A,#N/A,TRUE,"Quinzena 01 à 15-04-98 "}</definedName>
    <definedName name="plan" localSheetId="2" hidden="1">#REF!</definedName>
    <definedName name="PLAN" localSheetId="5">#REF!</definedName>
    <definedName name="plan" localSheetId="0" hidden="1">#REF!</definedName>
    <definedName name="PLAN">#REF!</definedName>
    <definedName name="plan2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2">#REF!</definedName>
    <definedName name="PLANILHA" localSheetId="5">#REF!</definedName>
    <definedName name="PLANILHA">#REF!</definedName>
    <definedName name="Planilha2" localSheetId="2">#REF!</definedName>
    <definedName name="Planilha2" localSheetId="5">#REF!</definedName>
    <definedName name="Planilha2">#REF!</definedName>
    <definedName name="plasçdeaw" localSheetId="14" hidden="1">{#N/A,#N/A,FALSE,"Plan1";#N/A,#N/A,FALSE,"Plan2"}</definedName>
    <definedName name="plasçdeaw" localSheetId="7" hidden="1">{#N/A,#N/A,FALSE,"Plan1";#N/A,#N/A,FALSE,"Plan2"}</definedName>
    <definedName name="plasçdeaw" localSheetId="1" hidden="1">{#N/A,#N/A,FALSE,"Plan1";#N/A,#N/A,FALSE,"Plan2"}</definedName>
    <definedName name="plasçdeaw" localSheetId="2" hidden="1">{#N/A,#N/A,FALSE,"Plan1";#N/A,#N/A,FALSE,"Plan2"}</definedName>
    <definedName name="plasçdeaw" localSheetId="9" hidden="1">{#N/A,#N/A,FALSE,"Plan1";#N/A,#N/A,FALSE,"Plan2"}</definedName>
    <definedName name="plasçdeaw" localSheetId="5" hidden="1">{#N/A,#N/A,FALSE,"Plan1";#N/A,#N/A,FALSE,"Plan2"}</definedName>
    <definedName name="plasçdeaw" localSheetId="4" hidden="1">{#N/A,#N/A,FALSE,"Plan1";#N/A,#N/A,FALSE,"Plan2"}</definedName>
    <definedName name="plasçdeaw" localSheetId="8" hidden="1">{#N/A,#N/A,FALSE,"Plan1";#N/A,#N/A,FALSE,"Plan2"}</definedName>
    <definedName name="plasçdeaw" localSheetId="12" hidden="1">{#N/A,#N/A,FALSE,"Plan1";#N/A,#N/A,FALSE,"Plan2"}</definedName>
    <definedName name="plasçdeaw" localSheetId="16" hidden="1">{#N/A,#N/A,FALSE,"Plan1";#N/A,#N/A,FALSE,"Plan2"}</definedName>
    <definedName name="plasçdeaw" localSheetId="0" hidden="1">{#N/A,#N/A,FALSE,"Plan1";#N/A,#N/A,FALSE,"Plan2"}</definedName>
    <definedName name="plasçdeaw" localSheetId="11" hidden="1">{#N/A,#N/A,FALSE,"Plan1";#N/A,#N/A,FALSE,"Plan2"}</definedName>
    <definedName name="plasçdeaw" localSheetId="13" hidden="1">{#N/A,#N/A,FALSE,"Plan1";#N/A,#N/A,FALSE,"Plan2"}</definedName>
    <definedName name="plasçdeaw" hidden="1">{#N/A,#N/A,FALSE,"Plan1";#N/A,#N/A,FALSE,"Plan2"}</definedName>
    <definedName name="plaslrswe" localSheetId="14" hidden="1">{#N/A,#N/A,FALSE,"Plan1";#N/A,#N/A,FALSE,"Plan2"}</definedName>
    <definedName name="plaslrswe" localSheetId="7" hidden="1">{#N/A,#N/A,FALSE,"Plan1";#N/A,#N/A,FALSE,"Plan2"}</definedName>
    <definedName name="plaslrswe" localSheetId="1" hidden="1">{#N/A,#N/A,FALSE,"Plan1";#N/A,#N/A,FALSE,"Plan2"}</definedName>
    <definedName name="plaslrswe" localSheetId="2" hidden="1">{#N/A,#N/A,FALSE,"Plan1";#N/A,#N/A,FALSE,"Plan2"}</definedName>
    <definedName name="plaslrswe" localSheetId="9" hidden="1">{#N/A,#N/A,FALSE,"Plan1";#N/A,#N/A,FALSE,"Plan2"}</definedName>
    <definedName name="plaslrswe" localSheetId="5" hidden="1">{#N/A,#N/A,FALSE,"Plan1";#N/A,#N/A,FALSE,"Plan2"}</definedName>
    <definedName name="plaslrswe" localSheetId="4" hidden="1">{#N/A,#N/A,FALSE,"Plan1";#N/A,#N/A,FALSE,"Plan2"}</definedName>
    <definedName name="plaslrswe" localSheetId="8" hidden="1">{#N/A,#N/A,FALSE,"Plan1";#N/A,#N/A,FALSE,"Plan2"}</definedName>
    <definedName name="plaslrswe" localSheetId="12" hidden="1">{#N/A,#N/A,FALSE,"Plan1";#N/A,#N/A,FALSE,"Plan2"}</definedName>
    <definedName name="plaslrswe" localSheetId="16" hidden="1">{#N/A,#N/A,FALSE,"Plan1";#N/A,#N/A,FALSE,"Plan2"}</definedName>
    <definedName name="plaslrswe" localSheetId="0" hidden="1">{#N/A,#N/A,FALSE,"Plan1";#N/A,#N/A,FALSE,"Plan2"}</definedName>
    <definedName name="plaslrswe" localSheetId="11" hidden="1">{#N/A,#N/A,FALSE,"Plan1";#N/A,#N/A,FALSE,"Plan2"}</definedName>
    <definedName name="plaslrswe" localSheetId="13" hidden="1">{#N/A,#N/A,FALSE,"Plan1";#N/A,#N/A,FALSE,"Plan2"}</definedName>
    <definedName name="plaslrswe" hidden="1">{#N/A,#N/A,FALSE,"Plan1";#N/A,#N/A,FALSE,"Plan2"}</definedName>
    <definedName name="pls" localSheetId="2" hidden="1">#REF!</definedName>
    <definedName name="pls" localSheetId="5" hidden="1">#REF!</definedName>
    <definedName name="pls" localSheetId="0" hidden="1">#REF!</definedName>
    <definedName name="pls" hidden="1">#REF!</definedName>
    <definedName name="plsearpef" localSheetId="14" hidden="1">{#N/A,#N/A,FALSE,"Plan1";#N/A,#N/A,FALSE,"Plan2"}</definedName>
    <definedName name="plsearpef" localSheetId="7" hidden="1">{#N/A,#N/A,FALSE,"Plan1";#N/A,#N/A,FALSE,"Plan2"}</definedName>
    <definedName name="plsearpef" localSheetId="1" hidden="1">{#N/A,#N/A,FALSE,"Plan1";#N/A,#N/A,FALSE,"Plan2"}</definedName>
    <definedName name="plsearpef" localSheetId="2" hidden="1">{#N/A,#N/A,FALSE,"Plan1";#N/A,#N/A,FALSE,"Plan2"}</definedName>
    <definedName name="plsearpef" localSheetId="9" hidden="1">{#N/A,#N/A,FALSE,"Plan1";#N/A,#N/A,FALSE,"Plan2"}</definedName>
    <definedName name="plsearpef" localSheetId="5" hidden="1">{#N/A,#N/A,FALSE,"Plan1";#N/A,#N/A,FALSE,"Plan2"}</definedName>
    <definedName name="plsearpef" localSheetId="4" hidden="1">{#N/A,#N/A,FALSE,"Plan1";#N/A,#N/A,FALSE,"Plan2"}</definedName>
    <definedName name="plsearpef" localSheetId="8" hidden="1">{#N/A,#N/A,FALSE,"Plan1";#N/A,#N/A,FALSE,"Plan2"}</definedName>
    <definedName name="plsearpef" localSheetId="12" hidden="1">{#N/A,#N/A,FALSE,"Plan1";#N/A,#N/A,FALSE,"Plan2"}</definedName>
    <definedName name="plsearpef" localSheetId="16" hidden="1">{#N/A,#N/A,FALSE,"Plan1";#N/A,#N/A,FALSE,"Plan2"}</definedName>
    <definedName name="plsearpef" localSheetId="0" hidden="1">{#N/A,#N/A,FALSE,"Plan1";#N/A,#N/A,FALSE,"Plan2"}</definedName>
    <definedName name="plsearpef" localSheetId="11" hidden="1">{#N/A,#N/A,FALSE,"Plan1";#N/A,#N/A,FALSE,"Plan2"}</definedName>
    <definedName name="plsearpef" localSheetId="13" hidden="1">{#N/A,#N/A,FALSE,"Plan1";#N/A,#N/A,FALSE,"Plan2"}</definedName>
    <definedName name="plsearpef" hidden="1">{#N/A,#N/A,FALSE,"Plan1";#N/A,#N/A,FALSE,"Plan2"}</definedName>
    <definedName name="plss" localSheetId="14" hidden="1">{#N/A,#N/A,FALSE,"Plan1";#N/A,#N/A,FALSE,"Plan2"}</definedName>
    <definedName name="plss" localSheetId="7" hidden="1">{#N/A,#N/A,FALSE,"Plan1";#N/A,#N/A,FALSE,"Plan2"}</definedName>
    <definedName name="plss" localSheetId="1" hidden="1">{#N/A,#N/A,FALSE,"Plan1";#N/A,#N/A,FALSE,"Plan2"}</definedName>
    <definedName name="plss" localSheetId="2" hidden="1">{#N/A,#N/A,FALSE,"Plan1";#N/A,#N/A,FALSE,"Plan2"}</definedName>
    <definedName name="plss" localSheetId="9" hidden="1">{#N/A,#N/A,FALSE,"Plan1";#N/A,#N/A,FALSE,"Plan2"}</definedName>
    <definedName name="plss" localSheetId="5" hidden="1">{#N/A,#N/A,FALSE,"Plan1";#N/A,#N/A,FALSE,"Plan2"}</definedName>
    <definedName name="plss" localSheetId="4" hidden="1">{#N/A,#N/A,FALSE,"Plan1";#N/A,#N/A,FALSE,"Plan2"}</definedName>
    <definedName name="plss" localSheetId="8" hidden="1">{#N/A,#N/A,FALSE,"Plan1";#N/A,#N/A,FALSE,"Plan2"}</definedName>
    <definedName name="plss" localSheetId="12" hidden="1">{#N/A,#N/A,FALSE,"Plan1";#N/A,#N/A,FALSE,"Plan2"}</definedName>
    <definedName name="plss" localSheetId="16" hidden="1">{#N/A,#N/A,FALSE,"Plan1";#N/A,#N/A,FALSE,"Plan2"}</definedName>
    <definedName name="plss" localSheetId="0" hidden="1">{#N/A,#N/A,FALSE,"Plan1";#N/A,#N/A,FALSE,"Plan2"}</definedName>
    <definedName name="plss" localSheetId="11" hidden="1">{#N/A,#N/A,FALSE,"Plan1";#N/A,#N/A,FALSE,"Plan2"}</definedName>
    <definedName name="plss" localSheetId="13" hidden="1">{#N/A,#N/A,FALSE,"Plan1";#N/A,#N/A,FALSE,"Plan2"}</definedName>
    <definedName name="plss" hidden="1">{#N/A,#N/A,FALSE,"Plan1";#N/A,#N/A,FALSE,"Plan2"}</definedName>
    <definedName name="PMUR" localSheetId="2">#REF!</definedName>
    <definedName name="PMUR" localSheetId="5">#REF!</definedName>
    <definedName name="PMUR">#REF!</definedName>
    <definedName name="PN2건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2">#REF!</definedName>
    <definedName name="Ponderações" localSheetId="5">#REF!</definedName>
    <definedName name="Ponderações">#REF!</definedName>
    <definedName name="Pós_Chaves" localSheetId="2">#REF!</definedName>
    <definedName name="Pós_Chaves" localSheetId="5">#REF!</definedName>
    <definedName name="Pós_Chaves">#REF!</definedName>
    <definedName name="pr" localSheetId="14">#REF!</definedName>
    <definedName name="pr" localSheetId="2">#REF!</definedName>
    <definedName name="pr" localSheetId="5">#REF!</definedName>
    <definedName name="pr" localSheetId="15">#REF!</definedName>
    <definedName name="pr" localSheetId="12">#REF!</definedName>
    <definedName name="pr" localSheetId="0">#REF!</definedName>
    <definedName name="pr">#REF!</definedName>
    <definedName name="PRAZO" localSheetId="2">#REF!</definedName>
    <definedName name="PRAZO" localSheetId="5">#REF!</definedName>
    <definedName name="PRAZO">#REF!</definedName>
    <definedName name="Prazo_da_Estrutura" localSheetId="2">#REF!</definedName>
    <definedName name="Prazo_da_Estrutura" localSheetId="5">#REF!</definedName>
    <definedName name="Prazo_da_Estrutura" localSheetId="0">#REF!</definedName>
    <definedName name="Prazo_da_Estrutura">#REF!</definedName>
    <definedName name="PRAZO_EDITAL" localSheetId="2">#REF!</definedName>
    <definedName name="PRAZO_EDITAL" localSheetId="5">#REF!</definedName>
    <definedName name="PRAZO_EDITAL">#REF!</definedName>
    <definedName name="Prazo_Obra" localSheetId="2">#REF!</definedName>
    <definedName name="Prazo_Obra" localSheetId="5">#REF!</definedName>
    <definedName name="Prazo_Obra" localSheetId="0">#REF!</definedName>
    <definedName name="Prazo_Obra">#REF!</definedName>
    <definedName name="PRAZO_ORC" localSheetId="2">#REF!</definedName>
    <definedName name="PRAZO_ORC" localSheetId="5">#REF!</definedName>
    <definedName name="PRAZO_ORC">#REF!</definedName>
    <definedName name="prazo2" localSheetId="2">#REF!</definedName>
    <definedName name="prazo2" localSheetId="5">#REF!</definedName>
    <definedName name="prazo2">#REF!</definedName>
    <definedName name="PRE" localSheetId="14">#REF!</definedName>
    <definedName name="PRE" localSheetId="2">#REF!</definedName>
    <definedName name="PRE" localSheetId="5">#REF!</definedName>
    <definedName name="PRE" localSheetId="15">#REF!</definedName>
    <definedName name="PRE" localSheetId="12">#REF!</definedName>
    <definedName name="PRE" localSheetId="0">#REF!</definedName>
    <definedName name="PRE">#REF!</definedName>
    <definedName name="PREÇ" localSheetId="2">OFFSET(#REF!,0,0,COUNTA(#REF!),1)</definedName>
    <definedName name="PREÇ" localSheetId="5">OFFSET(#REF!,0,0,COUNTA(#REF!),1)</definedName>
    <definedName name="PREÇ">OFFSET(#REF!,0,0,COUNTA(#REF!),1)</definedName>
    <definedName name="Previsão_Inicial_abr_16" localSheetId="2">#REF!</definedName>
    <definedName name="Previsão_Inicial_abr_16" localSheetId="5">#REF!</definedName>
    <definedName name="Previsão_Inicial_abr_16">#REF!</definedName>
    <definedName name="Previsão_Inicial_ago_16" localSheetId="2">#REF!</definedName>
    <definedName name="Previsão_Inicial_ago_16" localSheetId="5">#REF!</definedName>
    <definedName name="Previsão_Inicial_ago_16">#REF!</definedName>
    <definedName name="Previsão_Inicial_dez_16" localSheetId="2">#REF!</definedName>
    <definedName name="Previsão_Inicial_dez_16" localSheetId="5">#REF!</definedName>
    <definedName name="Previsão_Inicial_dez_16">#REF!</definedName>
    <definedName name="Previsão_Inicial_fev_16" localSheetId="2">#REF!</definedName>
    <definedName name="Previsão_Inicial_fev_16" localSheetId="5">#REF!</definedName>
    <definedName name="Previsão_Inicial_fev_16">#REF!</definedName>
    <definedName name="Previsão_Inicial_jan_16" localSheetId="2">#REF!</definedName>
    <definedName name="Previsão_Inicial_jan_16" localSheetId="5">#REF!</definedName>
    <definedName name="Previsão_Inicial_jan_16">#REF!</definedName>
    <definedName name="Previsão_Inicial_jul_16" localSheetId="2">#REF!</definedName>
    <definedName name="Previsão_Inicial_jul_16" localSheetId="5">#REF!</definedName>
    <definedName name="Previsão_Inicial_jul_16">#REF!</definedName>
    <definedName name="Previsão_Inicial_jun_16" localSheetId="2">#REF!</definedName>
    <definedName name="Previsão_Inicial_jun_16" localSheetId="5">#REF!</definedName>
    <definedName name="Previsão_Inicial_jun_16">#REF!</definedName>
    <definedName name="Previsão_Inicial_mai_16" localSheetId="2">#REF!</definedName>
    <definedName name="Previsão_Inicial_mai_16" localSheetId="5">#REF!</definedName>
    <definedName name="Previsão_Inicial_mai_16">#REF!</definedName>
    <definedName name="Previsão_Inicial_mar_16" localSheetId="2">#REF!</definedName>
    <definedName name="Previsão_Inicial_mar_16" localSheetId="5">#REF!</definedName>
    <definedName name="Previsão_Inicial_mar_16">#REF!</definedName>
    <definedName name="Previsão_Inicial_nov_16" localSheetId="2">#REF!</definedName>
    <definedName name="Previsão_Inicial_nov_16" localSheetId="5">#REF!</definedName>
    <definedName name="Previsão_Inicial_nov_16">#REF!</definedName>
    <definedName name="Previsão_Inicial_out_16" localSheetId="2">#REF!</definedName>
    <definedName name="Previsão_Inicial_out_16" localSheetId="5">#REF!</definedName>
    <definedName name="Previsão_Inicial_out_16">#REF!</definedName>
    <definedName name="Previsão_Inicial_set_16" localSheetId="2">#REF!</definedName>
    <definedName name="Previsão_Inicial_set_16" localSheetId="5">#REF!</definedName>
    <definedName name="Previsão_Inicial_set_16">#REF!</definedName>
    <definedName name="Previsão_Vento1" localSheetId="2">#REF!</definedName>
    <definedName name="Previsão_Vento1" localSheetId="5">#REF!</definedName>
    <definedName name="Previsão_Vento1">#REF!</definedName>
    <definedName name="Previsto_a_medir_Fin_Medições" localSheetId="2">#REF!</definedName>
    <definedName name="Previsto_a_medir_Fin_Medições" localSheetId="5">#REF!</definedName>
    <definedName name="Previsto_a_medir_Fin_Medições">#REF!</definedName>
    <definedName name="print" localSheetId="14" hidden="1">{#N/A,#N/A,FALSE,"$170M Cash";#N/A,#N/A,FALSE,"$250M Cash";#N/A,#N/A,FALSE,"$325M Cash"}</definedName>
    <definedName name="print" localSheetId="7" hidden="1">{#N/A,#N/A,FALSE,"$170M Cash";#N/A,#N/A,FALSE,"$250M Cash";#N/A,#N/A,FALSE,"$325M Cash"}</definedName>
    <definedName name="print" localSheetId="1" hidden="1">{#N/A,#N/A,FALSE,"$170M Cash";#N/A,#N/A,FALSE,"$250M Cash";#N/A,#N/A,FALSE,"$325M Cash"}</definedName>
    <definedName name="print" localSheetId="2" hidden="1">{#N/A,#N/A,FALSE,"$170M Cash";#N/A,#N/A,FALSE,"$250M Cash";#N/A,#N/A,FALSE,"$325M Cash"}</definedName>
    <definedName name="print" localSheetId="9" hidden="1">{#N/A,#N/A,FALSE,"$170M Cash";#N/A,#N/A,FALSE,"$250M Cash";#N/A,#N/A,FALSE,"$325M Cash"}</definedName>
    <definedName name="print" localSheetId="5" hidden="1">{#N/A,#N/A,FALSE,"$170M Cash";#N/A,#N/A,FALSE,"$250M Cash";#N/A,#N/A,FALSE,"$325M Cash"}</definedName>
    <definedName name="print" localSheetId="4" hidden="1">{#N/A,#N/A,FALSE,"$170M Cash";#N/A,#N/A,FALSE,"$250M Cash";#N/A,#N/A,FALSE,"$325M Cash"}</definedName>
    <definedName name="print" localSheetId="8" hidden="1">{#N/A,#N/A,FALSE,"$170M Cash";#N/A,#N/A,FALSE,"$250M Cash";#N/A,#N/A,FALSE,"$325M Cash"}</definedName>
    <definedName name="print" localSheetId="12" hidden="1">{#N/A,#N/A,FALSE,"$170M Cash";#N/A,#N/A,FALSE,"$250M Cash";#N/A,#N/A,FALSE,"$325M Cash"}</definedName>
    <definedName name="print" localSheetId="16" hidden="1">{#N/A,#N/A,FALSE,"$170M Cash";#N/A,#N/A,FALSE,"$250M Cash";#N/A,#N/A,FALSE,"$325M Cash"}</definedName>
    <definedName name="print" localSheetId="0" hidden="1">{#N/A,#N/A,FALSE,"$170M Cash";#N/A,#N/A,FALSE,"$250M Cash";#N/A,#N/A,FALSE,"$325M Cash"}</definedName>
    <definedName name="print" localSheetId="11" hidden="1">{#N/A,#N/A,FALSE,"$170M Cash";#N/A,#N/A,FALSE,"$250M Cash";#N/A,#N/A,FALSE,"$325M Cash"}</definedName>
    <definedName name="print" localSheetId="13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 localSheetId="5">#REF!</definedName>
    <definedName name="Print_Area">#REF!</definedName>
    <definedName name="Print_Area_MI" localSheetId="14">#REF!</definedName>
    <definedName name="Print_Area_MI" localSheetId="2">#REF!</definedName>
    <definedName name="Print_Area_MI" localSheetId="5">#REF!</definedName>
    <definedName name="Print_Area_MI" localSheetId="15">#REF!</definedName>
    <definedName name="Print_Area_MI" localSheetId="12">#REF!</definedName>
    <definedName name="Print_Area_MI" localSheetId="0">#REF!</definedName>
    <definedName name="Print_Area_MI">#REF!</definedName>
    <definedName name="Print_Titles" localSheetId="5">#REF!</definedName>
    <definedName name="Print_Titles">#REF!</definedName>
    <definedName name="PRINT_TITLES_MI" localSheetId="2">#REF!</definedName>
    <definedName name="PRINT_TITLES_MI" localSheetId="5">#REF!</definedName>
    <definedName name="PRINT_TITLES_MI">#REF!</definedName>
    <definedName name="programa" localSheetId="2">#REF!</definedName>
    <definedName name="programa" localSheetId="5">#REF!</definedName>
    <definedName name="programa">#REF!</definedName>
    <definedName name="Programaa" localSheetId="2">#REF!</definedName>
    <definedName name="Programaa" localSheetId="5">#REF!</definedName>
    <definedName name="Programaa">#REF!</definedName>
    <definedName name="Projeção_torre" localSheetId="2">#REF!</definedName>
    <definedName name="Projeção_torre" localSheetId="5">#REF!</definedName>
    <definedName name="Projeção_torre" localSheetId="0">#REF!</definedName>
    <definedName name="Projeção_torre">#REF!</definedName>
    <definedName name="projeto_nome_com" localSheetId="14">IF((COUNTA(#REF!)-2)&gt;1,"TERRENO "&amp;VLOOKUP(#REF!,#REF!,8,0),VLOOKUP(#REF!,#REF!,3,0))</definedName>
    <definedName name="projeto_nome_com" localSheetId="2">IF((COUNTA(#REF!)-2)&gt;1,"TERRENO "&amp;VLOOKUP(#REF!,#REF!,8,0),VLOOKUP(#REF!,#REF!,3,0))</definedName>
    <definedName name="projeto_nome_com" localSheetId="5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2">#REF!</definedName>
    <definedName name="PROPAGANDA" localSheetId="5">#REF!</definedName>
    <definedName name="PROPAGANDA">#REF!</definedName>
    <definedName name="ptirigyiotut" localSheetId="14" hidden="1">{#N/A,#N/A,FALSE,"Plan1";#N/A,#N/A,FALSE,"Plan2"}</definedName>
    <definedName name="ptirigyiotut" localSheetId="7" hidden="1">{#N/A,#N/A,FALSE,"Plan1";#N/A,#N/A,FALSE,"Plan2"}</definedName>
    <definedName name="ptirigyiotut" localSheetId="1" hidden="1">{#N/A,#N/A,FALSE,"Plan1";#N/A,#N/A,FALSE,"Plan2"}</definedName>
    <definedName name="ptirigyiotut" localSheetId="2" hidden="1">{#N/A,#N/A,FALSE,"Plan1";#N/A,#N/A,FALSE,"Plan2"}</definedName>
    <definedName name="ptirigyiotut" localSheetId="9" hidden="1">{#N/A,#N/A,FALSE,"Plan1";#N/A,#N/A,FALSE,"Plan2"}</definedName>
    <definedName name="ptirigyiotut" localSheetId="5" hidden="1">{#N/A,#N/A,FALSE,"Plan1";#N/A,#N/A,FALSE,"Plan2"}</definedName>
    <definedName name="ptirigyiotut" localSheetId="4" hidden="1">{#N/A,#N/A,FALSE,"Plan1";#N/A,#N/A,FALSE,"Plan2"}</definedName>
    <definedName name="ptirigyiotut" localSheetId="8" hidden="1">{#N/A,#N/A,FALSE,"Plan1";#N/A,#N/A,FALSE,"Plan2"}</definedName>
    <definedName name="ptirigyiotut" localSheetId="12" hidden="1">{#N/A,#N/A,FALSE,"Plan1";#N/A,#N/A,FALSE,"Plan2"}</definedName>
    <definedName name="ptirigyiotut" localSheetId="16" hidden="1">{#N/A,#N/A,FALSE,"Plan1";#N/A,#N/A,FALSE,"Plan2"}</definedName>
    <definedName name="ptirigyiotut" localSheetId="0" hidden="1">{#N/A,#N/A,FALSE,"Plan1";#N/A,#N/A,FALSE,"Plan2"}</definedName>
    <definedName name="ptirigyiotut" localSheetId="11" hidden="1">{#N/A,#N/A,FALSE,"Plan1";#N/A,#N/A,FALSE,"Plan2"}</definedName>
    <definedName name="ptirigyiotut" localSheetId="13" hidden="1">{#N/A,#N/A,FALSE,"Plan1";#N/A,#N/A,FALSE,"Plan2"}</definedName>
    <definedName name="ptirigyiotut" hidden="1">{#N/A,#N/A,FALSE,"Plan1";#N/A,#N/A,FALSE,"Plan2"}</definedName>
    <definedName name="PWER3" localSheetId="14" hidden="1">{#N/A,#N/A,FALSE,"Plan1";#N/A,#N/A,FALSE,"Plan2"}</definedName>
    <definedName name="PWER3" localSheetId="7" hidden="1">{#N/A,#N/A,FALSE,"Plan1";#N/A,#N/A,FALSE,"Plan2"}</definedName>
    <definedName name="PWER3" localSheetId="1" hidden="1">{#N/A,#N/A,FALSE,"Plan1";#N/A,#N/A,FALSE,"Plan2"}</definedName>
    <definedName name="PWER3" localSheetId="2" hidden="1">{#N/A,#N/A,FALSE,"Plan1";#N/A,#N/A,FALSE,"Plan2"}</definedName>
    <definedName name="PWER3" localSheetId="9" hidden="1">{#N/A,#N/A,FALSE,"Plan1";#N/A,#N/A,FALSE,"Plan2"}</definedName>
    <definedName name="PWER3" localSheetId="5" hidden="1">{#N/A,#N/A,FALSE,"Plan1";#N/A,#N/A,FALSE,"Plan2"}</definedName>
    <definedName name="PWER3" localSheetId="4" hidden="1">{#N/A,#N/A,FALSE,"Plan1";#N/A,#N/A,FALSE,"Plan2"}</definedName>
    <definedName name="PWER3" localSheetId="8" hidden="1">{#N/A,#N/A,FALSE,"Plan1";#N/A,#N/A,FALSE,"Plan2"}</definedName>
    <definedName name="PWER3" localSheetId="12" hidden="1">{#N/A,#N/A,FALSE,"Plan1";#N/A,#N/A,FALSE,"Plan2"}</definedName>
    <definedName name="PWER3" localSheetId="16" hidden="1">{#N/A,#N/A,FALSE,"Plan1";#N/A,#N/A,FALSE,"Plan2"}</definedName>
    <definedName name="PWER3" localSheetId="0" hidden="1">{#N/A,#N/A,FALSE,"Plan1";#N/A,#N/A,FALSE,"Plan2"}</definedName>
    <definedName name="PWER3" localSheetId="11" hidden="1">{#N/A,#N/A,FALSE,"Plan1";#N/A,#N/A,FALSE,"Plan2"}</definedName>
    <definedName name="PWER3" localSheetId="13" hidden="1">{#N/A,#N/A,FALSE,"Plan1";#N/A,#N/A,FALSE,"Plan2"}</definedName>
    <definedName name="PWER3" hidden="1">{#N/A,#N/A,FALSE,"Plan1";#N/A,#N/A,FALSE,"Plan2"}</definedName>
    <definedName name="q" localSheetId="2" hidden="1">#REF!</definedName>
    <definedName name="q" localSheetId="5">#REF!</definedName>
    <definedName name="q" localSheetId="0" hidden="1">#REF!</definedName>
    <definedName name="q">#REF!</definedName>
    <definedName name="QCLIENTE_PCLIENTE" localSheetId="2">#REF!</definedName>
    <definedName name="QCLIENTE_PCLIENTE" localSheetId="5">#REF!</definedName>
    <definedName name="QCLIENTE_PCLIENTE">#REF!</definedName>
    <definedName name="QCliente_PCliente1" localSheetId="2">#REF!</definedName>
    <definedName name="QCliente_PCliente1" localSheetId="5">#REF!</definedName>
    <definedName name="QCliente_PCliente1">#REF!</definedName>
    <definedName name="qe" localSheetId="14">#REF!</definedName>
    <definedName name="qe" localSheetId="2">#REF!</definedName>
    <definedName name="qe" localSheetId="5">#REF!</definedName>
    <definedName name="qe" localSheetId="15">#REF!</definedName>
    <definedName name="qe" localSheetId="12">#REF!</definedName>
    <definedName name="qe" localSheetId="0">#REF!</definedName>
    <definedName name="qe">#REF!</definedName>
    <definedName name="qee" localSheetId="14">#REF!</definedName>
    <definedName name="qee" localSheetId="2">#REF!</definedName>
    <definedName name="qee" localSheetId="5">#REF!</definedName>
    <definedName name="qee" localSheetId="15">#REF!</definedName>
    <definedName name="qee" localSheetId="12">#REF!</definedName>
    <definedName name="qee" localSheetId="0">#REF!</definedName>
    <definedName name="qee">#REF!</definedName>
    <definedName name="qkqh1" localSheetId="14" hidden="1">{#N/A,#N/A,FALSE,"명세표"}</definedName>
    <definedName name="qkqh1" localSheetId="7" hidden="1">{#N/A,#N/A,FALSE,"명세표"}</definedName>
    <definedName name="qkqh1" localSheetId="1" hidden="1">{#N/A,#N/A,FALSE,"명세표"}</definedName>
    <definedName name="qkqh1" localSheetId="2" hidden="1">{#N/A,#N/A,FALSE,"명세표"}</definedName>
    <definedName name="qkqh1" localSheetId="9" hidden="1">{#N/A,#N/A,FALSE,"명세표"}</definedName>
    <definedName name="qkqh1" localSheetId="5" hidden="1">{#N/A,#N/A,FALSE,"명세표"}</definedName>
    <definedName name="qkqh1" localSheetId="4" hidden="1">{#N/A,#N/A,FALSE,"명세표"}</definedName>
    <definedName name="qkqh1" localSheetId="8" hidden="1">{#N/A,#N/A,FALSE,"명세표"}</definedName>
    <definedName name="qkqh1" localSheetId="12" hidden="1">{#N/A,#N/A,FALSE,"명세표"}</definedName>
    <definedName name="qkqh1" localSheetId="16" hidden="1">{#N/A,#N/A,FALSE,"명세표"}</definedName>
    <definedName name="qkqh1" localSheetId="0" hidden="1">{#N/A,#N/A,FALSE,"명세표"}</definedName>
    <definedName name="qkqh1" localSheetId="11" hidden="1">{#N/A,#N/A,FALSE,"명세표"}</definedName>
    <definedName name="qkqh1" localSheetId="13" hidden="1">{#N/A,#N/A,FALSE,"명세표"}</definedName>
    <definedName name="qkqh1" hidden="1">{#N/A,#N/A,FALSE,"명세표"}</definedName>
    <definedName name="QOAS_POAS" localSheetId="2">#REF!</definedName>
    <definedName name="QOAS_POAS" localSheetId="5">#REF!</definedName>
    <definedName name="QOAS_POAS">#REF!</definedName>
    <definedName name="QQ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2">#REF!:#REF!</definedName>
    <definedName name="QQQ" localSheetId="9">#REF!:#REF!</definedName>
    <definedName name="QQQ" localSheetId="5">#REF!:#REF!</definedName>
    <definedName name="QQQ">#REF!:#REF!</definedName>
    <definedName name="QQQQQQQQ" localSheetId="2" hidden="1">#REF!</definedName>
    <definedName name="QQQQQQQQ" localSheetId="5" hidden="1">#REF!</definedName>
    <definedName name="QQQQQQQQ" localSheetId="0" hidden="1">#REF!</definedName>
    <definedName name="QQQQQQQQ" hidden="1">#REF!</definedName>
    <definedName name="QREAL_PCLIENTE" localSheetId="2">#REF!</definedName>
    <definedName name="QREAL_PCLIENTE" localSheetId="5">#REF!</definedName>
    <definedName name="QREAL_PCLIENTE">#REF!</definedName>
    <definedName name="QReal_PCliente1" localSheetId="2">#REF!</definedName>
    <definedName name="QReal_PCliente1" localSheetId="5">#REF!</definedName>
    <definedName name="QReal_PCliente1">#REF!</definedName>
    <definedName name="QSQWSE" localSheetId="14" hidden="1">{#N/A,#N/A,FALSE,"Plan1";#N/A,#N/A,FALSE,"Plan2"}</definedName>
    <definedName name="QSQWSE" localSheetId="7" hidden="1">{#N/A,#N/A,FALSE,"Plan1";#N/A,#N/A,FALSE,"Plan2"}</definedName>
    <definedName name="QSQWSE" localSheetId="1" hidden="1">{#N/A,#N/A,FALSE,"Plan1";#N/A,#N/A,FALSE,"Plan2"}</definedName>
    <definedName name="QSQWSE" localSheetId="2" hidden="1">{#N/A,#N/A,FALSE,"Plan1";#N/A,#N/A,FALSE,"Plan2"}</definedName>
    <definedName name="QSQWSE" localSheetId="9" hidden="1">{#N/A,#N/A,FALSE,"Plan1";#N/A,#N/A,FALSE,"Plan2"}</definedName>
    <definedName name="QSQWSE" localSheetId="5" hidden="1">{#N/A,#N/A,FALSE,"Plan1";#N/A,#N/A,FALSE,"Plan2"}</definedName>
    <definedName name="QSQWSE" localSheetId="4" hidden="1">{#N/A,#N/A,FALSE,"Plan1";#N/A,#N/A,FALSE,"Plan2"}</definedName>
    <definedName name="QSQWSE" localSheetId="8" hidden="1">{#N/A,#N/A,FALSE,"Plan1";#N/A,#N/A,FALSE,"Plan2"}</definedName>
    <definedName name="QSQWSE" localSheetId="12" hidden="1">{#N/A,#N/A,FALSE,"Plan1";#N/A,#N/A,FALSE,"Plan2"}</definedName>
    <definedName name="QSQWSE" localSheetId="16" hidden="1">{#N/A,#N/A,FALSE,"Plan1";#N/A,#N/A,FALSE,"Plan2"}</definedName>
    <definedName name="QSQWSE" localSheetId="0" hidden="1">{#N/A,#N/A,FALSE,"Plan1";#N/A,#N/A,FALSE,"Plan2"}</definedName>
    <definedName name="QSQWSE" localSheetId="11" hidden="1">{#N/A,#N/A,FALSE,"Plan1";#N/A,#N/A,FALSE,"Plan2"}</definedName>
    <definedName name="QSQWSE" localSheetId="13" hidden="1">{#N/A,#N/A,FALSE,"Plan1";#N/A,#N/A,FALSE,"Plan2"}</definedName>
    <definedName name="QSQWSE" hidden="1">{#N/A,#N/A,FALSE,"Plan1";#N/A,#N/A,FALSE,"Plan2"}</definedName>
    <definedName name="qtd_mensal" localSheetId="2">#REF!</definedName>
    <definedName name="qtd_mensal" localSheetId="5">#REF!</definedName>
    <definedName name="qtd_mensal">#REF!</definedName>
    <definedName name="qtd3esta" localSheetId="2">#REF!</definedName>
    <definedName name="qtd3esta" localSheetId="5">#REF!</definedName>
    <definedName name="qtd3esta">#REF!</definedName>
    <definedName name="qtdbase" localSheetId="2">#REF!</definedName>
    <definedName name="qtdbase" localSheetId="5">#REF!</definedName>
    <definedName name="qtdbase">#REF!</definedName>
    <definedName name="qtdbltub" localSheetId="2">#REF!</definedName>
    <definedName name="qtdbltub" localSheetId="5">#REF!</definedName>
    <definedName name="qtdbltub">#REF!</definedName>
    <definedName name="qtdestac" localSheetId="2">#REF!</definedName>
    <definedName name="qtdestac" localSheetId="5">#REF!</definedName>
    <definedName name="qtdestac">#REF!</definedName>
    <definedName name="qtdsap" localSheetId="2">#REF!</definedName>
    <definedName name="qtdsap" localSheetId="5">#REF!</definedName>
    <definedName name="qtdsap">#REF!</definedName>
    <definedName name="qtdtub" localSheetId="2">#REF!</definedName>
    <definedName name="qtdtub" localSheetId="5">#REF!</definedName>
    <definedName name="qtdtub">#REF!</definedName>
    <definedName name="QTNULO" localSheetId="2">#REF!</definedName>
    <definedName name="QTNULO" localSheetId="5">#REF!</definedName>
    <definedName name="QTNULO">#REF!</definedName>
    <definedName name="QTPADRAO" localSheetId="2">#REF!</definedName>
    <definedName name="QTPADRAO" localSheetId="5">#REF!</definedName>
    <definedName name="QTPADRAO">#REF!</definedName>
    <definedName name="QTRES" localSheetId="2">#REF!</definedName>
    <definedName name="QTRES" localSheetId="5">#REF!</definedName>
    <definedName name="QTRES">#REF!</definedName>
    <definedName name="QuadraE" localSheetId="2">#REF!</definedName>
    <definedName name="QuadraE" localSheetId="5">#REF!</definedName>
    <definedName name="QuadraE" localSheetId="24">#REF!</definedName>
    <definedName name="QuadraE">#REF!</definedName>
    <definedName name="quadrocompar." localSheetId="2">#REF!</definedName>
    <definedName name="quadrocompar." localSheetId="5">#REF!</definedName>
    <definedName name="quadrocompar.">#REF!</definedName>
    <definedName name="QUANT" localSheetId="2">#REF!</definedName>
    <definedName name="QUANT" localSheetId="5">#REF!</definedName>
    <definedName name="QUANT">#REF!</definedName>
    <definedName name="Quant_Aptos" localSheetId="2">#REF!</definedName>
    <definedName name="Quant_Aptos" localSheetId="5">#REF!</definedName>
    <definedName name="Quant_Aptos" localSheetId="0">#REF!</definedName>
    <definedName name="Quant_Aptos">#REF!</definedName>
    <definedName name="Quant_Cremalheira" localSheetId="2">#REF!</definedName>
    <definedName name="Quant_Cremalheira" localSheetId="5">#REF!</definedName>
    <definedName name="Quant_Cremalheira" localSheetId="0">#REF!</definedName>
    <definedName name="Quant_Cremalheira">#REF!</definedName>
    <definedName name="Quant_grua" localSheetId="2">#REF!</definedName>
    <definedName name="Quant_grua" localSheetId="5">#REF!</definedName>
    <definedName name="Quant_grua" localSheetId="0">#REF!</definedName>
    <definedName name="Quant_grua">#REF!</definedName>
    <definedName name="Quant_pav_lajão" localSheetId="2">#REF!</definedName>
    <definedName name="Quant_pav_lajão" localSheetId="5">#REF!</definedName>
    <definedName name="Quant_pav_lajão" localSheetId="0">#REF!</definedName>
    <definedName name="Quant_pav_lajão">#REF!</definedName>
    <definedName name="Quant_tipo" localSheetId="2">#REF!</definedName>
    <definedName name="Quant_tipo" localSheetId="5">#REF!</definedName>
    <definedName name="Quant_tipo" localSheetId="0">#REF!</definedName>
    <definedName name="Quant_tipo">#REF!</definedName>
    <definedName name="Quant_torres" localSheetId="2">#REF!</definedName>
    <definedName name="Quant_torres" localSheetId="5">#REF!</definedName>
    <definedName name="Quant_torres" localSheetId="0">#REF!</definedName>
    <definedName name="Quant_torres">#REF!</definedName>
    <definedName name="Quantidade_Elevadores" localSheetId="2">#REF!</definedName>
    <definedName name="Quantidade_Elevadores" localSheetId="5">#REF!</definedName>
    <definedName name="Quantidade_Elevadores" localSheetId="0">#REF!</definedName>
    <definedName name="Quantidade_Elevadores">#REF!</definedName>
    <definedName name="QUANTP" localSheetId="2">#REF!</definedName>
    <definedName name="QUANTP" localSheetId="5">#REF!</definedName>
    <definedName name="QUANTP">#REF!</definedName>
    <definedName name="QUATRO" localSheetId="2">#REF!</definedName>
    <definedName name="QUATRO" localSheetId="5">#REF!</definedName>
    <definedName name="QUATRO" localSheetId="24">#REF!</definedName>
    <definedName name="QUATRO">#REF!</definedName>
    <definedName name="QUINZE" localSheetId="2">#REF!</definedName>
    <definedName name="QUINZE" localSheetId="5">#REF!</definedName>
    <definedName name="QUINZE" localSheetId="24">#REF!</definedName>
    <definedName name="QUINZE">#REF!</definedName>
    <definedName name="qwdqw" localSheetId="14" hidden="1">{#N/A,#N/A,FALSE,"Plan1";#N/A,#N/A,FALSE,"Plan2"}</definedName>
    <definedName name="qwdqw" localSheetId="7" hidden="1">{#N/A,#N/A,FALSE,"Plan1";#N/A,#N/A,FALSE,"Plan2"}</definedName>
    <definedName name="qwdqw" localSheetId="1" hidden="1">{#N/A,#N/A,FALSE,"Plan1";#N/A,#N/A,FALSE,"Plan2"}</definedName>
    <definedName name="qwdqw" localSheetId="2" hidden="1">{#N/A,#N/A,FALSE,"Plan1";#N/A,#N/A,FALSE,"Plan2"}</definedName>
    <definedName name="qwdqw" localSheetId="9" hidden="1">{#N/A,#N/A,FALSE,"Plan1";#N/A,#N/A,FALSE,"Plan2"}</definedName>
    <definedName name="qwdqw" localSheetId="5" hidden="1">{#N/A,#N/A,FALSE,"Plan1";#N/A,#N/A,FALSE,"Plan2"}</definedName>
    <definedName name="qwdqw" localSheetId="4" hidden="1">{#N/A,#N/A,FALSE,"Plan1";#N/A,#N/A,FALSE,"Plan2"}</definedName>
    <definedName name="qwdqw" localSheetId="8" hidden="1">{#N/A,#N/A,FALSE,"Plan1";#N/A,#N/A,FALSE,"Plan2"}</definedName>
    <definedName name="qwdqw" localSheetId="12" hidden="1">{#N/A,#N/A,FALSE,"Plan1";#N/A,#N/A,FALSE,"Plan2"}</definedName>
    <definedName name="qwdqw" localSheetId="16" hidden="1">{#N/A,#N/A,FALSE,"Plan1";#N/A,#N/A,FALSE,"Plan2"}</definedName>
    <definedName name="qwdqw" localSheetId="0" hidden="1">{#N/A,#N/A,FALSE,"Plan1";#N/A,#N/A,FALSE,"Plan2"}</definedName>
    <definedName name="qwdqw" localSheetId="11" hidden="1">{#N/A,#N/A,FALSE,"Plan1";#N/A,#N/A,FALSE,"Plan2"}</definedName>
    <definedName name="qwdqw" localSheetId="13" hidden="1">{#N/A,#N/A,FALSE,"Plan1";#N/A,#N/A,FALSE,"Plan2"}</definedName>
    <definedName name="qwdqw" hidden="1">{#N/A,#N/A,FALSE,"Plan1";#N/A,#N/A,FALSE,"Plan2"}</definedName>
    <definedName name="qweqwe" localSheetId="14" hidden="1">{#N/A,#N/A,FALSE,"Plan1";#N/A,#N/A,FALSE,"Plan2"}</definedName>
    <definedName name="qweqwe" localSheetId="7" hidden="1">{#N/A,#N/A,FALSE,"Plan1";#N/A,#N/A,FALSE,"Plan2"}</definedName>
    <definedName name="qweqwe" localSheetId="1" hidden="1">{#N/A,#N/A,FALSE,"Plan1";#N/A,#N/A,FALSE,"Plan2"}</definedName>
    <definedName name="qweqwe" localSheetId="2" hidden="1">{#N/A,#N/A,FALSE,"Plan1";#N/A,#N/A,FALSE,"Plan2"}</definedName>
    <definedName name="qweqwe" localSheetId="9" hidden="1">{#N/A,#N/A,FALSE,"Plan1";#N/A,#N/A,FALSE,"Plan2"}</definedName>
    <definedName name="qweqwe" localSheetId="5" hidden="1">{#N/A,#N/A,FALSE,"Plan1";#N/A,#N/A,FALSE,"Plan2"}</definedName>
    <definedName name="qweqwe" localSheetId="4" hidden="1">{#N/A,#N/A,FALSE,"Plan1";#N/A,#N/A,FALSE,"Plan2"}</definedName>
    <definedName name="qweqwe" localSheetId="8" hidden="1">{#N/A,#N/A,FALSE,"Plan1";#N/A,#N/A,FALSE,"Plan2"}</definedName>
    <definedName name="qweqwe" localSheetId="12" hidden="1">{#N/A,#N/A,FALSE,"Plan1";#N/A,#N/A,FALSE,"Plan2"}</definedName>
    <definedName name="qweqwe" localSheetId="16" hidden="1">{#N/A,#N/A,FALSE,"Plan1";#N/A,#N/A,FALSE,"Plan2"}</definedName>
    <definedName name="qweqwe" localSheetId="0" hidden="1">{#N/A,#N/A,FALSE,"Plan1";#N/A,#N/A,FALSE,"Plan2"}</definedName>
    <definedName name="qweqwe" localSheetId="11" hidden="1">{#N/A,#N/A,FALSE,"Plan1";#N/A,#N/A,FALSE,"Plan2"}</definedName>
    <definedName name="qweqwe" localSheetId="13" hidden="1">{#N/A,#N/A,FALSE,"Plan1";#N/A,#N/A,FALSE,"Plan2"}</definedName>
    <definedName name="qweqwe" hidden="1">{#N/A,#N/A,FALSE,"Plan1";#N/A,#N/A,FALSE,"Plan2"}</definedName>
    <definedName name="qweqwe4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2" hidden="1">#REF!</definedName>
    <definedName name="qwewqe" localSheetId="5" hidden="1">#REF!</definedName>
    <definedName name="qwewqe" localSheetId="0" hidden="1">#REF!</definedName>
    <definedName name="qwewqe" hidden="1">#REF!</definedName>
    <definedName name="qwqw" localSheetId="0" hidden="1">#REF!</definedName>
    <definedName name="qwqw" hidden="1">#REF!</definedName>
    <definedName name="R.imobAtualiz" localSheetId="2">#REF!</definedName>
    <definedName name="R.imobAtualiz" localSheetId="5">#REF!</definedName>
    <definedName name="R.imobAtualiz">#REF!</definedName>
    <definedName name="R_CorretAtualiz" localSheetId="2">#REF!</definedName>
    <definedName name="R_CorretAtualiz" localSheetId="5">#REF!</definedName>
    <definedName name="R_CorretAtualiz">#REF!</definedName>
    <definedName name="R_G.Cobr.Atualiz" localSheetId="2">#REF!</definedName>
    <definedName name="R_G.Cobr.Atualiz" localSheetId="5">#REF!</definedName>
    <definedName name="R_G.Cobr.Atualiz">#REF!</definedName>
    <definedName name="R_PmaisJAtualiz" localSheetId="2">#REF!</definedName>
    <definedName name="R_PmaisJAtualiz" localSheetId="5">#REF!</definedName>
    <definedName name="R_PmaisJAtualiz">#REF!</definedName>
    <definedName name="R_Prev.PerdaAtualiz" localSheetId="2">#REF!</definedName>
    <definedName name="R_Prev.PerdaAtualiz" localSheetId="5">#REF!</definedName>
    <definedName name="R_Prev.PerdaAtualiz">#REF!</definedName>
    <definedName name="RADIO" localSheetId="14" hidden="1">{"HW",#N/A,FALSE,"1998"}</definedName>
    <definedName name="RADIO" localSheetId="7" hidden="1">{"HW",#N/A,FALSE,"1998"}</definedName>
    <definedName name="RADIO" localSheetId="1" hidden="1">{"HW",#N/A,FALSE,"1998"}</definedName>
    <definedName name="RADIO" localSheetId="2" hidden="1">{"HW",#N/A,FALSE,"1998"}</definedName>
    <definedName name="RADIO" localSheetId="9" hidden="1">{"HW",#N/A,FALSE,"1998"}</definedName>
    <definedName name="RADIO" localSheetId="5" hidden="1">{"HW",#N/A,FALSE,"1998"}</definedName>
    <definedName name="RADIO" localSheetId="4" hidden="1">{"HW",#N/A,FALSE,"1998"}</definedName>
    <definedName name="RADIO" localSheetId="8" hidden="1">{"HW",#N/A,FALSE,"1998"}</definedName>
    <definedName name="RADIO" localSheetId="12" hidden="1">{"HW",#N/A,FALSE,"1998"}</definedName>
    <definedName name="RADIO" localSheetId="16" hidden="1">{"HW",#N/A,FALSE,"1998"}</definedName>
    <definedName name="RADIO" localSheetId="0" hidden="1">{"HW",#N/A,FALSE,"1998"}</definedName>
    <definedName name="RADIO" localSheetId="11" hidden="1">{"HW",#N/A,FALSE,"1998"}</definedName>
    <definedName name="RADIO" localSheetId="13" hidden="1">{"HW",#N/A,FALSE,"1998"}</definedName>
    <definedName name="RADIO" hidden="1">{"HW",#N/A,FALSE,"1998"}</definedName>
    <definedName name="RANGE" localSheetId="2">#REF!</definedName>
    <definedName name="RANGE" localSheetId="5">#REF!</definedName>
    <definedName name="RANGE">#REF!</definedName>
    <definedName name="RANGE1" localSheetId="2">#REF!</definedName>
    <definedName name="RANGE1" localSheetId="5">#REF!</definedName>
    <definedName name="RANGE1">#REF!</definedName>
    <definedName name="RANGE2" localSheetId="2">#REF!</definedName>
    <definedName name="RANGE2" localSheetId="5">#REF!</definedName>
    <definedName name="RANGE2">#REF!</definedName>
    <definedName name="RARQIMP" localSheetId="2">#REF!</definedName>
    <definedName name="RARQIMP" localSheetId="5">#REF!</definedName>
    <definedName name="RARQIMP">#REF!</definedName>
    <definedName name="RawData" localSheetId="2">#REF!</definedName>
    <definedName name="RawData" localSheetId="5">#REF!</definedName>
    <definedName name="RawData">#REF!</definedName>
    <definedName name="RE" localSheetId="2">#REF!</definedName>
    <definedName name="RE" localSheetId="5">#REF!</definedName>
    <definedName name="RE">#REF!</definedName>
    <definedName name="RECADUC" localSheetId="2">#REF!</definedName>
    <definedName name="RECADUC" localSheetId="5">#REF!</definedName>
    <definedName name="RECADUC">#REF!</definedName>
    <definedName name="Recebido_Acumulado_2015_Controladoria" localSheetId="2">#REF!</definedName>
    <definedName name="Recebido_Acumulado_2015_Controladoria" localSheetId="5">#REF!</definedName>
    <definedName name="Recebido_Acumulado_2015_Controladoria">#REF!</definedName>
    <definedName name="RE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4">#REF!</definedName>
    <definedName name="reforsu" localSheetId="2">#REF!</definedName>
    <definedName name="reforsu" localSheetId="5">#REF!</definedName>
    <definedName name="reforsu" localSheetId="15">#REF!</definedName>
    <definedName name="reforsu" localSheetId="12">#REF!</definedName>
    <definedName name="reforsu" localSheetId="0">#REF!</definedName>
    <definedName name="reforsu">#REF!</definedName>
    <definedName name="REL_RJ" localSheetId="2">#REF!</definedName>
    <definedName name="REL_RJ" localSheetId="5">#REF!</definedName>
    <definedName name="REL_RJ">#REF!</definedName>
    <definedName name="REL_SP" localSheetId="2">#REF!</definedName>
    <definedName name="REL_SP" localSheetId="5">#REF!</definedName>
    <definedName name="REL_SP">#REF!</definedName>
    <definedName name="relat3" localSheetId="2">#REF!</definedName>
    <definedName name="relat3" localSheetId="5">#REF!</definedName>
    <definedName name="relat3">#REF!</definedName>
    <definedName name="ren" localSheetId="14">#REF!</definedName>
    <definedName name="ren" localSheetId="2">#REF!</definedName>
    <definedName name="ren" localSheetId="5">#REF!</definedName>
    <definedName name="ren" localSheetId="15">#REF!</definedName>
    <definedName name="ren" localSheetId="12">#REF!</definedName>
    <definedName name="ren" localSheetId="0">#REF!</definedName>
    <definedName name="ren">#REF!</definedName>
    <definedName name="REPETIÇÃO" localSheetId="2">#REF!</definedName>
    <definedName name="REPETIÇÃO" localSheetId="5">#REF!</definedName>
    <definedName name="REPETIÇÃO" localSheetId="24">#REF!</definedName>
    <definedName name="REPETIÇÃO" localSheetId="23">#REF!</definedName>
    <definedName name="REPETIÇÃO">#REF!</definedName>
    <definedName name="ReqC" localSheetId="2">#REF!</definedName>
    <definedName name="ReqC" localSheetId="5">#REF!</definedName>
    <definedName name="ReqC">#REF!</definedName>
    <definedName name="Responsável_Rel_Controladoria" localSheetId="2">#REF!</definedName>
    <definedName name="Responsável_Rel_Controladoria" localSheetId="5">#REF!</definedName>
    <definedName name="Responsável_Rel_Controladoria">#REF!</definedName>
    <definedName name="resum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2">#REF!</definedName>
    <definedName name="RESUMO" localSheetId="5">#REF!</definedName>
    <definedName name="RESUMO">#REF!</definedName>
    <definedName name="RESUMO2" localSheetId="14" hidden="1">{#N/A,#N/A,TRUE,"Quinzena 01 à 15-04-98 "}</definedName>
    <definedName name="RESUMO2" localSheetId="7" hidden="1">{#N/A,#N/A,TRUE,"Quinzena 01 à 15-04-98 "}</definedName>
    <definedName name="RESUMO2" localSheetId="1" hidden="1">{#N/A,#N/A,TRUE,"Quinzena 01 à 15-04-98 "}</definedName>
    <definedName name="RESUMO2" localSheetId="2" hidden="1">{#N/A,#N/A,TRUE,"Quinzena 01 à 15-04-98 "}</definedName>
    <definedName name="RESUMO2" localSheetId="9" hidden="1">{#N/A,#N/A,TRUE,"Quinzena 01 à 15-04-98 "}</definedName>
    <definedName name="RESUMO2" localSheetId="5" hidden="1">{#N/A,#N/A,TRUE,"Quinzena 01 à 15-04-98 "}</definedName>
    <definedName name="RESUMO2" localSheetId="4" hidden="1">{#N/A,#N/A,TRUE,"Quinzena 01 à 15-04-98 "}</definedName>
    <definedName name="RESUMO2" localSheetId="8" hidden="1">{#N/A,#N/A,TRUE,"Quinzena 01 à 15-04-98 "}</definedName>
    <definedName name="RESUMO2" localSheetId="12" hidden="1">{#N/A,#N/A,TRUE,"Quinzena 01 à 15-04-98 "}</definedName>
    <definedName name="RESUMO2" localSheetId="16" hidden="1">{#N/A,#N/A,TRUE,"Quinzena 01 à 15-04-98 "}</definedName>
    <definedName name="RESUMO2" localSheetId="0" hidden="1">{#N/A,#N/A,TRUE,"Quinzena 01 à 15-04-98 "}</definedName>
    <definedName name="RESUMO2" localSheetId="11" hidden="1">{#N/A,#N/A,TRUE,"Quinzena 01 à 15-04-98 "}</definedName>
    <definedName name="RESUMO2" localSheetId="13" hidden="1">{#N/A,#N/A,TRUE,"Quinzena 01 à 15-04-98 "}</definedName>
    <definedName name="RESUMO2" hidden="1">{#N/A,#N/A,TRUE,"Quinzena 01 à 15-04-98 "}</definedName>
    <definedName name="REV" localSheetId="14">#REF!</definedName>
    <definedName name="REV" localSheetId="2">#REF!</definedName>
    <definedName name="REV" localSheetId="5">#REF!</definedName>
    <definedName name="REV" localSheetId="15">#REF!</definedName>
    <definedName name="REV" localSheetId="12">#REF!</definedName>
    <definedName name="REV" localSheetId="0">#REF!</definedName>
    <definedName name="REV">#REF!</definedName>
    <definedName name="RF" localSheetId="14" hidden="1">{#N/A,#N/A,FALSE,"CCTV"}</definedName>
    <definedName name="RF" localSheetId="7" hidden="1">{#N/A,#N/A,FALSE,"CCTV"}</definedName>
    <definedName name="RF" localSheetId="1" hidden="1">{#N/A,#N/A,FALSE,"CCTV"}</definedName>
    <definedName name="RF" localSheetId="2" hidden="1">{#N/A,#N/A,FALSE,"CCTV"}</definedName>
    <definedName name="RF" localSheetId="9" hidden="1">{#N/A,#N/A,FALSE,"CCTV"}</definedName>
    <definedName name="RF" localSheetId="5" hidden="1">{#N/A,#N/A,FALSE,"CCTV"}</definedName>
    <definedName name="RF" localSheetId="4" hidden="1">{#N/A,#N/A,FALSE,"CCTV"}</definedName>
    <definedName name="RF" localSheetId="8" hidden="1">{#N/A,#N/A,FALSE,"CCTV"}</definedName>
    <definedName name="RF" localSheetId="12" hidden="1">{#N/A,#N/A,FALSE,"CCTV"}</definedName>
    <definedName name="RF" localSheetId="16" hidden="1">{#N/A,#N/A,FALSE,"CCTV"}</definedName>
    <definedName name="RF" localSheetId="0" hidden="1">{#N/A,#N/A,FALSE,"CCTV"}</definedName>
    <definedName name="RF" localSheetId="11" hidden="1">{#N/A,#N/A,FALSE,"CCTV"}</definedName>
    <definedName name="RF" localSheetId="13" hidden="1">{#N/A,#N/A,FALSE,"CCTV"}</definedName>
    <definedName name="RF" hidden="1">{#N/A,#N/A,FALSE,"CCTV"}</definedName>
    <definedName name="rgedrfrgfdg" localSheetId="14" hidden="1">{#N/A,#N/A,FALSE,"Plan1";#N/A,#N/A,FALSE,"Plan2"}</definedName>
    <definedName name="rgedrfrgfdg" localSheetId="7" hidden="1">{#N/A,#N/A,FALSE,"Plan1";#N/A,#N/A,FALSE,"Plan2"}</definedName>
    <definedName name="rgedrfrgfdg" localSheetId="1" hidden="1">{#N/A,#N/A,FALSE,"Plan1";#N/A,#N/A,FALSE,"Plan2"}</definedName>
    <definedName name="rgedrfrgfdg" localSheetId="2" hidden="1">{#N/A,#N/A,FALSE,"Plan1";#N/A,#N/A,FALSE,"Plan2"}</definedName>
    <definedName name="rgedrfrgfdg" localSheetId="9" hidden="1">{#N/A,#N/A,FALSE,"Plan1";#N/A,#N/A,FALSE,"Plan2"}</definedName>
    <definedName name="rgedrfrgfdg" localSheetId="5" hidden="1">{#N/A,#N/A,FALSE,"Plan1";#N/A,#N/A,FALSE,"Plan2"}</definedName>
    <definedName name="rgedrfrgfdg" localSheetId="4" hidden="1">{#N/A,#N/A,FALSE,"Plan1";#N/A,#N/A,FALSE,"Plan2"}</definedName>
    <definedName name="rgedrfrgfdg" localSheetId="8" hidden="1">{#N/A,#N/A,FALSE,"Plan1";#N/A,#N/A,FALSE,"Plan2"}</definedName>
    <definedName name="rgedrfrgfdg" localSheetId="12" hidden="1">{#N/A,#N/A,FALSE,"Plan1";#N/A,#N/A,FALSE,"Plan2"}</definedName>
    <definedName name="rgedrfrgfdg" localSheetId="16" hidden="1">{#N/A,#N/A,FALSE,"Plan1";#N/A,#N/A,FALSE,"Plan2"}</definedName>
    <definedName name="rgedrfrgfdg" localSheetId="0" hidden="1">{#N/A,#N/A,FALSE,"Plan1";#N/A,#N/A,FALSE,"Plan2"}</definedName>
    <definedName name="rgedrfrgfdg" localSheetId="11" hidden="1">{#N/A,#N/A,FALSE,"Plan1";#N/A,#N/A,FALSE,"Plan2"}</definedName>
    <definedName name="rgedrfrgfdg" localSheetId="13" hidden="1">{#N/A,#N/A,FALSE,"Plan1";#N/A,#N/A,FALSE,"Plan2"}</definedName>
    <definedName name="rgedrfrgfdg" hidden="1">{#N/A,#N/A,FALSE,"Plan1";#N/A,#N/A,FALSE,"Plan2"}</definedName>
    <definedName name="rhdrmq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2">#REF!</definedName>
    <definedName name="RI" localSheetId="5">#REF!</definedName>
    <definedName name="RI">#REF!</definedName>
    <definedName name="ridbeb" localSheetId="2">#REF!</definedName>
    <definedName name="ridbeb" localSheetId="5">#REF!</definedName>
    <definedName name="ridbeb">#REF!</definedName>
    <definedName name="RIDCHAF" localSheetId="2">#REF!</definedName>
    <definedName name="RIDCHAF" localSheetId="5">#REF!</definedName>
    <definedName name="RIDCHAF">#REF!</definedName>
    <definedName name="ridres05" localSheetId="2">#REF!</definedName>
    <definedName name="ridres05" localSheetId="5">#REF!</definedName>
    <definedName name="ridres05">#REF!</definedName>
    <definedName name="RIDRES10" localSheetId="2">#REF!</definedName>
    <definedName name="RIDRES10" localSheetId="5">#REF!</definedName>
    <definedName name="RIDRES10">#REF!</definedName>
    <definedName name="RIDRES15" localSheetId="2">#REF!</definedName>
    <definedName name="RIDRES15" localSheetId="5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2">#REF!</definedName>
    <definedName name="RO" localSheetId="5">#REF!</definedName>
    <definedName name="RO">#REF!</definedName>
    <definedName name="Rodapé" localSheetId="2">#REF!</definedName>
    <definedName name="Rodapé" localSheetId="5">#REF!</definedName>
    <definedName name="Rodapé">#REF!</definedName>
    <definedName name="RODAPÉS" localSheetId="2">#REF!</definedName>
    <definedName name="RODAPÉS" localSheetId="5">#REF!</definedName>
    <definedName name="RODAPÉS">#REF!</definedName>
    <definedName name="ROMANO" localSheetId="2">#REF!</definedName>
    <definedName name="ROMANO" localSheetId="5">#REF!</definedName>
    <definedName name="ROMANO">#REF!</definedName>
    <definedName name="ROTCOMP" localSheetId="2">#REF!</definedName>
    <definedName name="ROTCOMP" localSheetId="5">#REF!</definedName>
    <definedName name="ROTCOMP">#REF!</definedName>
    <definedName name="ROTIMP" localSheetId="2">#REF!</definedName>
    <definedName name="ROTIMP" localSheetId="5">#REF!</definedName>
    <definedName name="ROTIMP">#REF!</definedName>
    <definedName name="ROTRES" localSheetId="2">#REF!</definedName>
    <definedName name="ROTRES" localSheetId="5">#REF!</definedName>
    <definedName name="ROTRES">#REF!</definedName>
    <definedName name="RQTADUC" localSheetId="2">#REF!</definedName>
    <definedName name="RQTADUC" localSheetId="5">#REF!</definedName>
    <definedName name="RQTADUC">#REF!</definedName>
    <definedName name="rqtbeb" localSheetId="2">#REF!</definedName>
    <definedName name="rqtbeb" localSheetId="5">#REF!</definedName>
    <definedName name="rqtbeb">#REF!</definedName>
    <definedName name="RQTCHAF" localSheetId="2">#REF!</definedName>
    <definedName name="RQTCHAF" localSheetId="5">#REF!</definedName>
    <definedName name="RQTCHAF">#REF!</definedName>
    <definedName name="RQTDERV" localSheetId="2">#REF!</definedName>
    <definedName name="RQTDERV" localSheetId="5">#REF!</definedName>
    <definedName name="RQTDERV">#REF!</definedName>
    <definedName name="rres05" localSheetId="2">#REF!</definedName>
    <definedName name="rres05" localSheetId="5">#REF!</definedName>
    <definedName name="rres05">#REF!</definedName>
    <definedName name="RRES10" localSheetId="2">#REF!</definedName>
    <definedName name="RRES10" localSheetId="5">#REF!</definedName>
    <definedName name="RRES10">#REF!</definedName>
    <definedName name="RRES15" localSheetId="2">#REF!</definedName>
    <definedName name="RRES15" localSheetId="5">#REF!</definedName>
    <definedName name="RRES15">#REF!</definedName>
    <definedName name="RRES20" localSheetId="2">#REF!</definedName>
    <definedName name="RRES20" localSheetId="5">#REF!</definedName>
    <definedName name="RRES20">#REF!</definedName>
    <definedName name="RRR" localSheetId="2" hidden="1">#REF!</definedName>
    <definedName name="RRR" localSheetId="0" hidden="1">#REF!</definedName>
    <definedName name="RRR" hidden="1">#REF!</definedName>
    <definedName name="rrrrr" localSheetId="14" hidden="1">{"'장비'!$A$3:$M$12"}</definedName>
    <definedName name="rrrrr" localSheetId="7" hidden="1">{"'장비'!$A$3:$M$12"}</definedName>
    <definedName name="rrrrr" localSheetId="1" hidden="1">{"'장비'!$A$3:$M$12"}</definedName>
    <definedName name="rrrrr" localSheetId="2" hidden="1">{"'장비'!$A$3:$M$12"}</definedName>
    <definedName name="rrrrr" localSheetId="9" hidden="1">{"'장비'!$A$3:$M$12"}</definedName>
    <definedName name="rrrrr" localSheetId="5" hidden="1">{"'장비'!$A$3:$M$12"}</definedName>
    <definedName name="rrrrr" localSheetId="4" hidden="1">{"'장비'!$A$3:$M$12"}</definedName>
    <definedName name="rrrrr" localSheetId="8" hidden="1">{"'장비'!$A$3:$M$12"}</definedName>
    <definedName name="rrrrr" localSheetId="12" hidden="1">{"'장비'!$A$3:$M$12"}</definedName>
    <definedName name="rrrrr" localSheetId="16" hidden="1">{"'장비'!$A$3:$M$12"}</definedName>
    <definedName name="rrrrr" localSheetId="0" hidden="1">{"'장비'!$A$3:$M$12"}</definedName>
    <definedName name="rrrrr" localSheetId="11" hidden="1">{"'장비'!$A$3:$M$12"}</definedName>
    <definedName name="rrrrr" localSheetId="13" hidden="1">{"'장비'!$A$3:$M$12"}</definedName>
    <definedName name="rrrrr" hidden="1">{"'장비'!$A$3:$M$12"}</definedName>
    <definedName name="rrrrrrrr" localSheetId="14" hidden="1">{"'장비'!$A$3:$M$12"}</definedName>
    <definedName name="rrrrrrrr" localSheetId="7" hidden="1">{"'장비'!$A$3:$M$12"}</definedName>
    <definedName name="rrrrrrrr" localSheetId="1" hidden="1">{"'장비'!$A$3:$M$12"}</definedName>
    <definedName name="rrrrrrrr" localSheetId="2" hidden="1">{"'장비'!$A$3:$M$12"}</definedName>
    <definedName name="rrrrrrrr" localSheetId="9" hidden="1">{"'장비'!$A$3:$M$12"}</definedName>
    <definedName name="rrrrrrrr" localSheetId="5" hidden="1">{"'장비'!$A$3:$M$12"}</definedName>
    <definedName name="rrrrrrrr" localSheetId="4" hidden="1">{"'장비'!$A$3:$M$12"}</definedName>
    <definedName name="rrrrrrrr" localSheetId="8" hidden="1">{"'장비'!$A$3:$M$12"}</definedName>
    <definedName name="rrrrrrrr" localSheetId="12" hidden="1">{"'장비'!$A$3:$M$12"}</definedName>
    <definedName name="rrrrrrrr" localSheetId="16" hidden="1">{"'장비'!$A$3:$M$12"}</definedName>
    <definedName name="rrrrrrrr" localSheetId="0" hidden="1">{"'장비'!$A$3:$M$12"}</definedName>
    <definedName name="rrrrrrrr" localSheetId="11" hidden="1">{"'장비'!$A$3:$M$12"}</definedName>
    <definedName name="rrrrrrrr" localSheetId="13" hidden="1">{"'장비'!$A$3:$M$12"}</definedName>
    <definedName name="rrrrrrrr" hidden="1">{"'장비'!$A$3:$M$12"}</definedName>
    <definedName name="rrrrrrrrrrr" localSheetId="14" hidden="1">{#N/A,#N/A,TRUE,"Quinzena 01 à 15-04-98 "}</definedName>
    <definedName name="rrrrrrrrrrr" localSheetId="7" hidden="1">{#N/A,#N/A,TRUE,"Quinzena 01 à 15-04-98 "}</definedName>
    <definedName name="rrrrrrrrrrr" localSheetId="1" hidden="1">{#N/A,#N/A,TRUE,"Quinzena 01 à 15-04-98 "}</definedName>
    <definedName name="rrrrrrrrrrr" localSheetId="2" hidden="1">{#N/A,#N/A,TRUE,"Quinzena 01 à 15-04-98 "}</definedName>
    <definedName name="rrrrrrrrrrr" localSheetId="9" hidden="1">{#N/A,#N/A,TRUE,"Quinzena 01 à 15-04-98 "}</definedName>
    <definedName name="rrrrrrrrrrr" localSheetId="5" hidden="1">{#N/A,#N/A,TRUE,"Quinzena 01 à 15-04-98 "}</definedName>
    <definedName name="rrrrrrrrrrr" localSheetId="4" hidden="1">{#N/A,#N/A,TRUE,"Quinzena 01 à 15-04-98 "}</definedName>
    <definedName name="rrrrrrrrrrr" localSheetId="8" hidden="1">{#N/A,#N/A,TRUE,"Quinzena 01 à 15-04-98 "}</definedName>
    <definedName name="rrrrrrrrrrr" localSheetId="12" hidden="1">{#N/A,#N/A,TRUE,"Quinzena 01 à 15-04-98 "}</definedName>
    <definedName name="rrrrrrrrrrr" localSheetId="16" hidden="1">{#N/A,#N/A,TRUE,"Quinzena 01 à 15-04-98 "}</definedName>
    <definedName name="rrrrrrrrrrr" localSheetId="0" hidden="1">{#N/A,#N/A,TRUE,"Quinzena 01 à 15-04-98 "}</definedName>
    <definedName name="rrrrrrrrrrr" localSheetId="11" hidden="1">{#N/A,#N/A,TRUE,"Quinzena 01 à 15-04-98 "}</definedName>
    <definedName name="rrrrrrrrrrr" localSheetId="13" hidden="1">{#N/A,#N/A,TRUE,"Quinzena 01 à 15-04-98 "}</definedName>
    <definedName name="rrrrrrrrrrr" hidden="1">{#N/A,#N/A,TRUE,"Quinzena 01 à 15-04-98 "}</definedName>
    <definedName name="RSEQ" localSheetId="2">#REF!</definedName>
    <definedName name="RSEQ" localSheetId="5">#REF!</definedName>
    <definedName name="RSEQ">#REF!</definedName>
    <definedName name="RSUBTOT" localSheetId="2">#REF!</definedName>
    <definedName name="RSUBTOT" localSheetId="5">#REF!</definedName>
    <definedName name="RSUBTOT">#REF!</definedName>
    <definedName name="rtitbeb" localSheetId="2">#REF!</definedName>
    <definedName name="rtitbeb" localSheetId="5">#REF!</definedName>
    <definedName name="rtitbeb">#REF!</definedName>
    <definedName name="RTITCHAF" localSheetId="2">#REF!</definedName>
    <definedName name="RTITCHAF" localSheetId="5">#REF!</definedName>
    <definedName name="RTITCHAF">#REF!</definedName>
    <definedName name="rtubos" localSheetId="2">#REF!</definedName>
    <definedName name="rtubos" localSheetId="5">#REF!</definedName>
    <definedName name="rtubos">#REF!</definedName>
    <definedName name="RTYE" localSheetId="14" hidden="1">{"'장비'!$A$3:$M$12"}</definedName>
    <definedName name="RTYE" localSheetId="7" hidden="1">{"'장비'!$A$3:$M$12"}</definedName>
    <definedName name="RTYE" localSheetId="1" hidden="1">{"'장비'!$A$3:$M$12"}</definedName>
    <definedName name="RTYE" localSheetId="2" hidden="1">{"'장비'!$A$3:$M$12"}</definedName>
    <definedName name="RTYE" localSheetId="9" hidden="1">{"'장비'!$A$3:$M$12"}</definedName>
    <definedName name="RTYE" localSheetId="5" hidden="1">{"'장비'!$A$3:$M$12"}</definedName>
    <definedName name="RTYE" localSheetId="4" hidden="1">{"'장비'!$A$3:$M$12"}</definedName>
    <definedName name="RTYE" localSheetId="8" hidden="1">{"'장비'!$A$3:$M$12"}</definedName>
    <definedName name="RTYE" localSheetId="12" hidden="1">{"'장비'!$A$3:$M$12"}</definedName>
    <definedName name="RTYE" localSheetId="16" hidden="1">{"'장비'!$A$3:$M$12"}</definedName>
    <definedName name="RTYE" localSheetId="0" hidden="1">{"'장비'!$A$3:$M$12"}</definedName>
    <definedName name="RTYE" localSheetId="11" hidden="1">{"'장비'!$A$3:$M$12"}</definedName>
    <definedName name="RTYE" localSheetId="13" hidden="1">{"'장비'!$A$3:$M$12"}</definedName>
    <definedName name="RTYE" hidden="1">{"'장비'!$A$3:$M$12"}</definedName>
    <definedName name="s" localSheetId="2">#REF!</definedName>
    <definedName name="s" localSheetId="5">#REF!</definedName>
    <definedName name="s">#REF!</definedName>
    <definedName name="sa" localSheetId="14">#REF!</definedName>
    <definedName name="sa" localSheetId="7">#REF!</definedName>
    <definedName name="s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9">#REF!</definedName>
    <definedName name="sa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5">#REF!</definedName>
    <definedName name="sa" localSheetId="8">#REF!</definedName>
    <definedName name="sa" localSheetId="12">#REF!</definedName>
    <definedName name="sa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4" hidden="1">{#N/A,#N/A,FALSE,"Plan1";#N/A,#N/A,FALSE,"Plan2"}</definedName>
    <definedName name="sadasd" localSheetId="7" hidden="1">{#N/A,#N/A,FALSE,"Plan1";#N/A,#N/A,FALSE,"Plan2"}</definedName>
    <definedName name="sadasd" localSheetId="1" hidden="1">{#N/A,#N/A,FALSE,"Plan1";#N/A,#N/A,FALSE,"Plan2"}</definedName>
    <definedName name="sadasd" localSheetId="2" hidden="1">{#N/A,#N/A,FALSE,"Plan1";#N/A,#N/A,FALSE,"Plan2"}</definedName>
    <definedName name="sadasd" localSheetId="9" hidden="1">{#N/A,#N/A,FALSE,"Plan1";#N/A,#N/A,FALSE,"Plan2"}</definedName>
    <definedName name="sadasd" localSheetId="5" hidden="1">{#N/A,#N/A,FALSE,"Plan1";#N/A,#N/A,FALSE,"Plan2"}</definedName>
    <definedName name="sadasd" localSheetId="4" hidden="1">{#N/A,#N/A,FALSE,"Plan1";#N/A,#N/A,FALSE,"Plan2"}</definedName>
    <definedName name="sadasd" localSheetId="8" hidden="1">{#N/A,#N/A,FALSE,"Plan1";#N/A,#N/A,FALSE,"Plan2"}</definedName>
    <definedName name="sadasd" localSheetId="12" hidden="1">{#N/A,#N/A,FALSE,"Plan1";#N/A,#N/A,FALSE,"Plan2"}</definedName>
    <definedName name="sadasd" localSheetId="16" hidden="1">{#N/A,#N/A,FALSE,"Plan1";#N/A,#N/A,FALSE,"Plan2"}</definedName>
    <definedName name="sadasd" localSheetId="0" hidden="1">{#N/A,#N/A,FALSE,"Plan1";#N/A,#N/A,FALSE,"Plan2"}</definedName>
    <definedName name="sadasd" localSheetId="11" hidden="1">{#N/A,#N/A,FALSE,"Plan1";#N/A,#N/A,FALSE,"Plan2"}</definedName>
    <definedName name="sadasd" localSheetId="13" hidden="1">{#N/A,#N/A,FALSE,"Plan1";#N/A,#N/A,FALSE,"Plan2"}</definedName>
    <definedName name="sadasd" hidden="1">{#N/A,#N/A,FALSE,"Plan1";#N/A,#N/A,FALSE,"Plan2"}</definedName>
    <definedName name="sadke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4" hidden="1">{#N/A,#N/A,FALSE,"Plan1";#N/A,#N/A,FALSE,"Plan2"}</definedName>
    <definedName name="sadkrjkedft" localSheetId="7" hidden="1">{#N/A,#N/A,FALSE,"Plan1";#N/A,#N/A,FALSE,"Plan2"}</definedName>
    <definedName name="sadkrjkedft" localSheetId="1" hidden="1">{#N/A,#N/A,FALSE,"Plan1";#N/A,#N/A,FALSE,"Plan2"}</definedName>
    <definedName name="sadkrjkedft" localSheetId="2" hidden="1">{#N/A,#N/A,FALSE,"Plan1";#N/A,#N/A,FALSE,"Plan2"}</definedName>
    <definedName name="sadkrjkedft" localSheetId="9" hidden="1">{#N/A,#N/A,FALSE,"Plan1";#N/A,#N/A,FALSE,"Plan2"}</definedName>
    <definedName name="sadkrjkedft" localSheetId="5" hidden="1">{#N/A,#N/A,FALSE,"Plan1";#N/A,#N/A,FALSE,"Plan2"}</definedName>
    <definedName name="sadkrjkedft" localSheetId="4" hidden="1">{#N/A,#N/A,FALSE,"Plan1";#N/A,#N/A,FALSE,"Plan2"}</definedName>
    <definedName name="sadkrjkedft" localSheetId="8" hidden="1">{#N/A,#N/A,FALSE,"Plan1";#N/A,#N/A,FALSE,"Plan2"}</definedName>
    <definedName name="sadkrjkedft" localSheetId="12" hidden="1">{#N/A,#N/A,FALSE,"Plan1";#N/A,#N/A,FALSE,"Plan2"}</definedName>
    <definedName name="sadkrjkedft" localSheetId="16" hidden="1">{#N/A,#N/A,FALSE,"Plan1";#N/A,#N/A,FALSE,"Plan2"}</definedName>
    <definedName name="sadkrjkedft" localSheetId="0" hidden="1">{#N/A,#N/A,FALSE,"Plan1";#N/A,#N/A,FALSE,"Plan2"}</definedName>
    <definedName name="sadkrjkedft" localSheetId="11" hidden="1">{#N/A,#N/A,FALSE,"Plan1";#N/A,#N/A,FALSE,"Plan2"}</definedName>
    <definedName name="sadkrjkedft" localSheetId="13" hidden="1">{#N/A,#N/A,FALSE,"Plan1";#N/A,#N/A,FALSE,"Plan2"}</definedName>
    <definedName name="sadkrjkedft" hidden="1">{#N/A,#N/A,FALSE,"Plan1";#N/A,#N/A,FALSE,"Plan2"}</definedName>
    <definedName name="SADSRTR" localSheetId="14" hidden="1">{#N/A,#N/A,FALSE,"Plan1";#N/A,#N/A,FALSE,"Plan2"}</definedName>
    <definedName name="SADSRTR" localSheetId="7" hidden="1">{#N/A,#N/A,FALSE,"Plan1";#N/A,#N/A,FALSE,"Plan2"}</definedName>
    <definedName name="SADSRTR" localSheetId="1" hidden="1">{#N/A,#N/A,FALSE,"Plan1";#N/A,#N/A,FALSE,"Plan2"}</definedName>
    <definedName name="SADSRTR" localSheetId="2" hidden="1">{#N/A,#N/A,FALSE,"Plan1";#N/A,#N/A,FALSE,"Plan2"}</definedName>
    <definedName name="SADSRTR" localSheetId="9" hidden="1">{#N/A,#N/A,FALSE,"Plan1";#N/A,#N/A,FALSE,"Plan2"}</definedName>
    <definedName name="SADSRTR" localSheetId="5" hidden="1">{#N/A,#N/A,FALSE,"Plan1";#N/A,#N/A,FALSE,"Plan2"}</definedName>
    <definedName name="SADSRTR" localSheetId="4" hidden="1">{#N/A,#N/A,FALSE,"Plan1";#N/A,#N/A,FALSE,"Plan2"}</definedName>
    <definedName name="SADSRTR" localSheetId="8" hidden="1">{#N/A,#N/A,FALSE,"Plan1";#N/A,#N/A,FALSE,"Plan2"}</definedName>
    <definedName name="SADSRTR" localSheetId="12" hidden="1">{#N/A,#N/A,FALSE,"Plan1";#N/A,#N/A,FALSE,"Plan2"}</definedName>
    <definedName name="SADSRTR" localSheetId="16" hidden="1">{#N/A,#N/A,FALSE,"Plan1";#N/A,#N/A,FALSE,"Plan2"}</definedName>
    <definedName name="SADSRTR" localSheetId="0" hidden="1">{#N/A,#N/A,FALSE,"Plan1";#N/A,#N/A,FALSE,"Plan2"}</definedName>
    <definedName name="SADSRTR" localSheetId="11" hidden="1">{#N/A,#N/A,FALSE,"Plan1";#N/A,#N/A,FALSE,"Plan2"}</definedName>
    <definedName name="SADSRTR" localSheetId="13" hidden="1">{#N/A,#N/A,FALSE,"Plan1";#N/A,#N/A,FALSE,"Plan2"}</definedName>
    <definedName name="SADSRTR" hidden="1">{#N/A,#N/A,FALSE,"Plan1";#N/A,#N/A,FALSE,"Plan2"}</definedName>
    <definedName name="sadwde" localSheetId="14" hidden="1">{#N/A,#N/A,FALSE,"Plan1";#N/A,#N/A,FALSE,"Plan2"}</definedName>
    <definedName name="sadwde" localSheetId="7" hidden="1">{#N/A,#N/A,FALSE,"Plan1";#N/A,#N/A,FALSE,"Plan2"}</definedName>
    <definedName name="sadwde" localSheetId="1" hidden="1">{#N/A,#N/A,FALSE,"Plan1";#N/A,#N/A,FALSE,"Plan2"}</definedName>
    <definedName name="sadwde" localSheetId="2" hidden="1">{#N/A,#N/A,FALSE,"Plan1";#N/A,#N/A,FALSE,"Plan2"}</definedName>
    <definedName name="sadwde" localSheetId="9" hidden="1">{#N/A,#N/A,FALSE,"Plan1";#N/A,#N/A,FALSE,"Plan2"}</definedName>
    <definedName name="sadwde" localSheetId="5" hidden="1">{#N/A,#N/A,FALSE,"Plan1";#N/A,#N/A,FALSE,"Plan2"}</definedName>
    <definedName name="sadwde" localSheetId="4" hidden="1">{#N/A,#N/A,FALSE,"Plan1";#N/A,#N/A,FALSE,"Plan2"}</definedName>
    <definedName name="sadwde" localSheetId="8" hidden="1">{#N/A,#N/A,FALSE,"Plan1";#N/A,#N/A,FALSE,"Plan2"}</definedName>
    <definedName name="sadwde" localSheetId="12" hidden="1">{#N/A,#N/A,FALSE,"Plan1";#N/A,#N/A,FALSE,"Plan2"}</definedName>
    <definedName name="sadwde" localSheetId="16" hidden="1">{#N/A,#N/A,FALSE,"Plan1";#N/A,#N/A,FALSE,"Plan2"}</definedName>
    <definedName name="sadwde" localSheetId="0" hidden="1">{#N/A,#N/A,FALSE,"Plan1";#N/A,#N/A,FALSE,"Plan2"}</definedName>
    <definedName name="sadwde" localSheetId="11" hidden="1">{#N/A,#N/A,FALSE,"Plan1";#N/A,#N/A,FALSE,"Plan2"}</definedName>
    <definedName name="sadwde" localSheetId="13" hidden="1">{#N/A,#N/A,FALSE,"Plan1";#N/A,#N/A,FALSE,"Plan2"}</definedName>
    <definedName name="sadwde" hidden="1">{#N/A,#N/A,FALSE,"Plan1";#N/A,#N/A,FALSE,"Plan2"}</definedName>
    <definedName name="Salas" localSheetId="2">#REF!</definedName>
    <definedName name="Salas" localSheetId="5">#REF!</definedName>
    <definedName name="Salas">#REF!</definedName>
    <definedName name="sanjay" localSheetId="14" hidden="1">{#N/A,#N/A,FALSE,"TABLE"}</definedName>
    <definedName name="sanjay" localSheetId="7" hidden="1">{#N/A,#N/A,FALSE,"TABLE"}</definedName>
    <definedName name="sanjay" localSheetId="1" hidden="1">{#N/A,#N/A,FALSE,"TABLE"}</definedName>
    <definedName name="sanjay" localSheetId="2" hidden="1">{#N/A,#N/A,FALSE,"TABLE"}</definedName>
    <definedName name="sanjay" localSheetId="9" hidden="1">{#N/A,#N/A,FALSE,"TABLE"}</definedName>
    <definedName name="sanjay" localSheetId="5" hidden="1">{#N/A,#N/A,FALSE,"TABLE"}</definedName>
    <definedName name="sanjay" localSheetId="4" hidden="1">{#N/A,#N/A,FALSE,"TABLE"}</definedName>
    <definedName name="sanjay" localSheetId="8" hidden="1">{#N/A,#N/A,FALSE,"TABLE"}</definedName>
    <definedName name="sanjay" localSheetId="12" hidden="1">{#N/A,#N/A,FALSE,"TABLE"}</definedName>
    <definedName name="sanjay" localSheetId="16" hidden="1">{#N/A,#N/A,FALSE,"TABLE"}</definedName>
    <definedName name="sanjay" localSheetId="0" hidden="1">{#N/A,#N/A,FALSE,"TABLE"}</definedName>
    <definedName name="sanjay" localSheetId="11" hidden="1">{#N/A,#N/A,FALSE,"TABLE"}</definedName>
    <definedName name="sanjay" localSheetId="13" hidden="1">{#N/A,#N/A,FALSE,"TABLE"}</definedName>
    <definedName name="sanjay" hidden="1">{#N/A,#N/A,FALSE,"TABLE"}</definedName>
    <definedName name="sapata" localSheetId="2">#REF!</definedName>
    <definedName name="sapata" localSheetId="5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14" hidden="1">{#N/A,#N/A,FALSE,"Plan1";#N/A,#N/A,FALSE,"Plan2"}</definedName>
    <definedName name="SAS" localSheetId="7" hidden="1">{#N/A,#N/A,FALSE,"Plan1";#N/A,#N/A,FALSE,"Plan2"}</definedName>
    <definedName name="SAS" localSheetId="1" hidden="1">{#N/A,#N/A,FALSE,"Plan1";#N/A,#N/A,FALSE,"Plan2"}</definedName>
    <definedName name="SAS" localSheetId="2" hidden="1">{#N/A,#N/A,FALSE,"Plan1";#N/A,#N/A,FALSE,"Plan2"}</definedName>
    <definedName name="SAS" localSheetId="9" hidden="1">{#N/A,#N/A,FALSE,"Plan1";#N/A,#N/A,FALSE,"Plan2"}</definedName>
    <definedName name="SAS" localSheetId="5" hidden="1">{#N/A,#N/A,FALSE,"Plan1";#N/A,#N/A,FALSE,"Plan2"}</definedName>
    <definedName name="SAS" localSheetId="4" hidden="1">{#N/A,#N/A,FALSE,"Plan1";#N/A,#N/A,FALSE,"Plan2"}</definedName>
    <definedName name="SAS" localSheetId="8" hidden="1">{#N/A,#N/A,FALSE,"Plan1";#N/A,#N/A,FALSE,"Plan2"}</definedName>
    <definedName name="SAS" localSheetId="12" hidden="1">{#N/A,#N/A,FALSE,"Plan1";#N/A,#N/A,FALSE,"Plan2"}</definedName>
    <definedName name="SAS" localSheetId="16" hidden="1">{#N/A,#N/A,FALSE,"Plan1";#N/A,#N/A,FALSE,"Plan2"}</definedName>
    <definedName name="SAS" localSheetId="0" hidden="1">{#N/A,#N/A,FALSE,"Plan1";#N/A,#N/A,FALSE,"Plan2"}</definedName>
    <definedName name="SAS" localSheetId="11" hidden="1">{#N/A,#N/A,FALSE,"Plan1";#N/A,#N/A,FALSE,"Plan2"}</definedName>
    <definedName name="SAS" localSheetId="13" hidden="1">{#N/A,#N/A,FALSE,"Plan1";#N/A,#N/A,FALSE,"Plan2"}</definedName>
    <definedName name="SAS" hidden="1">{#N/A,#N/A,FALSE,"Plan1";#N/A,#N/A,FALSE,"Plan2"}</definedName>
    <definedName name="sasads" localSheetId="14" hidden="1">{#N/A,#N/A,FALSE,"Plan1";#N/A,#N/A,FALSE,"Plan2"}</definedName>
    <definedName name="sasads" localSheetId="7" hidden="1">{#N/A,#N/A,FALSE,"Plan1";#N/A,#N/A,FALSE,"Plan2"}</definedName>
    <definedName name="sasads" localSheetId="1" hidden="1">{#N/A,#N/A,FALSE,"Plan1";#N/A,#N/A,FALSE,"Plan2"}</definedName>
    <definedName name="sasads" localSheetId="2" hidden="1">{#N/A,#N/A,FALSE,"Plan1";#N/A,#N/A,FALSE,"Plan2"}</definedName>
    <definedName name="sasads" localSheetId="9" hidden="1">{#N/A,#N/A,FALSE,"Plan1";#N/A,#N/A,FALSE,"Plan2"}</definedName>
    <definedName name="sasads" localSheetId="5" hidden="1">{#N/A,#N/A,FALSE,"Plan1";#N/A,#N/A,FALSE,"Plan2"}</definedName>
    <definedName name="sasads" localSheetId="4" hidden="1">{#N/A,#N/A,FALSE,"Plan1";#N/A,#N/A,FALSE,"Plan2"}</definedName>
    <definedName name="sasads" localSheetId="8" hidden="1">{#N/A,#N/A,FALSE,"Plan1";#N/A,#N/A,FALSE,"Plan2"}</definedName>
    <definedName name="sasads" localSheetId="12" hidden="1">{#N/A,#N/A,FALSE,"Plan1";#N/A,#N/A,FALSE,"Plan2"}</definedName>
    <definedName name="sasads" localSheetId="16" hidden="1">{#N/A,#N/A,FALSE,"Plan1";#N/A,#N/A,FALSE,"Plan2"}</definedName>
    <definedName name="sasads" localSheetId="0" hidden="1">{#N/A,#N/A,FALSE,"Plan1";#N/A,#N/A,FALSE,"Plan2"}</definedName>
    <definedName name="sasads" localSheetId="11" hidden="1">{#N/A,#N/A,FALSE,"Plan1";#N/A,#N/A,FALSE,"Plan2"}</definedName>
    <definedName name="sasads" localSheetId="13" hidden="1">{#N/A,#N/A,FALSE,"Plan1";#N/A,#N/A,FALSE,"Plan2"}</definedName>
    <definedName name="sasads" hidden="1">{#N/A,#N/A,FALSE,"Plan1";#N/A,#N/A,FALSE,"Plan2"}</definedName>
    <definedName name="SC" localSheetId="2" hidden="1">#REF!</definedName>
    <definedName name="SC" localSheetId="5" hidden="1">#REF!</definedName>
    <definedName name="SC" localSheetId="0" hidden="1">#REF!</definedName>
    <definedName name="SC" hidden="1">#REF!</definedName>
    <definedName name="sçadldfsfd" hidden="1">25</definedName>
    <definedName name="sda" localSheetId="2">#REF!</definedName>
    <definedName name="sda" localSheetId="9">#REF!</definedName>
    <definedName name="sda" localSheetId="5">#REF!</definedName>
    <definedName name="sda">#REF!</definedName>
    <definedName name="sda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4" hidden="1">{#N/A,#N/A,FALSE,"Plan1";#N/A,#N/A,FALSE,"Plan2"}</definedName>
    <definedName name="SDAOTGFR" localSheetId="7" hidden="1">{#N/A,#N/A,FALSE,"Plan1";#N/A,#N/A,FALSE,"Plan2"}</definedName>
    <definedName name="SDAOTGFR" localSheetId="1" hidden="1">{#N/A,#N/A,FALSE,"Plan1";#N/A,#N/A,FALSE,"Plan2"}</definedName>
    <definedName name="SDAOTGFR" localSheetId="2" hidden="1">{#N/A,#N/A,FALSE,"Plan1";#N/A,#N/A,FALSE,"Plan2"}</definedName>
    <definedName name="SDAOTGFR" localSheetId="9" hidden="1">{#N/A,#N/A,FALSE,"Plan1";#N/A,#N/A,FALSE,"Plan2"}</definedName>
    <definedName name="SDAOTGFR" localSheetId="5" hidden="1">{#N/A,#N/A,FALSE,"Plan1";#N/A,#N/A,FALSE,"Plan2"}</definedName>
    <definedName name="SDAOTGFR" localSheetId="4" hidden="1">{#N/A,#N/A,FALSE,"Plan1";#N/A,#N/A,FALSE,"Plan2"}</definedName>
    <definedName name="SDAOTGFR" localSheetId="8" hidden="1">{#N/A,#N/A,FALSE,"Plan1";#N/A,#N/A,FALSE,"Plan2"}</definedName>
    <definedName name="SDAOTGFR" localSheetId="12" hidden="1">{#N/A,#N/A,FALSE,"Plan1";#N/A,#N/A,FALSE,"Plan2"}</definedName>
    <definedName name="SDAOTGFR" localSheetId="16" hidden="1">{#N/A,#N/A,FALSE,"Plan1";#N/A,#N/A,FALSE,"Plan2"}</definedName>
    <definedName name="SDAOTGFR" localSheetId="0" hidden="1">{#N/A,#N/A,FALSE,"Plan1";#N/A,#N/A,FALSE,"Plan2"}</definedName>
    <definedName name="SDAOTGFR" localSheetId="11" hidden="1">{#N/A,#N/A,FALSE,"Plan1";#N/A,#N/A,FALSE,"Plan2"}</definedName>
    <definedName name="SDAOTGFR" localSheetId="13" hidden="1">{#N/A,#N/A,FALSE,"Plan1";#N/A,#N/A,FALSE,"Plan2"}</definedName>
    <definedName name="SDAOTGFR" hidden="1">{#N/A,#N/A,FALSE,"Plan1";#N/A,#N/A,FALSE,"Plan2"}</definedName>
    <definedName name="sdckd" localSheetId="14" hidden="1">{#N/A,#N/A,FALSE,"Plan1";#N/A,#N/A,FALSE,"Plan2"}</definedName>
    <definedName name="sdckd" localSheetId="7" hidden="1">{#N/A,#N/A,FALSE,"Plan1";#N/A,#N/A,FALSE,"Plan2"}</definedName>
    <definedName name="sdckd" localSheetId="1" hidden="1">{#N/A,#N/A,FALSE,"Plan1";#N/A,#N/A,FALSE,"Plan2"}</definedName>
    <definedName name="sdckd" localSheetId="2" hidden="1">{#N/A,#N/A,FALSE,"Plan1";#N/A,#N/A,FALSE,"Plan2"}</definedName>
    <definedName name="sdckd" localSheetId="9" hidden="1">{#N/A,#N/A,FALSE,"Plan1";#N/A,#N/A,FALSE,"Plan2"}</definedName>
    <definedName name="sdckd" localSheetId="5" hidden="1">{#N/A,#N/A,FALSE,"Plan1";#N/A,#N/A,FALSE,"Plan2"}</definedName>
    <definedName name="sdckd" localSheetId="4" hidden="1">{#N/A,#N/A,FALSE,"Plan1";#N/A,#N/A,FALSE,"Plan2"}</definedName>
    <definedName name="sdckd" localSheetId="8" hidden="1">{#N/A,#N/A,FALSE,"Plan1";#N/A,#N/A,FALSE,"Plan2"}</definedName>
    <definedName name="sdckd" localSheetId="12" hidden="1">{#N/A,#N/A,FALSE,"Plan1";#N/A,#N/A,FALSE,"Plan2"}</definedName>
    <definedName name="sdckd" localSheetId="16" hidden="1">{#N/A,#N/A,FALSE,"Plan1";#N/A,#N/A,FALSE,"Plan2"}</definedName>
    <definedName name="sdckd" localSheetId="0" hidden="1">{#N/A,#N/A,FALSE,"Plan1";#N/A,#N/A,FALSE,"Plan2"}</definedName>
    <definedName name="sdckd" localSheetId="11" hidden="1">{#N/A,#N/A,FALSE,"Plan1";#N/A,#N/A,FALSE,"Plan2"}</definedName>
    <definedName name="sdckd" localSheetId="13" hidden="1">{#N/A,#N/A,FALSE,"Plan1";#N/A,#N/A,FALSE,"Plan2"}</definedName>
    <definedName name="sdckd" hidden="1">{#N/A,#N/A,FALSE,"Plan1";#N/A,#N/A,FALSE,"Plan2"}</definedName>
    <definedName name="SDDFKSEDE" localSheetId="14" hidden="1">{#N/A,#N/A,FALSE,"Plan1";#N/A,#N/A,FALSE,"Plan2"}</definedName>
    <definedName name="SDDFKSEDE" localSheetId="7" hidden="1">{#N/A,#N/A,FALSE,"Plan1";#N/A,#N/A,FALSE,"Plan2"}</definedName>
    <definedName name="SDDFKSEDE" localSheetId="1" hidden="1">{#N/A,#N/A,FALSE,"Plan1";#N/A,#N/A,FALSE,"Plan2"}</definedName>
    <definedName name="SDDFKSEDE" localSheetId="2" hidden="1">{#N/A,#N/A,FALSE,"Plan1";#N/A,#N/A,FALSE,"Plan2"}</definedName>
    <definedName name="SDDFKSEDE" localSheetId="9" hidden="1">{#N/A,#N/A,FALSE,"Plan1";#N/A,#N/A,FALSE,"Plan2"}</definedName>
    <definedName name="SDDFKSEDE" localSheetId="5" hidden="1">{#N/A,#N/A,FALSE,"Plan1";#N/A,#N/A,FALSE,"Plan2"}</definedName>
    <definedName name="SDDFKSEDE" localSheetId="4" hidden="1">{#N/A,#N/A,FALSE,"Plan1";#N/A,#N/A,FALSE,"Plan2"}</definedName>
    <definedName name="SDDFKSEDE" localSheetId="8" hidden="1">{#N/A,#N/A,FALSE,"Plan1";#N/A,#N/A,FALSE,"Plan2"}</definedName>
    <definedName name="SDDFKSEDE" localSheetId="12" hidden="1">{#N/A,#N/A,FALSE,"Plan1";#N/A,#N/A,FALSE,"Plan2"}</definedName>
    <definedName name="SDDFKSEDE" localSheetId="16" hidden="1">{#N/A,#N/A,FALSE,"Plan1";#N/A,#N/A,FALSE,"Plan2"}</definedName>
    <definedName name="SDDFKSEDE" localSheetId="0" hidden="1">{#N/A,#N/A,FALSE,"Plan1";#N/A,#N/A,FALSE,"Plan2"}</definedName>
    <definedName name="SDDFKSEDE" localSheetId="11" hidden="1">{#N/A,#N/A,FALSE,"Plan1";#N/A,#N/A,FALSE,"Plan2"}</definedName>
    <definedName name="SDDFKSEDE" localSheetId="13" hidden="1">{#N/A,#N/A,FALSE,"Plan1";#N/A,#N/A,FALSE,"Plan2"}</definedName>
    <definedName name="SDDFKSEDE" hidden="1">{#N/A,#N/A,FALSE,"Plan1";#N/A,#N/A,FALSE,"Plan2"}</definedName>
    <definedName name="sddkslker" localSheetId="14" hidden="1">{#N/A,#N/A,FALSE,"Plan1";#N/A,#N/A,FALSE,"Plan2"}</definedName>
    <definedName name="sddkslker" localSheetId="7" hidden="1">{#N/A,#N/A,FALSE,"Plan1";#N/A,#N/A,FALSE,"Plan2"}</definedName>
    <definedName name="sddkslker" localSheetId="1" hidden="1">{#N/A,#N/A,FALSE,"Plan1";#N/A,#N/A,FALSE,"Plan2"}</definedName>
    <definedName name="sddkslker" localSheetId="2" hidden="1">{#N/A,#N/A,FALSE,"Plan1";#N/A,#N/A,FALSE,"Plan2"}</definedName>
    <definedName name="sddkslker" localSheetId="9" hidden="1">{#N/A,#N/A,FALSE,"Plan1";#N/A,#N/A,FALSE,"Plan2"}</definedName>
    <definedName name="sddkslker" localSheetId="5" hidden="1">{#N/A,#N/A,FALSE,"Plan1";#N/A,#N/A,FALSE,"Plan2"}</definedName>
    <definedName name="sddkslker" localSheetId="4" hidden="1">{#N/A,#N/A,FALSE,"Plan1";#N/A,#N/A,FALSE,"Plan2"}</definedName>
    <definedName name="sddkslker" localSheetId="8" hidden="1">{#N/A,#N/A,FALSE,"Plan1";#N/A,#N/A,FALSE,"Plan2"}</definedName>
    <definedName name="sddkslker" localSheetId="12" hidden="1">{#N/A,#N/A,FALSE,"Plan1";#N/A,#N/A,FALSE,"Plan2"}</definedName>
    <definedName name="sddkslker" localSheetId="16" hidden="1">{#N/A,#N/A,FALSE,"Plan1";#N/A,#N/A,FALSE,"Plan2"}</definedName>
    <definedName name="sddkslker" localSheetId="0" hidden="1">{#N/A,#N/A,FALSE,"Plan1";#N/A,#N/A,FALSE,"Plan2"}</definedName>
    <definedName name="sddkslker" localSheetId="11" hidden="1">{#N/A,#N/A,FALSE,"Plan1";#N/A,#N/A,FALSE,"Plan2"}</definedName>
    <definedName name="sddkslker" localSheetId="13" hidden="1">{#N/A,#N/A,FALSE,"Plan1";#N/A,#N/A,FALSE,"Plan2"}</definedName>
    <definedName name="sddkslker" hidden="1">{#N/A,#N/A,FALSE,"Plan1";#N/A,#N/A,FALSE,"Plan2"}</definedName>
    <definedName name="sdefr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2" hidden="1">#REF!</definedName>
    <definedName name="sdert" localSheetId="5" hidden="1">#REF!</definedName>
    <definedName name="sdert" localSheetId="0" hidden="1">#REF!</definedName>
    <definedName name="sdert" hidden="1">#REF!</definedName>
    <definedName name="sdf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4" hidden="1">{#N/A,#N/A,FALSE,"Plan1";#N/A,#N/A,FALSE,"Plan2"}</definedName>
    <definedName name="sdfdds" localSheetId="7" hidden="1">{#N/A,#N/A,FALSE,"Plan1";#N/A,#N/A,FALSE,"Plan2"}</definedName>
    <definedName name="sdfdds" localSheetId="1" hidden="1">{#N/A,#N/A,FALSE,"Plan1";#N/A,#N/A,FALSE,"Plan2"}</definedName>
    <definedName name="sdfdds" localSheetId="2" hidden="1">{#N/A,#N/A,FALSE,"Plan1";#N/A,#N/A,FALSE,"Plan2"}</definedName>
    <definedName name="sdfdds" localSheetId="9" hidden="1">{#N/A,#N/A,FALSE,"Plan1";#N/A,#N/A,FALSE,"Plan2"}</definedName>
    <definedName name="sdfdds" localSheetId="5" hidden="1">{#N/A,#N/A,FALSE,"Plan1";#N/A,#N/A,FALSE,"Plan2"}</definedName>
    <definedName name="sdfdds" localSheetId="4" hidden="1">{#N/A,#N/A,FALSE,"Plan1";#N/A,#N/A,FALSE,"Plan2"}</definedName>
    <definedName name="sdfdds" localSheetId="8" hidden="1">{#N/A,#N/A,FALSE,"Plan1";#N/A,#N/A,FALSE,"Plan2"}</definedName>
    <definedName name="sdfdds" localSheetId="12" hidden="1">{#N/A,#N/A,FALSE,"Plan1";#N/A,#N/A,FALSE,"Plan2"}</definedName>
    <definedName name="sdfdds" localSheetId="16" hidden="1">{#N/A,#N/A,FALSE,"Plan1";#N/A,#N/A,FALSE,"Plan2"}</definedName>
    <definedName name="sdfdds" localSheetId="0" hidden="1">{#N/A,#N/A,FALSE,"Plan1";#N/A,#N/A,FALSE,"Plan2"}</definedName>
    <definedName name="sdfdds" localSheetId="11" hidden="1">{#N/A,#N/A,FALSE,"Plan1";#N/A,#N/A,FALSE,"Plan2"}</definedName>
    <definedName name="sdfdds" localSheetId="13" hidden="1">{#N/A,#N/A,FALSE,"Plan1";#N/A,#N/A,FALSE,"Plan2"}</definedName>
    <definedName name="sdfdds" hidden="1">{#N/A,#N/A,FALSE,"Plan1";#N/A,#N/A,FALSE,"Plan2"}</definedName>
    <definedName name="sdfdfc" localSheetId="14" hidden="1">{#N/A,#N/A,FALSE,"Plan1";#N/A,#N/A,FALSE,"Plan2"}</definedName>
    <definedName name="sdfdfc" localSheetId="7" hidden="1">{#N/A,#N/A,FALSE,"Plan1";#N/A,#N/A,FALSE,"Plan2"}</definedName>
    <definedName name="sdfdfc" localSheetId="1" hidden="1">{#N/A,#N/A,FALSE,"Plan1";#N/A,#N/A,FALSE,"Plan2"}</definedName>
    <definedName name="sdfdfc" localSheetId="2" hidden="1">{#N/A,#N/A,FALSE,"Plan1";#N/A,#N/A,FALSE,"Plan2"}</definedName>
    <definedName name="sdfdfc" localSheetId="9" hidden="1">{#N/A,#N/A,FALSE,"Plan1";#N/A,#N/A,FALSE,"Plan2"}</definedName>
    <definedName name="sdfdfc" localSheetId="5" hidden="1">{#N/A,#N/A,FALSE,"Plan1";#N/A,#N/A,FALSE,"Plan2"}</definedName>
    <definedName name="sdfdfc" localSheetId="4" hidden="1">{#N/A,#N/A,FALSE,"Plan1";#N/A,#N/A,FALSE,"Plan2"}</definedName>
    <definedName name="sdfdfc" localSheetId="8" hidden="1">{#N/A,#N/A,FALSE,"Plan1";#N/A,#N/A,FALSE,"Plan2"}</definedName>
    <definedName name="sdfdfc" localSheetId="12" hidden="1">{#N/A,#N/A,FALSE,"Plan1";#N/A,#N/A,FALSE,"Plan2"}</definedName>
    <definedName name="sdfdfc" localSheetId="16" hidden="1">{#N/A,#N/A,FALSE,"Plan1";#N/A,#N/A,FALSE,"Plan2"}</definedName>
    <definedName name="sdfdfc" localSheetId="0" hidden="1">{#N/A,#N/A,FALSE,"Plan1";#N/A,#N/A,FALSE,"Plan2"}</definedName>
    <definedName name="sdfdfc" localSheetId="11" hidden="1">{#N/A,#N/A,FALSE,"Plan1";#N/A,#N/A,FALSE,"Plan2"}</definedName>
    <definedName name="sdfdfc" localSheetId="13" hidden="1">{#N/A,#N/A,FALSE,"Plan1";#N/A,#N/A,FALSE,"Plan2"}</definedName>
    <definedName name="sdfdfc" hidden="1">{#N/A,#N/A,FALSE,"Plan1";#N/A,#N/A,FALSE,"Plan2"}</definedName>
    <definedName name="sdfdf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4" hidden="1">{#N/A,#N/A,FALSE,"Plan1";#N/A,#N/A,FALSE,"Plan2"}</definedName>
    <definedName name="sdfdgft" localSheetId="7" hidden="1">{#N/A,#N/A,FALSE,"Plan1";#N/A,#N/A,FALSE,"Plan2"}</definedName>
    <definedName name="sdfdgft" localSheetId="1" hidden="1">{#N/A,#N/A,FALSE,"Plan1";#N/A,#N/A,FALSE,"Plan2"}</definedName>
    <definedName name="sdfdgft" localSheetId="2" hidden="1">{#N/A,#N/A,FALSE,"Plan1";#N/A,#N/A,FALSE,"Plan2"}</definedName>
    <definedName name="sdfdgft" localSheetId="9" hidden="1">{#N/A,#N/A,FALSE,"Plan1";#N/A,#N/A,FALSE,"Plan2"}</definedName>
    <definedName name="sdfdgft" localSheetId="5" hidden="1">{#N/A,#N/A,FALSE,"Plan1";#N/A,#N/A,FALSE,"Plan2"}</definedName>
    <definedName name="sdfdgft" localSheetId="4" hidden="1">{#N/A,#N/A,FALSE,"Plan1";#N/A,#N/A,FALSE,"Plan2"}</definedName>
    <definedName name="sdfdgft" localSheetId="8" hidden="1">{#N/A,#N/A,FALSE,"Plan1";#N/A,#N/A,FALSE,"Plan2"}</definedName>
    <definedName name="sdfdgft" localSheetId="12" hidden="1">{#N/A,#N/A,FALSE,"Plan1";#N/A,#N/A,FALSE,"Plan2"}</definedName>
    <definedName name="sdfdgft" localSheetId="16" hidden="1">{#N/A,#N/A,FALSE,"Plan1";#N/A,#N/A,FALSE,"Plan2"}</definedName>
    <definedName name="sdfdgft" localSheetId="0" hidden="1">{#N/A,#N/A,FALSE,"Plan1";#N/A,#N/A,FALSE,"Plan2"}</definedName>
    <definedName name="sdfdgft" localSheetId="11" hidden="1">{#N/A,#N/A,FALSE,"Plan1";#N/A,#N/A,FALSE,"Plan2"}</definedName>
    <definedName name="sdfdgft" localSheetId="13" hidden="1">{#N/A,#N/A,FALSE,"Plan1";#N/A,#N/A,FALSE,"Plan2"}</definedName>
    <definedName name="sdfdgft" hidden="1">{#N/A,#N/A,FALSE,"Plan1";#N/A,#N/A,FALSE,"Plan2"}</definedName>
    <definedName name="sdfdsf" localSheetId="14" hidden="1">{#N/A,#N/A,FALSE,"Plan1";#N/A,#N/A,FALSE,"Plan2"}</definedName>
    <definedName name="sdfdsf" localSheetId="7" hidden="1">{#N/A,#N/A,FALSE,"Plan1";#N/A,#N/A,FALSE,"Plan2"}</definedName>
    <definedName name="sdfdsf" localSheetId="1" hidden="1">{#N/A,#N/A,FALSE,"Plan1";#N/A,#N/A,FALSE,"Plan2"}</definedName>
    <definedName name="sdfdsf" localSheetId="2" hidden="1">{#N/A,#N/A,FALSE,"Plan1";#N/A,#N/A,FALSE,"Plan2"}</definedName>
    <definedName name="sdfdsf" localSheetId="9" hidden="1">{#N/A,#N/A,FALSE,"Plan1";#N/A,#N/A,FALSE,"Plan2"}</definedName>
    <definedName name="sdfdsf" localSheetId="5" hidden="1">{#N/A,#N/A,FALSE,"Plan1";#N/A,#N/A,FALSE,"Plan2"}</definedName>
    <definedName name="sdfdsf" localSheetId="4" hidden="1">{#N/A,#N/A,FALSE,"Plan1";#N/A,#N/A,FALSE,"Plan2"}</definedName>
    <definedName name="sdfdsf" localSheetId="8" hidden="1">{#N/A,#N/A,FALSE,"Plan1";#N/A,#N/A,FALSE,"Plan2"}</definedName>
    <definedName name="sdfdsf" localSheetId="12" hidden="1">{#N/A,#N/A,FALSE,"Plan1";#N/A,#N/A,FALSE,"Plan2"}</definedName>
    <definedName name="sdfdsf" localSheetId="16" hidden="1">{#N/A,#N/A,FALSE,"Plan1";#N/A,#N/A,FALSE,"Plan2"}</definedName>
    <definedName name="sdfdsf" localSheetId="0" hidden="1">{#N/A,#N/A,FALSE,"Plan1";#N/A,#N/A,FALSE,"Plan2"}</definedName>
    <definedName name="sdfdsf" localSheetId="11" hidden="1">{#N/A,#N/A,FALSE,"Plan1";#N/A,#N/A,FALSE,"Plan2"}</definedName>
    <definedName name="sdfdsf" localSheetId="13" hidden="1">{#N/A,#N/A,FALSE,"Plan1";#N/A,#N/A,FALSE,"Plan2"}</definedName>
    <definedName name="sdfdsf" hidden="1">{#N/A,#N/A,FALSE,"Plan1";#N/A,#N/A,FALSE,"Plan2"}</definedName>
    <definedName name="sdfdsf\da" localSheetId="14" hidden="1">{#N/A,#N/A,FALSE,"Plan1";#N/A,#N/A,FALSE,"Plan2"}</definedName>
    <definedName name="sdfdsf\da" localSheetId="7" hidden="1">{#N/A,#N/A,FALSE,"Plan1";#N/A,#N/A,FALSE,"Plan2"}</definedName>
    <definedName name="sdfdsf\da" localSheetId="1" hidden="1">{#N/A,#N/A,FALSE,"Plan1";#N/A,#N/A,FALSE,"Plan2"}</definedName>
    <definedName name="sdfdsf\da" localSheetId="2" hidden="1">{#N/A,#N/A,FALSE,"Plan1";#N/A,#N/A,FALSE,"Plan2"}</definedName>
    <definedName name="sdfdsf\da" localSheetId="9" hidden="1">{#N/A,#N/A,FALSE,"Plan1";#N/A,#N/A,FALSE,"Plan2"}</definedName>
    <definedName name="sdfdsf\da" localSheetId="5" hidden="1">{#N/A,#N/A,FALSE,"Plan1";#N/A,#N/A,FALSE,"Plan2"}</definedName>
    <definedName name="sdfdsf\da" localSheetId="4" hidden="1">{#N/A,#N/A,FALSE,"Plan1";#N/A,#N/A,FALSE,"Plan2"}</definedName>
    <definedName name="sdfdsf\da" localSheetId="8" hidden="1">{#N/A,#N/A,FALSE,"Plan1";#N/A,#N/A,FALSE,"Plan2"}</definedName>
    <definedName name="sdfdsf\da" localSheetId="12" hidden="1">{#N/A,#N/A,FALSE,"Plan1";#N/A,#N/A,FALSE,"Plan2"}</definedName>
    <definedName name="sdfdsf\da" localSheetId="16" hidden="1">{#N/A,#N/A,FALSE,"Plan1";#N/A,#N/A,FALSE,"Plan2"}</definedName>
    <definedName name="sdfdsf\da" localSheetId="0" hidden="1">{#N/A,#N/A,FALSE,"Plan1";#N/A,#N/A,FALSE,"Plan2"}</definedName>
    <definedName name="sdfdsf\da" localSheetId="11" hidden="1">{#N/A,#N/A,FALSE,"Plan1";#N/A,#N/A,FALSE,"Plan2"}</definedName>
    <definedName name="sdfdsf\da" localSheetId="13" hidden="1">{#N/A,#N/A,FALSE,"Plan1";#N/A,#N/A,FALSE,"Plan2"}</definedName>
    <definedName name="sdfdsf\da" hidden="1">{#N/A,#N/A,FALSE,"Plan1";#N/A,#N/A,FALSE,"Plan2"}</definedName>
    <definedName name="SDFEDRT" localSheetId="14" hidden="1">{#N/A,#N/A,FALSE,"Plan1";#N/A,#N/A,FALSE,"Plan2"}</definedName>
    <definedName name="SDFEDRT" localSheetId="7" hidden="1">{#N/A,#N/A,FALSE,"Plan1";#N/A,#N/A,FALSE,"Plan2"}</definedName>
    <definedName name="SDFEDRT" localSheetId="1" hidden="1">{#N/A,#N/A,FALSE,"Plan1";#N/A,#N/A,FALSE,"Plan2"}</definedName>
    <definedName name="SDFEDRT" localSheetId="2" hidden="1">{#N/A,#N/A,FALSE,"Plan1";#N/A,#N/A,FALSE,"Plan2"}</definedName>
    <definedName name="SDFEDRT" localSheetId="9" hidden="1">{#N/A,#N/A,FALSE,"Plan1";#N/A,#N/A,FALSE,"Plan2"}</definedName>
    <definedName name="SDFEDRT" localSheetId="5" hidden="1">{#N/A,#N/A,FALSE,"Plan1";#N/A,#N/A,FALSE,"Plan2"}</definedName>
    <definedName name="SDFEDRT" localSheetId="4" hidden="1">{#N/A,#N/A,FALSE,"Plan1";#N/A,#N/A,FALSE,"Plan2"}</definedName>
    <definedName name="SDFEDRT" localSheetId="8" hidden="1">{#N/A,#N/A,FALSE,"Plan1";#N/A,#N/A,FALSE,"Plan2"}</definedName>
    <definedName name="SDFEDRT" localSheetId="12" hidden="1">{#N/A,#N/A,FALSE,"Plan1";#N/A,#N/A,FALSE,"Plan2"}</definedName>
    <definedName name="SDFEDRT" localSheetId="16" hidden="1">{#N/A,#N/A,FALSE,"Plan1";#N/A,#N/A,FALSE,"Plan2"}</definedName>
    <definedName name="SDFEDRT" localSheetId="0" hidden="1">{#N/A,#N/A,FALSE,"Plan1";#N/A,#N/A,FALSE,"Plan2"}</definedName>
    <definedName name="SDFEDRT" localSheetId="11" hidden="1">{#N/A,#N/A,FALSE,"Plan1";#N/A,#N/A,FALSE,"Plan2"}</definedName>
    <definedName name="SDFEDRT" localSheetId="13" hidden="1">{#N/A,#N/A,FALSE,"Plan1";#N/A,#N/A,FALSE,"Plan2"}</definedName>
    <definedName name="SDFEDRT" hidden="1">{#N/A,#N/A,FALSE,"Plan1";#N/A,#N/A,FALSE,"Plan2"}</definedName>
    <definedName name="sdfer" localSheetId="14" hidden="1">{#N/A,#N/A,FALSE,"Plan1";#N/A,#N/A,FALSE,"Plan2"}</definedName>
    <definedName name="sdfer" localSheetId="7" hidden="1">{#N/A,#N/A,FALSE,"Plan1";#N/A,#N/A,FALSE,"Plan2"}</definedName>
    <definedName name="sdfer" localSheetId="1" hidden="1">{#N/A,#N/A,FALSE,"Plan1";#N/A,#N/A,FALSE,"Plan2"}</definedName>
    <definedName name="sdfer" localSheetId="2" hidden="1">{#N/A,#N/A,FALSE,"Plan1";#N/A,#N/A,FALSE,"Plan2"}</definedName>
    <definedName name="sdfer" localSheetId="9" hidden="1">{#N/A,#N/A,FALSE,"Plan1";#N/A,#N/A,FALSE,"Plan2"}</definedName>
    <definedName name="sdfer" localSheetId="5" hidden="1">{#N/A,#N/A,FALSE,"Plan1";#N/A,#N/A,FALSE,"Plan2"}</definedName>
    <definedName name="sdfer" localSheetId="4" hidden="1">{#N/A,#N/A,FALSE,"Plan1";#N/A,#N/A,FALSE,"Plan2"}</definedName>
    <definedName name="sdfer" localSheetId="8" hidden="1">{#N/A,#N/A,FALSE,"Plan1";#N/A,#N/A,FALSE,"Plan2"}</definedName>
    <definedName name="sdfer" localSheetId="12" hidden="1">{#N/A,#N/A,FALSE,"Plan1";#N/A,#N/A,FALSE,"Plan2"}</definedName>
    <definedName name="sdfer" localSheetId="16" hidden="1">{#N/A,#N/A,FALSE,"Plan1";#N/A,#N/A,FALSE,"Plan2"}</definedName>
    <definedName name="sdfer" localSheetId="0" hidden="1">{#N/A,#N/A,FALSE,"Plan1";#N/A,#N/A,FALSE,"Plan2"}</definedName>
    <definedName name="sdfer" localSheetId="11" hidden="1">{#N/A,#N/A,FALSE,"Plan1";#N/A,#N/A,FALSE,"Plan2"}</definedName>
    <definedName name="sdfer" localSheetId="13" hidden="1">{#N/A,#N/A,FALSE,"Plan1";#N/A,#N/A,FALSE,"Plan2"}</definedName>
    <definedName name="sdfer" hidden="1">{#N/A,#N/A,FALSE,"Plan1";#N/A,#N/A,FALSE,"Plan2"}</definedName>
    <definedName name="sdferr" localSheetId="14" hidden="1">{#N/A,#N/A,FALSE,"Plan1";#N/A,#N/A,FALSE,"Plan2"}</definedName>
    <definedName name="sdferr" localSheetId="7" hidden="1">{#N/A,#N/A,FALSE,"Plan1";#N/A,#N/A,FALSE,"Plan2"}</definedName>
    <definedName name="sdferr" localSheetId="1" hidden="1">{#N/A,#N/A,FALSE,"Plan1";#N/A,#N/A,FALSE,"Plan2"}</definedName>
    <definedName name="sdferr" localSheetId="2" hidden="1">{#N/A,#N/A,FALSE,"Plan1";#N/A,#N/A,FALSE,"Plan2"}</definedName>
    <definedName name="sdferr" localSheetId="9" hidden="1">{#N/A,#N/A,FALSE,"Plan1";#N/A,#N/A,FALSE,"Plan2"}</definedName>
    <definedName name="sdferr" localSheetId="5" hidden="1">{#N/A,#N/A,FALSE,"Plan1";#N/A,#N/A,FALSE,"Plan2"}</definedName>
    <definedName name="sdferr" localSheetId="4" hidden="1">{#N/A,#N/A,FALSE,"Plan1";#N/A,#N/A,FALSE,"Plan2"}</definedName>
    <definedName name="sdferr" localSheetId="8" hidden="1">{#N/A,#N/A,FALSE,"Plan1";#N/A,#N/A,FALSE,"Plan2"}</definedName>
    <definedName name="sdferr" localSheetId="12" hidden="1">{#N/A,#N/A,FALSE,"Plan1";#N/A,#N/A,FALSE,"Plan2"}</definedName>
    <definedName name="sdferr" localSheetId="16" hidden="1">{#N/A,#N/A,FALSE,"Plan1";#N/A,#N/A,FALSE,"Plan2"}</definedName>
    <definedName name="sdferr" localSheetId="0" hidden="1">{#N/A,#N/A,FALSE,"Plan1";#N/A,#N/A,FALSE,"Plan2"}</definedName>
    <definedName name="sdferr" localSheetId="11" hidden="1">{#N/A,#N/A,FALSE,"Plan1";#N/A,#N/A,FALSE,"Plan2"}</definedName>
    <definedName name="sdferr" localSheetId="13" hidden="1">{#N/A,#N/A,FALSE,"Plan1";#N/A,#N/A,FALSE,"Plan2"}</definedName>
    <definedName name="sdferr" hidden="1">{#N/A,#N/A,FALSE,"Plan1";#N/A,#N/A,FALSE,"Plan2"}</definedName>
    <definedName name="sdfe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4" hidden="1">{#N/A,#N/A,FALSE,"Plan1";#N/A,#N/A,FALSE,"Plan2"}</definedName>
    <definedName name="SDFGJFSRF" localSheetId="7" hidden="1">{#N/A,#N/A,FALSE,"Plan1";#N/A,#N/A,FALSE,"Plan2"}</definedName>
    <definedName name="SDFGJFSRF" localSheetId="1" hidden="1">{#N/A,#N/A,FALSE,"Plan1";#N/A,#N/A,FALSE,"Plan2"}</definedName>
    <definedName name="SDFGJFSRF" localSheetId="2" hidden="1">{#N/A,#N/A,FALSE,"Plan1";#N/A,#N/A,FALSE,"Plan2"}</definedName>
    <definedName name="SDFGJFSRF" localSheetId="9" hidden="1">{#N/A,#N/A,FALSE,"Plan1";#N/A,#N/A,FALSE,"Plan2"}</definedName>
    <definedName name="SDFGJFSRF" localSheetId="5" hidden="1">{#N/A,#N/A,FALSE,"Plan1";#N/A,#N/A,FALSE,"Plan2"}</definedName>
    <definedName name="SDFGJFSRF" localSheetId="4" hidden="1">{#N/A,#N/A,FALSE,"Plan1";#N/A,#N/A,FALSE,"Plan2"}</definedName>
    <definedName name="SDFGJFSRF" localSheetId="8" hidden="1">{#N/A,#N/A,FALSE,"Plan1";#N/A,#N/A,FALSE,"Plan2"}</definedName>
    <definedName name="SDFGJFSRF" localSheetId="12" hidden="1">{#N/A,#N/A,FALSE,"Plan1";#N/A,#N/A,FALSE,"Plan2"}</definedName>
    <definedName name="SDFGJFSRF" localSheetId="16" hidden="1">{#N/A,#N/A,FALSE,"Plan1";#N/A,#N/A,FALSE,"Plan2"}</definedName>
    <definedName name="SDFGJFSRF" localSheetId="0" hidden="1">{#N/A,#N/A,FALSE,"Plan1";#N/A,#N/A,FALSE,"Plan2"}</definedName>
    <definedName name="SDFGJFSRF" localSheetId="11" hidden="1">{#N/A,#N/A,FALSE,"Plan1";#N/A,#N/A,FALSE,"Plan2"}</definedName>
    <definedName name="SDFGJFSRF" localSheetId="13" hidden="1">{#N/A,#N/A,FALSE,"Plan1";#N/A,#N/A,FALSE,"Plan2"}</definedName>
    <definedName name="SDFGJFSRF" hidden="1">{#N/A,#N/A,FALSE,"Plan1";#N/A,#N/A,FALSE,"Plan2"}</definedName>
    <definedName name="sdfgtr" localSheetId="14" hidden="1">{#N/A,#N/A,FALSE,"Plan1";#N/A,#N/A,FALSE,"Plan2"}</definedName>
    <definedName name="sdfgtr" localSheetId="7" hidden="1">{#N/A,#N/A,FALSE,"Plan1";#N/A,#N/A,FALSE,"Plan2"}</definedName>
    <definedName name="sdfgtr" localSheetId="1" hidden="1">{#N/A,#N/A,FALSE,"Plan1";#N/A,#N/A,FALSE,"Plan2"}</definedName>
    <definedName name="sdfgtr" localSheetId="2" hidden="1">{#N/A,#N/A,FALSE,"Plan1";#N/A,#N/A,FALSE,"Plan2"}</definedName>
    <definedName name="sdfgtr" localSheetId="9" hidden="1">{#N/A,#N/A,FALSE,"Plan1";#N/A,#N/A,FALSE,"Plan2"}</definedName>
    <definedName name="sdfgtr" localSheetId="5" hidden="1">{#N/A,#N/A,FALSE,"Plan1";#N/A,#N/A,FALSE,"Plan2"}</definedName>
    <definedName name="sdfgtr" localSheetId="4" hidden="1">{#N/A,#N/A,FALSE,"Plan1";#N/A,#N/A,FALSE,"Plan2"}</definedName>
    <definedName name="sdfgtr" localSheetId="8" hidden="1">{#N/A,#N/A,FALSE,"Plan1";#N/A,#N/A,FALSE,"Plan2"}</definedName>
    <definedName name="sdfgtr" localSheetId="12" hidden="1">{#N/A,#N/A,FALSE,"Plan1";#N/A,#N/A,FALSE,"Plan2"}</definedName>
    <definedName name="sdfgtr" localSheetId="16" hidden="1">{#N/A,#N/A,FALSE,"Plan1";#N/A,#N/A,FALSE,"Plan2"}</definedName>
    <definedName name="sdfgtr" localSheetId="0" hidden="1">{#N/A,#N/A,FALSE,"Plan1";#N/A,#N/A,FALSE,"Plan2"}</definedName>
    <definedName name="sdfgtr" localSheetId="11" hidden="1">{#N/A,#N/A,FALSE,"Plan1";#N/A,#N/A,FALSE,"Plan2"}</definedName>
    <definedName name="sdfgtr" localSheetId="13" hidden="1">{#N/A,#N/A,FALSE,"Plan1";#N/A,#N/A,FALSE,"Plan2"}</definedName>
    <definedName name="sdfgtr" hidden="1">{#N/A,#N/A,FALSE,"Plan1";#N/A,#N/A,FALSE,"Plan2"}</definedName>
    <definedName name="sdfjdetrt" localSheetId="14" hidden="1">{#N/A,#N/A,FALSE,"Plan1";#N/A,#N/A,FALSE,"Plan2"}</definedName>
    <definedName name="sdfjdetrt" localSheetId="7" hidden="1">{#N/A,#N/A,FALSE,"Plan1";#N/A,#N/A,FALSE,"Plan2"}</definedName>
    <definedName name="sdfjdetrt" localSheetId="1" hidden="1">{#N/A,#N/A,FALSE,"Plan1";#N/A,#N/A,FALSE,"Plan2"}</definedName>
    <definedName name="sdfjdetrt" localSheetId="2" hidden="1">{#N/A,#N/A,FALSE,"Plan1";#N/A,#N/A,FALSE,"Plan2"}</definedName>
    <definedName name="sdfjdetrt" localSheetId="9" hidden="1">{#N/A,#N/A,FALSE,"Plan1";#N/A,#N/A,FALSE,"Plan2"}</definedName>
    <definedName name="sdfjdetrt" localSheetId="5" hidden="1">{#N/A,#N/A,FALSE,"Plan1";#N/A,#N/A,FALSE,"Plan2"}</definedName>
    <definedName name="sdfjdetrt" localSheetId="4" hidden="1">{#N/A,#N/A,FALSE,"Plan1";#N/A,#N/A,FALSE,"Plan2"}</definedName>
    <definedName name="sdfjdetrt" localSheetId="8" hidden="1">{#N/A,#N/A,FALSE,"Plan1";#N/A,#N/A,FALSE,"Plan2"}</definedName>
    <definedName name="sdfjdetrt" localSheetId="12" hidden="1">{#N/A,#N/A,FALSE,"Plan1";#N/A,#N/A,FALSE,"Plan2"}</definedName>
    <definedName name="sdfjdetrt" localSheetId="16" hidden="1">{#N/A,#N/A,FALSE,"Plan1";#N/A,#N/A,FALSE,"Plan2"}</definedName>
    <definedName name="sdfjdetrt" localSheetId="0" hidden="1">{#N/A,#N/A,FALSE,"Plan1";#N/A,#N/A,FALSE,"Plan2"}</definedName>
    <definedName name="sdfjdetrt" localSheetId="11" hidden="1">{#N/A,#N/A,FALSE,"Plan1";#N/A,#N/A,FALSE,"Plan2"}</definedName>
    <definedName name="sdfjdetrt" localSheetId="13" hidden="1">{#N/A,#N/A,FALSE,"Plan1";#N/A,#N/A,FALSE,"Plan2"}</definedName>
    <definedName name="sdfjdetrt" hidden="1">{#N/A,#N/A,FALSE,"Plan1";#N/A,#N/A,FALSE,"Plan2"}</definedName>
    <definedName name="SDFJDRTJEIDR" localSheetId="14" hidden="1">{#N/A,#N/A,FALSE,"Plan1";#N/A,#N/A,FALSE,"Plan2"}</definedName>
    <definedName name="SDFJDRTJEIDR" localSheetId="7" hidden="1">{#N/A,#N/A,FALSE,"Plan1";#N/A,#N/A,FALSE,"Plan2"}</definedName>
    <definedName name="SDFJDRTJEIDR" localSheetId="1" hidden="1">{#N/A,#N/A,FALSE,"Plan1";#N/A,#N/A,FALSE,"Plan2"}</definedName>
    <definedName name="SDFJDRTJEIDR" localSheetId="2" hidden="1">{#N/A,#N/A,FALSE,"Plan1";#N/A,#N/A,FALSE,"Plan2"}</definedName>
    <definedName name="SDFJDRTJEIDR" localSheetId="9" hidden="1">{#N/A,#N/A,FALSE,"Plan1";#N/A,#N/A,FALSE,"Plan2"}</definedName>
    <definedName name="SDFJDRTJEIDR" localSheetId="5" hidden="1">{#N/A,#N/A,FALSE,"Plan1";#N/A,#N/A,FALSE,"Plan2"}</definedName>
    <definedName name="SDFJDRTJEIDR" localSheetId="4" hidden="1">{#N/A,#N/A,FALSE,"Plan1";#N/A,#N/A,FALSE,"Plan2"}</definedName>
    <definedName name="SDFJDRTJEIDR" localSheetId="8" hidden="1">{#N/A,#N/A,FALSE,"Plan1";#N/A,#N/A,FALSE,"Plan2"}</definedName>
    <definedName name="SDFJDRTJEIDR" localSheetId="12" hidden="1">{#N/A,#N/A,FALSE,"Plan1";#N/A,#N/A,FALSE,"Plan2"}</definedName>
    <definedName name="SDFJDRTJEIDR" localSheetId="16" hidden="1">{#N/A,#N/A,FALSE,"Plan1";#N/A,#N/A,FALSE,"Plan2"}</definedName>
    <definedName name="SDFJDRTJEIDR" localSheetId="0" hidden="1">{#N/A,#N/A,FALSE,"Plan1";#N/A,#N/A,FALSE,"Plan2"}</definedName>
    <definedName name="SDFJDRTJEIDR" localSheetId="11" hidden="1">{#N/A,#N/A,FALSE,"Plan1";#N/A,#N/A,FALSE,"Plan2"}</definedName>
    <definedName name="SDFJDRTJEIDR" localSheetId="13" hidden="1">{#N/A,#N/A,FALSE,"Plan1";#N/A,#N/A,FALSE,"Plan2"}</definedName>
    <definedName name="SDFJDRTJEIDR" hidden="1">{#N/A,#N/A,FALSE,"Plan1";#N/A,#N/A,FALSE,"Plan2"}</definedName>
    <definedName name="sdfjergtij" localSheetId="14" hidden="1">{#N/A,#N/A,FALSE,"Plan1";#N/A,#N/A,FALSE,"Plan2"}</definedName>
    <definedName name="sdfjergtij" localSheetId="7" hidden="1">{#N/A,#N/A,FALSE,"Plan1";#N/A,#N/A,FALSE,"Plan2"}</definedName>
    <definedName name="sdfjergtij" localSheetId="1" hidden="1">{#N/A,#N/A,FALSE,"Plan1";#N/A,#N/A,FALSE,"Plan2"}</definedName>
    <definedName name="sdfjergtij" localSheetId="2" hidden="1">{#N/A,#N/A,FALSE,"Plan1";#N/A,#N/A,FALSE,"Plan2"}</definedName>
    <definedName name="sdfjergtij" localSheetId="9" hidden="1">{#N/A,#N/A,FALSE,"Plan1";#N/A,#N/A,FALSE,"Plan2"}</definedName>
    <definedName name="sdfjergtij" localSheetId="5" hidden="1">{#N/A,#N/A,FALSE,"Plan1";#N/A,#N/A,FALSE,"Plan2"}</definedName>
    <definedName name="sdfjergtij" localSheetId="4" hidden="1">{#N/A,#N/A,FALSE,"Plan1";#N/A,#N/A,FALSE,"Plan2"}</definedName>
    <definedName name="sdfjergtij" localSheetId="8" hidden="1">{#N/A,#N/A,FALSE,"Plan1";#N/A,#N/A,FALSE,"Plan2"}</definedName>
    <definedName name="sdfjergtij" localSheetId="12" hidden="1">{#N/A,#N/A,FALSE,"Plan1";#N/A,#N/A,FALSE,"Plan2"}</definedName>
    <definedName name="sdfjergtij" localSheetId="16" hidden="1">{#N/A,#N/A,FALSE,"Plan1";#N/A,#N/A,FALSE,"Plan2"}</definedName>
    <definedName name="sdfjergtij" localSheetId="0" hidden="1">{#N/A,#N/A,FALSE,"Plan1";#N/A,#N/A,FALSE,"Plan2"}</definedName>
    <definedName name="sdfjergtij" localSheetId="11" hidden="1">{#N/A,#N/A,FALSE,"Plan1";#N/A,#N/A,FALSE,"Plan2"}</definedName>
    <definedName name="sdfjergtij" localSheetId="13" hidden="1">{#N/A,#N/A,FALSE,"Plan1";#N/A,#N/A,FALSE,"Plan2"}</definedName>
    <definedName name="sdfjergtij" hidden="1">{#N/A,#N/A,FALSE,"Plan1";#N/A,#N/A,FALSE,"Plan2"}</definedName>
    <definedName name="SDFOPJKWE" localSheetId="14" hidden="1">{#N/A,#N/A,FALSE,"Plan1";#N/A,#N/A,FALSE,"Plan2"}</definedName>
    <definedName name="SDFOPJKWE" localSheetId="7" hidden="1">{#N/A,#N/A,FALSE,"Plan1";#N/A,#N/A,FALSE,"Plan2"}</definedName>
    <definedName name="SDFOPJKWE" localSheetId="1" hidden="1">{#N/A,#N/A,FALSE,"Plan1";#N/A,#N/A,FALSE,"Plan2"}</definedName>
    <definedName name="SDFOPJKWE" localSheetId="2" hidden="1">{#N/A,#N/A,FALSE,"Plan1";#N/A,#N/A,FALSE,"Plan2"}</definedName>
    <definedName name="SDFOPJKWE" localSheetId="9" hidden="1">{#N/A,#N/A,FALSE,"Plan1";#N/A,#N/A,FALSE,"Plan2"}</definedName>
    <definedName name="SDFOPJKWE" localSheetId="5" hidden="1">{#N/A,#N/A,FALSE,"Plan1";#N/A,#N/A,FALSE,"Plan2"}</definedName>
    <definedName name="SDFOPJKWE" localSheetId="4" hidden="1">{#N/A,#N/A,FALSE,"Plan1";#N/A,#N/A,FALSE,"Plan2"}</definedName>
    <definedName name="SDFOPJKWE" localSheetId="8" hidden="1">{#N/A,#N/A,FALSE,"Plan1";#N/A,#N/A,FALSE,"Plan2"}</definedName>
    <definedName name="SDFOPJKWE" localSheetId="12" hidden="1">{#N/A,#N/A,FALSE,"Plan1";#N/A,#N/A,FALSE,"Plan2"}</definedName>
    <definedName name="SDFOPJKWE" localSheetId="16" hidden="1">{#N/A,#N/A,FALSE,"Plan1";#N/A,#N/A,FALSE,"Plan2"}</definedName>
    <definedName name="SDFOPJKWE" localSheetId="0" hidden="1">{#N/A,#N/A,FALSE,"Plan1";#N/A,#N/A,FALSE,"Plan2"}</definedName>
    <definedName name="SDFOPJKWE" localSheetId="11" hidden="1">{#N/A,#N/A,FALSE,"Plan1";#N/A,#N/A,FALSE,"Plan2"}</definedName>
    <definedName name="SDFOPJKWE" localSheetId="13" hidden="1">{#N/A,#N/A,FALSE,"Plan1";#N/A,#N/A,FALSE,"Plan2"}</definedName>
    <definedName name="SDFOPJKWE" hidden="1">{#N/A,#N/A,FALSE,"Plan1";#N/A,#N/A,FALSE,"Plan2"}</definedName>
    <definedName name="sdfrdt5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4" hidden="1">{#N/A,#N/A,FALSE,"Plan1";#N/A,#N/A,FALSE,"Plan2"}</definedName>
    <definedName name="sdfrt" localSheetId="7" hidden="1">{#N/A,#N/A,FALSE,"Plan1";#N/A,#N/A,FALSE,"Plan2"}</definedName>
    <definedName name="sdfrt" localSheetId="1" hidden="1">{#N/A,#N/A,FALSE,"Plan1";#N/A,#N/A,FALSE,"Plan2"}</definedName>
    <definedName name="sdfrt" localSheetId="2" hidden="1">{#N/A,#N/A,FALSE,"Plan1";#N/A,#N/A,FALSE,"Plan2"}</definedName>
    <definedName name="sdfrt" localSheetId="9" hidden="1">{#N/A,#N/A,FALSE,"Plan1";#N/A,#N/A,FALSE,"Plan2"}</definedName>
    <definedName name="sdfrt" localSheetId="5" hidden="1">{#N/A,#N/A,FALSE,"Plan1";#N/A,#N/A,FALSE,"Plan2"}</definedName>
    <definedName name="sdfrt" localSheetId="4" hidden="1">{#N/A,#N/A,FALSE,"Plan1";#N/A,#N/A,FALSE,"Plan2"}</definedName>
    <definedName name="sdfrt" localSheetId="8" hidden="1">{#N/A,#N/A,FALSE,"Plan1";#N/A,#N/A,FALSE,"Plan2"}</definedName>
    <definedName name="sdfrt" localSheetId="12" hidden="1">{#N/A,#N/A,FALSE,"Plan1";#N/A,#N/A,FALSE,"Plan2"}</definedName>
    <definedName name="sdfrt" localSheetId="16" hidden="1">{#N/A,#N/A,FALSE,"Plan1";#N/A,#N/A,FALSE,"Plan2"}</definedName>
    <definedName name="sdfrt" localSheetId="0" hidden="1">{#N/A,#N/A,FALSE,"Plan1";#N/A,#N/A,FALSE,"Plan2"}</definedName>
    <definedName name="sdfrt" localSheetId="11" hidden="1">{#N/A,#N/A,FALSE,"Plan1";#N/A,#N/A,FALSE,"Plan2"}</definedName>
    <definedName name="sdfrt" localSheetId="13" hidden="1">{#N/A,#N/A,FALSE,"Plan1";#N/A,#N/A,FALSE,"Plan2"}</definedName>
    <definedName name="sdfrt" hidden="1">{#N/A,#N/A,FALSE,"Plan1";#N/A,#N/A,FALSE,"Plan2"}</definedName>
    <definedName name="SDFRTKK" localSheetId="14" hidden="1">{#N/A,#N/A,FALSE,"Plan1";#N/A,#N/A,FALSE,"Plan2"}</definedName>
    <definedName name="SDFRTKK" localSheetId="7" hidden="1">{#N/A,#N/A,FALSE,"Plan1";#N/A,#N/A,FALSE,"Plan2"}</definedName>
    <definedName name="SDFRTKK" localSheetId="1" hidden="1">{#N/A,#N/A,FALSE,"Plan1";#N/A,#N/A,FALSE,"Plan2"}</definedName>
    <definedName name="SDFRTKK" localSheetId="2" hidden="1">{#N/A,#N/A,FALSE,"Plan1";#N/A,#N/A,FALSE,"Plan2"}</definedName>
    <definedName name="SDFRTKK" localSheetId="9" hidden="1">{#N/A,#N/A,FALSE,"Plan1";#N/A,#N/A,FALSE,"Plan2"}</definedName>
    <definedName name="SDFRTKK" localSheetId="5" hidden="1">{#N/A,#N/A,FALSE,"Plan1";#N/A,#N/A,FALSE,"Plan2"}</definedName>
    <definedName name="SDFRTKK" localSheetId="4" hidden="1">{#N/A,#N/A,FALSE,"Plan1";#N/A,#N/A,FALSE,"Plan2"}</definedName>
    <definedName name="SDFRTKK" localSheetId="8" hidden="1">{#N/A,#N/A,FALSE,"Plan1";#N/A,#N/A,FALSE,"Plan2"}</definedName>
    <definedName name="SDFRTKK" localSheetId="12" hidden="1">{#N/A,#N/A,FALSE,"Plan1";#N/A,#N/A,FALSE,"Plan2"}</definedName>
    <definedName name="SDFRTKK" localSheetId="16" hidden="1">{#N/A,#N/A,FALSE,"Plan1";#N/A,#N/A,FALSE,"Plan2"}</definedName>
    <definedName name="SDFRTKK" localSheetId="0" hidden="1">{#N/A,#N/A,FALSE,"Plan1";#N/A,#N/A,FALSE,"Plan2"}</definedName>
    <definedName name="SDFRTKK" localSheetId="11" hidden="1">{#N/A,#N/A,FALSE,"Plan1";#N/A,#N/A,FALSE,"Plan2"}</definedName>
    <definedName name="SDFRTKK" localSheetId="13" hidden="1">{#N/A,#N/A,FALSE,"Plan1";#N/A,#N/A,FALSE,"Plan2"}</definedName>
    <definedName name="SDFRTKK" hidden="1">{#N/A,#N/A,FALSE,"Plan1";#N/A,#N/A,FALSE,"Plan2"}</definedName>
    <definedName name="SDFRTR" localSheetId="14" hidden="1">{#N/A,#N/A,FALSE,"Plan1";#N/A,#N/A,FALSE,"Plan2"}</definedName>
    <definedName name="SDFRTR" localSheetId="7" hidden="1">{#N/A,#N/A,FALSE,"Plan1";#N/A,#N/A,FALSE,"Plan2"}</definedName>
    <definedName name="SDFRTR" localSheetId="1" hidden="1">{#N/A,#N/A,FALSE,"Plan1";#N/A,#N/A,FALSE,"Plan2"}</definedName>
    <definedName name="SDFRTR" localSheetId="2" hidden="1">{#N/A,#N/A,FALSE,"Plan1";#N/A,#N/A,FALSE,"Plan2"}</definedName>
    <definedName name="SDFRTR" localSheetId="9" hidden="1">{#N/A,#N/A,FALSE,"Plan1";#N/A,#N/A,FALSE,"Plan2"}</definedName>
    <definedName name="SDFRTR" localSheetId="5" hidden="1">{#N/A,#N/A,FALSE,"Plan1";#N/A,#N/A,FALSE,"Plan2"}</definedName>
    <definedName name="SDFRTR" localSheetId="4" hidden="1">{#N/A,#N/A,FALSE,"Plan1";#N/A,#N/A,FALSE,"Plan2"}</definedName>
    <definedName name="SDFRTR" localSheetId="8" hidden="1">{#N/A,#N/A,FALSE,"Plan1";#N/A,#N/A,FALSE,"Plan2"}</definedName>
    <definedName name="SDFRTR" localSheetId="12" hidden="1">{#N/A,#N/A,FALSE,"Plan1";#N/A,#N/A,FALSE,"Plan2"}</definedName>
    <definedName name="SDFRTR" localSheetId="16" hidden="1">{#N/A,#N/A,FALSE,"Plan1";#N/A,#N/A,FALSE,"Plan2"}</definedName>
    <definedName name="SDFRTR" localSheetId="0" hidden="1">{#N/A,#N/A,FALSE,"Plan1";#N/A,#N/A,FALSE,"Plan2"}</definedName>
    <definedName name="SDFRTR" localSheetId="11" hidden="1">{#N/A,#N/A,FALSE,"Plan1";#N/A,#N/A,FALSE,"Plan2"}</definedName>
    <definedName name="SDFRTR" localSheetId="13" hidden="1">{#N/A,#N/A,FALSE,"Plan1";#N/A,#N/A,FALSE,"Plan2"}</definedName>
    <definedName name="SDFRTR" hidden="1">{#N/A,#N/A,FALSE,"Plan1";#N/A,#N/A,FALSE,"Plan2"}</definedName>
    <definedName name="sdfry6" localSheetId="14" hidden="1">{#N/A,#N/A,FALSE,"Plan1";#N/A,#N/A,FALSE,"Plan2"}</definedName>
    <definedName name="sdfry6" localSheetId="7" hidden="1">{#N/A,#N/A,FALSE,"Plan1";#N/A,#N/A,FALSE,"Plan2"}</definedName>
    <definedName name="sdfry6" localSheetId="1" hidden="1">{#N/A,#N/A,FALSE,"Plan1";#N/A,#N/A,FALSE,"Plan2"}</definedName>
    <definedName name="sdfry6" localSheetId="2" hidden="1">{#N/A,#N/A,FALSE,"Plan1";#N/A,#N/A,FALSE,"Plan2"}</definedName>
    <definedName name="sdfry6" localSheetId="9" hidden="1">{#N/A,#N/A,FALSE,"Plan1";#N/A,#N/A,FALSE,"Plan2"}</definedName>
    <definedName name="sdfry6" localSheetId="5" hidden="1">{#N/A,#N/A,FALSE,"Plan1";#N/A,#N/A,FALSE,"Plan2"}</definedName>
    <definedName name="sdfry6" localSheetId="4" hidden="1">{#N/A,#N/A,FALSE,"Plan1";#N/A,#N/A,FALSE,"Plan2"}</definedName>
    <definedName name="sdfry6" localSheetId="8" hidden="1">{#N/A,#N/A,FALSE,"Plan1";#N/A,#N/A,FALSE,"Plan2"}</definedName>
    <definedName name="sdfry6" localSheetId="12" hidden="1">{#N/A,#N/A,FALSE,"Plan1";#N/A,#N/A,FALSE,"Plan2"}</definedName>
    <definedName name="sdfry6" localSheetId="16" hidden="1">{#N/A,#N/A,FALSE,"Plan1";#N/A,#N/A,FALSE,"Plan2"}</definedName>
    <definedName name="sdfry6" localSheetId="0" hidden="1">{#N/A,#N/A,FALSE,"Plan1";#N/A,#N/A,FALSE,"Plan2"}</definedName>
    <definedName name="sdfry6" localSheetId="11" hidden="1">{#N/A,#N/A,FALSE,"Plan1";#N/A,#N/A,FALSE,"Plan2"}</definedName>
    <definedName name="sdfry6" localSheetId="13" hidden="1">{#N/A,#N/A,FALSE,"Plan1";#N/A,#N/A,FALSE,"Plan2"}</definedName>
    <definedName name="sdfry6" hidden="1">{#N/A,#N/A,FALSE,"Plan1";#N/A,#N/A,FALSE,"Plan2"}</definedName>
    <definedName name="sdfsaf" localSheetId="14" hidden="1">{#N/A,#N/A,FALSE,"Plan1";#N/A,#N/A,FALSE,"Plan2"}</definedName>
    <definedName name="sdfsaf" localSheetId="7" hidden="1">{#N/A,#N/A,FALSE,"Plan1";#N/A,#N/A,FALSE,"Plan2"}</definedName>
    <definedName name="sdfsaf" localSheetId="1" hidden="1">{#N/A,#N/A,FALSE,"Plan1";#N/A,#N/A,FALSE,"Plan2"}</definedName>
    <definedName name="sdfsaf" localSheetId="2" hidden="1">{#N/A,#N/A,FALSE,"Plan1";#N/A,#N/A,FALSE,"Plan2"}</definedName>
    <definedName name="sdfsaf" localSheetId="9" hidden="1">{#N/A,#N/A,FALSE,"Plan1";#N/A,#N/A,FALSE,"Plan2"}</definedName>
    <definedName name="sdfsaf" localSheetId="5" hidden="1">{#N/A,#N/A,FALSE,"Plan1";#N/A,#N/A,FALSE,"Plan2"}</definedName>
    <definedName name="sdfsaf" localSheetId="4" hidden="1">{#N/A,#N/A,FALSE,"Plan1";#N/A,#N/A,FALSE,"Plan2"}</definedName>
    <definedName name="sdfsaf" localSheetId="8" hidden="1">{#N/A,#N/A,FALSE,"Plan1";#N/A,#N/A,FALSE,"Plan2"}</definedName>
    <definedName name="sdfsaf" localSheetId="12" hidden="1">{#N/A,#N/A,FALSE,"Plan1";#N/A,#N/A,FALSE,"Plan2"}</definedName>
    <definedName name="sdfsaf" localSheetId="16" hidden="1">{#N/A,#N/A,FALSE,"Plan1";#N/A,#N/A,FALSE,"Plan2"}</definedName>
    <definedName name="sdfsaf" localSheetId="0" hidden="1">{#N/A,#N/A,FALSE,"Plan1";#N/A,#N/A,FALSE,"Plan2"}</definedName>
    <definedName name="sdfsaf" localSheetId="11" hidden="1">{#N/A,#N/A,FALSE,"Plan1";#N/A,#N/A,FALSE,"Plan2"}</definedName>
    <definedName name="sdfsaf" localSheetId="13" hidden="1">{#N/A,#N/A,FALSE,"Plan1";#N/A,#N/A,FALSE,"Plan2"}</definedName>
    <definedName name="sdfsaf" hidden="1">{#N/A,#N/A,FALSE,"Plan1";#N/A,#N/A,FALSE,"Plan2"}</definedName>
    <definedName name="sdfsd" localSheetId="14" hidden="1">{"'Estimativa de Lançamento-JAN'!$A$1:$AI$85"}</definedName>
    <definedName name="sdfsd" localSheetId="7" hidden="1">{"'Estimativa de Lançamento-JAN'!$A$1:$AI$85"}</definedName>
    <definedName name="sdfsd" localSheetId="1" hidden="1">{"'Estimativa de Lançamento-JAN'!$A$1:$AI$85"}</definedName>
    <definedName name="sdfsd" localSheetId="2" hidden="1">{"'Estimativa de Lançamento-JAN'!$A$1:$AI$85"}</definedName>
    <definedName name="sdfsd" localSheetId="9" hidden="1">{"'Estimativa de Lançamento-JAN'!$A$1:$AI$85"}</definedName>
    <definedName name="sdfsd" localSheetId="5" hidden="1">{"'Estimativa de Lançamento-JAN'!$A$1:$AI$85"}</definedName>
    <definedName name="sdfsd" localSheetId="4" hidden="1">{"'Estimativa de Lançamento-JAN'!$A$1:$AI$85"}</definedName>
    <definedName name="sdfsd" localSheetId="8" hidden="1">{"'Estimativa de Lançamento-JAN'!$A$1:$AI$85"}</definedName>
    <definedName name="sdfsd" localSheetId="12" hidden="1">{"'Estimativa de Lançamento-JAN'!$A$1:$AI$85"}</definedName>
    <definedName name="sdfsd" localSheetId="16" hidden="1">{"'Estimativa de Lançamento-JAN'!$A$1:$AI$85"}</definedName>
    <definedName name="sdfsd" localSheetId="0" hidden="1">{"'Estimativa de Lançamento-JAN'!$A$1:$AI$85"}</definedName>
    <definedName name="sdfsd" localSheetId="11" hidden="1">{"'Estimativa de Lançamento-JAN'!$A$1:$AI$85"}</definedName>
    <definedName name="sdfsd" localSheetId="13" hidden="1">{"'Estimativa de Lançamento-JAN'!$A$1:$AI$85"}</definedName>
    <definedName name="sdfsd" hidden="1">{"'Estimativa de Lançamento-JAN'!$A$1:$AI$85"}</definedName>
    <definedName name="sdfsdfg" localSheetId="14" hidden="1">{#N/A,#N/A,FALSE,"Plan1";#N/A,#N/A,FALSE,"Plan2"}</definedName>
    <definedName name="sdfsdfg" localSheetId="7" hidden="1">{#N/A,#N/A,FALSE,"Plan1";#N/A,#N/A,FALSE,"Plan2"}</definedName>
    <definedName name="sdfsdfg" localSheetId="1" hidden="1">{#N/A,#N/A,FALSE,"Plan1";#N/A,#N/A,FALSE,"Plan2"}</definedName>
    <definedName name="sdfsdfg" localSheetId="2" hidden="1">{#N/A,#N/A,FALSE,"Plan1";#N/A,#N/A,FALSE,"Plan2"}</definedName>
    <definedName name="sdfsdfg" localSheetId="9" hidden="1">{#N/A,#N/A,FALSE,"Plan1";#N/A,#N/A,FALSE,"Plan2"}</definedName>
    <definedName name="sdfsdfg" localSheetId="5" hidden="1">{#N/A,#N/A,FALSE,"Plan1";#N/A,#N/A,FALSE,"Plan2"}</definedName>
    <definedName name="sdfsdfg" localSheetId="4" hidden="1">{#N/A,#N/A,FALSE,"Plan1";#N/A,#N/A,FALSE,"Plan2"}</definedName>
    <definedName name="sdfsdfg" localSheetId="8" hidden="1">{#N/A,#N/A,FALSE,"Plan1";#N/A,#N/A,FALSE,"Plan2"}</definedName>
    <definedName name="sdfsdfg" localSheetId="12" hidden="1">{#N/A,#N/A,FALSE,"Plan1";#N/A,#N/A,FALSE,"Plan2"}</definedName>
    <definedName name="sdfsdfg" localSheetId="16" hidden="1">{#N/A,#N/A,FALSE,"Plan1";#N/A,#N/A,FALSE,"Plan2"}</definedName>
    <definedName name="sdfsdfg" localSheetId="0" hidden="1">{#N/A,#N/A,FALSE,"Plan1";#N/A,#N/A,FALSE,"Plan2"}</definedName>
    <definedName name="sdfsdfg" localSheetId="11" hidden="1">{#N/A,#N/A,FALSE,"Plan1";#N/A,#N/A,FALSE,"Plan2"}</definedName>
    <definedName name="sdfsdfg" localSheetId="13" hidden="1">{#N/A,#N/A,FALSE,"Plan1";#N/A,#N/A,FALSE,"Plan2"}</definedName>
    <definedName name="sdfsdfg" hidden="1">{#N/A,#N/A,FALSE,"Plan1";#N/A,#N/A,FALSE,"Plan2"}</definedName>
    <definedName name="SDFSDFK" localSheetId="14" hidden="1">{#N/A,#N/A,FALSE,"Plan1";#N/A,#N/A,FALSE,"Plan2"}</definedName>
    <definedName name="SDFSDFK" localSheetId="7" hidden="1">{#N/A,#N/A,FALSE,"Plan1";#N/A,#N/A,FALSE,"Plan2"}</definedName>
    <definedName name="SDFSDFK" localSheetId="1" hidden="1">{#N/A,#N/A,FALSE,"Plan1";#N/A,#N/A,FALSE,"Plan2"}</definedName>
    <definedName name="SDFSDFK" localSheetId="2" hidden="1">{#N/A,#N/A,FALSE,"Plan1";#N/A,#N/A,FALSE,"Plan2"}</definedName>
    <definedName name="SDFSDFK" localSheetId="9" hidden="1">{#N/A,#N/A,FALSE,"Plan1";#N/A,#N/A,FALSE,"Plan2"}</definedName>
    <definedName name="SDFSDFK" localSheetId="5" hidden="1">{#N/A,#N/A,FALSE,"Plan1";#N/A,#N/A,FALSE,"Plan2"}</definedName>
    <definedName name="SDFSDFK" localSheetId="4" hidden="1">{#N/A,#N/A,FALSE,"Plan1";#N/A,#N/A,FALSE,"Plan2"}</definedName>
    <definedName name="SDFSDFK" localSheetId="8" hidden="1">{#N/A,#N/A,FALSE,"Plan1";#N/A,#N/A,FALSE,"Plan2"}</definedName>
    <definedName name="SDFSDFK" localSheetId="12" hidden="1">{#N/A,#N/A,FALSE,"Plan1";#N/A,#N/A,FALSE,"Plan2"}</definedName>
    <definedName name="SDFSDFK" localSheetId="16" hidden="1">{#N/A,#N/A,FALSE,"Plan1";#N/A,#N/A,FALSE,"Plan2"}</definedName>
    <definedName name="SDFSDFK" localSheetId="0" hidden="1">{#N/A,#N/A,FALSE,"Plan1";#N/A,#N/A,FALSE,"Plan2"}</definedName>
    <definedName name="SDFSDFK" localSheetId="11" hidden="1">{#N/A,#N/A,FALSE,"Plan1";#N/A,#N/A,FALSE,"Plan2"}</definedName>
    <definedName name="SDFSDFK" localSheetId="13" hidden="1">{#N/A,#N/A,FALSE,"Plan1";#N/A,#N/A,FALSE,"Plan2"}</definedName>
    <definedName name="SDFSDFK" hidden="1">{#N/A,#N/A,FALSE,"Plan1";#N/A,#N/A,FALSE,"Plan2"}</definedName>
    <definedName name="sdfsdgftret" localSheetId="14" hidden="1">{#N/A,#N/A,FALSE,"Plan1";#N/A,#N/A,FALSE,"Plan2"}</definedName>
    <definedName name="sdfsdgftret" localSheetId="7" hidden="1">{#N/A,#N/A,FALSE,"Plan1";#N/A,#N/A,FALSE,"Plan2"}</definedName>
    <definedName name="sdfsdgftret" localSheetId="1" hidden="1">{#N/A,#N/A,FALSE,"Plan1";#N/A,#N/A,FALSE,"Plan2"}</definedName>
    <definedName name="sdfsdgftret" localSheetId="2" hidden="1">{#N/A,#N/A,FALSE,"Plan1";#N/A,#N/A,FALSE,"Plan2"}</definedName>
    <definedName name="sdfsdgftret" localSheetId="9" hidden="1">{#N/A,#N/A,FALSE,"Plan1";#N/A,#N/A,FALSE,"Plan2"}</definedName>
    <definedName name="sdfsdgftret" localSheetId="5" hidden="1">{#N/A,#N/A,FALSE,"Plan1";#N/A,#N/A,FALSE,"Plan2"}</definedName>
    <definedName name="sdfsdgftret" localSheetId="4" hidden="1">{#N/A,#N/A,FALSE,"Plan1";#N/A,#N/A,FALSE,"Plan2"}</definedName>
    <definedName name="sdfsdgftret" localSheetId="8" hidden="1">{#N/A,#N/A,FALSE,"Plan1";#N/A,#N/A,FALSE,"Plan2"}</definedName>
    <definedName name="sdfsdgftret" localSheetId="12" hidden="1">{#N/A,#N/A,FALSE,"Plan1";#N/A,#N/A,FALSE,"Plan2"}</definedName>
    <definedName name="sdfsdgftret" localSheetId="16" hidden="1">{#N/A,#N/A,FALSE,"Plan1";#N/A,#N/A,FALSE,"Plan2"}</definedName>
    <definedName name="sdfsdgftret" localSheetId="0" hidden="1">{#N/A,#N/A,FALSE,"Plan1";#N/A,#N/A,FALSE,"Plan2"}</definedName>
    <definedName name="sdfsdgftret" localSheetId="11" hidden="1">{#N/A,#N/A,FALSE,"Plan1";#N/A,#N/A,FALSE,"Plan2"}</definedName>
    <definedName name="sdfsdgftret" localSheetId="13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14" hidden="1">{#N/A,#N/A,FALSE,"Plan1";#N/A,#N/A,FALSE,"Plan2"}</definedName>
    <definedName name="SDF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" hidden="1">{#N/A,#N/A,FALSE,"Plan1";#N/A,#N/A,FALSE,"Plan2"}</definedName>
    <definedName name="sdfsf" localSheetId="2" hidden="1">{#N/A,#N/A,FALSE,"Plan1";#N/A,#N/A,FALSE,"Plan2"}</definedName>
    <definedName name="SDFS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5" hidden="1">{#N/A,#N/A,FALSE,"Plan1";#N/A,#N/A,FALSE,"Plan2"}</definedName>
    <definedName name="sdfsf" localSheetId="4" hidden="1">{#N/A,#N/A,FALSE,"Plan1";#N/A,#N/A,FALSE,"Plan2"}</definedName>
    <definedName name="SDFS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2" hidden="1">{#N/A,#N/A,FALSE,"Plan1";#N/A,#N/A,FALSE,"Plan2"}</definedName>
    <definedName name="sdfsf" localSheetId="16" hidden="1">{#N/A,#N/A,FALSE,"Plan1";#N/A,#N/A,FALSE,"Plan2"}</definedName>
    <definedName name="sdfsf" localSheetId="0" hidden="1">{#N/A,#N/A,FALSE,"Plan1";#N/A,#N/A,FALSE,"Plan2"}</definedName>
    <definedName name="sdfsf" localSheetId="11" hidden="1">{#N/A,#N/A,FALSE,"Plan1";#N/A,#N/A,FALSE,"Plan2"}</definedName>
    <definedName name="sdfsf" localSheetId="13" hidden="1">{#N/A,#N/A,FALSE,"Plan1";#N/A,#N/A,FALSE,"Plan2"}</definedName>
    <definedName name="sdfsf" hidden="1">{#N/A,#N/A,FALSE,"Plan1";#N/A,#N/A,FALSE,"Plan2"}</definedName>
    <definedName name="SDFSFRT" localSheetId="14" hidden="1">{"Econ Consolidado",#N/A,FALSE,"Econ Consol";"Fluxo de Caixa",#N/A,FALSE,"Fluxo Caixa";"Investimentos",#N/A,FALSE,"Investimentos"}</definedName>
    <definedName name="SDFSFRT" localSheetId="7" hidden="1">{"Econ Consolidado",#N/A,FALSE,"Econ Consol";"Fluxo de Caixa",#N/A,FALSE,"Fluxo Caixa";"Investimentos",#N/A,FALSE,"Investimentos"}</definedName>
    <definedName name="SDFSFRT" localSheetId="1" hidden="1">{"Econ Consolidado",#N/A,FALSE,"Econ Consol";"Fluxo de Caixa",#N/A,FALSE,"Fluxo Caixa";"Investimentos",#N/A,FALSE,"Investimentos"}</definedName>
    <definedName name="SDFSFRT" localSheetId="2" hidden="1">{"Econ Consolidado",#N/A,FALSE,"Econ Consol";"Fluxo de Caixa",#N/A,FALSE,"Fluxo Caixa";"Investimentos",#N/A,FALSE,"Investimentos"}</definedName>
    <definedName name="SDFSFRT" localSheetId="9" hidden="1">{"Econ Consolidado",#N/A,FALSE,"Econ Consol";"Fluxo de Caixa",#N/A,FALSE,"Fluxo Caixa";"Investimentos",#N/A,FALSE,"Investimentos"}</definedName>
    <definedName name="SDFSFRT" localSheetId="5" hidden="1">{"Econ Consolidado",#N/A,FALSE,"Econ Consol";"Fluxo de Caixa",#N/A,FALSE,"Fluxo Caixa";"Investimentos",#N/A,FALSE,"Investimentos"}</definedName>
    <definedName name="SDFSFRT" localSheetId="4" hidden="1">{"Econ Consolidado",#N/A,FALSE,"Econ Consol";"Fluxo de Caixa",#N/A,FALSE,"Fluxo Caixa";"Investimentos",#N/A,FALSE,"Investimentos"}</definedName>
    <definedName name="SDFSFRT" localSheetId="8" hidden="1">{"Econ Consolidado",#N/A,FALSE,"Econ Consol";"Fluxo de Caixa",#N/A,FALSE,"Fluxo Caixa";"Investimentos",#N/A,FALSE,"Investimentos"}</definedName>
    <definedName name="SDFSFRT" localSheetId="12" hidden="1">{"Econ Consolidado",#N/A,FALSE,"Econ Consol";"Fluxo de Caixa",#N/A,FALSE,"Fluxo Caixa";"Investimentos",#N/A,FALSE,"Investimentos"}</definedName>
    <definedName name="SDFSFRT" localSheetId="16" hidden="1">{"Econ Consolidado",#N/A,FALSE,"Econ Consol";"Fluxo de Caixa",#N/A,FALSE,"Fluxo Caixa";"Investimentos",#N/A,FALSE,"Investimentos"}</definedName>
    <definedName name="SDFSFRT" localSheetId="0" hidden="1">{"Econ Consolidado",#N/A,FALSE,"Econ Consol";"Fluxo de Caixa",#N/A,FALSE,"Fluxo Caixa";"Investimentos",#N/A,FALSE,"Investimentos"}</definedName>
    <definedName name="SDFSFRT" localSheetId="11" hidden="1">{"Econ Consolidado",#N/A,FALSE,"Econ Consol";"Fluxo de Caixa",#N/A,FALSE,"Fluxo Caixa";"Investimentos",#N/A,FALSE,"Investimentos"}</definedName>
    <definedName name="SDFSFRT" localSheetId="13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14" hidden="1">{#N/A,#N/A,FALSE,"Plan1";#N/A,#N/A,FALSE,"Plan2"}</definedName>
    <definedName name="sdfsr" localSheetId="7" hidden="1">{#N/A,#N/A,FALSE,"Plan1";#N/A,#N/A,FALSE,"Plan2"}</definedName>
    <definedName name="sdfsr" localSheetId="1" hidden="1">{#N/A,#N/A,FALSE,"Plan1";#N/A,#N/A,FALSE,"Plan2"}</definedName>
    <definedName name="sdfsr" localSheetId="2" hidden="1">{#N/A,#N/A,FALSE,"Plan1";#N/A,#N/A,FALSE,"Plan2"}</definedName>
    <definedName name="sdfsr" localSheetId="9" hidden="1">{#N/A,#N/A,FALSE,"Plan1";#N/A,#N/A,FALSE,"Plan2"}</definedName>
    <definedName name="sdfsr" localSheetId="5" hidden="1">{#N/A,#N/A,FALSE,"Plan1";#N/A,#N/A,FALSE,"Plan2"}</definedName>
    <definedName name="sdfsr" localSheetId="4" hidden="1">{#N/A,#N/A,FALSE,"Plan1";#N/A,#N/A,FALSE,"Plan2"}</definedName>
    <definedName name="sdfsr" localSheetId="8" hidden="1">{#N/A,#N/A,FALSE,"Plan1";#N/A,#N/A,FALSE,"Plan2"}</definedName>
    <definedName name="sdfsr" localSheetId="12" hidden="1">{#N/A,#N/A,FALSE,"Plan1";#N/A,#N/A,FALSE,"Plan2"}</definedName>
    <definedName name="sdfsr" localSheetId="16" hidden="1">{#N/A,#N/A,FALSE,"Plan1";#N/A,#N/A,FALSE,"Plan2"}</definedName>
    <definedName name="sdfsr" localSheetId="0" hidden="1">{#N/A,#N/A,FALSE,"Plan1";#N/A,#N/A,FALSE,"Plan2"}</definedName>
    <definedName name="sdfsr" localSheetId="11" hidden="1">{#N/A,#N/A,FALSE,"Plan1";#N/A,#N/A,FALSE,"Plan2"}</definedName>
    <definedName name="sdfsr" localSheetId="13" hidden="1">{#N/A,#N/A,FALSE,"Plan1";#N/A,#N/A,FALSE,"Plan2"}</definedName>
    <definedName name="sdfsr" hidden="1">{#N/A,#N/A,FALSE,"Plan1";#N/A,#N/A,FALSE,"Plan2"}</definedName>
    <definedName name="sdfty" localSheetId="14" hidden="1">{#N/A,#N/A,FALSE,"Plan1";#N/A,#N/A,FALSE,"Plan2"}</definedName>
    <definedName name="sdfty" localSheetId="7" hidden="1">{#N/A,#N/A,FALSE,"Plan1";#N/A,#N/A,FALSE,"Plan2"}</definedName>
    <definedName name="sdfty" localSheetId="1" hidden="1">{#N/A,#N/A,FALSE,"Plan1";#N/A,#N/A,FALSE,"Plan2"}</definedName>
    <definedName name="sdfty" localSheetId="2" hidden="1">{#N/A,#N/A,FALSE,"Plan1";#N/A,#N/A,FALSE,"Plan2"}</definedName>
    <definedName name="sdfty" localSheetId="9" hidden="1">{#N/A,#N/A,FALSE,"Plan1";#N/A,#N/A,FALSE,"Plan2"}</definedName>
    <definedName name="sdfty" localSheetId="5" hidden="1">{#N/A,#N/A,FALSE,"Plan1";#N/A,#N/A,FALSE,"Plan2"}</definedName>
    <definedName name="sdfty" localSheetId="4" hidden="1">{#N/A,#N/A,FALSE,"Plan1";#N/A,#N/A,FALSE,"Plan2"}</definedName>
    <definedName name="sdfty" localSheetId="8" hidden="1">{#N/A,#N/A,FALSE,"Plan1";#N/A,#N/A,FALSE,"Plan2"}</definedName>
    <definedName name="sdfty" localSheetId="12" hidden="1">{#N/A,#N/A,FALSE,"Plan1";#N/A,#N/A,FALSE,"Plan2"}</definedName>
    <definedName name="sdfty" localSheetId="16" hidden="1">{#N/A,#N/A,FALSE,"Plan1";#N/A,#N/A,FALSE,"Plan2"}</definedName>
    <definedName name="sdfty" localSheetId="0" hidden="1">{#N/A,#N/A,FALSE,"Plan1";#N/A,#N/A,FALSE,"Plan2"}</definedName>
    <definedName name="sdfty" localSheetId="11" hidden="1">{#N/A,#N/A,FALSE,"Plan1";#N/A,#N/A,FALSE,"Plan2"}</definedName>
    <definedName name="sdfty" localSheetId="13" hidden="1">{#N/A,#N/A,FALSE,"Plan1";#N/A,#N/A,FALSE,"Plan2"}</definedName>
    <definedName name="sdfty" hidden="1">{#N/A,#N/A,FALSE,"Plan1";#N/A,#N/A,FALSE,"Plan2"}</definedName>
    <definedName name="sdgdf" localSheetId="14" hidden="1">{#N/A,#N/A,FALSE,"Plan1";#N/A,#N/A,FALSE,"Plan2"}</definedName>
    <definedName name="sdgdf" localSheetId="7" hidden="1">{#N/A,#N/A,FALSE,"Plan1";#N/A,#N/A,FALSE,"Plan2"}</definedName>
    <definedName name="sdgdf" localSheetId="1" hidden="1">{#N/A,#N/A,FALSE,"Plan1";#N/A,#N/A,FALSE,"Plan2"}</definedName>
    <definedName name="sdgdf" localSheetId="2" hidden="1">{#N/A,#N/A,FALSE,"Plan1";#N/A,#N/A,FALSE,"Plan2"}</definedName>
    <definedName name="sdgdf" localSheetId="9" hidden="1">{#N/A,#N/A,FALSE,"Plan1";#N/A,#N/A,FALSE,"Plan2"}</definedName>
    <definedName name="sdgdf" localSheetId="5" hidden="1">{#N/A,#N/A,FALSE,"Plan1";#N/A,#N/A,FALSE,"Plan2"}</definedName>
    <definedName name="sdgdf" localSheetId="4" hidden="1">{#N/A,#N/A,FALSE,"Plan1";#N/A,#N/A,FALSE,"Plan2"}</definedName>
    <definedName name="sdgdf" localSheetId="8" hidden="1">{#N/A,#N/A,FALSE,"Plan1";#N/A,#N/A,FALSE,"Plan2"}</definedName>
    <definedName name="sdgdf" localSheetId="12" hidden="1">{#N/A,#N/A,FALSE,"Plan1";#N/A,#N/A,FALSE,"Plan2"}</definedName>
    <definedName name="sdgdf" localSheetId="16" hidden="1">{#N/A,#N/A,FALSE,"Plan1";#N/A,#N/A,FALSE,"Plan2"}</definedName>
    <definedName name="sdgdf" localSheetId="0" hidden="1">{#N/A,#N/A,FALSE,"Plan1";#N/A,#N/A,FALSE,"Plan2"}</definedName>
    <definedName name="sdgdf" localSheetId="11" hidden="1">{#N/A,#N/A,FALSE,"Plan1";#N/A,#N/A,FALSE,"Plan2"}</definedName>
    <definedName name="sdgdf" localSheetId="13" hidden="1">{#N/A,#N/A,FALSE,"Plan1";#N/A,#N/A,FALSE,"Plan2"}</definedName>
    <definedName name="sdgdf" hidden="1">{#N/A,#N/A,FALSE,"Plan1";#N/A,#N/A,FALSE,"Plan2"}</definedName>
    <definedName name="sdgfrt" localSheetId="14" hidden="1">{#N/A,#N/A,FALSE,"Plan1";#N/A,#N/A,FALSE,"Plan2"}</definedName>
    <definedName name="sdgfrt" localSheetId="7" hidden="1">{#N/A,#N/A,FALSE,"Plan1";#N/A,#N/A,FALSE,"Plan2"}</definedName>
    <definedName name="sdgfrt" localSheetId="1" hidden="1">{#N/A,#N/A,FALSE,"Plan1";#N/A,#N/A,FALSE,"Plan2"}</definedName>
    <definedName name="sdgfrt" localSheetId="2" hidden="1">{#N/A,#N/A,FALSE,"Plan1";#N/A,#N/A,FALSE,"Plan2"}</definedName>
    <definedName name="sdgfrt" localSheetId="9" hidden="1">{#N/A,#N/A,FALSE,"Plan1";#N/A,#N/A,FALSE,"Plan2"}</definedName>
    <definedName name="sdgfrt" localSheetId="5" hidden="1">{#N/A,#N/A,FALSE,"Plan1";#N/A,#N/A,FALSE,"Plan2"}</definedName>
    <definedName name="sdgfrt" localSheetId="4" hidden="1">{#N/A,#N/A,FALSE,"Plan1";#N/A,#N/A,FALSE,"Plan2"}</definedName>
    <definedName name="sdgfrt" localSheetId="8" hidden="1">{#N/A,#N/A,FALSE,"Plan1";#N/A,#N/A,FALSE,"Plan2"}</definedName>
    <definedName name="sdgfrt" localSheetId="12" hidden="1">{#N/A,#N/A,FALSE,"Plan1";#N/A,#N/A,FALSE,"Plan2"}</definedName>
    <definedName name="sdgfrt" localSheetId="16" hidden="1">{#N/A,#N/A,FALSE,"Plan1";#N/A,#N/A,FALSE,"Plan2"}</definedName>
    <definedName name="sdgfrt" localSheetId="0" hidden="1">{#N/A,#N/A,FALSE,"Plan1";#N/A,#N/A,FALSE,"Plan2"}</definedName>
    <definedName name="sdgfrt" localSheetId="11" hidden="1">{#N/A,#N/A,FALSE,"Plan1";#N/A,#N/A,FALSE,"Plan2"}</definedName>
    <definedName name="sdgfrt" localSheetId="13" hidden="1">{#N/A,#N/A,FALSE,"Plan1";#N/A,#N/A,FALSE,"Plan2"}</definedName>
    <definedName name="sdgfrt" hidden="1">{#N/A,#N/A,FALSE,"Plan1";#N/A,#N/A,FALSE,"Plan2"}</definedName>
    <definedName name="sdgft" localSheetId="14" hidden="1">{#N/A,#N/A,FALSE,"Plan1";#N/A,#N/A,FALSE,"Plan2"}</definedName>
    <definedName name="sdgft" localSheetId="7" hidden="1">{#N/A,#N/A,FALSE,"Plan1";#N/A,#N/A,FALSE,"Plan2"}</definedName>
    <definedName name="sdgft" localSheetId="1" hidden="1">{#N/A,#N/A,FALSE,"Plan1";#N/A,#N/A,FALSE,"Plan2"}</definedName>
    <definedName name="sdgft" localSheetId="2" hidden="1">{#N/A,#N/A,FALSE,"Plan1";#N/A,#N/A,FALSE,"Plan2"}</definedName>
    <definedName name="sdgft" localSheetId="9" hidden="1">{#N/A,#N/A,FALSE,"Plan1";#N/A,#N/A,FALSE,"Plan2"}</definedName>
    <definedName name="sdgft" localSheetId="5" hidden="1">{#N/A,#N/A,FALSE,"Plan1";#N/A,#N/A,FALSE,"Plan2"}</definedName>
    <definedName name="sdgft" localSheetId="4" hidden="1">{#N/A,#N/A,FALSE,"Plan1";#N/A,#N/A,FALSE,"Plan2"}</definedName>
    <definedName name="sdgft" localSheetId="8" hidden="1">{#N/A,#N/A,FALSE,"Plan1";#N/A,#N/A,FALSE,"Plan2"}</definedName>
    <definedName name="sdgft" localSheetId="12" hidden="1">{#N/A,#N/A,FALSE,"Plan1";#N/A,#N/A,FALSE,"Plan2"}</definedName>
    <definedName name="sdgft" localSheetId="16" hidden="1">{#N/A,#N/A,FALSE,"Plan1";#N/A,#N/A,FALSE,"Plan2"}</definedName>
    <definedName name="sdgft" localSheetId="0" hidden="1">{#N/A,#N/A,FALSE,"Plan1";#N/A,#N/A,FALSE,"Plan2"}</definedName>
    <definedName name="sdgft" localSheetId="11" hidden="1">{#N/A,#N/A,FALSE,"Plan1";#N/A,#N/A,FALSE,"Plan2"}</definedName>
    <definedName name="sdgft" localSheetId="13" hidden="1">{#N/A,#N/A,FALSE,"Plan1";#N/A,#N/A,FALSE,"Plan2"}</definedName>
    <definedName name="sdgft" hidden="1">{#N/A,#N/A,FALSE,"Plan1";#N/A,#N/A,FALSE,"Plan2"}</definedName>
    <definedName name="sdgt" localSheetId="14" hidden="1">{#N/A,#N/A,FALSE,"Plan1";#N/A,#N/A,FALSE,"Plan2"}</definedName>
    <definedName name="sdgt" localSheetId="7" hidden="1">{#N/A,#N/A,FALSE,"Plan1";#N/A,#N/A,FALSE,"Plan2"}</definedName>
    <definedName name="sdgt" localSheetId="1" hidden="1">{#N/A,#N/A,FALSE,"Plan1";#N/A,#N/A,FALSE,"Plan2"}</definedName>
    <definedName name="sdgt" localSheetId="2" hidden="1">{#N/A,#N/A,FALSE,"Plan1";#N/A,#N/A,FALSE,"Plan2"}</definedName>
    <definedName name="sdgt" localSheetId="9" hidden="1">{#N/A,#N/A,FALSE,"Plan1";#N/A,#N/A,FALSE,"Plan2"}</definedName>
    <definedName name="sdgt" localSheetId="5" hidden="1">{#N/A,#N/A,FALSE,"Plan1";#N/A,#N/A,FALSE,"Plan2"}</definedName>
    <definedName name="sdgt" localSheetId="4" hidden="1">{#N/A,#N/A,FALSE,"Plan1";#N/A,#N/A,FALSE,"Plan2"}</definedName>
    <definedName name="sdgt" localSheetId="8" hidden="1">{#N/A,#N/A,FALSE,"Plan1";#N/A,#N/A,FALSE,"Plan2"}</definedName>
    <definedName name="sdgt" localSheetId="12" hidden="1">{#N/A,#N/A,FALSE,"Plan1";#N/A,#N/A,FALSE,"Plan2"}</definedName>
    <definedName name="sdgt" localSheetId="16" hidden="1">{#N/A,#N/A,FALSE,"Plan1";#N/A,#N/A,FALSE,"Plan2"}</definedName>
    <definedName name="sdgt" localSheetId="0" hidden="1">{#N/A,#N/A,FALSE,"Plan1";#N/A,#N/A,FALSE,"Plan2"}</definedName>
    <definedName name="sdgt" localSheetId="11" hidden="1">{#N/A,#N/A,FALSE,"Plan1";#N/A,#N/A,FALSE,"Plan2"}</definedName>
    <definedName name="sdgt" localSheetId="13" hidden="1">{#N/A,#N/A,FALSE,"Plan1";#N/A,#N/A,FALSE,"Plan2"}</definedName>
    <definedName name="sdgt" hidden="1">{#N/A,#N/A,FALSE,"Plan1";#N/A,#N/A,FALSE,"Plan2"}</definedName>
    <definedName name="sdgtry" localSheetId="2" hidden="1">#REF!</definedName>
    <definedName name="sdgtry" localSheetId="5" hidden="1">#REF!</definedName>
    <definedName name="sdgtry" localSheetId="0" hidden="1">#REF!</definedName>
    <definedName name="sdgtry" hidden="1">#REF!</definedName>
    <definedName name="sdhfghdsfg" localSheetId="14" hidden="1">{#N/A,#N/A,FALSE,"Plan1";#N/A,#N/A,FALSE,"Plan2"}</definedName>
    <definedName name="sdhfghdsfg" localSheetId="7" hidden="1">{#N/A,#N/A,FALSE,"Plan1";#N/A,#N/A,FALSE,"Plan2"}</definedName>
    <definedName name="sdhfghdsfg" localSheetId="1" hidden="1">{#N/A,#N/A,FALSE,"Plan1";#N/A,#N/A,FALSE,"Plan2"}</definedName>
    <definedName name="sdhfghdsfg" localSheetId="2" hidden="1">{#N/A,#N/A,FALSE,"Plan1";#N/A,#N/A,FALSE,"Plan2"}</definedName>
    <definedName name="sdhfghdsfg" localSheetId="9" hidden="1">{#N/A,#N/A,FALSE,"Plan1";#N/A,#N/A,FALSE,"Plan2"}</definedName>
    <definedName name="sdhfghdsfg" localSheetId="5" hidden="1">{#N/A,#N/A,FALSE,"Plan1";#N/A,#N/A,FALSE,"Plan2"}</definedName>
    <definedName name="sdhfghdsfg" localSheetId="4" hidden="1">{#N/A,#N/A,FALSE,"Plan1";#N/A,#N/A,FALSE,"Plan2"}</definedName>
    <definedName name="sdhfghdsfg" localSheetId="8" hidden="1">{#N/A,#N/A,FALSE,"Plan1";#N/A,#N/A,FALSE,"Plan2"}</definedName>
    <definedName name="sdhfghdsfg" localSheetId="12" hidden="1">{#N/A,#N/A,FALSE,"Plan1";#N/A,#N/A,FALSE,"Plan2"}</definedName>
    <definedName name="sdhfghdsfg" localSheetId="16" hidden="1">{#N/A,#N/A,FALSE,"Plan1";#N/A,#N/A,FALSE,"Plan2"}</definedName>
    <definedName name="sdhfghdsfg" localSheetId="0" hidden="1">{#N/A,#N/A,FALSE,"Plan1";#N/A,#N/A,FALSE,"Plan2"}</definedName>
    <definedName name="sdhfghdsfg" localSheetId="11" hidden="1">{#N/A,#N/A,FALSE,"Plan1";#N/A,#N/A,FALSE,"Plan2"}</definedName>
    <definedName name="sdhfghdsfg" localSheetId="13" hidden="1">{#N/A,#N/A,FALSE,"Plan1";#N/A,#N/A,FALSE,"Plan2"}</definedName>
    <definedName name="sdhfghdsfg" hidden="1">{#N/A,#N/A,FALSE,"Plan1";#N/A,#N/A,FALSE,"Plan2"}</definedName>
    <definedName name="SDHFJKHDFJRE" localSheetId="14" hidden="1">{#N/A,#N/A,FALSE,"Plan1";#N/A,#N/A,FALSE,"Plan2"}</definedName>
    <definedName name="SDHFJKHDFJRE" localSheetId="7" hidden="1">{#N/A,#N/A,FALSE,"Plan1";#N/A,#N/A,FALSE,"Plan2"}</definedName>
    <definedName name="SDHFJKHDFJRE" localSheetId="1" hidden="1">{#N/A,#N/A,FALSE,"Plan1";#N/A,#N/A,FALSE,"Plan2"}</definedName>
    <definedName name="SDHFJKHDFJRE" localSheetId="2" hidden="1">{#N/A,#N/A,FALSE,"Plan1";#N/A,#N/A,FALSE,"Plan2"}</definedName>
    <definedName name="SDHFJKHDFJRE" localSheetId="9" hidden="1">{#N/A,#N/A,FALSE,"Plan1";#N/A,#N/A,FALSE,"Plan2"}</definedName>
    <definedName name="SDHFJKHDFJRE" localSheetId="5" hidden="1">{#N/A,#N/A,FALSE,"Plan1";#N/A,#N/A,FALSE,"Plan2"}</definedName>
    <definedName name="SDHFJKHDFJRE" localSheetId="4" hidden="1">{#N/A,#N/A,FALSE,"Plan1";#N/A,#N/A,FALSE,"Plan2"}</definedName>
    <definedName name="SDHFJKHDFJRE" localSheetId="8" hidden="1">{#N/A,#N/A,FALSE,"Plan1";#N/A,#N/A,FALSE,"Plan2"}</definedName>
    <definedName name="SDHFJKHDFJRE" localSheetId="12" hidden="1">{#N/A,#N/A,FALSE,"Plan1";#N/A,#N/A,FALSE,"Plan2"}</definedName>
    <definedName name="SDHFJKHDFJRE" localSheetId="16" hidden="1">{#N/A,#N/A,FALSE,"Plan1";#N/A,#N/A,FALSE,"Plan2"}</definedName>
    <definedName name="SDHFJKHDFJRE" localSheetId="0" hidden="1">{#N/A,#N/A,FALSE,"Plan1";#N/A,#N/A,FALSE,"Plan2"}</definedName>
    <definedName name="SDHFJKHDFJRE" localSheetId="11" hidden="1">{#N/A,#N/A,FALSE,"Plan1";#N/A,#N/A,FALSE,"Plan2"}</definedName>
    <definedName name="SDHFJKHDFJRE" localSheetId="13" hidden="1">{#N/A,#N/A,FALSE,"Plan1";#N/A,#N/A,FALSE,"Plan2"}</definedName>
    <definedName name="SDHFJKHDFJRE" hidden="1">{#N/A,#N/A,FALSE,"Plan1";#N/A,#N/A,FALSE,"Plan2"}</definedName>
    <definedName name="SDHKFDRKGTR" localSheetId="14" hidden="1">{#N/A,#N/A,FALSE,"Plan1";#N/A,#N/A,FALSE,"Plan2"}</definedName>
    <definedName name="SDHKFDRKGTR" localSheetId="7" hidden="1">{#N/A,#N/A,FALSE,"Plan1";#N/A,#N/A,FALSE,"Plan2"}</definedName>
    <definedName name="SDHKFDRKGTR" localSheetId="1" hidden="1">{#N/A,#N/A,FALSE,"Plan1";#N/A,#N/A,FALSE,"Plan2"}</definedName>
    <definedName name="SDHKFDRKGTR" localSheetId="2" hidden="1">{#N/A,#N/A,FALSE,"Plan1";#N/A,#N/A,FALSE,"Plan2"}</definedName>
    <definedName name="SDHKFDRKGTR" localSheetId="9" hidden="1">{#N/A,#N/A,FALSE,"Plan1";#N/A,#N/A,FALSE,"Plan2"}</definedName>
    <definedName name="SDHKFDRKGTR" localSheetId="5" hidden="1">{#N/A,#N/A,FALSE,"Plan1";#N/A,#N/A,FALSE,"Plan2"}</definedName>
    <definedName name="SDHKFDRKGTR" localSheetId="4" hidden="1">{#N/A,#N/A,FALSE,"Plan1";#N/A,#N/A,FALSE,"Plan2"}</definedName>
    <definedName name="SDHKFDRKGTR" localSheetId="8" hidden="1">{#N/A,#N/A,FALSE,"Plan1";#N/A,#N/A,FALSE,"Plan2"}</definedName>
    <definedName name="SDHKFDRKGTR" localSheetId="12" hidden="1">{#N/A,#N/A,FALSE,"Plan1";#N/A,#N/A,FALSE,"Plan2"}</definedName>
    <definedName name="SDHKFDRKGTR" localSheetId="16" hidden="1">{#N/A,#N/A,FALSE,"Plan1";#N/A,#N/A,FALSE,"Plan2"}</definedName>
    <definedName name="SDHKFDRKGTR" localSheetId="0" hidden="1">{#N/A,#N/A,FALSE,"Plan1";#N/A,#N/A,FALSE,"Plan2"}</definedName>
    <definedName name="SDHKFDRKGTR" localSheetId="11" hidden="1">{#N/A,#N/A,FALSE,"Plan1";#N/A,#N/A,FALSE,"Plan2"}</definedName>
    <definedName name="SDHKFDRKGTR" localSheetId="13" hidden="1">{#N/A,#N/A,FALSE,"Plan1";#N/A,#N/A,FALSE,"Plan2"}</definedName>
    <definedName name="SDHKFDRKGTR" hidden="1">{#N/A,#N/A,FALSE,"Plan1";#N/A,#N/A,FALSE,"Plan2"}</definedName>
    <definedName name="sdjdswger" localSheetId="14" hidden="1">{#N/A,#N/A,FALSE,"Plan1";#N/A,#N/A,FALSE,"Plan2"}</definedName>
    <definedName name="sdjdswger" localSheetId="7" hidden="1">{#N/A,#N/A,FALSE,"Plan1";#N/A,#N/A,FALSE,"Plan2"}</definedName>
    <definedName name="sdjdswger" localSheetId="1" hidden="1">{#N/A,#N/A,FALSE,"Plan1";#N/A,#N/A,FALSE,"Plan2"}</definedName>
    <definedName name="sdjdswger" localSheetId="2" hidden="1">{#N/A,#N/A,FALSE,"Plan1";#N/A,#N/A,FALSE,"Plan2"}</definedName>
    <definedName name="sdjdswger" localSheetId="9" hidden="1">{#N/A,#N/A,FALSE,"Plan1";#N/A,#N/A,FALSE,"Plan2"}</definedName>
    <definedName name="sdjdswger" localSheetId="5" hidden="1">{#N/A,#N/A,FALSE,"Plan1";#N/A,#N/A,FALSE,"Plan2"}</definedName>
    <definedName name="sdjdswger" localSheetId="4" hidden="1">{#N/A,#N/A,FALSE,"Plan1";#N/A,#N/A,FALSE,"Plan2"}</definedName>
    <definedName name="sdjdswger" localSheetId="8" hidden="1">{#N/A,#N/A,FALSE,"Plan1";#N/A,#N/A,FALSE,"Plan2"}</definedName>
    <definedName name="sdjdswger" localSheetId="12" hidden="1">{#N/A,#N/A,FALSE,"Plan1";#N/A,#N/A,FALSE,"Plan2"}</definedName>
    <definedName name="sdjdswger" localSheetId="16" hidden="1">{#N/A,#N/A,FALSE,"Plan1";#N/A,#N/A,FALSE,"Plan2"}</definedName>
    <definedName name="sdjdswger" localSheetId="0" hidden="1">{#N/A,#N/A,FALSE,"Plan1";#N/A,#N/A,FALSE,"Plan2"}</definedName>
    <definedName name="sdjdswger" localSheetId="11" hidden="1">{#N/A,#N/A,FALSE,"Plan1";#N/A,#N/A,FALSE,"Plan2"}</definedName>
    <definedName name="sdjdswger" localSheetId="13" hidden="1">{#N/A,#N/A,FALSE,"Plan1";#N/A,#N/A,FALSE,"Plan2"}</definedName>
    <definedName name="sdjdswger" hidden="1">{#N/A,#N/A,FALSE,"Plan1";#N/A,#N/A,FALSE,"Plan2"}</definedName>
    <definedName name="sdjfdf" localSheetId="14" hidden="1">{#N/A,#N/A,FALSE,"Plan1";#N/A,#N/A,FALSE,"Plan2"}</definedName>
    <definedName name="sdjfdf" localSheetId="7" hidden="1">{#N/A,#N/A,FALSE,"Plan1";#N/A,#N/A,FALSE,"Plan2"}</definedName>
    <definedName name="sdjfdf" localSheetId="1" hidden="1">{#N/A,#N/A,FALSE,"Plan1";#N/A,#N/A,FALSE,"Plan2"}</definedName>
    <definedName name="sdjfdf" localSheetId="2" hidden="1">{#N/A,#N/A,FALSE,"Plan1";#N/A,#N/A,FALSE,"Plan2"}</definedName>
    <definedName name="sdjfdf" localSheetId="9" hidden="1">{#N/A,#N/A,FALSE,"Plan1";#N/A,#N/A,FALSE,"Plan2"}</definedName>
    <definedName name="sdjfdf" localSheetId="5" hidden="1">{#N/A,#N/A,FALSE,"Plan1";#N/A,#N/A,FALSE,"Plan2"}</definedName>
    <definedName name="sdjfdf" localSheetId="4" hidden="1">{#N/A,#N/A,FALSE,"Plan1";#N/A,#N/A,FALSE,"Plan2"}</definedName>
    <definedName name="sdjfdf" localSheetId="8" hidden="1">{#N/A,#N/A,FALSE,"Plan1";#N/A,#N/A,FALSE,"Plan2"}</definedName>
    <definedName name="sdjfdf" localSheetId="12" hidden="1">{#N/A,#N/A,FALSE,"Plan1";#N/A,#N/A,FALSE,"Plan2"}</definedName>
    <definedName name="sdjfdf" localSheetId="16" hidden="1">{#N/A,#N/A,FALSE,"Plan1";#N/A,#N/A,FALSE,"Plan2"}</definedName>
    <definedName name="sdjfdf" localSheetId="0" hidden="1">{#N/A,#N/A,FALSE,"Plan1";#N/A,#N/A,FALSE,"Plan2"}</definedName>
    <definedName name="sdjfdf" localSheetId="11" hidden="1">{#N/A,#N/A,FALSE,"Plan1";#N/A,#N/A,FALSE,"Plan2"}</definedName>
    <definedName name="sdjfdf" localSheetId="13" hidden="1">{#N/A,#N/A,FALSE,"Plan1";#N/A,#N/A,FALSE,"Plan2"}</definedName>
    <definedName name="sdjfdf" hidden="1">{#N/A,#N/A,FALSE,"Plan1";#N/A,#N/A,FALSE,"Plan2"}</definedName>
    <definedName name="sdjfhdjk" localSheetId="14" hidden="1">{#N/A,#N/A,FALSE,"Plan1";#N/A,#N/A,FALSE,"Plan2"}</definedName>
    <definedName name="sdjfhdjk" localSheetId="7" hidden="1">{#N/A,#N/A,FALSE,"Plan1";#N/A,#N/A,FALSE,"Plan2"}</definedName>
    <definedName name="sdjfhdjk" localSheetId="1" hidden="1">{#N/A,#N/A,FALSE,"Plan1";#N/A,#N/A,FALSE,"Plan2"}</definedName>
    <definedName name="sdjfhdjk" localSheetId="2" hidden="1">{#N/A,#N/A,FALSE,"Plan1";#N/A,#N/A,FALSE,"Plan2"}</definedName>
    <definedName name="sdjfhdjk" localSheetId="9" hidden="1">{#N/A,#N/A,FALSE,"Plan1";#N/A,#N/A,FALSE,"Plan2"}</definedName>
    <definedName name="sdjfhdjk" localSheetId="5" hidden="1">{#N/A,#N/A,FALSE,"Plan1";#N/A,#N/A,FALSE,"Plan2"}</definedName>
    <definedName name="sdjfhdjk" localSheetId="4" hidden="1">{#N/A,#N/A,FALSE,"Plan1";#N/A,#N/A,FALSE,"Plan2"}</definedName>
    <definedName name="sdjfhdjk" localSheetId="8" hidden="1">{#N/A,#N/A,FALSE,"Plan1";#N/A,#N/A,FALSE,"Plan2"}</definedName>
    <definedName name="sdjfhdjk" localSheetId="12" hidden="1">{#N/A,#N/A,FALSE,"Plan1";#N/A,#N/A,FALSE,"Plan2"}</definedName>
    <definedName name="sdjfhdjk" localSheetId="16" hidden="1">{#N/A,#N/A,FALSE,"Plan1";#N/A,#N/A,FALSE,"Plan2"}</definedName>
    <definedName name="sdjfhdjk" localSheetId="0" hidden="1">{#N/A,#N/A,FALSE,"Plan1";#N/A,#N/A,FALSE,"Plan2"}</definedName>
    <definedName name="sdjfhdjk" localSheetId="11" hidden="1">{#N/A,#N/A,FALSE,"Plan1";#N/A,#N/A,FALSE,"Plan2"}</definedName>
    <definedName name="sdjfhdjk" localSheetId="13" hidden="1">{#N/A,#N/A,FALSE,"Plan1";#N/A,#N/A,FALSE,"Plan2"}</definedName>
    <definedName name="sdjfhdjk" hidden="1">{#N/A,#N/A,FALSE,"Plan1";#N/A,#N/A,FALSE,"Plan2"}</definedName>
    <definedName name="SDJFJDER" localSheetId="14" hidden="1">{#N/A,#N/A,FALSE,"Plan1";#N/A,#N/A,FALSE,"Plan2"}</definedName>
    <definedName name="SDJFJDER" localSheetId="7" hidden="1">{#N/A,#N/A,FALSE,"Plan1";#N/A,#N/A,FALSE,"Plan2"}</definedName>
    <definedName name="SDJFJDER" localSheetId="1" hidden="1">{#N/A,#N/A,FALSE,"Plan1";#N/A,#N/A,FALSE,"Plan2"}</definedName>
    <definedName name="SDJFJDER" localSheetId="2" hidden="1">{#N/A,#N/A,FALSE,"Plan1";#N/A,#N/A,FALSE,"Plan2"}</definedName>
    <definedName name="SDJFJDER" localSheetId="9" hidden="1">{#N/A,#N/A,FALSE,"Plan1";#N/A,#N/A,FALSE,"Plan2"}</definedName>
    <definedName name="SDJFJDER" localSheetId="5" hidden="1">{#N/A,#N/A,FALSE,"Plan1";#N/A,#N/A,FALSE,"Plan2"}</definedName>
    <definedName name="SDJFJDER" localSheetId="4" hidden="1">{#N/A,#N/A,FALSE,"Plan1";#N/A,#N/A,FALSE,"Plan2"}</definedName>
    <definedName name="SDJFJDER" localSheetId="8" hidden="1">{#N/A,#N/A,FALSE,"Plan1";#N/A,#N/A,FALSE,"Plan2"}</definedName>
    <definedName name="SDJFJDER" localSheetId="12" hidden="1">{#N/A,#N/A,FALSE,"Plan1";#N/A,#N/A,FALSE,"Plan2"}</definedName>
    <definedName name="SDJFJDER" localSheetId="16" hidden="1">{#N/A,#N/A,FALSE,"Plan1";#N/A,#N/A,FALSE,"Plan2"}</definedName>
    <definedName name="SDJFJDER" localSheetId="0" hidden="1">{#N/A,#N/A,FALSE,"Plan1";#N/A,#N/A,FALSE,"Plan2"}</definedName>
    <definedName name="SDJFJDER" localSheetId="11" hidden="1">{#N/A,#N/A,FALSE,"Plan1";#N/A,#N/A,FALSE,"Plan2"}</definedName>
    <definedName name="SDJFJDER" localSheetId="13" hidden="1">{#N/A,#N/A,FALSE,"Plan1";#N/A,#N/A,FALSE,"Plan2"}</definedName>
    <definedName name="SDJFJDER" hidden="1">{#N/A,#N/A,FALSE,"Plan1";#N/A,#N/A,FALSE,"Plan2"}</definedName>
    <definedName name="sdjflsdjfl" localSheetId="14" hidden="1">{#N/A,#N/A,FALSE,"Plan1";#N/A,#N/A,FALSE,"Plan2"}</definedName>
    <definedName name="sdjflsdjfl" localSheetId="7" hidden="1">{#N/A,#N/A,FALSE,"Plan1";#N/A,#N/A,FALSE,"Plan2"}</definedName>
    <definedName name="sdjflsdjfl" localSheetId="1" hidden="1">{#N/A,#N/A,FALSE,"Plan1";#N/A,#N/A,FALSE,"Plan2"}</definedName>
    <definedName name="sdjflsdjfl" localSheetId="2" hidden="1">{#N/A,#N/A,FALSE,"Plan1";#N/A,#N/A,FALSE,"Plan2"}</definedName>
    <definedName name="sdjflsdjfl" localSheetId="9" hidden="1">{#N/A,#N/A,FALSE,"Plan1";#N/A,#N/A,FALSE,"Plan2"}</definedName>
    <definedName name="sdjflsdjfl" localSheetId="5" hidden="1">{#N/A,#N/A,FALSE,"Plan1";#N/A,#N/A,FALSE,"Plan2"}</definedName>
    <definedName name="sdjflsdjfl" localSheetId="4" hidden="1">{#N/A,#N/A,FALSE,"Plan1";#N/A,#N/A,FALSE,"Plan2"}</definedName>
    <definedName name="sdjflsdjfl" localSheetId="8" hidden="1">{#N/A,#N/A,FALSE,"Plan1";#N/A,#N/A,FALSE,"Plan2"}</definedName>
    <definedName name="sdjflsdjfl" localSheetId="12" hidden="1">{#N/A,#N/A,FALSE,"Plan1";#N/A,#N/A,FALSE,"Plan2"}</definedName>
    <definedName name="sdjflsdjfl" localSheetId="16" hidden="1">{#N/A,#N/A,FALSE,"Plan1";#N/A,#N/A,FALSE,"Plan2"}</definedName>
    <definedName name="sdjflsdjfl" localSheetId="0" hidden="1">{#N/A,#N/A,FALSE,"Plan1";#N/A,#N/A,FALSE,"Plan2"}</definedName>
    <definedName name="sdjflsdjfl" localSheetId="11" hidden="1">{#N/A,#N/A,FALSE,"Plan1";#N/A,#N/A,FALSE,"Plan2"}</definedName>
    <definedName name="sdjflsdjfl" localSheetId="13" hidden="1">{#N/A,#N/A,FALSE,"Plan1";#N/A,#N/A,FALSE,"Plan2"}</definedName>
    <definedName name="sdjflsdjfl" hidden="1">{#N/A,#N/A,FALSE,"Plan1";#N/A,#N/A,FALSE,"Plan2"}</definedName>
    <definedName name="SDJHF" localSheetId="14" hidden="1">{#N/A,#N/A,FALSE,"Plan1";#N/A,#N/A,FALSE,"Plan2"}</definedName>
    <definedName name="SDJHF" localSheetId="7" hidden="1">{#N/A,#N/A,FALSE,"Plan1";#N/A,#N/A,FALSE,"Plan2"}</definedName>
    <definedName name="SDJHF" localSheetId="1" hidden="1">{#N/A,#N/A,FALSE,"Plan1";#N/A,#N/A,FALSE,"Plan2"}</definedName>
    <definedName name="SDJHF" localSheetId="2" hidden="1">{#N/A,#N/A,FALSE,"Plan1";#N/A,#N/A,FALSE,"Plan2"}</definedName>
    <definedName name="SDJHF" localSheetId="9" hidden="1">{#N/A,#N/A,FALSE,"Plan1";#N/A,#N/A,FALSE,"Plan2"}</definedName>
    <definedName name="SDJHF" localSheetId="5" hidden="1">{#N/A,#N/A,FALSE,"Plan1";#N/A,#N/A,FALSE,"Plan2"}</definedName>
    <definedName name="SDJHF" localSheetId="4" hidden="1">{#N/A,#N/A,FALSE,"Plan1";#N/A,#N/A,FALSE,"Plan2"}</definedName>
    <definedName name="SDJHF" localSheetId="8" hidden="1">{#N/A,#N/A,FALSE,"Plan1";#N/A,#N/A,FALSE,"Plan2"}</definedName>
    <definedName name="SDJHF" localSheetId="12" hidden="1">{#N/A,#N/A,FALSE,"Plan1";#N/A,#N/A,FALSE,"Plan2"}</definedName>
    <definedName name="SDJHF" localSheetId="16" hidden="1">{#N/A,#N/A,FALSE,"Plan1";#N/A,#N/A,FALSE,"Plan2"}</definedName>
    <definedName name="SDJHF" localSheetId="0" hidden="1">{#N/A,#N/A,FALSE,"Plan1";#N/A,#N/A,FALSE,"Plan2"}</definedName>
    <definedName name="SDJHF" localSheetId="11" hidden="1">{#N/A,#N/A,FALSE,"Plan1";#N/A,#N/A,FALSE,"Plan2"}</definedName>
    <definedName name="SDJHF" localSheetId="13" hidden="1">{#N/A,#N/A,FALSE,"Plan1";#N/A,#N/A,FALSE,"Plan2"}</definedName>
    <definedName name="SDJHF" hidden="1">{#N/A,#N/A,FALSE,"Plan1";#N/A,#N/A,FALSE,"Plan2"}</definedName>
    <definedName name="sdjrderertrr" localSheetId="14" hidden="1">{#N/A,#N/A,FALSE,"Plan1";#N/A,#N/A,FALSE,"Plan2"}</definedName>
    <definedName name="sdjrderertrr" localSheetId="7" hidden="1">{#N/A,#N/A,FALSE,"Plan1";#N/A,#N/A,FALSE,"Plan2"}</definedName>
    <definedName name="sdjrderertrr" localSheetId="1" hidden="1">{#N/A,#N/A,FALSE,"Plan1";#N/A,#N/A,FALSE,"Plan2"}</definedName>
    <definedName name="sdjrderertrr" localSheetId="2" hidden="1">{#N/A,#N/A,FALSE,"Plan1";#N/A,#N/A,FALSE,"Plan2"}</definedName>
    <definedName name="sdjrderertrr" localSheetId="9" hidden="1">{#N/A,#N/A,FALSE,"Plan1";#N/A,#N/A,FALSE,"Plan2"}</definedName>
    <definedName name="sdjrderertrr" localSheetId="5" hidden="1">{#N/A,#N/A,FALSE,"Plan1";#N/A,#N/A,FALSE,"Plan2"}</definedName>
    <definedName name="sdjrderertrr" localSheetId="4" hidden="1">{#N/A,#N/A,FALSE,"Plan1";#N/A,#N/A,FALSE,"Plan2"}</definedName>
    <definedName name="sdjrderertrr" localSheetId="8" hidden="1">{#N/A,#N/A,FALSE,"Plan1";#N/A,#N/A,FALSE,"Plan2"}</definedName>
    <definedName name="sdjrderertrr" localSheetId="12" hidden="1">{#N/A,#N/A,FALSE,"Plan1";#N/A,#N/A,FALSE,"Plan2"}</definedName>
    <definedName name="sdjrderertrr" localSheetId="16" hidden="1">{#N/A,#N/A,FALSE,"Plan1";#N/A,#N/A,FALSE,"Plan2"}</definedName>
    <definedName name="sdjrderertrr" localSheetId="0" hidden="1">{#N/A,#N/A,FALSE,"Plan1";#N/A,#N/A,FALSE,"Plan2"}</definedName>
    <definedName name="sdjrderertrr" localSheetId="11" hidden="1">{#N/A,#N/A,FALSE,"Plan1";#N/A,#N/A,FALSE,"Plan2"}</definedName>
    <definedName name="sdjrderertrr" localSheetId="13" hidden="1">{#N/A,#N/A,FALSE,"Plan1";#N/A,#N/A,FALSE,"Plan2"}</definedName>
    <definedName name="sdjrderertrr" hidden="1">{#N/A,#N/A,FALSE,"Plan1";#N/A,#N/A,FALSE,"Plan2"}</definedName>
    <definedName name="sdkdjk" localSheetId="14" hidden="1">{#N/A,#N/A,FALSE,"Plan1";#N/A,#N/A,FALSE,"Plan2"}</definedName>
    <definedName name="sdkdjk" localSheetId="7" hidden="1">{#N/A,#N/A,FALSE,"Plan1";#N/A,#N/A,FALSE,"Plan2"}</definedName>
    <definedName name="sdkdjk" localSheetId="1" hidden="1">{#N/A,#N/A,FALSE,"Plan1";#N/A,#N/A,FALSE,"Plan2"}</definedName>
    <definedName name="sdkdjk" localSheetId="2" hidden="1">{#N/A,#N/A,FALSE,"Plan1";#N/A,#N/A,FALSE,"Plan2"}</definedName>
    <definedName name="sdkdjk" localSheetId="9" hidden="1">{#N/A,#N/A,FALSE,"Plan1";#N/A,#N/A,FALSE,"Plan2"}</definedName>
    <definedName name="sdkdjk" localSheetId="5" hidden="1">{#N/A,#N/A,FALSE,"Plan1";#N/A,#N/A,FALSE,"Plan2"}</definedName>
    <definedName name="sdkdjk" localSheetId="4" hidden="1">{#N/A,#N/A,FALSE,"Plan1";#N/A,#N/A,FALSE,"Plan2"}</definedName>
    <definedName name="sdkdjk" localSheetId="8" hidden="1">{#N/A,#N/A,FALSE,"Plan1";#N/A,#N/A,FALSE,"Plan2"}</definedName>
    <definedName name="sdkdjk" localSheetId="12" hidden="1">{#N/A,#N/A,FALSE,"Plan1";#N/A,#N/A,FALSE,"Plan2"}</definedName>
    <definedName name="sdkdjk" localSheetId="16" hidden="1">{#N/A,#N/A,FALSE,"Plan1";#N/A,#N/A,FALSE,"Plan2"}</definedName>
    <definedName name="sdkdjk" localSheetId="0" hidden="1">{#N/A,#N/A,FALSE,"Plan1";#N/A,#N/A,FALSE,"Plan2"}</definedName>
    <definedName name="sdkdjk" localSheetId="11" hidden="1">{#N/A,#N/A,FALSE,"Plan1";#N/A,#N/A,FALSE,"Plan2"}</definedName>
    <definedName name="sdkdjk" localSheetId="13" hidden="1">{#N/A,#N/A,FALSE,"Plan1";#N/A,#N/A,FALSE,"Plan2"}</definedName>
    <definedName name="sdkdjk" hidden="1">{#N/A,#N/A,FALSE,"Plan1";#N/A,#N/A,FALSE,"Plan2"}</definedName>
    <definedName name="sdkfjhkdgfhk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4" hidden="1">{#N/A,#N/A,FALSE,"Plan1";#N/A,#N/A,FALSE,"Plan2"}</definedName>
    <definedName name="sdkfnjd" localSheetId="7" hidden="1">{#N/A,#N/A,FALSE,"Plan1";#N/A,#N/A,FALSE,"Plan2"}</definedName>
    <definedName name="sdkfnjd" localSheetId="1" hidden="1">{#N/A,#N/A,FALSE,"Plan1";#N/A,#N/A,FALSE,"Plan2"}</definedName>
    <definedName name="sdkfnjd" localSheetId="2" hidden="1">{#N/A,#N/A,FALSE,"Plan1";#N/A,#N/A,FALSE,"Plan2"}</definedName>
    <definedName name="sdkfnjd" localSheetId="9" hidden="1">{#N/A,#N/A,FALSE,"Plan1";#N/A,#N/A,FALSE,"Plan2"}</definedName>
    <definedName name="sdkfnjd" localSheetId="5" hidden="1">{#N/A,#N/A,FALSE,"Plan1";#N/A,#N/A,FALSE,"Plan2"}</definedName>
    <definedName name="sdkfnjd" localSheetId="4" hidden="1">{#N/A,#N/A,FALSE,"Plan1";#N/A,#N/A,FALSE,"Plan2"}</definedName>
    <definedName name="sdkfnjd" localSheetId="8" hidden="1">{#N/A,#N/A,FALSE,"Plan1";#N/A,#N/A,FALSE,"Plan2"}</definedName>
    <definedName name="sdkfnjd" localSheetId="12" hidden="1">{#N/A,#N/A,FALSE,"Plan1";#N/A,#N/A,FALSE,"Plan2"}</definedName>
    <definedName name="sdkfnjd" localSheetId="16" hidden="1">{#N/A,#N/A,FALSE,"Plan1";#N/A,#N/A,FALSE,"Plan2"}</definedName>
    <definedName name="sdkfnjd" localSheetId="0" hidden="1">{#N/A,#N/A,FALSE,"Plan1";#N/A,#N/A,FALSE,"Plan2"}</definedName>
    <definedName name="sdkfnjd" localSheetId="11" hidden="1">{#N/A,#N/A,FALSE,"Plan1";#N/A,#N/A,FALSE,"Plan2"}</definedName>
    <definedName name="sdkfnjd" localSheetId="13" hidden="1">{#N/A,#N/A,FALSE,"Plan1";#N/A,#N/A,FALSE,"Plan2"}</definedName>
    <definedName name="sdkfnjd" hidden="1">{#N/A,#N/A,FALSE,"Plan1";#N/A,#N/A,FALSE,"Plan2"}</definedName>
    <definedName name="sdkk" localSheetId="14" hidden="1">{#N/A,#N/A,FALSE,"Plan1";#N/A,#N/A,FALSE,"Plan2"}</definedName>
    <definedName name="sdkk" localSheetId="7" hidden="1">{#N/A,#N/A,FALSE,"Plan1";#N/A,#N/A,FALSE,"Plan2"}</definedName>
    <definedName name="sdkk" localSheetId="1" hidden="1">{#N/A,#N/A,FALSE,"Plan1";#N/A,#N/A,FALSE,"Plan2"}</definedName>
    <definedName name="sdkk" localSheetId="2" hidden="1">{#N/A,#N/A,FALSE,"Plan1";#N/A,#N/A,FALSE,"Plan2"}</definedName>
    <definedName name="sdkk" localSheetId="9" hidden="1">{#N/A,#N/A,FALSE,"Plan1";#N/A,#N/A,FALSE,"Plan2"}</definedName>
    <definedName name="sdkk" localSheetId="5" hidden="1">{#N/A,#N/A,FALSE,"Plan1";#N/A,#N/A,FALSE,"Plan2"}</definedName>
    <definedName name="sdkk" localSheetId="4" hidden="1">{#N/A,#N/A,FALSE,"Plan1";#N/A,#N/A,FALSE,"Plan2"}</definedName>
    <definedName name="sdkk" localSheetId="8" hidden="1">{#N/A,#N/A,FALSE,"Plan1";#N/A,#N/A,FALSE,"Plan2"}</definedName>
    <definedName name="sdkk" localSheetId="12" hidden="1">{#N/A,#N/A,FALSE,"Plan1";#N/A,#N/A,FALSE,"Plan2"}</definedName>
    <definedName name="sdkk" localSheetId="16" hidden="1">{#N/A,#N/A,FALSE,"Plan1";#N/A,#N/A,FALSE,"Plan2"}</definedName>
    <definedName name="sdkk" localSheetId="0" hidden="1">{#N/A,#N/A,FALSE,"Plan1";#N/A,#N/A,FALSE,"Plan2"}</definedName>
    <definedName name="sdkk" localSheetId="11" hidden="1">{#N/A,#N/A,FALSE,"Plan1";#N/A,#N/A,FALSE,"Plan2"}</definedName>
    <definedName name="sdkk" localSheetId="13" hidden="1">{#N/A,#N/A,FALSE,"Plan1";#N/A,#N/A,FALSE,"Plan2"}</definedName>
    <definedName name="sdkk" hidden="1">{#N/A,#N/A,FALSE,"Plan1";#N/A,#N/A,FALSE,"Plan2"}</definedName>
    <definedName name="sdlfsdflj" localSheetId="14" hidden="1">{#N/A,#N/A,FALSE,"Plan1";#N/A,#N/A,FALSE,"Plan2"}</definedName>
    <definedName name="sdlfsdflj" localSheetId="7" hidden="1">{#N/A,#N/A,FALSE,"Plan1";#N/A,#N/A,FALSE,"Plan2"}</definedName>
    <definedName name="sdlfsdflj" localSheetId="1" hidden="1">{#N/A,#N/A,FALSE,"Plan1";#N/A,#N/A,FALSE,"Plan2"}</definedName>
    <definedName name="sdlfsdflj" localSheetId="2" hidden="1">{#N/A,#N/A,FALSE,"Plan1";#N/A,#N/A,FALSE,"Plan2"}</definedName>
    <definedName name="sdlfsdflj" localSheetId="9" hidden="1">{#N/A,#N/A,FALSE,"Plan1";#N/A,#N/A,FALSE,"Plan2"}</definedName>
    <definedName name="sdlfsdflj" localSheetId="5" hidden="1">{#N/A,#N/A,FALSE,"Plan1";#N/A,#N/A,FALSE,"Plan2"}</definedName>
    <definedName name="sdlfsdflj" localSheetId="4" hidden="1">{#N/A,#N/A,FALSE,"Plan1";#N/A,#N/A,FALSE,"Plan2"}</definedName>
    <definedName name="sdlfsdflj" localSheetId="8" hidden="1">{#N/A,#N/A,FALSE,"Plan1";#N/A,#N/A,FALSE,"Plan2"}</definedName>
    <definedName name="sdlfsdflj" localSheetId="12" hidden="1">{#N/A,#N/A,FALSE,"Plan1";#N/A,#N/A,FALSE,"Plan2"}</definedName>
    <definedName name="sdlfsdflj" localSheetId="16" hidden="1">{#N/A,#N/A,FALSE,"Plan1";#N/A,#N/A,FALSE,"Plan2"}</definedName>
    <definedName name="sdlfsdflj" localSheetId="0" hidden="1">{#N/A,#N/A,FALSE,"Plan1";#N/A,#N/A,FALSE,"Plan2"}</definedName>
    <definedName name="sdlfsdflj" localSheetId="11" hidden="1">{#N/A,#N/A,FALSE,"Plan1";#N/A,#N/A,FALSE,"Plan2"}</definedName>
    <definedName name="sdlfsdflj" localSheetId="13" hidden="1">{#N/A,#N/A,FALSE,"Plan1";#N/A,#N/A,FALSE,"Plan2"}</definedName>
    <definedName name="sdlfsdflj" hidden="1">{#N/A,#N/A,FALSE,"Plan1";#N/A,#N/A,FALSE,"Plan2"}</definedName>
    <definedName name="sdmfmdfsgfd" localSheetId="14" hidden="1">{#N/A,#N/A,FALSE,"Plan1";#N/A,#N/A,FALSE,"Plan2"}</definedName>
    <definedName name="sdmfmdfsgfd" localSheetId="7" hidden="1">{#N/A,#N/A,FALSE,"Plan1";#N/A,#N/A,FALSE,"Plan2"}</definedName>
    <definedName name="sdmfmdfsgfd" localSheetId="1" hidden="1">{#N/A,#N/A,FALSE,"Plan1";#N/A,#N/A,FALSE,"Plan2"}</definedName>
    <definedName name="sdmfmdfsgfd" localSheetId="2" hidden="1">{#N/A,#N/A,FALSE,"Plan1";#N/A,#N/A,FALSE,"Plan2"}</definedName>
    <definedName name="sdmfmdfsgfd" localSheetId="9" hidden="1">{#N/A,#N/A,FALSE,"Plan1";#N/A,#N/A,FALSE,"Plan2"}</definedName>
    <definedName name="sdmfmdfsgfd" localSheetId="5" hidden="1">{#N/A,#N/A,FALSE,"Plan1";#N/A,#N/A,FALSE,"Plan2"}</definedName>
    <definedName name="sdmfmdfsgfd" localSheetId="4" hidden="1">{#N/A,#N/A,FALSE,"Plan1";#N/A,#N/A,FALSE,"Plan2"}</definedName>
    <definedName name="sdmfmdfsgfd" localSheetId="8" hidden="1">{#N/A,#N/A,FALSE,"Plan1";#N/A,#N/A,FALSE,"Plan2"}</definedName>
    <definedName name="sdmfmdfsgfd" localSheetId="12" hidden="1">{#N/A,#N/A,FALSE,"Plan1";#N/A,#N/A,FALSE,"Plan2"}</definedName>
    <definedName name="sdmfmdfsgfd" localSheetId="16" hidden="1">{#N/A,#N/A,FALSE,"Plan1";#N/A,#N/A,FALSE,"Plan2"}</definedName>
    <definedName name="sdmfmdfsgfd" localSheetId="0" hidden="1">{#N/A,#N/A,FALSE,"Plan1";#N/A,#N/A,FALSE,"Plan2"}</definedName>
    <definedName name="sdmfmdfsgfd" localSheetId="11" hidden="1">{#N/A,#N/A,FALSE,"Plan1";#N/A,#N/A,FALSE,"Plan2"}</definedName>
    <definedName name="sdmfmdfsgfd" localSheetId="13" hidden="1">{#N/A,#N/A,FALSE,"Plan1";#N/A,#N/A,FALSE,"Plan2"}</definedName>
    <definedName name="sdmfmdfsgfd" hidden="1">{#N/A,#N/A,FALSE,"Plan1";#N/A,#N/A,FALSE,"Plan2"}</definedName>
    <definedName name="sd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4" hidden="1">{#N/A,#N/A,FALSE,"Plan1";#N/A,#N/A,FALSE,"Plan2"}</definedName>
    <definedName name="sdrfgt" localSheetId="7" hidden="1">{#N/A,#N/A,FALSE,"Plan1";#N/A,#N/A,FALSE,"Plan2"}</definedName>
    <definedName name="sdrfgt" localSheetId="1" hidden="1">{#N/A,#N/A,FALSE,"Plan1";#N/A,#N/A,FALSE,"Plan2"}</definedName>
    <definedName name="sdrfgt" localSheetId="2" hidden="1">{#N/A,#N/A,FALSE,"Plan1";#N/A,#N/A,FALSE,"Plan2"}</definedName>
    <definedName name="sdrfgt" localSheetId="9" hidden="1">{#N/A,#N/A,FALSE,"Plan1";#N/A,#N/A,FALSE,"Plan2"}</definedName>
    <definedName name="sdrfgt" localSheetId="5" hidden="1">{#N/A,#N/A,FALSE,"Plan1";#N/A,#N/A,FALSE,"Plan2"}</definedName>
    <definedName name="sdrfgt" localSheetId="4" hidden="1">{#N/A,#N/A,FALSE,"Plan1";#N/A,#N/A,FALSE,"Plan2"}</definedName>
    <definedName name="sdrfgt" localSheetId="8" hidden="1">{#N/A,#N/A,FALSE,"Plan1";#N/A,#N/A,FALSE,"Plan2"}</definedName>
    <definedName name="sdrfgt" localSheetId="12" hidden="1">{#N/A,#N/A,FALSE,"Plan1";#N/A,#N/A,FALSE,"Plan2"}</definedName>
    <definedName name="sdrfgt" localSheetId="16" hidden="1">{#N/A,#N/A,FALSE,"Plan1";#N/A,#N/A,FALSE,"Plan2"}</definedName>
    <definedName name="sdrfgt" localSheetId="0" hidden="1">{#N/A,#N/A,FALSE,"Plan1";#N/A,#N/A,FALSE,"Plan2"}</definedName>
    <definedName name="sdrfgt" localSheetId="11" hidden="1">{#N/A,#N/A,FALSE,"Plan1";#N/A,#N/A,FALSE,"Plan2"}</definedName>
    <definedName name="sdrfgt" localSheetId="13" hidden="1">{#N/A,#N/A,FALSE,"Plan1";#N/A,#N/A,FALSE,"Plan2"}</definedName>
    <definedName name="sdrfgt" hidden="1">{#N/A,#N/A,FALSE,"Plan1";#N/A,#N/A,FALSE,"Plan2"}</definedName>
    <definedName name="sdsd" localSheetId="14" hidden="1">{#N/A,#N/A,FALSE,"Plan1";#N/A,#N/A,FALSE,"Plan2"}</definedName>
    <definedName name="sdsd" localSheetId="7" hidden="1">{#N/A,#N/A,FALSE,"Plan1";#N/A,#N/A,FALSE,"Plan2"}</definedName>
    <definedName name="sdsd" localSheetId="1" hidden="1">{#N/A,#N/A,FALSE,"Plan1";#N/A,#N/A,FALSE,"Plan2"}</definedName>
    <definedName name="sdsd" localSheetId="2" hidden="1">{#N/A,#N/A,FALSE,"Plan1";#N/A,#N/A,FALSE,"Plan2"}</definedName>
    <definedName name="sdsd" localSheetId="9" hidden="1">{#N/A,#N/A,FALSE,"Plan1";#N/A,#N/A,FALSE,"Plan2"}</definedName>
    <definedName name="sdsd" localSheetId="5" hidden="1">{#N/A,#N/A,FALSE,"Plan1";#N/A,#N/A,FALSE,"Plan2"}</definedName>
    <definedName name="sdsd" localSheetId="4" hidden="1">{#N/A,#N/A,FALSE,"Plan1";#N/A,#N/A,FALSE,"Plan2"}</definedName>
    <definedName name="sdsd" localSheetId="8" hidden="1">{#N/A,#N/A,FALSE,"Plan1";#N/A,#N/A,FALSE,"Plan2"}</definedName>
    <definedName name="sdsd" localSheetId="12" hidden="1">{#N/A,#N/A,FALSE,"Plan1";#N/A,#N/A,FALSE,"Plan2"}</definedName>
    <definedName name="sdsd" localSheetId="16" hidden="1">{#N/A,#N/A,FALSE,"Plan1";#N/A,#N/A,FALSE,"Plan2"}</definedName>
    <definedName name="sdsd" localSheetId="0" hidden="1">{#N/A,#N/A,FALSE,"Plan1";#N/A,#N/A,FALSE,"Plan2"}</definedName>
    <definedName name="sdsd" localSheetId="11" hidden="1">{#N/A,#N/A,FALSE,"Plan1";#N/A,#N/A,FALSE,"Plan2"}</definedName>
    <definedName name="sdsd" localSheetId="13" hidden="1">{#N/A,#N/A,FALSE,"Plan1";#N/A,#N/A,FALSE,"Plan2"}</definedName>
    <definedName name="sdsd" hidden="1">{#N/A,#N/A,FALSE,"Plan1";#N/A,#N/A,FALSE,"Plan2"}</definedName>
    <definedName name="sdser" localSheetId="14" hidden="1">{#N/A,#N/A,FALSE,"Plan1";#N/A,#N/A,FALSE,"Plan2"}</definedName>
    <definedName name="sdser" localSheetId="7" hidden="1">{#N/A,#N/A,FALSE,"Plan1";#N/A,#N/A,FALSE,"Plan2"}</definedName>
    <definedName name="sdser" localSheetId="1" hidden="1">{#N/A,#N/A,FALSE,"Plan1";#N/A,#N/A,FALSE,"Plan2"}</definedName>
    <definedName name="sdser" localSheetId="2" hidden="1">{#N/A,#N/A,FALSE,"Plan1";#N/A,#N/A,FALSE,"Plan2"}</definedName>
    <definedName name="sdser" localSheetId="9" hidden="1">{#N/A,#N/A,FALSE,"Plan1";#N/A,#N/A,FALSE,"Plan2"}</definedName>
    <definedName name="sdser" localSheetId="5" hidden="1">{#N/A,#N/A,FALSE,"Plan1";#N/A,#N/A,FALSE,"Plan2"}</definedName>
    <definedName name="sdser" localSheetId="4" hidden="1">{#N/A,#N/A,FALSE,"Plan1";#N/A,#N/A,FALSE,"Plan2"}</definedName>
    <definedName name="sdser" localSheetId="8" hidden="1">{#N/A,#N/A,FALSE,"Plan1";#N/A,#N/A,FALSE,"Plan2"}</definedName>
    <definedName name="sdser" localSheetId="12" hidden="1">{#N/A,#N/A,FALSE,"Plan1";#N/A,#N/A,FALSE,"Plan2"}</definedName>
    <definedName name="sdser" localSheetId="16" hidden="1">{#N/A,#N/A,FALSE,"Plan1";#N/A,#N/A,FALSE,"Plan2"}</definedName>
    <definedName name="sdser" localSheetId="0" hidden="1">{#N/A,#N/A,FALSE,"Plan1";#N/A,#N/A,FALSE,"Plan2"}</definedName>
    <definedName name="sdser" localSheetId="11" hidden="1">{#N/A,#N/A,FALSE,"Plan1";#N/A,#N/A,FALSE,"Plan2"}</definedName>
    <definedName name="sdser" localSheetId="13" hidden="1">{#N/A,#N/A,FALSE,"Plan1";#N/A,#N/A,FALSE,"Plan2"}</definedName>
    <definedName name="sdser" hidden="1">{#N/A,#N/A,FALSE,"Plan1";#N/A,#N/A,FALSE,"Plan2"}</definedName>
    <definedName name="sdsre" localSheetId="14" hidden="1">{#N/A,#N/A,FALSE,"Plan1";#N/A,#N/A,FALSE,"Plan2"}</definedName>
    <definedName name="sdsre" localSheetId="7" hidden="1">{#N/A,#N/A,FALSE,"Plan1";#N/A,#N/A,FALSE,"Plan2"}</definedName>
    <definedName name="sdsre" localSheetId="1" hidden="1">{#N/A,#N/A,FALSE,"Plan1";#N/A,#N/A,FALSE,"Plan2"}</definedName>
    <definedName name="sdsre" localSheetId="2" hidden="1">{#N/A,#N/A,FALSE,"Plan1";#N/A,#N/A,FALSE,"Plan2"}</definedName>
    <definedName name="sdsre" localSheetId="9" hidden="1">{#N/A,#N/A,FALSE,"Plan1";#N/A,#N/A,FALSE,"Plan2"}</definedName>
    <definedName name="sdsre" localSheetId="5" hidden="1">{#N/A,#N/A,FALSE,"Plan1";#N/A,#N/A,FALSE,"Plan2"}</definedName>
    <definedName name="sdsre" localSheetId="4" hidden="1">{#N/A,#N/A,FALSE,"Plan1";#N/A,#N/A,FALSE,"Plan2"}</definedName>
    <definedName name="sdsre" localSheetId="8" hidden="1">{#N/A,#N/A,FALSE,"Plan1";#N/A,#N/A,FALSE,"Plan2"}</definedName>
    <definedName name="sdsre" localSheetId="12" hidden="1">{#N/A,#N/A,FALSE,"Plan1";#N/A,#N/A,FALSE,"Plan2"}</definedName>
    <definedName name="sdsre" localSheetId="16" hidden="1">{#N/A,#N/A,FALSE,"Plan1";#N/A,#N/A,FALSE,"Plan2"}</definedName>
    <definedName name="sdsre" localSheetId="0" hidden="1">{#N/A,#N/A,FALSE,"Plan1";#N/A,#N/A,FALSE,"Plan2"}</definedName>
    <definedName name="sdsre" localSheetId="11" hidden="1">{#N/A,#N/A,FALSE,"Plan1";#N/A,#N/A,FALSE,"Plan2"}</definedName>
    <definedName name="sdsre" localSheetId="13" hidden="1">{#N/A,#N/A,FALSE,"Plan1";#N/A,#N/A,FALSE,"Plan2"}</definedName>
    <definedName name="sdsre" hidden="1">{#N/A,#N/A,FALSE,"Plan1";#N/A,#N/A,FALSE,"Plan2"}</definedName>
    <definedName name="sdss" localSheetId="14" hidden="1">{#N/A,#N/A,FALSE,"Plan1";#N/A,#N/A,FALSE,"Plan2"}</definedName>
    <definedName name="sdss" localSheetId="7" hidden="1">{#N/A,#N/A,FALSE,"Plan1";#N/A,#N/A,FALSE,"Plan2"}</definedName>
    <definedName name="sdss" localSheetId="1" hidden="1">{#N/A,#N/A,FALSE,"Plan1";#N/A,#N/A,FALSE,"Plan2"}</definedName>
    <definedName name="sdss" localSheetId="2" hidden="1">{#N/A,#N/A,FALSE,"Plan1";#N/A,#N/A,FALSE,"Plan2"}</definedName>
    <definedName name="sdss" localSheetId="9" hidden="1">{#N/A,#N/A,FALSE,"Plan1";#N/A,#N/A,FALSE,"Plan2"}</definedName>
    <definedName name="sdss" localSheetId="5" hidden="1">{#N/A,#N/A,FALSE,"Plan1";#N/A,#N/A,FALSE,"Plan2"}</definedName>
    <definedName name="sdss" localSheetId="4" hidden="1">{#N/A,#N/A,FALSE,"Plan1";#N/A,#N/A,FALSE,"Plan2"}</definedName>
    <definedName name="sdss" localSheetId="8" hidden="1">{#N/A,#N/A,FALSE,"Plan1";#N/A,#N/A,FALSE,"Plan2"}</definedName>
    <definedName name="sdss" localSheetId="12" hidden="1">{#N/A,#N/A,FALSE,"Plan1";#N/A,#N/A,FALSE,"Plan2"}</definedName>
    <definedName name="sdss" localSheetId="16" hidden="1">{#N/A,#N/A,FALSE,"Plan1";#N/A,#N/A,FALSE,"Plan2"}</definedName>
    <definedName name="sdss" localSheetId="0" hidden="1">{#N/A,#N/A,FALSE,"Plan1";#N/A,#N/A,FALSE,"Plan2"}</definedName>
    <definedName name="sdss" localSheetId="11" hidden="1">{#N/A,#N/A,FALSE,"Plan1";#N/A,#N/A,FALSE,"Plan2"}</definedName>
    <definedName name="sdss" localSheetId="13" hidden="1">{#N/A,#N/A,FALSE,"Plan1";#N/A,#N/A,FALSE,"Plan2"}</definedName>
    <definedName name="sdss" hidden="1">{#N/A,#N/A,FALSE,"Plan1";#N/A,#N/A,FALSE,"Plan2"}</definedName>
    <definedName name="sdtrtg" localSheetId="2" hidden="1">#REF!</definedName>
    <definedName name="sdtrtg" localSheetId="5" hidden="1">#REF!</definedName>
    <definedName name="sdtrtg" localSheetId="0" hidden="1">#REF!</definedName>
    <definedName name="sdtrtg" hidden="1">#REF!</definedName>
    <definedName name="sdusi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4" hidden="1">{"Econ Consolidado",#N/A,FALSE,"Econ Consol";"Fluxo de Caixa",#N/A,FALSE,"Fluxo Caixa";"Investimentos",#N/A,FALSE,"Investimentos"}</definedName>
    <definedName name="SDWER" localSheetId="7" hidden="1">{"Econ Consolidado",#N/A,FALSE,"Econ Consol";"Fluxo de Caixa",#N/A,FALSE,"Fluxo Caixa";"Investimentos",#N/A,FALSE,"Investimentos"}</definedName>
    <definedName name="SDWER" localSheetId="1" hidden="1">{"Econ Consolidado",#N/A,FALSE,"Econ Consol";"Fluxo de Caixa",#N/A,FALSE,"Fluxo Caixa";"Investimentos",#N/A,FALSE,"Investimentos"}</definedName>
    <definedName name="SDWER" localSheetId="2" hidden="1">{"Econ Consolidado",#N/A,FALSE,"Econ Consol";"Fluxo de Caixa",#N/A,FALSE,"Fluxo Caixa";"Investimentos",#N/A,FALSE,"Investimentos"}</definedName>
    <definedName name="SDWER" localSheetId="9" hidden="1">{"Econ Consolidado",#N/A,FALSE,"Econ Consol";"Fluxo de Caixa",#N/A,FALSE,"Fluxo Caixa";"Investimentos",#N/A,FALSE,"Investimentos"}</definedName>
    <definedName name="SDWER" localSheetId="5" hidden="1">{"Econ Consolidado",#N/A,FALSE,"Econ Consol";"Fluxo de Caixa",#N/A,FALSE,"Fluxo Caixa";"Investimentos",#N/A,FALSE,"Investimentos"}</definedName>
    <definedName name="SDWER" localSheetId="4" hidden="1">{"Econ Consolidado",#N/A,FALSE,"Econ Consol";"Fluxo de Caixa",#N/A,FALSE,"Fluxo Caixa";"Investimentos",#N/A,FALSE,"Investimentos"}</definedName>
    <definedName name="SDWER" localSheetId="8" hidden="1">{"Econ Consolidado",#N/A,FALSE,"Econ Consol";"Fluxo de Caixa",#N/A,FALSE,"Fluxo Caixa";"Investimentos",#N/A,FALSE,"Investimentos"}</definedName>
    <definedName name="SDWER" localSheetId="12" hidden="1">{"Econ Consolidado",#N/A,FALSE,"Econ Consol";"Fluxo de Caixa",#N/A,FALSE,"Fluxo Caixa";"Investimentos",#N/A,FALSE,"Investimentos"}</definedName>
    <definedName name="SDWER" localSheetId="16" hidden="1">{"Econ Consolidado",#N/A,FALSE,"Econ Consol";"Fluxo de Caixa",#N/A,FALSE,"Fluxo Caixa";"Investimentos",#N/A,FALSE,"Investimentos"}</definedName>
    <definedName name="SDWER" localSheetId="0" hidden="1">{"Econ Consolidado",#N/A,FALSE,"Econ Consol";"Fluxo de Caixa",#N/A,FALSE,"Fluxo Caixa";"Investimentos",#N/A,FALSE,"Investimentos"}</definedName>
    <definedName name="SDWER" localSheetId="11" hidden="1">{"Econ Consolidado",#N/A,FALSE,"Econ Consol";"Fluxo de Caixa",#N/A,FALSE,"Fluxo Caixa";"Investimentos",#N/A,FALSE,"Investimentos"}</definedName>
    <definedName name="SDWER" localSheetId="13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14" hidden="1">{#N/A,#N/A,FALSE,"Plan1";#N/A,#N/A,FALSE,"Plan2"}</definedName>
    <definedName name="sdxfrt" localSheetId="7" hidden="1">{#N/A,#N/A,FALSE,"Plan1";#N/A,#N/A,FALSE,"Plan2"}</definedName>
    <definedName name="sdxfrt" localSheetId="1" hidden="1">{#N/A,#N/A,FALSE,"Plan1";#N/A,#N/A,FALSE,"Plan2"}</definedName>
    <definedName name="sdxfrt" localSheetId="2" hidden="1">{#N/A,#N/A,FALSE,"Plan1";#N/A,#N/A,FALSE,"Plan2"}</definedName>
    <definedName name="sdxfrt" localSheetId="9" hidden="1">{#N/A,#N/A,FALSE,"Plan1";#N/A,#N/A,FALSE,"Plan2"}</definedName>
    <definedName name="sdxfrt" localSheetId="5" hidden="1">{#N/A,#N/A,FALSE,"Plan1";#N/A,#N/A,FALSE,"Plan2"}</definedName>
    <definedName name="sdxfrt" localSheetId="4" hidden="1">{#N/A,#N/A,FALSE,"Plan1";#N/A,#N/A,FALSE,"Plan2"}</definedName>
    <definedName name="sdxfrt" localSheetId="8" hidden="1">{#N/A,#N/A,FALSE,"Plan1";#N/A,#N/A,FALSE,"Plan2"}</definedName>
    <definedName name="sdxfrt" localSheetId="12" hidden="1">{#N/A,#N/A,FALSE,"Plan1";#N/A,#N/A,FALSE,"Plan2"}</definedName>
    <definedName name="sdxfrt" localSheetId="16" hidden="1">{#N/A,#N/A,FALSE,"Plan1";#N/A,#N/A,FALSE,"Plan2"}</definedName>
    <definedName name="sdxfrt" localSheetId="0" hidden="1">{#N/A,#N/A,FALSE,"Plan1";#N/A,#N/A,FALSE,"Plan2"}</definedName>
    <definedName name="sdxfrt" localSheetId="11" hidden="1">{#N/A,#N/A,FALSE,"Plan1";#N/A,#N/A,FALSE,"Plan2"}</definedName>
    <definedName name="sdxfrt" localSheetId="13" hidden="1">{#N/A,#N/A,FALSE,"Plan1";#N/A,#N/A,FALSE,"Plan2"}</definedName>
    <definedName name="sdxfrt" hidden="1">{#N/A,#N/A,FALSE,"Plan1";#N/A,#N/A,FALSE,"Plan2"}</definedName>
    <definedName name="SDZFERF" localSheetId="14" hidden="1">{#N/A,#N/A,FALSE,"Plan1";#N/A,#N/A,FALSE,"Plan2"}</definedName>
    <definedName name="SDZFERF" localSheetId="7" hidden="1">{#N/A,#N/A,FALSE,"Plan1";#N/A,#N/A,FALSE,"Plan2"}</definedName>
    <definedName name="SDZFERF" localSheetId="1" hidden="1">{#N/A,#N/A,FALSE,"Plan1";#N/A,#N/A,FALSE,"Plan2"}</definedName>
    <definedName name="SDZFERF" localSheetId="2" hidden="1">{#N/A,#N/A,FALSE,"Plan1";#N/A,#N/A,FALSE,"Plan2"}</definedName>
    <definedName name="SDZFERF" localSheetId="9" hidden="1">{#N/A,#N/A,FALSE,"Plan1";#N/A,#N/A,FALSE,"Plan2"}</definedName>
    <definedName name="SDZFERF" localSheetId="5" hidden="1">{#N/A,#N/A,FALSE,"Plan1";#N/A,#N/A,FALSE,"Plan2"}</definedName>
    <definedName name="SDZFERF" localSheetId="4" hidden="1">{#N/A,#N/A,FALSE,"Plan1";#N/A,#N/A,FALSE,"Plan2"}</definedName>
    <definedName name="SDZFERF" localSheetId="8" hidden="1">{#N/A,#N/A,FALSE,"Plan1";#N/A,#N/A,FALSE,"Plan2"}</definedName>
    <definedName name="SDZFERF" localSheetId="12" hidden="1">{#N/A,#N/A,FALSE,"Plan1";#N/A,#N/A,FALSE,"Plan2"}</definedName>
    <definedName name="SDZFERF" localSheetId="16" hidden="1">{#N/A,#N/A,FALSE,"Plan1";#N/A,#N/A,FALSE,"Plan2"}</definedName>
    <definedName name="SDZFERF" localSheetId="0" hidden="1">{#N/A,#N/A,FALSE,"Plan1";#N/A,#N/A,FALSE,"Plan2"}</definedName>
    <definedName name="SDZFERF" localSheetId="11" hidden="1">{#N/A,#N/A,FALSE,"Plan1";#N/A,#N/A,FALSE,"Plan2"}</definedName>
    <definedName name="SDZFERF" localSheetId="13" hidden="1">{#N/A,#N/A,FALSE,"Plan1";#N/A,#N/A,FALSE,"Plan2"}</definedName>
    <definedName name="SDZFERF" hidden="1">{#N/A,#N/A,FALSE,"Plan1";#N/A,#N/A,FALSE,"Plan2"}</definedName>
    <definedName name="se" localSheetId="2">#REF!</definedName>
    <definedName name="se" localSheetId="5">#REF!</definedName>
    <definedName name="se">#REF!</definedName>
    <definedName name="SEDE" localSheetId="2">#REF!</definedName>
    <definedName name="SEDE" localSheetId="5">#REF!</definedName>
    <definedName name="SEDE">#REF!</definedName>
    <definedName name="sefret4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4">#REF!</definedName>
    <definedName name="SEG" localSheetId="2">#REF!</definedName>
    <definedName name="SEG" localSheetId="5">#REF!</definedName>
    <definedName name="SEG" localSheetId="15">#REF!</definedName>
    <definedName name="SEG" localSheetId="12">#REF!</definedName>
    <definedName name="SEG" localSheetId="0">#REF!</definedName>
    <definedName name="SEG">#REF!</definedName>
    <definedName name="segftru" localSheetId="14" hidden="1">{#N/A,#N/A,FALSE,"Plan1";#N/A,#N/A,FALSE,"Plan2"}</definedName>
    <definedName name="segftru" localSheetId="7" hidden="1">{#N/A,#N/A,FALSE,"Plan1";#N/A,#N/A,FALSE,"Plan2"}</definedName>
    <definedName name="segftru" localSheetId="1" hidden="1">{#N/A,#N/A,FALSE,"Plan1";#N/A,#N/A,FALSE,"Plan2"}</definedName>
    <definedName name="segftru" localSheetId="2" hidden="1">{#N/A,#N/A,FALSE,"Plan1";#N/A,#N/A,FALSE,"Plan2"}</definedName>
    <definedName name="segftru" localSheetId="9" hidden="1">{#N/A,#N/A,FALSE,"Plan1";#N/A,#N/A,FALSE,"Plan2"}</definedName>
    <definedName name="segftru" localSheetId="5" hidden="1">{#N/A,#N/A,FALSE,"Plan1";#N/A,#N/A,FALSE,"Plan2"}</definedName>
    <definedName name="segftru" localSheetId="4" hidden="1">{#N/A,#N/A,FALSE,"Plan1";#N/A,#N/A,FALSE,"Plan2"}</definedName>
    <definedName name="segftru" localSheetId="8" hidden="1">{#N/A,#N/A,FALSE,"Plan1";#N/A,#N/A,FALSE,"Plan2"}</definedName>
    <definedName name="segftru" localSheetId="12" hidden="1">{#N/A,#N/A,FALSE,"Plan1";#N/A,#N/A,FALSE,"Plan2"}</definedName>
    <definedName name="segftru" localSheetId="16" hidden="1">{#N/A,#N/A,FALSE,"Plan1";#N/A,#N/A,FALSE,"Plan2"}</definedName>
    <definedName name="segftru" localSheetId="0" hidden="1">{#N/A,#N/A,FALSE,"Plan1";#N/A,#N/A,FALSE,"Plan2"}</definedName>
    <definedName name="segftru" localSheetId="11" hidden="1">{#N/A,#N/A,FALSE,"Plan1";#N/A,#N/A,FALSE,"Plan2"}</definedName>
    <definedName name="segftru" localSheetId="13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2">#REF!</definedName>
    <definedName name="SEIS" localSheetId="5">#REF!</definedName>
    <definedName name="SEIS" localSheetId="24">#REF!</definedName>
    <definedName name="SEIS">#REF!</definedName>
    <definedName name="sencount" localSheetId="7" hidden="1">1</definedName>
    <definedName name="sencount" localSheetId="2" hidden="1">1</definedName>
    <definedName name="sencount" localSheetId="9" hidden="1">1</definedName>
    <definedName name="sencount" localSheetId="5" hidden="1">3</definedName>
    <definedName name="sencount" localSheetId="8" hidden="1">1</definedName>
    <definedName name="sencount" localSheetId="0" hidden="1">3</definedName>
    <definedName name="sencount" hidden="1">3</definedName>
    <definedName name="SEQUENCIA" localSheetId="2">#REF!</definedName>
    <definedName name="SEQUENCIA" localSheetId="9">#REF!</definedName>
    <definedName name="SEQUENCIA" localSheetId="5">#REF!</definedName>
    <definedName name="SEQUENCIA">#REF!</definedName>
    <definedName name="SEREWRSWE" localSheetId="14" hidden="1">{"tabela",#N/A,FALSE,"Tabela";"decoração",#N/A,FALSE,"Decor.";"Informações",#N/A,FALSE,"Inform."}</definedName>
    <definedName name="SEREWRSWE" localSheetId="7" hidden="1">{"tabela",#N/A,FALSE,"Tabela";"decoração",#N/A,FALSE,"Decor.";"Informações",#N/A,FALSE,"Inform."}</definedName>
    <definedName name="SEREWRSWE" localSheetId="1" hidden="1">{"tabela",#N/A,FALSE,"Tabela";"decoração",#N/A,FALSE,"Decor.";"Informações",#N/A,FALSE,"Inform."}</definedName>
    <definedName name="SEREWRSWE" localSheetId="2" hidden="1">{"tabela",#N/A,FALSE,"Tabela";"decoração",#N/A,FALSE,"Decor.";"Informações",#N/A,FALSE,"Inform."}</definedName>
    <definedName name="SEREWRSWE" localSheetId="9" hidden="1">{"tabela",#N/A,FALSE,"Tabela";"decoração",#N/A,FALSE,"Decor.";"Informações",#N/A,FALSE,"Inform."}</definedName>
    <definedName name="SEREWRSWE" localSheetId="5" hidden="1">{"tabela",#N/A,FALSE,"Tabela";"decoração",#N/A,FALSE,"Decor.";"Informações",#N/A,FALSE,"Inform."}</definedName>
    <definedName name="SEREWRSWE" localSheetId="4" hidden="1">{"tabela",#N/A,FALSE,"Tabela";"decoração",#N/A,FALSE,"Decor.";"Informações",#N/A,FALSE,"Inform."}</definedName>
    <definedName name="SEREWRSWE" localSheetId="8" hidden="1">{"tabela",#N/A,FALSE,"Tabela";"decoração",#N/A,FALSE,"Decor.";"Informações",#N/A,FALSE,"Inform."}</definedName>
    <definedName name="SEREWRSWE" localSheetId="12" hidden="1">{"tabela",#N/A,FALSE,"Tabela";"decoração",#N/A,FALSE,"Decor.";"Informações",#N/A,FALSE,"Inform."}</definedName>
    <definedName name="SEREWRSWE" localSheetId="16" hidden="1">{"tabela",#N/A,FALSE,"Tabela";"decoração",#N/A,FALSE,"Decor.";"Informações",#N/A,FALSE,"Inform."}</definedName>
    <definedName name="SEREWRSWE" localSheetId="0" hidden="1">{"tabela",#N/A,FALSE,"Tabela";"decoração",#N/A,FALSE,"Decor.";"Informações",#N/A,FALSE,"Inform."}</definedName>
    <definedName name="SEREWRSWE" localSheetId="11" hidden="1">{"tabela",#N/A,FALSE,"Tabela";"decoração",#N/A,FALSE,"Decor.";"Informações",#N/A,FALSE,"Inform."}</definedName>
    <definedName name="SEREWRSWE" localSheetId="13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2">#REF!</definedName>
    <definedName name="Set_17" localSheetId="5">#REF!</definedName>
    <definedName name="Set_17">#REF!</definedName>
    <definedName name="SETE" localSheetId="2">#REF!</definedName>
    <definedName name="SETE" localSheetId="5">#REF!</definedName>
    <definedName name="SETE" localSheetId="24">#REF!</definedName>
    <definedName name="SETE">#REF!</definedName>
    <definedName name="SETEMBRO" localSheetId="2">#REF!</definedName>
    <definedName name="SETEMBRO" localSheetId="5">#REF!</definedName>
    <definedName name="SETEMBRO">#REF!</definedName>
    <definedName name="setRJ17" localSheetId="2">#REF!</definedName>
    <definedName name="setRJ17" localSheetId="5">#REF!</definedName>
    <definedName name="setRJ17">#REF!</definedName>
    <definedName name="severo" localSheetId="2">#REF!</definedName>
    <definedName name="severo" localSheetId="5">#REF!</definedName>
    <definedName name="severo">#REF!</definedName>
    <definedName name="sf" localSheetId="14" hidden="1">{#N/A,#N/A,FALSE,"Plan1";#N/A,#N/A,FALSE,"Plan2"}</definedName>
    <definedName name="sf" localSheetId="7" hidden="1">{#N/A,#N/A,FALSE,"Plan1";#N/A,#N/A,FALSE,"Plan2"}</definedName>
    <definedName name="sf" localSheetId="1" hidden="1">{#N/A,#N/A,FALSE,"Plan1";#N/A,#N/A,FALSE,"Plan2"}</definedName>
    <definedName name="sf" localSheetId="2" hidden="1">{#N/A,#N/A,FALSE,"Plan1";#N/A,#N/A,FALSE,"Plan2"}</definedName>
    <definedName name="sf" localSheetId="9" hidden="1">{#N/A,#N/A,FALSE,"Plan1";#N/A,#N/A,FALSE,"Plan2"}</definedName>
    <definedName name="sf" localSheetId="5" hidden="1">{#N/A,#N/A,FALSE,"Plan1";#N/A,#N/A,FALSE,"Plan2"}</definedName>
    <definedName name="sf" localSheetId="4" hidden="1">{#N/A,#N/A,FALSE,"Plan1";#N/A,#N/A,FALSE,"Plan2"}</definedName>
    <definedName name="sf" localSheetId="8" hidden="1">{#N/A,#N/A,FALSE,"Plan1";#N/A,#N/A,FALSE,"Plan2"}</definedName>
    <definedName name="sf" localSheetId="12" hidden="1">{#N/A,#N/A,FALSE,"Plan1";#N/A,#N/A,FALSE,"Plan2"}</definedName>
    <definedName name="sf" localSheetId="16" hidden="1">{#N/A,#N/A,FALSE,"Plan1";#N/A,#N/A,FALSE,"Plan2"}</definedName>
    <definedName name="sf" localSheetId="0" hidden="1">{#N/A,#N/A,FALSE,"Plan1";#N/A,#N/A,FALSE,"Plan2"}</definedName>
    <definedName name="sf" localSheetId="11" hidden="1">{#N/A,#N/A,FALSE,"Plan1";#N/A,#N/A,FALSE,"Plan2"}</definedName>
    <definedName name="sf" localSheetId="13" hidden="1">{#N/A,#N/A,FALSE,"Plan1";#N/A,#N/A,FALSE,"Plan2"}</definedName>
    <definedName name="sf" hidden="1">{#N/A,#N/A,FALSE,"Plan1";#N/A,#N/A,FALSE,"Plan2"}</definedName>
    <definedName name="sfcre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4" hidden="1">{#N/A,#N/A,FALSE,"Plan1";#N/A,#N/A,FALSE,"Plan2"}</definedName>
    <definedName name="sfddfd" localSheetId="7" hidden="1">{#N/A,#N/A,FALSE,"Plan1";#N/A,#N/A,FALSE,"Plan2"}</definedName>
    <definedName name="sfddfd" localSheetId="1" hidden="1">{#N/A,#N/A,FALSE,"Plan1";#N/A,#N/A,FALSE,"Plan2"}</definedName>
    <definedName name="sfddfd" localSheetId="2" hidden="1">{#N/A,#N/A,FALSE,"Plan1";#N/A,#N/A,FALSE,"Plan2"}</definedName>
    <definedName name="sfddfd" localSheetId="9" hidden="1">{#N/A,#N/A,FALSE,"Plan1";#N/A,#N/A,FALSE,"Plan2"}</definedName>
    <definedName name="sfddfd" localSheetId="5" hidden="1">{#N/A,#N/A,FALSE,"Plan1";#N/A,#N/A,FALSE,"Plan2"}</definedName>
    <definedName name="sfddfd" localSheetId="4" hidden="1">{#N/A,#N/A,FALSE,"Plan1";#N/A,#N/A,FALSE,"Plan2"}</definedName>
    <definedName name="sfddfd" localSheetId="8" hidden="1">{#N/A,#N/A,FALSE,"Plan1";#N/A,#N/A,FALSE,"Plan2"}</definedName>
    <definedName name="sfddfd" localSheetId="12" hidden="1">{#N/A,#N/A,FALSE,"Plan1";#N/A,#N/A,FALSE,"Plan2"}</definedName>
    <definedName name="sfddfd" localSheetId="16" hidden="1">{#N/A,#N/A,FALSE,"Plan1";#N/A,#N/A,FALSE,"Plan2"}</definedName>
    <definedName name="sfddfd" localSheetId="0" hidden="1">{#N/A,#N/A,FALSE,"Plan1";#N/A,#N/A,FALSE,"Plan2"}</definedName>
    <definedName name="sfddfd" localSheetId="11" hidden="1">{#N/A,#N/A,FALSE,"Plan1";#N/A,#N/A,FALSE,"Plan2"}</definedName>
    <definedName name="sfddfd" localSheetId="13" hidden="1">{#N/A,#N/A,FALSE,"Plan1";#N/A,#N/A,FALSE,"Plan2"}</definedName>
    <definedName name="sfddfd" hidden="1">{#N/A,#N/A,FALSE,"Plan1";#N/A,#N/A,FALSE,"Plan2"}</definedName>
    <definedName name="sfds" localSheetId="14" hidden="1">{#N/A,#N/A,FALSE,"Plan1";#N/A,#N/A,FALSE,"Plan2"}</definedName>
    <definedName name="sfds" localSheetId="7" hidden="1">{#N/A,#N/A,FALSE,"Plan1";#N/A,#N/A,FALSE,"Plan2"}</definedName>
    <definedName name="sfds" localSheetId="1" hidden="1">{#N/A,#N/A,FALSE,"Plan1";#N/A,#N/A,FALSE,"Plan2"}</definedName>
    <definedName name="sfds" localSheetId="2" hidden="1">{#N/A,#N/A,FALSE,"Plan1";#N/A,#N/A,FALSE,"Plan2"}</definedName>
    <definedName name="sfds" localSheetId="9" hidden="1">{#N/A,#N/A,FALSE,"Plan1";#N/A,#N/A,FALSE,"Plan2"}</definedName>
    <definedName name="sfds" localSheetId="5" hidden="1">{#N/A,#N/A,FALSE,"Plan1";#N/A,#N/A,FALSE,"Plan2"}</definedName>
    <definedName name="sfds" localSheetId="4" hidden="1">{#N/A,#N/A,FALSE,"Plan1";#N/A,#N/A,FALSE,"Plan2"}</definedName>
    <definedName name="sfds" localSheetId="8" hidden="1">{#N/A,#N/A,FALSE,"Plan1";#N/A,#N/A,FALSE,"Plan2"}</definedName>
    <definedName name="sfds" localSheetId="12" hidden="1">{#N/A,#N/A,FALSE,"Plan1";#N/A,#N/A,FALSE,"Plan2"}</definedName>
    <definedName name="sfds" localSheetId="16" hidden="1">{#N/A,#N/A,FALSE,"Plan1";#N/A,#N/A,FALSE,"Plan2"}</definedName>
    <definedName name="sfds" localSheetId="0" hidden="1">{#N/A,#N/A,FALSE,"Plan1";#N/A,#N/A,FALSE,"Plan2"}</definedName>
    <definedName name="sfds" localSheetId="11" hidden="1">{#N/A,#N/A,FALSE,"Plan1";#N/A,#N/A,FALSE,"Plan2"}</definedName>
    <definedName name="sfds" localSheetId="13" hidden="1">{#N/A,#N/A,FALSE,"Plan1";#N/A,#N/A,FALSE,"Plan2"}</definedName>
    <definedName name="sfds" hidden="1">{#N/A,#N/A,FALSE,"Plan1";#N/A,#N/A,FALSE,"Plan2"}</definedName>
    <definedName name="sfdsd" localSheetId="14" hidden="1">{#N/A,#N/A,FALSE,"Plan1";#N/A,#N/A,FALSE,"Plan2"}</definedName>
    <definedName name="sfdsd" localSheetId="7" hidden="1">{#N/A,#N/A,FALSE,"Plan1";#N/A,#N/A,FALSE,"Plan2"}</definedName>
    <definedName name="sfdsd" localSheetId="1" hidden="1">{#N/A,#N/A,FALSE,"Plan1";#N/A,#N/A,FALSE,"Plan2"}</definedName>
    <definedName name="sfdsd" localSheetId="2" hidden="1">{#N/A,#N/A,FALSE,"Plan1";#N/A,#N/A,FALSE,"Plan2"}</definedName>
    <definedName name="sfdsd" localSheetId="9" hidden="1">{#N/A,#N/A,FALSE,"Plan1";#N/A,#N/A,FALSE,"Plan2"}</definedName>
    <definedName name="sfdsd" localSheetId="5" hidden="1">{#N/A,#N/A,FALSE,"Plan1";#N/A,#N/A,FALSE,"Plan2"}</definedName>
    <definedName name="sfdsd" localSheetId="4" hidden="1">{#N/A,#N/A,FALSE,"Plan1";#N/A,#N/A,FALSE,"Plan2"}</definedName>
    <definedName name="sfdsd" localSheetId="8" hidden="1">{#N/A,#N/A,FALSE,"Plan1";#N/A,#N/A,FALSE,"Plan2"}</definedName>
    <definedName name="sfdsd" localSheetId="12" hidden="1">{#N/A,#N/A,FALSE,"Plan1";#N/A,#N/A,FALSE,"Plan2"}</definedName>
    <definedName name="sfdsd" localSheetId="16" hidden="1">{#N/A,#N/A,FALSE,"Plan1";#N/A,#N/A,FALSE,"Plan2"}</definedName>
    <definedName name="sfdsd" localSheetId="0" hidden="1">{#N/A,#N/A,FALSE,"Plan1";#N/A,#N/A,FALSE,"Plan2"}</definedName>
    <definedName name="sfdsd" localSheetId="11" hidden="1">{#N/A,#N/A,FALSE,"Plan1";#N/A,#N/A,FALSE,"Plan2"}</definedName>
    <definedName name="sfdsd" localSheetId="13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14" hidden="1">{#N/A,#N/A,FALSE,"Plan1";#N/A,#N/A,FALSE,"Plan2"}</definedName>
    <definedName name="sfrsdrgt" localSheetId="7" hidden="1">{#N/A,#N/A,FALSE,"Plan1";#N/A,#N/A,FALSE,"Plan2"}</definedName>
    <definedName name="sfrsdrgt" localSheetId="1" hidden="1">{#N/A,#N/A,FALSE,"Plan1";#N/A,#N/A,FALSE,"Plan2"}</definedName>
    <definedName name="sfrsdrgt" localSheetId="2" hidden="1">{#N/A,#N/A,FALSE,"Plan1";#N/A,#N/A,FALSE,"Plan2"}</definedName>
    <definedName name="sfrsdrgt" localSheetId="9" hidden="1">{#N/A,#N/A,FALSE,"Plan1";#N/A,#N/A,FALSE,"Plan2"}</definedName>
    <definedName name="sfrsdrgt" localSheetId="5" hidden="1">{#N/A,#N/A,FALSE,"Plan1";#N/A,#N/A,FALSE,"Plan2"}</definedName>
    <definedName name="sfrsdrgt" localSheetId="4" hidden="1">{#N/A,#N/A,FALSE,"Plan1";#N/A,#N/A,FALSE,"Plan2"}</definedName>
    <definedName name="sfrsdrgt" localSheetId="8" hidden="1">{#N/A,#N/A,FALSE,"Plan1";#N/A,#N/A,FALSE,"Plan2"}</definedName>
    <definedName name="sfrsdrgt" localSheetId="12" hidden="1">{#N/A,#N/A,FALSE,"Plan1";#N/A,#N/A,FALSE,"Plan2"}</definedName>
    <definedName name="sfrsdrgt" localSheetId="16" hidden="1">{#N/A,#N/A,FALSE,"Plan1";#N/A,#N/A,FALSE,"Plan2"}</definedName>
    <definedName name="sfrsdrgt" localSheetId="0" hidden="1">{#N/A,#N/A,FALSE,"Plan1";#N/A,#N/A,FALSE,"Plan2"}</definedName>
    <definedName name="sfrsdrgt" localSheetId="11" hidden="1">{#N/A,#N/A,FALSE,"Plan1";#N/A,#N/A,FALSE,"Plan2"}</definedName>
    <definedName name="sfrsdrgt" localSheetId="13" hidden="1">{#N/A,#N/A,FALSE,"Plan1";#N/A,#N/A,FALSE,"Plan2"}</definedName>
    <definedName name="sfrsdrgt" hidden="1">{#N/A,#N/A,FALSE,"Plan1";#N/A,#N/A,FALSE,"Plan2"}</definedName>
    <definedName name="SFRT" localSheetId="14" hidden="1">{#N/A,#N/A,FALSE,"Plan1";#N/A,#N/A,FALSE,"Plan2"}</definedName>
    <definedName name="SFRT" localSheetId="7" hidden="1">{#N/A,#N/A,FALSE,"Plan1";#N/A,#N/A,FALSE,"Plan2"}</definedName>
    <definedName name="SFRT" localSheetId="1" hidden="1">{#N/A,#N/A,FALSE,"Plan1";#N/A,#N/A,FALSE,"Plan2"}</definedName>
    <definedName name="SFRT" localSheetId="2" hidden="1">{#N/A,#N/A,FALSE,"Plan1";#N/A,#N/A,FALSE,"Plan2"}</definedName>
    <definedName name="SFRT" localSheetId="9" hidden="1">{#N/A,#N/A,FALSE,"Plan1";#N/A,#N/A,FALSE,"Plan2"}</definedName>
    <definedName name="SFRT" localSheetId="5" hidden="1">{#N/A,#N/A,FALSE,"Plan1";#N/A,#N/A,FALSE,"Plan2"}</definedName>
    <definedName name="SFRT" localSheetId="4" hidden="1">{#N/A,#N/A,FALSE,"Plan1";#N/A,#N/A,FALSE,"Plan2"}</definedName>
    <definedName name="SFRT" localSheetId="8" hidden="1">{#N/A,#N/A,FALSE,"Plan1";#N/A,#N/A,FALSE,"Plan2"}</definedName>
    <definedName name="SFRT" localSheetId="12" hidden="1">{#N/A,#N/A,FALSE,"Plan1";#N/A,#N/A,FALSE,"Plan2"}</definedName>
    <definedName name="SFRT" localSheetId="16" hidden="1">{#N/A,#N/A,FALSE,"Plan1";#N/A,#N/A,FALSE,"Plan2"}</definedName>
    <definedName name="SFRT" localSheetId="0" hidden="1">{#N/A,#N/A,FALSE,"Plan1";#N/A,#N/A,FALSE,"Plan2"}</definedName>
    <definedName name="SFRT" localSheetId="11" hidden="1">{#N/A,#N/A,FALSE,"Plan1";#N/A,#N/A,FALSE,"Plan2"}</definedName>
    <definedName name="SFRT" localSheetId="13" hidden="1">{#N/A,#N/A,FALSE,"Plan1";#N/A,#N/A,FALSE,"Plan2"}</definedName>
    <definedName name="SFRT" hidden="1">{#N/A,#N/A,FALSE,"Plan1";#N/A,#N/A,FALSE,"Plan2"}</definedName>
    <definedName name="sfsdferf" localSheetId="14" hidden="1">{#N/A,#N/A,FALSE,"Plan1";#N/A,#N/A,FALSE,"Plan2"}</definedName>
    <definedName name="sfsdferf" localSheetId="7" hidden="1">{#N/A,#N/A,FALSE,"Plan1";#N/A,#N/A,FALSE,"Plan2"}</definedName>
    <definedName name="sfsdferf" localSheetId="1" hidden="1">{#N/A,#N/A,FALSE,"Plan1";#N/A,#N/A,FALSE,"Plan2"}</definedName>
    <definedName name="sfsdferf" localSheetId="2" hidden="1">{#N/A,#N/A,FALSE,"Plan1";#N/A,#N/A,FALSE,"Plan2"}</definedName>
    <definedName name="sfsdferf" localSheetId="9" hidden="1">{#N/A,#N/A,FALSE,"Plan1";#N/A,#N/A,FALSE,"Plan2"}</definedName>
    <definedName name="sfsdferf" localSheetId="5" hidden="1">{#N/A,#N/A,FALSE,"Plan1";#N/A,#N/A,FALSE,"Plan2"}</definedName>
    <definedName name="sfsdferf" localSheetId="4" hidden="1">{#N/A,#N/A,FALSE,"Plan1";#N/A,#N/A,FALSE,"Plan2"}</definedName>
    <definedName name="sfsdferf" localSheetId="8" hidden="1">{#N/A,#N/A,FALSE,"Plan1";#N/A,#N/A,FALSE,"Plan2"}</definedName>
    <definedName name="sfsdferf" localSheetId="12" hidden="1">{#N/A,#N/A,FALSE,"Plan1";#N/A,#N/A,FALSE,"Plan2"}</definedName>
    <definedName name="sfsdferf" localSheetId="16" hidden="1">{#N/A,#N/A,FALSE,"Plan1";#N/A,#N/A,FALSE,"Plan2"}</definedName>
    <definedName name="sfsdferf" localSheetId="0" hidden="1">{#N/A,#N/A,FALSE,"Plan1";#N/A,#N/A,FALSE,"Plan2"}</definedName>
    <definedName name="sfsdferf" localSheetId="11" hidden="1">{#N/A,#N/A,FALSE,"Plan1";#N/A,#N/A,FALSE,"Plan2"}</definedName>
    <definedName name="sfsdferf" localSheetId="13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14" hidden="1">{#N/A,#N/A,FALSE,"Plan1";#N/A,#N/A,FALSE,"Plan2"}</definedName>
    <definedName name="SFSDS" localSheetId="7" hidden="1">{#N/A,#N/A,FALSE,"Plan1";#N/A,#N/A,FALSE,"Plan2"}</definedName>
    <definedName name="SFSDS" localSheetId="1" hidden="1">{#N/A,#N/A,FALSE,"Plan1";#N/A,#N/A,FALSE,"Plan2"}</definedName>
    <definedName name="SFSDS" localSheetId="2" hidden="1">{#N/A,#N/A,FALSE,"Plan1";#N/A,#N/A,FALSE,"Plan2"}</definedName>
    <definedName name="SFSDS" localSheetId="9" hidden="1">{#N/A,#N/A,FALSE,"Plan1";#N/A,#N/A,FALSE,"Plan2"}</definedName>
    <definedName name="SFSDS" localSheetId="5" hidden="1">{#N/A,#N/A,FALSE,"Plan1";#N/A,#N/A,FALSE,"Plan2"}</definedName>
    <definedName name="SFSDS" localSheetId="4" hidden="1">{#N/A,#N/A,FALSE,"Plan1";#N/A,#N/A,FALSE,"Plan2"}</definedName>
    <definedName name="SFSDS" localSheetId="8" hidden="1">{#N/A,#N/A,FALSE,"Plan1";#N/A,#N/A,FALSE,"Plan2"}</definedName>
    <definedName name="SFSDS" localSheetId="12" hidden="1">{#N/A,#N/A,FALSE,"Plan1";#N/A,#N/A,FALSE,"Plan2"}</definedName>
    <definedName name="SFSDS" localSheetId="16" hidden="1">{#N/A,#N/A,FALSE,"Plan1";#N/A,#N/A,FALSE,"Plan2"}</definedName>
    <definedName name="SFSDS" localSheetId="0" hidden="1">{#N/A,#N/A,FALSE,"Plan1";#N/A,#N/A,FALSE,"Plan2"}</definedName>
    <definedName name="SFSDS" localSheetId="11" hidden="1">{#N/A,#N/A,FALSE,"Plan1";#N/A,#N/A,FALSE,"Plan2"}</definedName>
    <definedName name="SFSDS" localSheetId="13" hidden="1">{#N/A,#N/A,FALSE,"Plan1";#N/A,#N/A,FALSE,"Plan2"}</definedName>
    <definedName name="SFSDS" hidden="1">{#N/A,#N/A,FALSE,"Plan1";#N/A,#N/A,FALSE,"Plan2"}</definedName>
    <definedName name="SGarantia" localSheetId="2">#REF!</definedName>
    <definedName name="SGarantia" localSheetId="5">#REF!</definedName>
    <definedName name="SGarantia">#REF!</definedName>
    <definedName name="sgtghty" localSheetId="14" hidden="1">{#N/A,#N/A,FALSE,"Plan1";#N/A,#N/A,FALSE,"Plan2"}</definedName>
    <definedName name="sgtghty" localSheetId="7" hidden="1">{#N/A,#N/A,FALSE,"Plan1";#N/A,#N/A,FALSE,"Plan2"}</definedName>
    <definedName name="sgtghty" localSheetId="1" hidden="1">{#N/A,#N/A,FALSE,"Plan1";#N/A,#N/A,FALSE,"Plan2"}</definedName>
    <definedName name="sgtghty" localSheetId="2" hidden="1">{#N/A,#N/A,FALSE,"Plan1";#N/A,#N/A,FALSE,"Plan2"}</definedName>
    <definedName name="sgtghty" localSheetId="9" hidden="1">{#N/A,#N/A,FALSE,"Plan1";#N/A,#N/A,FALSE,"Plan2"}</definedName>
    <definedName name="sgtghty" localSheetId="5" hidden="1">{#N/A,#N/A,FALSE,"Plan1";#N/A,#N/A,FALSE,"Plan2"}</definedName>
    <definedName name="sgtghty" localSheetId="4" hidden="1">{#N/A,#N/A,FALSE,"Plan1";#N/A,#N/A,FALSE,"Plan2"}</definedName>
    <definedName name="sgtghty" localSheetId="8" hidden="1">{#N/A,#N/A,FALSE,"Plan1";#N/A,#N/A,FALSE,"Plan2"}</definedName>
    <definedName name="sgtghty" localSheetId="12" hidden="1">{#N/A,#N/A,FALSE,"Plan1";#N/A,#N/A,FALSE,"Plan2"}</definedName>
    <definedName name="sgtghty" localSheetId="16" hidden="1">{#N/A,#N/A,FALSE,"Plan1";#N/A,#N/A,FALSE,"Plan2"}</definedName>
    <definedName name="sgtghty" localSheetId="0" hidden="1">{#N/A,#N/A,FALSE,"Plan1";#N/A,#N/A,FALSE,"Plan2"}</definedName>
    <definedName name="sgtghty" localSheetId="11" hidden="1">{#N/A,#N/A,FALSE,"Plan1";#N/A,#N/A,FALSE,"Plan2"}</definedName>
    <definedName name="sgtghty" localSheetId="13" hidden="1">{#N/A,#N/A,FALSE,"Plan1";#N/A,#N/A,FALSE,"Plan2"}</definedName>
    <definedName name="sgtghty" hidden="1">{#N/A,#N/A,FALSE,"Plan1";#N/A,#N/A,FALSE,"Plan2"}</definedName>
    <definedName name="S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4">#REF!</definedName>
    <definedName name="SIH" localSheetId="2">#REF!</definedName>
    <definedName name="SIH" localSheetId="5">#REF!</definedName>
    <definedName name="SIH" localSheetId="15">#REF!</definedName>
    <definedName name="SIH" localSheetId="12">#REF!</definedName>
    <definedName name="SIH" localSheetId="0">#REF!</definedName>
    <definedName name="SIH">#REF!</definedName>
    <definedName name="SISTEM1" localSheetId="2">#REF!</definedName>
    <definedName name="SISTEM1" localSheetId="5">#REF!</definedName>
    <definedName name="SISTEM1">#REF!</definedName>
    <definedName name="SISTEM2" localSheetId="2">#REF!</definedName>
    <definedName name="SISTEM2" localSheetId="5">#REF!</definedName>
    <definedName name="SISTEM2">#REF!</definedName>
    <definedName name="SIV" localSheetId="14">#REF!</definedName>
    <definedName name="SIV" localSheetId="2">#REF!</definedName>
    <definedName name="SIV" localSheetId="5">#REF!</definedName>
    <definedName name="SIV" localSheetId="15">#REF!</definedName>
    <definedName name="SIV" localSheetId="12">#REF!</definedName>
    <definedName name="SIV" localSheetId="0">#REF!</definedName>
    <definedName name="SIV">#REF!</definedName>
    <definedName name="sjawe" localSheetId="14" hidden="1">{#N/A,#N/A,FALSE,"Plan1";#N/A,#N/A,FALSE,"Plan2"}</definedName>
    <definedName name="sjawe" localSheetId="7" hidden="1">{#N/A,#N/A,FALSE,"Plan1";#N/A,#N/A,FALSE,"Plan2"}</definedName>
    <definedName name="sjawe" localSheetId="1" hidden="1">{#N/A,#N/A,FALSE,"Plan1";#N/A,#N/A,FALSE,"Plan2"}</definedName>
    <definedName name="sjawe" localSheetId="2" hidden="1">{#N/A,#N/A,FALSE,"Plan1";#N/A,#N/A,FALSE,"Plan2"}</definedName>
    <definedName name="sjawe" localSheetId="9" hidden="1">{#N/A,#N/A,FALSE,"Plan1";#N/A,#N/A,FALSE,"Plan2"}</definedName>
    <definedName name="sjawe" localSheetId="5" hidden="1">{#N/A,#N/A,FALSE,"Plan1";#N/A,#N/A,FALSE,"Plan2"}</definedName>
    <definedName name="sjawe" localSheetId="4" hidden="1">{#N/A,#N/A,FALSE,"Plan1";#N/A,#N/A,FALSE,"Plan2"}</definedName>
    <definedName name="sjawe" localSheetId="8" hidden="1">{#N/A,#N/A,FALSE,"Plan1";#N/A,#N/A,FALSE,"Plan2"}</definedName>
    <definedName name="sjawe" localSheetId="12" hidden="1">{#N/A,#N/A,FALSE,"Plan1";#N/A,#N/A,FALSE,"Plan2"}</definedName>
    <definedName name="sjawe" localSheetId="16" hidden="1">{#N/A,#N/A,FALSE,"Plan1";#N/A,#N/A,FALSE,"Plan2"}</definedName>
    <definedName name="sjawe" localSheetId="0" hidden="1">{#N/A,#N/A,FALSE,"Plan1";#N/A,#N/A,FALSE,"Plan2"}</definedName>
    <definedName name="sjawe" localSheetId="11" hidden="1">{#N/A,#N/A,FALSE,"Plan1";#N/A,#N/A,FALSE,"Plan2"}</definedName>
    <definedName name="sjawe" localSheetId="13" hidden="1">{#N/A,#N/A,FALSE,"Plan1";#N/A,#N/A,FALSE,"Plan2"}</definedName>
    <definedName name="sjawe" hidden="1">{#N/A,#N/A,FALSE,"Plan1";#N/A,#N/A,FALSE,"Plan2"}</definedName>
    <definedName name="sjdffd" localSheetId="14" hidden="1">{#N/A,#N/A,FALSE,"Plan1";#N/A,#N/A,FALSE,"Plan2"}</definedName>
    <definedName name="sjdffd" localSheetId="7" hidden="1">{#N/A,#N/A,FALSE,"Plan1";#N/A,#N/A,FALSE,"Plan2"}</definedName>
    <definedName name="sjdffd" localSheetId="1" hidden="1">{#N/A,#N/A,FALSE,"Plan1";#N/A,#N/A,FALSE,"Plan2"}</definedName>
    <definedName name="sjdffd" localSheetId="2" hidden="1">{#N/A,#N/A,FALSE,"Plan1";#N/A,#N/A,FALSE,"Plan2"}</definedName>
    <definedName name="sjdffd" localSheetId="9" hidden="1">{#N/A,#N/A,FALSE,"Plan1";#N/A,#N/A,FALSE,"Plan2"}</definedName>
    <definedName name="sjdffd" localSheetId="5" hidden="1">{#N/A,#N/A,FALSE,"Plan1";#N/A,#N/A,FALSE,"Plan2"}</definedName>
    <definedName name="sjdffd" localSheetId="4" hidden="1">{#N/A,#N/A,FALSE,"Plan1";#N/A,#N/A,FALSE,"Plan2"}</definedName>
    <definedName name="sjdffd" localSheetId="8" hidden="1">{#N/A,#N/A,FALSE,"Plan1";#N/A,#N/A,FALSE,"Plan2"}</definedName>
    <definedName name="sjdffd" localSheetId="12" hidden="1">{#N/A,#N/A,FALSE,"Plan1";#N/A,#N/A,FALSE,"Plan2"}</definedName>
    <definedName name="sjdffd" localSheetId="16" hidden="1">{#N/A,#N/A,FALSE,"Plan1";#N/A,#N/A,FALSE,"Plan2"}</definedName>
    <definedName name="sjdffd" localSheetId="0" hidden="1">{#N/A,#N/A,FALSE,"Plan1";#N/A,#N/A,FALSE,"Plan2"}</definedName>
    <definedName name="sjdffd" localSheetId="11" hidden="1">{#N/A,#N/A,FALSE,"Plan1";#N/A,#N/A,FALSE,"Plan2"}</definedName>
    <definedName name="sjdffd" localSheetId="13" hidden="1">{#N/A,#N/A,FALSE,"Plan1";#N/A,#N/A,FALSE,"Plan2"}</definedName>
    <definedName name="sjdffd" hidden="1">{#N/A,#N/A,FALSE,"Plan1";#N/A,#N/A,FALSE,"Plan2"}</definedName>
    <definedName name="SJDFHDJS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4" hidden="1">{#N/A,#N/A,FALSE,"Plan1";#N/A,#N/A,FALSE,"Plan2"}</definedName>
    <definedName name="SJDHFHRE" localSheetId="7" hidden="1">{#N/A,#N/A,FALSE,"Plan1";#N/A,#N/A,FALSE,"Plan2"}</definedName>
    <definedName name="SJDHFHRE" localSheetId="1" hidden="1">{#N/A,#N/A,FALSE,"Plan1";#N/A,#N/A,FALSE,"Plan2"}</definedName>
    <definedName name="SJDHFHRE" localSheetId="2" hidden="1">{#N/A,#N/A,FALSE,"Plan1";#N/A,#N/A,FALSE,"Plan2"}</definedName>
    <definedName name="SJDHFHRE" localSheetId="9" hidden="1">{#N/A,#N/A,FALSE,"Plan1";#N/A,#N/A,FALSE,"Plan2"}</definedName>
    <definedName name="SJDHFHRE" localSheetId="5" hidden="1">{#N/A,#N/A,FALSE,"Plan1";#N/A,#N/A,FALSE,"Plan2"}</definedName>
    <definedName name="SJDHFHRE" localSheetId="4" hidden="1">{#N/A,#N/A,FALSE,"Plan1";#N/A,#N/A,FALSE,"Plan2"}</definedName>
    <definedName name="SJDHFHRE" localSheetId="8" hidden="1">{#N/A,#N/A,FALSE,"Plan1";#N/A,#N/A,FALSE,"Plan2"}</definedName>
    <definedName name="SJDHFHRE" localSheetId="12" hidden="1">{#N/A,#N/A,FALSE,"Plan1";#N/A,#N/A,FALSE,"Plan2"}</definedName>
    <definedName name="SJDHFHRE" localSheetId="16" hidden="1">{#N/A,#N/A,FALSE,"Plan1";#N/A,#N/A,FALSE,"Plan2"}</definedName>
    <definedName name="SJDHFHRE" localSheetId="0" hidden="1">{#N/A,#N/A,FALSE,"Plan1";#N/A,#N/A,FALSE,"Plan2"}</definedName>
    <definedName name="SJDHFHRE" localSheetId="11" hidden="1">{#N/A,#N/A,FALSE,"Plan1";#N/A,#N/A,FALSE,"Plan2"}</definedName>
    <definedName name="SJDHFHRE" localSheetId="13" hidden="1">{#N/A,#N/A,FALSE,"Plan1";#N/A,#N/A,FALSE,"Plan2"}</definedName>
    <definedName name="SJDHFHRE" hidden="1">{#N/A,#N/A,FALSE,"Plan1";#N/A,#N/A,FALSE,"Plan2"}</definedName>
    <definedName name="SJDKJDE" localSheetId="14" hidden="1">{"Econ Consolidado",#N/A,FALSE,"Econ Consol";"Fluxo de Caixa",#N/A,FALSE,"Fluxo Caixa";"Investimentos",#N/A,FALSE,"Investimentos"}</definedName>
    <definedName name="SJDKJDE" localSheetId="7" hidden="1">{"Econ Consolidado",#N/A,FALSE,"Econ Consol";"Fluxo de Caixa",#N/A,FALSE,"Fluxo Caixa";"Investimentos",#N/A,FALSE,"Investimentos"}</definedName>
    <definedName name="SJDKJDE" localSheetId="1" hidden="1">{"Econ Consolidado",#N/A,FALSE,"Econ Consol";"Fluxo de Caixa",#N/A,FALSE,"Fluxo Caixa";"Investimentos",#N/A,FALSE,"Investimentos"}</definedName>
    <definedName name="SJDKJDE" localSheetId="2" hidden="1">{"Econ Consolidado",#N/A,FALSE,"Econ Consol";"Fluxo de Caixa",#N/A,FALSE,"Fluxo Caixa";"Investimentos",#N/A,FALSE,"Investimentos"}</definedName>
    <definedName name="SJDKJDE" localSheetId="9" hidden="1">{"Econ Consolidado",#N/A,FALSE,"Econ Consol";"Fluxo de Caixa",#N/A,FALSE,"Fluxo Caixa";"Investimentos",#N/A,FALSE,"Investimentos"}</definedName>
    <definedName name="SJDKJDE" localSheetId="5" hidden="1">{"Econ Consolidado",#N/A,FALSE,"Econ Consol";"Fluxo de Caixa",#N/A,FALSE,"Fluxo Caixa";"Investimentos",#N/A,FALSE,"Investimentos"}</definedName>
    <definedName name="SJDKJDE" localSheetId="4" hidden="1">{"Econ Consolidado",#N/A,FALSE,"Econ Consol";"Fluxo de Caixa",#N/A,FALSE,"Fluxo Caixa";"Investimentos",#N/A,FALSE,"Investimentos"}</definedName>
    <definedName name="SJDKJDE" localSheetId="8" hidden="1">{"Econ Consolidado",#N/A,FALSE,"Econ Consol";"Fluxo de Caixa",#N/A,FALSE,"Fluxo Caixa";"Investimentos",#N/A,FALSE,"Investimentos"}</definedName>
    <definedName name="SJDKJDE" localSheetId="12" hidden="1">{"Econ Consolidado",#N/A,FALSE,"Econ Consol";"Fluxo de Caixa",#N/A,FALSE,"Fluxo Caixa";"Investimentos",#N/A,FALSE,"Investimentos"}</definedName>
    <definedName name="SJDKJDE" localSheetId="16" hidden="1">{"Econ Consolidado",#N/A,FALSE,"Econ Consol";"Fluxo de Caixa",#N/A,FALSE,"Fluxo Caixa";"Investimentos",#N/A,FALSE,"Investimentos"}</definedName>
    <definedName name="SJDKJDE" localSheetId="0" hidden="1">{"Econ Consolidado",#N/A,FALSE,"Econ Consol";"Fluxo de Caixa",#N/A,FALSE,"Fluxo Caixa";"Investimentos",#N/A,FALSE,"Investimentos"}</definedName>
    <definedName name="SJDKJDE" localSheetId="11" hidden="1">{"Econ Consolidado",#N/A,FALSE,"Econ Consol";"Fluxo de Caixa",#N/A,FALSE,"Fluxo Caixa";"Investimentos",#N/A,FALSE,"Investimentos"}</definedName>
    <definedName name="SJDKJDE" localSheetId="13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14" hidden="1">{#N/A,#N/A,FALSE,"Plan1";#N/A,#N/A,FALSE,"Plan2"}</definedName>
    <definedName name="sjekwjri" localSheetId="7" hidden="1">{#N/A,#N/A,FALSE,"Plan1";#N/A,#N/A,FALSE,"Plan2"}</definedName>
    <definedName name="sjekwjri" localSheetId="1" hidden="1">{#N/A,#N/A,FALSE,"Plan1";#N/A,#N/A,FALSE,"Plan2"}</definedName>
    <definedName name="sjekwjri" localSheetId="2" hidden="1">{#N/A,#N/A,FALSE,"Plan1";#N/A,#N/A,FALSE,"Plan2"}</definedName>
    <definedName name="sjekwjri" localSheetId="9" hidden="1">{#N/A,#N/A,FALSE,"Plan1";#N/A,#N/A,FALSE,"Plan2"}</definedName>
    <definedName name="sjekwjri" localSheetId="5" hidden="1">{#N/A,#N/A,FALSE,"Plan1";#N/A,#N/A,FALSE,"Plan2"}</definedName>
    <definedName name="sjekwjri" localSheetId="4" hidden="1">{#N/A,#N/A,FALSE,"Plan1";#N/A,#N/A,FALSE,"Plan2"}</definedName>
    <definedName name="sjekwjri" localSheetId="8" hidden="1">{#N/A,#N/A,FALSE,"Plan1";#N/A,#N/A,FALSE,"Plan2"}</definedName>
    <definedName name="sjekwjri" localSheetId="12" hidden="1">{#N/A,#N/A,FALSE,"Plan1";#N/A,#N/A,FALSE,"Plan2"}</definedName>
    <definedName name="sjekwjri" localSheetId="16" hidden="1">{#N/A,#N/A,FALSE,"Plan1";#N/A,#N/A,FALSE,"Plan2"}</definedName>
    <definedName name="sjekwjri" localSheetId="0" hidden="1">{#N/A,#N/A,FALSE,"Plan1";#N/A,#N/A,FALSE,"Plan2"}</definedName>
    <definedName name="sjekwjri" localSheetId="11" hidden="1">{#N/A,#N/A,FALSE,"Plan1";#N/A,#N/A,FALSE,"Plan2"}</definedName>
    <definedName name="sjekwjri" localSheetId="13" hidden="1">{#N/A,#N/A,FALSE,"Plan1";#N/A,#N/A,FALSE,"Plan2"}</definedName>
    <definedName name="sjekwjri" hidden="1">{#N/A,#N/A,FALSE,"Plan1";#N/A,#N/A,FALSE,"Plan2"}</definedName>
    <definedName name="sjfkdhsfds" localSheetId="14" hidden="1">{#N/A,#N/A,FALSE,"Plan1";#N/A,#N/A,FALSE,"Plan2"}</definedName>
    <definedName name="sjfkdhsfds" localSheetId="7" hidden="1">{#N/A,#N/A,FALSE,"Plan1";#N/A,#N/A,FALSE,"Plan2"}</definedName>
    <definedName name="sjfkdhsfds" localSheetId="1" hidden="1">{#N/A,#N/A,FALSE,"Plan1";#N/A,#N/A,FALSE,"Plan2"}</definedName>
    <definedName name="sjfkdhsfds" localSheetId="2" hidden="1">{#N/A,#N/A,FALSE,"Plan1";#N/A,#N/A,FALSE,"Plan2"}</definedName>
    <definedName name="sjfkdhsfds" localSheetId="9" hidden="1">{#N/A,#N/A,FALSE,"Plan1";#N/A,#N/A,FALSE,"Plan2"}</definedName>
    <definedName name="sjfkdhsfds" localSheetId="5" hidden="1">{#N/A,#N/A,FALSE,"Plan1";#N/A,#N/A,FALSE,"Plan2"}</definedName>
    <definedName name="sjfkdhsfds" localSheetId="4" hidden="1">{#N/A,#N/A,FALSE,"Plan1";#N/A,#N/A,FALSE,"Plan2"}</definedName>
    <definedName name="sjfkdhsfds" localSheetId="8" hidden="1">{#N/A,#N/A,FALSE,"Plan1";#N/A,#N/A,FALSE,"Plan2"}</definedName>
    <definedName name="sjfkdhsfds" localSheetId="12" hidden="1">{#N/A,#N/A,FALSE,"Plan1";#N/A,#N/A,FALSE,"Plan2"}</definedName>
    <definedName name="sjfkdhsfds" localSheetId="16" hidden="1">{#N/A,#N/A,FALSE,"Plan1";#N/A,#N/A,FALSE,"Plan2"}</definedName>
    <definedName name="sjfkdhsfds" localSheetId="0" hidden="1">{#N/A,#N/A,FALSE,"Plan1";#N/A,#N/A,FALSE,"Plan2"}</definedName>
    <definedName name="sjfkdhsfds" localSheetId="11" hidden="1">{#N/A,#N/A,FALSE,"Plan1";#N/A,#N/A,FALSE,"Plan2"}</definedName>
    <definedName name="sjfkdhsfds" localSheetId="13" hidden="1">{#N/A,#N/A,FALSE,"Plan1";#N/A,#N/A,FALSE,"Plan2"}</definedName>
    <definedName name="sjfkdhsfds" hidden="1">{#N/A,#N/A,FALSE,"Plan1";#N/A,#N/A,FALSE,"Plan2"}</definedName>
    <definedName name="sjkdljslkrje" localSheetId="14" hidden="1">{#N/A,#N/A,FALSE,"Plan1";#N/A,#N/A,FALSE,"Plan2"}</definedName>
    <definedName name="sjkdljslkrje" localSheetId="7" hidden="1">{#N/A,#N/A,FALSE,"Plan1";#N/A,#N/A,FALSE,"Plan2"}</definedName>
    <definedName name="sjkdljslkrje" localSheetId="1" hidden="1">{#N/A,#N/A,FALSE,"Plan1";#N/A,#N/A,FALSE,"Plan2"}</definedName>
    <definedName name="sjkdljslkrje" localSheetId="2" hidden="1">{#N/A,#N/A,FALSE,"Plan1";#N/A,#N/A,FALSE,"Plan2"}</definedName>
    <definedName name="sjkdljslkrje" localSheetId="9" hidden="1">{#N/A,#N/A,FALSE,"Plan1";#N/A,#N/A,FALSE,"Plan2"}</definedName>
    <definedName name="sjkdljslkrje" localSheetId="5" hidden="1">{#N/A,#N/A,FALSE,"Plan1";#N/A,#N/A,FALSE,"Plan2"}</definedName>
    <definedName name="sjkdljslkrje" localSheetId="4" hidden="1">{#N/A,#N/A,FALSE,"Plan1";#N/A,#N/A,FALSE,"Plan2"}</definedName>
    <definedName name="sjkdljslkrje" localSheetId="8" hidden="1">{#N/A,#N/A,FALSE,"Plan1";#N/A,#N/A,FALSE,"Plan2"}</definedName>
    <definedName name="sjkdljslkrje" localSheetId="12" hidden="1">{#N/A,#N/A,FALSE,"Plan1";#N/A,#N/A,FALSE,"Plan2"}</definedName>
    <definedName name="sjkdljslkrje" localSheetId="16" hidden="1">{#N/A,#N/A,FALSE,"Plan1";#N/A,#N/A,FALSE,"Plan2"}</definedName>
    <definedName name="sjkdljslkrje" localSheetId="0" hidden="1">{#N/A,#N/A,FALSE,"Plan1";#N/A,#N/A,FALSE,"Plan2"}</definedName>
    <definedName name="sjkdljslkrje" localSheetId="11" hidden="1">{#N/A,#N/A,FALSE,"Plan1";#N/A,#N/A,FALSE,"Plan2"}</definedName>
    <definedName name="sjkdljslkrje" localSheetId="13" hidden="1">{#N/A,#N/A,FALSE,"Plan1";#N/A,#N/A,FALSE,"Plan2"}</definedName>
    <definedName name="sjkdljslkrje" hidden="1">{#N/A,#N/A,FALSE,"Plan1";#N/A,#N/A,FALSE,"Plan2"}</definedName>
    <definedName name="skadadaszs" localSheetId="14" hidden="1">{#N/A,#N/A,FALSE,"Plan1";#N/A,#N/A,FALSE,"Plan2"}</definedName>
    <definedName name="skadadaszs" localSheetId="7" hidden="1">{#N/A,#N/A,FALSE,"Plan1";#N/A,#N/A,FALSE,"Plan2"}</definedName>
    <definedName name="skadadaszs" localSheetId="1" hidden="1">{#N/A,#N/A,FALSE,"Plan1";#N/A,#N/A,FALSE,"Plan2"}</definedName>
    <definedName name="skadadaszs" localSheetId="2" hidden="1">{#N/A,#N/A,FALSE,"Plan1";#N/A,#N/A,FALSE,"Plan2"}</definedName>
    <definedName name="skadadaszs" localSheetId="9" hidden="1">{#N/A,#N/A,FALSE,"Plan1";#N/A,#N/A,FALSE,"Plan2"}</definedName>
    <definedName name="skadadaszs" localSheetId="5" hidden="1">{#N/A,#N/A,FALSE,"Plan1";#N/A,#N/A,FALSE,"Plan2"}</definedName>
    <definedName name="skadadaszs" localSheetId="4" hidden="1">{#N/A,#N/A,FALSE,"Plan1";#N/A,#N/A,FALSE,"Plan2"}</definedName>
    <definedName name="skadadaszs" localSheetId="8" hidden="1">{#N/A,#N/A,FALSE,"Plan1";#N/A,#N/A,FALSE,"Plan2"}</definedName>
    <definedName name="skadadaszs" localSheetId="12" hidden="1">{#N/A,#N/A,FALSE,"Plan1";#N/A,#N/A,FALSE,"Plan2"}</definedName>
    <definedName name="skadadaszs" localSheetId="16" hidden="1">{#N/A,#N/A,FALSE,"Plan1";#N/A,#N/A,FALSE,"Plan2"}</definedName>
    <definedName name="skadadaszs" localSheetId="0" hidden="1">{#N/A,#N/A,FALSE,"Plan1";#N/A,#N/A,FALSE,"Plan2"}</definedName>
    <definedName name="skadadaszs" localSheetId="11" hidden="1">{#N/A,#N/A,FALSE,"Plan1";#N/A,#N/A,FALSE,"Plan2"}</definedName>
    <definedName name="skadadaszs" localSheetId="13" hidden="1">{#N/A,#N/A,FALSE,"Plan1";#N/A,#N/A,FALSE,"Plan2"}</definedName>
    <definedName name="skadadaszs" hidden="1">{#N/A,#N/A,FALSE,"Plan1";#N/A,#N/A,FALSE,"Plan2"}</definedName>
    <definedName name="SKASH" localSheetId="14" hidden="1">{#N/A,#N/A,FALSE,"Plan1";#N/A,#N/A,FALSE,"Plan2"}</definedName>
    <definedName name="SKASH" localSheetId="7" hidden="1">{#N/A,#N/A,FALSE,"Plan1";#N/A,#N/A,FALSE,"Plan2"}</definedName>
    <definedName name="SKASH" localSheetId="1" hidden="1">{#N/A,#N/A,FALSE,"Plan1";#N/A,#N/A,FALSE,"Plan2"}</definedName>
    <definedName name="SKASH" localSheetId="2" hidden="1">{#N/A,#N/A,FALSE,"Plan1";#N/A,#N/A,FALSE,"Plan2"}</definedName>
    <definedName name="SKASH" localSheetId="9" hidden="1">{#N/A,#N/A,FALSE,"Plan1";#N/A,#N/A,FALSE,"Plan2"}</definedName>
    <definedName name="SKASH" localSheetId="5" hidden="1">{#N/A,#N/A,FALSE,"Plan1";#N/A,#N/A,FALSE,"Plan2"}</definedName>
    <definedName name="SKASH" localSheetId="4" hidden="1">{#N/A,#N/A,FALSE,"Plan1";#N/A,#N/A,FALSE,"Plan2"}</definedName>
    <definedName name="SKASH" localSheetId="8" hidden="1">{#N/A,#N/A,FALSE,"Plan1";#N/A,#N/A,FALSE,"Plan2"}</definedName>
    <definedName name="SKASH" localSheetId="12" hidden="1">{#N/A,#N/A,FALSE,"Plan1";#N/A,#N/A,FALSE,"Plan2"}</definedName>
    <definedName name="SKASH" localSheetId="16" hidden="1">{#N/A,#N/A,FALSE,"Plan1";#N/A,#N/A,FALSE,"Plan2"}</definedName>
    <definedName name="SKASH" localSheetId="0" hidden="1">{#N/A,#N/A,FALSE,"Plan1";#N/A,#N/A,FALSE,"Plan2"}</definedName>
    <definedName name="SKASH" localSheetId="11" hidden="1">{#N/A,#N/A,FALSE,"Plan1";#N/A,#N/A,FALSE,"Plan2"}</definedName>
    <definedName name="SKASH" localSheetId="13" hidden="1">{#N/A,#N/A,FALSE,"Plan1";#N/A,#N/A,FALSE,"Plan2"}</definedName>
    <definedName name="SKASH" hidden="1">{#N/A,#N/A,FALSE,"Plan1";#N/A,#N/A,FALSE,"Plan2"}</definedName>
    <definedName name="skldfrde" localSheetId="14" hidden="1">{#N/A,#N/A,FALSE,"Plan1";#N/A,#N/A,FALSE,"Plan2"}</definedName>
    <definedName name="skldfrde" localSheetId="7" hidden="1">{#N/A,#N/A,FALSE,"Plan1";#N/A,#N/A,FALSE,"Plan2"}</definedName>
    <definedName name="skldfrde" localSheetId="1" hidden="1">{#N/A,#N/A,FALSE,"Plan1";#N/A,#N/A,FALSE,"Plan2"}</definedName>
    <definedName name="skldfrde" localSheetId="2" hidden="1">{#N/A,#N/A,FALSE,"Plan1";#N/A,#N/A,FALSE,"Plan2"}</definedName>
    <definedName name="skldfrde" localSheetId="9" hidden="1">{#N/A,#N/A,FALSE,"Plan1";#N/A,#N/A,FALSE,"Plan2"}</definedName>
    <definedName name="skldfrde" localSheetId="5" hidden="1">{#N/A,#N/A,FALSE,"Plan1";#N/A,#N/A,FALSE,"Plan2"}</definedName>
    <definedName name="skldfrde" localSheetId="4" hidden="1">{#N/A,#N/A,FALSE,"Plan1";#N/A,#N/A,FALSE,"Plan2"}</definedName>
    <definedName name="skldfrde" localSheetId="8" hidden="1">{#N/A,#N/A,FALSE,"Plan1";#N/A,#N/A,FALSE,"Plan2"}</definedName>
    <definedName name="skldfrde" localSheetId="12" hidden="1">{#N/A,#N/A,FALSE,"Plan1";#N/A,#N/A,FALSE,"Plan2"}</definedName>
    <definedName name="skldfrde" localSheetId="16" hidden="1">{#N/A,#N/A,FALSE,"Plan1";#N/A,#N/A,FALSE,"Plan2"}</definedName>
    <definedName name="skldfrde" localSheetId="0" hidden="1">{#N/A,#N/A,FALSE,"Plan1";#N/A,#N/A,FALSE,"Plan2"}</definedName>
    <definedName name="skldfrde" localSheetId="11" hidden="1">{#N/A,#N/A,FALSE,"Plan1";#N/A,#N/A,FALSE,"Plan2"}</definedName>
    <definedName name="skldfrde" localSheetId="13" hidden="1">{#N/A,#N/A,FALSE,"Plan1";#N/A,#N/A,FALSE,"Plan2"}</definedName>
    <definedName name="skldfrde" hidden="1">{#N/A,#N/A,FALSE,"Plan1";#N/A,#N/A,FALSE,"Plan2"}</definedName>
    <definedName name="skosroer" localSheetId="14" hidden="1">{#N/A,#N/A,FALSE,"Plan1";#N/A,#N/A,FALSE,"Plan2"}</definedName>
    <definedName name="skosroer" localSheetId="7" hidden="1">{#N/A,#N/A,FALSE,"Plan1";#N/A,#N/A,FALSE,"Plan2"}</definedName>
    <definedName name="skosroer" localSheetId="1" hidden="1">{#N/A,#N/A,FALSE,"Plan1";#N/A,#N/A,FALSE,"Plan2"}</definedName>
    <definedName name="skosroer" localSheetId="2" hidden="1">{#N/A,#N/A,FALSE,"Plan1";#N/A,#N/A,FALSE,"Plan2"}</definedName>
    <definedName name="skosroer" localSheetId="9" hidden="1">{#N/A,#N/A,FALSE,"Plan1";#N/A,#N/A,FALSE,"Plan2"}</definedName>
    <definedName name="skosroer" localSheetId="5" hidden="1">{#N/A,#N/A,FALSE,"Plan1";#N/A,#N/A,FALSE,"Plan2"}</definedName>
    <definedName name="skosroer" localSheetId="4" hidden="1">{#N/A,#N/A,FALSE,"Plan1";#N/A,#N/A,FALSE,"Plan2"}</definedName>
    <definedName name="skosroer" localSheetId="8" hidden="1">{#N/A,#N/A,FALSE,"Plan1";#N/A,#N/A,FALSE,"Plan2"}</definedName>
    <definedName name="skosroer" localSheetId="12" hidden="1">{#N/A,#N/A,FALSE,"Plan1";#N/A,#N/A,FALSE,"Plan2"}</definedName>
    <definedName name="skosroer" localSheetId="16" hidden="1">{#N/A,#N/A,FALSE,"Plan1";#N/A,#N/A,FALSE,"Plan2"}</definedName>
    <definedName name="skosroer" localSheetId="0" hidden="1">{#N/A,#N/A,FALSE,"Plan1";#N/A,#N/A,FALSE,"Plan2"}</definedName>
    <definedName name="skosroer" localSheetId="11" hidden="1">{#N/A,#N/A,FALSE,"Plan1";#N/A,#N/A,FALSE,"Plan2"}</definedName>
    <definedName name="skosroer" localSheetId="13" hidden="1">{#N/A,#N/A,FALSE,"Plan1";#N/A,#N/A,FALSE,"Plan2"}</definedName>
    <definedName name="skosroer" hidden="1">{#N/A,#N/A,FALSE,"Plan1";#N/A,#N/A,FALSE,"Plan2"}</definedName>
    <definedName name="SO" localSheetId="2">#REF!</definedName>
    <definedName name="SO" localSheetId="5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2">#REF!</definedName>
    <definedName name="soma" localSheetId="5">#REF!</definedName>
    <definedName name="soma">#REF!</definedName>
    <definedName name="sp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4" hidden="1">{#N/A,#N/A,FALSE,"Plan1";#N/A,#N/A,FALSE,"Plan2"}</definedName>
    <definedName name="sQEWWE" localSheetId="7" hidden="1">{#N/A,#N/A,FALSE,"Plan1";#N/A,#N/A,FALSE,"Plan2"}</definedName>
    <definedName name="sQEWWE" localSheetId="1" hidden="1">{#N/A,#N/A,FALSE,"Plan1";#N/A,#N/A,FALSE,"Plan2"}</definedName>
    <definedName name="sQEWWE" localSheetId="2" hidden="1">{#N/A,#N/A,FALSE,"Plan1";#N/A,#N/A,FALSE,"Plan2"}</definedName>
    <definedName name="sQEWWE" localSheetId="9" hidden="1">{#N/A,#N/A,FALSE,"Plan1";#N/A,#N/A,FALSE,"Plan2"}</definedName>
    <definedName name="sQEWWE" localSheetId="5" hidden="1">{#N/A,#N/A,FALSE,"Plan1";#N/A,#N/A,FALSE,"Plan2"}</definedName>
    <definedName name="sQEWWE" localSheetId="4" hidden="1">{#N/A,#N/A,FALSE,"Plan1";#N/A,#N/A,FALSE,"Plan2"}</definedName>
    <definedName name="sQEWWE" localSheetId="8" hidden="1">{#N/A,#N/A,FALSE,"Plan1";#N/A,#N/A,FALSE,"Plan2"}</definedName>
    <definedName name="sQEWWE" localSheetId="12" hidden="1">{#N/A,#N/A,FALSE,"Plan1";#N/A,#N/A,FALSE,"Plan2"}</definedName>
    <definedName name="sQEWWE" localSheetId="16" hidden="1">{#N/A,#N/A,FALSE,"Plan1";#N/A,#N/A,FALSE,"Plan2"}</definedName>
    <definedName name="sQEWWE" localSheetId="0" hidden="1">{#N/A,#N/A,FALSE,"Plan1";#N/A,#N/A,FALSE,"Plan2"}</definedName>
    <definedName name="sQEWWE" localSheetId="11" hidden="1">{#N/A,#N/A,FALSE,"Plan1";#N/A,#N/A,FALSE,"Plan2"}</definedName>
    <definedName name="sQEWWE" localSheetId="13" hidden="1">{#N/A,#N/A,FALSE,"Plan1";#N/A,#N/A,FALSE,"Plan2"}</definedName>
    <definedName name="sQEWWE" hidden="1">{#N/A,#N/A,FALSE,"Plan1";#N/A,#N/A,FALSE,"Plan2"}</definedName>
    <definedName name="SR" localSheetId="2" hidden="1">#REF!</definedName>
    <definedName name="SR" localSheetId="5" hidden="1">#REF!</definedName>
    <definedName name="SR" localSheetId="0" hidden="1">#REF!</definedName>
    <definedName name="SR" hidden="1">#REF!</definedName>
    <definedName name="SR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2" hidden="1">#REF!</definedName>
    <definedName name="ss" localSheetId="12">#REF!</definedName>
    <definedName name="SS" hidden="1">#REF!</definedName>
    <definedName name="sssss" localSheetId="2" hidden="1">#REF!</definedName>
    <definedName name="sssss" localSheetId="5" hidden="1">#REF!</definedName>
    <definedName name="sssss" localSheetId="0" hidden="1">#REF!</definedName>
    <definedName name="sssss" hidden="1">#REF!</definedName>
    <definedName name="stake_cury" localSheetId="2">#REF!</definedName>
    <definedName name="stake_cury" localSheetId="5">#REF!</definedName>
    <definedName name="stake_cury">#REF!</definedName>
    <definedName name="status_projeto" localSheetId="2" hidden="1">OFFSET(INDEX(#REF!,MATCH(#REF!,#REF!,0)),1,0,COUNTA(#REF!)-1)</definedName>
    <definedName name="status_projeto" localSheetId="5" hidden="1">OFFSET(INDEX(#REF!,MATCH(#REF!,#REF!,0)),1,0,COUNTA(#REF!)-1)</definedName>
    <definedName name="status_projeto" localSheetId="0" hidden="1">OFFSET(INDEX(#REF!,MATCH(#REF!,#REF!,0)),1,0,COUNTA(#REF!)-1)</definedName>
    <definedName name="status_projeto" hidden="1">OFFSET(INDEX(#REF!,MATCH(#REF!,#REF!,0)),1,0,COUNTA(#REF!)-1)</definedName>
    <definedName name="SUB_TOTAL_1" localSheetId="2">#REF!</definedName>
    <definedName name="SUB_TOTAL_1" localSheetId="5">#REF!</definedName>
    <definedName name="SUB_TOTAL_1">#REF!</definedName>
    <definedName name="SUBDER" localSheetId="2">#REF!</definedName>
    <definedName name="SUBDER" localSheetId="5">#REF!</definedName>
    <definedName name="SUBDER">#REF!</definedName>
    <definedName name="SUBDIV" localSheetId="2">#REF!</definedName>
    <definedName name="SUBDIV" localSheetId="5">#REF!</definedName>
    <definedName name="SUBDIV">#REF!</definedName>
    <definedName name="SUBEQP" localSheetId="2">#REF!</definedName>
    <definedName name="SUBEQP" localSheetId="5">#REF!</definedName>
    <definedName name="SUBEQP">#REF!</definedName>
    <definedName name="SUBMUR" localSheetId="2">#REF!</definedName>
    <definedName name="SUBMUR" localSheetId="5">#REF!</definedName>
    <definedName name="SUBMUR">#REF!</definedName>
    <definedName name="summ" localSheetId="2" hidden="1">#REF!</definedName>
    <definedName name="summ" localSheetId="0" hidden="1">#REF!</definedName>
    <definedName name="summ" hidden="1">#REF!</definedName>
    <definedName name="susref" localSheetId="14">#REF!</definedName>
    <definedName name="susref" localSheetId="2">#REF!</definedName>
    <definedName name="susref" localSheetId="5">#REF!</definedName>
    <definedName name="susref" localSheetId="15">#REF!</definedName>
    <definedName name="susref" localSheetId="12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 localSheetId="2">#REF!</definedName>
    <definedName name="T_actual" localSheetId="5">#REF!</definedName>
    <definedName name="T_actual">#REF!</definedName>
    <definedName name="t_cc" localSheetId="2">#REF!</definedName>
    <definedName name="t_cc" localSheetId="5">#REF!</definedName>
    <definedName name="t_cc">#REF!</definedName>
    <definedName name="t_KSB1_Transport" localSheetId="2">#REF!</definedName>
    <definedName name="t_KSB1_Transport" localSheetId="5">#REF!</definedName>
    <definedName name="t_KSB1_Transport">#REF!</definedName>
    <definedName name="tab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2">#REF!</definedName>
    <definedName name="TAB_GASTOS" localSheetId="5">#REF!</definedName>
    <definedName name="TAB_GASTOS">#REF!</definedName>
    <definedName name="TABACABAMENTOS" localSheetId="2">#REF!</definedName>
    <definedName name="TABACABAMENTOS" localSheetId="5">#REF!</definedName>
    <definedName name="TABACABAMENTOS">#REF!</definedName>
    <definedName name="tabela" localSheetId="2">#REF!</definedName>
    <definedName name="tabela" localSheetId="5">#REF!</definedName>
    <definedName name="tabela">#REF!</definedName>
    <definedName name="Tabela_Atribuição" localSheetId="2">#REF!</definedName>
    <definedName name="Tabela_Atribuição" localSheetId="5">#REF!</definedName>
    <definedName name="Tabela_Atribuição">#REF!</definedName>
    <definedName name="TABELA_DE_REVESTIMENTOS" localSheetId="2">#REF!</definedName>
    <definedName name="TABELA_DE_REVESTIMENTOS" localSheetId="5">#REF!</definedName>
    <definedName name="TABELA_DE_REVESTIMENTOS">#REF!</definedName>
    <definedName name="Tabela_Recursos" localSheetId="2">#REF!</definedName>
    <definedName name="Tabela_Recursos" localSheetId="5">#REF!</definedName>
    <definedName name="Tabela_Recursos">#REF!</definedName>
    <definedName name="Tabela_Tarefas" localSheetId="2">#REF!</definedName>
    <definedName name="Tabela_Tarefas" localSheetId="5">#REF!</definedName>
    <definedName name="Tabela_Tarefas">#REF!</definedName>
    <definedName name="Tabela1" localSheetId="2">#REF!</definedName>
    <definedName name="Tabela1" localSheetId="5">#REF!</definedName>
    <definedName name="Tabela1">#REF!</definedName>
    <definedName name="Tabela2" localSheetId="2">#REF!</definedName>
    <definedName name="Tabela2" localSheetId="5">#REF!</definedName>
    <definedName name="Tabela2">#REF!</definedName>
    <definedName name="tabela3" localSheetId="2">#REF!</definedName>
    <definedName name="tabela3" localSheetId="5">#REF!</definedName>
    <definedName name="tabela3">#REF!</definedName>
    <definedName name="TABREF" localSheetId="2">#REF!</definedName>
    <definedName name="TABREF" localSheetId="5">#REF!</definedName>
    <definedName name="TABREF">#REF!</definedName>
    <definedName name="tania" localSheetId="14">#REF!</definedName>
    <definedName name="tania" localSheetId="2">#REF!</definedName>
    <definedName name="tania" localSheetId="5">#REF!</definedName>
    <definedName name="tania" localSheetId="15">#REF!</definedName>
    <definedName name="tania" localSheetId="12">#REF!</definedName>
    <definedName name="tania" localSheetId="0">#REF!</definedName>
    <definedName name="tania">#REF!</definedName>
    <definedName name="TAUX2" localSheetId="2">OFFSET(#REF!,0,0,COUNTA(#REF!)+1,1)</definedName>
    <definedName name="TAUX2" localSheetId="5">OFFSET(#REF!,0,0,COUNTA(#REF!)+1,1)</definedName>
    <definedName name="TAUX2">OFFSET(#REF!,0,0,COUNTA(#REF!)+1,1)</definedName>
    <definedName name="TAUX3" localSheetId="2">OFFSET(#REF!,0,0,COUNTA(#REF!)+1,1)</definedName>
    <definedName name="TAUX3" localSheetId="5">OFFSET(#REF!,0,0,COUNTA(#REF!)+1,1)</definedName>
    <definedName name="TAUX3">OFFSET(#REF!,0,0,COUNTA(#REF!)+1,1)</definedName>
    <definedName name="TAXA_VENTO" localSheetId="2">#REF!</definedName>
    <definedName name="TAXA_VENTO" localSheetId="5">#REF!</definedName>
    <definedName name="TAXA_VENTO">#REF!</definedName>
    <definedName name="TAXAS" localSheetId="2">#REF!</definedName>
    <definedName name="TAXAS" localSheetId="5">#REF!</definedName>
    <definedName name="TAXAS">#REF!</definedName>
    <definedName name="TbDin" localSheetId="2">OFFSET(#REF!,0,0,COUNTA(#REF!),13)</definedName>
    <definedName name="TbDin" localSheetId="5">OFFSET(#REF!,0,0,COUNTA(#REF!),13)</definedName>
    <definedName name="TbDin">OFFSET(#REF!,0,0,COUNTA(#REF!),13)</definedName>
    <definedName name="tc" localSheetId="14">#REF!</definedName>
    <definedName name="tc" localSheetId="2">#REF!</definedName>
    <definedName name="tc" localSheetId="5">#REF!</definedName>
    <definedName name="tc" localSheetId="15">#REF!</definedName>
    <definedName name="tc" localSheetId="12">#REF!</definedName>
    <definedName name="tc" localSheetId="0">#REF!</definedName>
    <definedName name="tc">#REF!</definedName>
    <definedName name="TE" localSheetId="2">#REF!</definedName>
    <definedName name="TE" localSheetId="5">#REF!</definedName>
    <definedName name="TE">#REF!</definedName>
    <definedName name="TECLA" localSheetId="2">#REF!</definedName>
    <definedName name="TECLA" localSheetId="5">#REF!</definedName>
    <definedName name="TECLA">#REF!</definedName>
    <definedName name="Tendência_Obra_Controladoria" localSheetId="2">#REF!</definedName>
    <definedName name="Tendência_Obra_Controladoria" localSheetId="5">#REF!</definedName>
    <definedName name="Tendência_Obra_Controladoria">#REF!</definedName>
    <definedName name="TERRENO" localSheetId="2">#REF!</definedName>
    <definedName name="TERRENO" localSheetId="5">#REF!</definedName>
    <definedName name="TERRENO">#REF!</definedName>
    <definedName name="Test" localSheetId="14" hidden="1">{"'Edit'!$A$1:$V$2277"}</definedName>
    <definedName name="Test" localSheetId="7" hidden="1">{"'Edit'!$A$1:$V$2277"}</definedName>
    <definedName name="Test" localSheetId="1" hidden="1">{"'Edit'!$A$1:$V$2277"}</definedName>
    <definedName name="Test" localSheetId="2" hidden="1">{"'Edit'!$A$1:$V$2277"}</definedName>
    <definedName name="Test" localSheetId="9" hidden="1">{"'Edit'!$A$1:$V$2277"}</definedName>
    <definedName name="Test" localSheetId="5" hidden="1">{"'Edit'!$A$1:$V$2277"}</definedName>
    <definedName name="Test" localSheetId="4" hidden="1">{"'Edit'!$A$1:$V$2277"}</definedName>
    <definedName name="Test" localSheetId="8" hidden="1">{"'Edit'!$A$1:$V$2277"}</definedName>
    <definedName name="Test" localSheetId="12" hidden="1">{"'Edit'!$A$1:$V$2277"}</definedName>
    <definedName name="Test" localSheetId="16" hidden="1">{"'Edit'!$A$1:$V$2277"}</definedName>
    <definedName name="Test" localSheetId="0" hidden="1">{"'Edit'!$A$1:$V$2277"}</definedName>
    <definedName name="Test" localSheetId="11" hidden="1">{"'Edit'!$A$1:$V$2277"}</definedName>
    <definedName name="Test" localSheetId="13" hidden="1">{"'Edit'!$A$1:$V$2277"}</definedName>
    <definedName name="Test" hidden="1">{"'Edit'!$A$1:$V$2277"}</definedName>
    <definedName name="TESTANDO" localSheetId="14" hidden="1">{#N/A,#N/A,TRUE,"Quinzena 01 à 15-04-98 "}</definedName>
    <definedName name="TESTANDO" localSheetId="7" hidden="1">{#N/A,#N/A,TRUE,"Quinzena 01 à 15-04-98 "}</definedName>
    <definedName name="TESTANDO" localSheetId="1" hidden="1">{#N/A,#N/A,TRUE,"Quinzena 01 à 15-04-98 "}</definedName>
    <definedName name="TESTANDO" localSheetId="2" hidden="1">{#N/A,#N/A,TRUE,"Quinzena 01 à 15-04-98 "}</definedName>
    <definedName name="TESTANDO" localSheetId="9" hidden="1">{#N/A,#N/A,TRUE,"Quinzena 01 à 15-04-98 "}</definedName>
    <definedName name="TESTANDO" localSheetId="5" hidden="1">{#N/A,#N/A,TRUE,"Quinzena 01 à 15-04-98 "}</definedName>
    <definedName name="TESTANDO" localSheetId="4" hidden="1">{#N/A,#N/A,TRUE,"Quinzena 01 à 15-04-98 "}</definedName>
    <definedName name="TESTANDO" localSheetId="8" hidden="1">{#N/A,#N/A,TRUE,"Quinzena 01 à 15-04-98 "}</definedName>
    <definedName name="TESTANDO" localSheetId="12" hidden="1">{#N/A,#N/A,TRUE,"Quinzena 01 à 15-04-98 "}</definedName>
    <definedName name="TESTANDO" localSheetId="16" hidden="1">{#N/A,#N/A,TRUE,"Quinzena 01 à 15-04-98 "}</definedName>
    <definedName name="TESTANDO" localSheetId="0" hidden="1">{#N/A,#N/A,TRUE,"Quinzena 01 à 15-04-98 "}</definedName>
    <definedName name="TESTANDO" localSheetId="11" hidden="1">{#N/A,#N/A,TRUE,"Quinzena 01 à 15-04-98 "}</definedName>
    <definedName name="TESTANDO" localSheetId="13" hidden="1">{#N/A,#N/A,TRUE,"Quinzena 01 à 15-04-98 "}</definedName>
    <definedName name="TESTANDO" hidden="1">{#N/A,#N/A,TRUE,"Quinzena 01 à 15-04-98 "}</definedName>
    <definedName name="teste" localSheetId="2">#REF!</definedName>
    <definedName name="teste" localSheetId="5">#REF!</definedName>
    <definedName name="teste">#REF!</definedName>
    <definedName name="teste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2">#REF!</definedName>
    <definedName name="teste3" localSheetId="5">#REF!</definedName>
    <definedName name="teste3">#REF!</definedName>
    <definedName name="TESTHKEY" localSheetId="2">#REF!</definedName>
    <definedName name="TESTHKEY" localSheetId="5">#REF!</definedName>
    <definedName name="TESTHKEY">#REF!</definedName>
    <definedName name="teto1" localSheetId="2">#REF!</definedName>
    <definedName name="teto1" localSheetId="5">#REF!</definedName>
    <definedName name="teto1">#REF!</definedName>
    <definedName name="Teto2" localSheetId="2">#REF!</definedName>
    <definedName name="Teto2" localSheetId="5">#REF!</definedName>
    <definedName name="Teto2">#REF!</definedName>
    <definedName name="tetuytw" localSheetId="2">#REF!</definedName>
    <definedName name="tetuytw" localSheetId="5">#REF!</definedName>
    <definedName name="tetuytw">#REF!</definedName>
    <definedName name="TextRefCopyRangeCount" hidden="1">1</definedName>
    <definedName name="thjgsergsr" localSheetId="14" hidden="1">{#N/A,#N/A,FALSE,"Plan1";#N/A,#N/A,FALSE,"Plan2"}</definedName>
    <definedName name="thjgsergsr" localSheetId="7" hidden="1">{#N/A,#N/A,FALSE,"Plan1";#N/A,#N/A,FALSE,"Plan2"}</definedName>
    <definedName name="thjgsergsr" localSheetId="1" hidden="1">{#N/A,#N/A,FALSE,"Plan1";#N/A,#N/A,FALSE,"Plan2"}</definedName>
    <definedName name="thjgsergsr" localSheetId="2" hidden="1">{#N/A,#N/A,FALSE,"Plan1";#N/A,#N/A,FALSE,"Plan2"}</definedName>
    <definedName name="thjgsergsr" localSheetId="9" hidden="1">{#N/A,#N/A,FALSE,"Plan1";#N/A,#N/A,FALSE,"Plan2"}</definedName>
    <definedName name="thjgsergsr" localSheetId="5" hidden="1">{#N/A,#N/A,FALSE,"Plan1";#N/A,#N/A,FALSE,"Plan2"}</definedName>
    <definedName name="thjgsergsr" localSheetId="4" hidden="1">{#N/A,#N/A,FALSE,"Plan1";#N/A,#N/A,FALSE,"Plan2"}</definedName>
    <definedName name="thjgsergsr" localSheetId="8" hidden="1">{#N/A,#N/A,FALSE,"Plan1";#N/A,#N/A,FALSE,"Plan2"}</definedName>
    <definedName name="thjgsergsr" localSheetId="12" hidden="1">{#N/A,#N/A,FALSE,"Plan1";#N/A,#N/A,FALSE,"Plan2"}</definedName>
    <definedName name="thjgsergsr" localSheetId="16" hidden="1">{#N/A,#N/A,FALSE,"Plan1";#N/A,#N/A,FALSE,"Plan2"}</definedName>
    <definedName name="thjgsergsr" localSheetId="0" hidden="1">{#N/A,#N/A,FALSE,"Plan1";#N/A,#N/A,FALSE,"Plan2"}</definedName>
    <definedName name="thjgsergsr" localSheetId="11" hidden="1">{#N/A,#N/A,FALSE,"Plan1";#N/A,#N/A,FALSE,"Plan2"}</definedName>
    <definedName name="thjgsergsr" localSheetId="13" hidden="1">{#N/A,#N/A,FALSE,"Plan1";#N/A,#N/A,FALSE,"Plan2"}</definedName>
    <definedName name="thjgsergsr" hidden="1">{#N/A,#N/A,FALSE,"Plan1";#N/A,#N/A,FALSE,"Plan2"}</definedName>
    <definedName name="THYJ" localSheetId="14" hidden="1">{#N/A,#N/A,FALSE,"Plan1";#N/A,#N/A,FALSE,"Plan2"}</definedName>
    <definedName name="THYJ" localSheetId="7" hidden="1">{#N/A,#N/A,FALSE,"Plan1";#N/A,#N/A,FALSE,"Plan2"}</definedName>
    <definedName name="THYJ" localSheetId="1" hidden="1">{#N/A,#N/A,FALSE,"Plan1";#N/A,#N/A,FALSE,"Plan2"}</definedName>
    <definedName name="THYJ" localSheetId="2" hidden="1">{#N/A,#N/A,FALSE,"Plan1";#N/A,#N/A,FALSE,"Plan2"}</definedName>
    <definedName name="THYJ" localSheetId="9" hidden="1">{#N/A,#N/A,FALSE,"Plan1";#N/A,#N/A,FALSE,"Plan2"}</definedName>
    <definedName name="THYJ" localSheetId="5" hidden="1">{#N/A,#N/A,FALSE,"Plan1";#N/A,#N/A,FALSE,"Plan2"}</definedName>
    <definedName name="THYJ" localSheetId="4" hidden="1">{#N/A,#N/A,FALSE,"Plan1";#N/A,#N/A,FALSE,"Plan2"}</definedName>
    <definedName name="THYJ" localSheetId="8" hidden="1">{#N/A,#N/A,FALSE,"Plan1";#N/A,#N/A,FALSE,"Plan2"}</definedName>
    <definedName name="THYJ" localSheetId="12" hidden="1">{#N/A,#N/A,FALSE,"Plan1";#N/A,#N/A,FALSE,"Plan2"}</definedName>
    <definedName name="THYJ" localSheetId="16" hidden="1">{#N/A,#N/A,FALSE,"Plan1";#N/A,#N/A,FALSE,"Plan2"}</definedName>
    <definedName name="THYJ" localSheetId="0" hidden="1">{#N/A,#N/A,FALSE,"Plan1";#N/A,#N/A,FALSE,"Plan2"}</definedName>
    <definedName name="THYJ" localSheetId="11" hidden="1">{#N/A,#N/A,FALSE,"Plan1";#N/A,#N/A,FALSE,"Plan2"}</definedName>
    <definedName name="THYJ" localSheetId="13" hidden="1">{#N/A,#N/A,FALSE,"Plan1";#N/A,#N/A,FALSE,"Plan2"}</definedName>
    <definedName name="THYJ" hidden="1">{#N/A,#N/A,FALSE,"Plan1";#N/A,#N/A,FALSE,"Plan2"}</definedName>
    <definedName name="tihjgih" localSheetId="14" hidden="1">{#N/A,#N/A,FALSE,"Plan1";#N/A,#N/A,FALSE,"Plan2"}</definedName>
    <definedName name="tihjgih" localSheetId="7" hidden="1">{#N/A,#N/A,FALSE,"Plan1";#N/A,#N/A,FALSE,"Plan2"}</definedName>
    <definedName name="tihjgih" localSheetId="1" hidden="1">{#N/A,#N/A,FALSE,"Plan1";#N/A,#N/A,FALSE,"Plan2"}</definedName>
    <definedName name="tihjgih" localSheetId="2" hidden="1">{#N/A,#N/A,FALSE,"Plan1";#N/A,#N/A,FALSE,"Plan2"}</definedName>
    <definedName name="tihjgih" localSheetId="9" hidden="1">{#N/A,#N/A,FALSE,"Plan1";#N/A,#N/A,FALSE,"Plan2"}</definedName>
    <definedName name="tihjgih" localSheetId="5" hidden="1">{#N/A,#N/A,FALSE,"Plan1";#N/A,#N/A,FALSE,"Plan2"}</definedName>
    <definedName name="tihjgih" localSheetId="4" hidden="1">{#N/A,#N/A,FALSE,"Plan1";#N/A,#N/A,FALSE,"Plan2"}</definedName>
    <definedName name="tihjgih" localSheetId="8" hidden="1">{#N/A,#N/A,FALSE,"Plan1";#N/A,#N/A,FALSE,"Plan2"}</definedName>
    <definedName name="tihjgih" localSheetId="12" hidden="1">{#N/A,#N/A,FALSE,"Plan1";#N/A,#N/A,FALSE,"Plan2"}</definedName>
    <definedName name="tihjgih" localSheetId="16" hidden="1">{#N/A,#N/A,FALSE,"Plan1";#N/A,#N/A,FALSE,"Plan2"}</definedName>
    <definedName name="tihjgih" localSheetId="0" hidden="1">{#N/A,#N/A,FALSE,"Plan1";#N/A,#N/A,FALSE,"Plan2"}</definedName>
    <definedName name="tihjgih" localSheetId="11" hidden="1">{#N/A,#N/A,FALSE,"Plan1";#N/A,#N/A,FALSE,"Plan2"}</definedName>
    <definedName name="tihjgih" localSheetId="13" hidden="1">{#N/A,#N/A,FALSE,"Plan1";#N/A,#N/A,FALSE,"Plan2"}</definedName>
    <definedName name="tihjgih" hidden="1">{#N/A,#N/A,FALSE,"Plan1";#N/A,#N/A,FALSE,"Plan2"}</definedName>
    <definedName name="TIPO_CTT" localSheetId="2">#REF!</definedName>
    <definedName name="TIPO_CTT" localSheetId="5">#REF!</definedName>
    <definedName name="TIPO_CTT">#REF!</definedName>
    <definedName name="Tipo_de_Diretoria" localSheetId="2">#REF!</definedName>
    <definedName name="Tipo_de_Diretoria" localSheetId="5">#REF!</definedName>
    <definedName name="Tipo_de_Diretoria">#REF!</definedName>
    <definedName name="Tipo_de_Gestao" localSheetId="2">#REF!</definedName>
    <definedName name="Tipo_de_Gestao" localSheetId="5">#REF!</definedName>
    <definedName name="Tipo_de_Gestao">#REF!</definedName>
    <definedName name="Tipo_de_Padrao" localSheetId="2">#REF!</definedName>
    <definedName name="Tipo_de_Padrao" localSheetId="5">#REF!</definedName>
    <definedName name="Tipo_de_Padrao">#REF!</definedName>
    <definedName name="Tipo_de_Regiao" localSheetId="2">#REF!</definedName>
    <definedName name="Tipo_de_Regiao" localSheetId="5">#REF!</definedName>
    <definedName name="Tipo_de_Regiao">#REF!</definedName>
    <definedName name="Tipo_de_Segmento" localSheetId="2">#REF!</definedName>
    <definedName name="Tipo_de_Segmento" localSheetId="5">#REF!</definedName>
    <definedName name="Tipo_de_Segmento">#REF!</definedName>
    <definedName name="Tipo_de_Status" localSheetId="2">#REF!</definedName>
    <definedName name="Tipo_de_Status" localSheetId="5">#REF!</definedName>
    <definedName name="Tipo_de_Status">#REF!</definedName>
    <definedName name="Tipo_de_UF" localSheetId="2">#REF!</definedName>
    <definedName name="Tipo_de_UF" localSheetId="5">#REF!</definedName>
    <definedName name="Tipo_de_UF">#REF!</definedName>
    <definedName name="Tipo_de_Unidade_de_Negocio" localSheetId="2">#REF!</definedName>
    <definedName name="Tipo_de_Unidade_de_Negocio" localSheetId="5">#REF!</definedName>
    <definedName name="Tipo_de_Unidade_de_Negocio">#REF!</definedName>
    <definedName name="Tipo_do_cliente" localSheetId="2">#REF!</definedName>
    <definedName name="Tipo_do_cliente" localSheetId="5">#REF!</definedName>
    <definedName name="Tipo_do_cliente">#REF!</definedName>
    <definedName name="tipo_subtotal" localSheetId="2">#REF!</definedName>
    <definedName name="tipo_subtotal" localSheetId="5">#REF!</definedName>
    <definedName name="tipo_subtotal">#REF!</definedName>
    <definedName name="tipobloco" localSheetId="2">#REF!</definedName>
    <definedName name="tipobloco" localSheetId="5">#REF!</definedName>
    <definedName name="tipobloco">#REF!</definedName>
    <definedName name="titbeb" localSheetId="2">#REF!</definedName>
    <definedName name="titbeb" localSheetId="5">#REF!</definedName>
    <definedName name="titbeb">#REF!</definedName>
    <definedName name="TITCHAF" localSheetId="2">#REF!</definedName>
    <definedName name="TITCHAF" localSheetId="5">#REF!</definedName>
    <definedName name="TITCHAF">#REF!</definedName>
    <definedName name="TituloMkt" localSheetId="2">#REF!</definedName>
    <definedName name="TituloMkt" localSheetId="5">#REF!</definedName>
    <definedName name="TituloMkt">#REF!</definedName>
    <definedName name="titulos" localSheetId="14">#REF!</definedName>
    <definedName name="titulos" localSheetId="2">#REF!</definedName>
    <definedName name="titulos" localSheetId="5">#REF!</definedName>
    <definedName name="titulos" localSheetId="15">#REF!</definedName>
    <definedName name="titulos" localSheetId="12">#REF!</definedName>
    <definedName name="titulos" localSheetId="0">#REF!</definedName>
    <definedName name="titulos">#REF!</definedName>
    <definedName name="_xlnm.Print_Titles" localSheetId="14">#REF!</definedName>
    <definedName name="_xlnm.Print_Titles" localSheetId="2">#REF!</definedName>
    <definedName name="_xlnm.Print_Titles" localSheetId="27">'Escada - T1'!$4:$6</definedName>
    <definedName name="_xlnm.Print_Titles" localSheetId="9">#REF!</definedName>
    <definedName name="_xlnm.Print_Titles" localSheetId="5">#REF!</definedName>
    <definedName name="_xlnm.Print_Titles" localSheetId="15">#REF!</definedName>
    <definedName name="_xlnm.Print_Titles" localSheetId="12">#REF!</definedName>
    <definedName name="_xlnm.Print_Titles" localSheetId="26">'Lajes - T1 '!$1:$5</definedName>
    <definedName name="_xlnm.Print_Titles" localSheetId="0">#REF!</definedName>
    <definedName name="_xlnm.Print_Titles" localSheetId="23">'Piso Arm.Térreo'!$1:$6</definedName>
    <definedName name="_xlnm.Print_Titles" localSheetId="29">'Resumo Esquadrias - T1'!$5:$5</definedName>
    <definedName name="_xlnm.Print_Titles" localSheetId="25">'Vigas - T1 '!$4:$5</definedName>
    <definedName name="_xlnm.Print_Titles">#REF!</definedName>
    <definedName name="Títulos_impressão_IM" localSheetId="2">#REF!</definedName>
    <definedName name="Títulos_impressão_IM" localSheetId="5">#REF!</definedName>
    <definedName name="Títulos_impressão_IM" localSheetId="24">#REF!</definedName>
    <definedName name="Títulos_impressão_IM">#REF!</definedName>
    <definedName name="TMO" localSheetId="2">#REF!</definedName>
    <definedName name="TMO" localSheetId="5">#REF!</definedName>
    <definedName name="TMO">#REF!</definedName>
    <definedName name="TOLTAL2" localSheetId="2">#REF!</definedName>
    <definedName name="TOLTAL2" localSheetId="5">#REF!</definedName>
    <definedName name="TOLTAL2">#REF!</definedName>
    <definedName name="TOT" localSheetId="14">#REF!</definedName>
    <definedName name="TOT" localSheetId="2">#REF!</definedName>
    <definedName name="TOT" localSheetId="5">#REF!</definedName>
    <definedName name="TOT" localSheetId="15">#REF!</definedName>
    <definedName name="TOT" localSheetId="12">#REF!</definedName>
    <definedName name="TOT" localSheetId="0">#REF!</definedName>
    <definedName name="TOT">#REF!</definedName>
    <definedName name="tot3estac" localSheetId="2">#REF!</definedName>
    <definedName name="tot3estac" localSheetId="5">#REF!</definedName>
    <definedName name="tot3estac">#REF!</definedName>
    <definedName name="TOTAIS" localSheetId="2">#REF!</definedName>
    <definedName name="TOTAIS" localSheetId="5">#REF!</definedName>
    <definedName name="TOTAIS">#REF!</definedName>
    <definedName name="Total" localSheetId="14">#REF!</definedName>
    <definedName name="Total" localSheetId="2">#REF!</definedName>
    <definedName name="Total" localSheetId="5">#REF!</definedName>
    <definedName name="Total" localSheetId="15">#REF!</definedName>
    <definedName name="Total" localSheetId="12">#REF!</definedName>
    <definedName name="Total" localSheetId="0">#REF!</definedName>
    <definedName name="Total">#REF!</definedName>
    <definedName name="Total_2016_Rel_Controladoria" localSheetId="2">#REF!</definedName>
    <definedName name="Total_2016_Rel_Controladoria" localSheetId="5">#REF!</definedName>
    <definedName name="Total_2016_Rel_Controladoria">#REF!</definedName>
    <definedName name="Total_Parcelas_MAP" localSheetId="2">#REF!</definedName>
    <definedName name="Total_Parcelas_MAP" localSheetId="5">#REF!</definedName>
    <definedName name="Total_Parcelas_MAP">#REF!</definedName>
    <definedName name="total_unid" localSheetId="2">#REF!</definedName>
    <definedName name="total_unid" localSheetId="5">#REF!</definedName>
    <definedName name="total_unid">#REF!</definedName>
    <definedName name="TOTAL1" localSheetId="2">#REF!</definedName>
    <definedName name="TOTAL1" localSheetId="5">#REF!</definedName>
    <definedName name="TOTAL1">#REF!</definedName>
    <definedName name="TOTAL10" localSheetId="2">#REF!</definedName>
    <definedName name="TOTAL10" localSheetId="5">#REF!</definedName>
    <definedName name="TOTAL10">#REF!</definedName>
    <definedName name="TOTAL11" localSheetId="2">#REF!</definedName>
    <definedName name="TOTAL11" localSheetId="5">#REF!</definedName>
    <definedName name="TOTAL11">#REF!</definedName>
    <definedName name="TOTAL12" localSheetId="2">#REF!</definedName>
    <definedName name="TOTAL12" localSheetId="5">#REF!</definedName>
    <definedName name="TOTAL12">#REF!</definedName>
    <definedName name="TOTAL13" localSheetId="2">#REF!</definedName>
    <definedName name="TOTAL13" localSheetId="5">#REF!</definedName>
    <definedName name="TOTAL13">#REF!</definedName>
    <definedName name="TOTAL14" localSheetId="2">#REF!</definedName>
    <definedName name="TOTAL14" localSheetId="5">#REF!</definedName>
    <definedName name="TOTAL14">#REF!</definedName>
    <definedName name="TOTAL15" localSheetId="2">#REF!</definedName>
    <definedName name="TOTAL15" localSheetId="5">#REF!</definedName>
    <definedName name="TOTAL15">#REF!</definedName>
    <definedName name="TOTAL16" localSheetId="2">#REF!</definedName>
    <definedName name="TOTAL16" localSheetId="5">#REF!</definedName>
    <definedName name="TOTAL16">#REF!</definedName>
    <definedName name="TOTAL2" localSheetId="2">#REF!</definedName>
    <definedName name="TOTAL2" localSheetId="5">#REF!</definedName>
    <definedName name="TOTAL2">#REF!</definedName>
    <definedName name="TOTAL3" localSheetId="2">#REF!</definedName>
    <definedName name="TOTAL3" localSheetId="5">#REF!</definedName>
    <definedName name="TOTAL3">#REF!</definedName>
    <definedName name="TOTAL4" localSheetId="2">#REF!</definedName>
    <definedName name="TOTAL4" localSheetId="5">#REF!</definedName>
    <definedName name="TOTAL4">#REF!</definedName>
    <definedName name="TOTAL5" localSheetId="2">#REF!</definedName>
    <definedName name="TOTAL5" localSheetId="5">#REF!</definedName>
    <definedName name="TOTAL5">#REF!</definedName>
    <definedName name="TOTAL6" localSheetId="2">#REF!</definedName>
    <definedName name="TOTAL6" localSheetId="5">#REF!</definedName>
    <definedName name="TOTAL6">#REF!</definedName>
    <definedName name="TOTAL7" localSheetId="2">#REF!</definedName>
    <definedName name="TOTAL7" localSheetId="5">#REF!</definedName>
    <definedName name="TOTAL7">#REF!</definedName>
    <definedName name="TOTAL8" localSheetId="2">#REF!</definedName>
    <definedName name="TOTAL8" localSheetId="5">#REF!</definedName>
    <definedName name="TOTAL8">#REF!</definedName>
    <definedName name="TOTAL9" localSheetId="2">#REF!</definedName>
    <definedName name="TOTAL9" localSheetId="5">#REF!</definedName>
    <definedName name="TOTAL9">#REF!</definedName>
    <definedName name="TOTALITEM" localSheetId="2">#REF!</definedName>
    <definedName name="TOTALITEM" localSheetId="5">#REF!</definedName>
    <definedName name="TOTALITEM">#REF!</definedName>
    <definedName name="totbase" localSheetId="2">#REF!</definedName>
    <definedName name="totbase" localSheetId="5">#REF!</definedName>
    <definedName name="totbase">#REF!</definedName>
    <definedName name="totestaca" localSheetId="2">#REF!</definedName>
    <definedName name="totestaca" localSheetId="5">#REF!</definedName>
    <definedName name="totestaca">#REF!</definedName>
    <definedName name="TOTG" localSheetId="2">OFFSET(#REF!,0,0,COUNTA(#REF!),1)</definedName>
    <definedName name="TOTG" localSheetId="5">OFFSET(#REF!,0,0,COUNTA(#REF!),1)</definedName>
    <definedName name="TOTG">OFFSET(#REF!,0,0,COUNTA(#REF!),1)</definedName>
    <definedName name="totperfura" localSheetId="2">#REF!</definedName>
    <definedName name="totperfura" localSheetId="5">#REF!</definedName>
    <definedName name="totperfura">#REF!</definedName>
    <definedName name="TOTQTS" localSheetId="2">#REF!</definedName>
    <definedName name="TOTQTS" localSheetId="5">#REF!</definedName>
    <definedName name="TOTQTS">#REF!</definedName>
    <definedName name="TOTT" localSheetId="2">OFFSET(#REF!,0,0,COUNTA(#REF!)+1,1)</definedName>
    <definedName name="TOTT" localSheetId="5">OFFSET(#REF!,0,0,COUNTA(#REF!)+1,1)</definedName>
    <definedName name="TOTT">OFFSET(#REF!,0,0,COUNTA(#REF!)+1,1)</definedName>
    <definedName name="TR" localSheetId="2">#REF!</definedName>
    <definedName name="TR" localSheetId="5">#REF!</definedName>
    <definedName name="TR">#REF!</definedName>
    <definedName name="Transferencia1" localSheetId="2">#REF!</definedName>
    <definedName name="Transferencia1" localSheetId="5">#REF!</definedName>
    <definedName name="Transferencia1">#REF!</definedName>
    <definedName name="TRES" localSheetId="2">#REF!</definedName>
    <definedName name="TRES" localSheetId="5">#REF!</definedName>
    <definedName name="TRES" localSheetId="24">#REF!</definedName>
    <definedName name="TRES">#REF!</definedName>
    <definedName name="TREZE" localSheetId="2">#REF!</definedName>
    <definedName name="TREZE" localSheetId="5">#REF!</definedName>
    <definedName name="TREZE" localSheetId="24">#REF!</definedName>
    <definedName name="TREZE">#REF!</definedName>
    <definedName name="tri" localSheetId="2">#REF!</definedName>
    <definedName name="tri" localSheetId="5">#REF!</definedName>
    <definedName name="tri">#REF!</definedName>
    <definedName name="Trimestre_data_base" localSheetId="2">#REF!</definedName>
    <definedName name="Trimestre_data_base" localSheetId="5">#REF!</definedName>
    <definedName name="Trimestre_data_base">#REF!</definedName>
    <definedName name="trjyidih" localSheetId="14" hidden="1">{#N/A,#N/A,FALSE,"Plan1";#N/A,#N/A,FALSE,"Plan2"}</definedName>
    <definedName name="trjyidih" localSheetId="7" hidden="1">{#N/A,#N/A,FALSE,"Plan1";#N/A,#N/A,FALSE,"Plan2"}</definedName>
    <definedName name="trjyidih" localSheetId="1" hidden="1">{#N/A,#N/A,FALSE,"Plan1";#N/A,#N/A,FALSE,"Plan2"}</definedName>
    <definedName name="trjyidih" localSheetId="2" hidden="1">{#N/A,#N/A,FALSE,"Plan1";#N/A,#N/A,FALSE,"Plan2"}</definedName>
    <definedName name="trjyidih" localSheetId="9" hidden="1">{#N/A,#N/A,FALSE,"Plan1";#N/A,#N/A,FALSE,"Plan2"}</definedName>
    <definedName name="trjyidih" localSheetId="5" hidden="1">{#N/A,#N/A,FALSE,"Plan1";#N/A,#N/A,FALSE,"Plan2"}</definedName>
    <definedName name="trjyidih" localSheetId="4" hidden="1">{#N/A,#N/A,FALSE,"Plan1";#N/A,#N/A,FALSE,"Plan2"}</definedName>
    <definedName name="trjyidih" localSheetId="8" hidden="1">{#N/A,#N/A,FALSE,"Plan1";#N/A,#N/A,FALSE,"Plan2"}</definedName>
    <definedName name="trjyidih" localSheetId="12" hidden="1">{#N/A,#N/A,FALSE,"Plan1";#N/A,#N/A,FALSE,"Plan2"}</definedName>
    <definedName name="trjyidih" localSheetId="16" hidden="1">{#N/A,#N/A,FALSE,"Plan1";#N/A,#N/A,FALSE,"Plan2"}</definedName>
    <definedName name="trjyidih" localSheetId="0" hidden="1">{#N/A,#N/A,FALSE,"Plan1";#N/A,#N/A,FALSE,"Plan2"}</definedName>
    <definedName name="trjyidih" localSheetId="11" hidden="1">{#N/A,#N/A,FALSE,"Plan1";#N/A,#N/A,FALSE,"Plan2"}</definedName>
    <definedName name="trjyidih" localSheetId="13" hidden="1">{#N/A,#N/A,FALSE,"Plan1";#N/A,#N/A,FALSE,"Plan2"}</definedName>
    <definedName name="trjyidih" hidden="1">{#N/A,#N/A,FALSE,"Plan1";#N/A,#N/A,FALSE,"Plan2"}</definedName>
    <definedName name="TRP" localSheetId="14">#REF!</definedName>
    <definedName name="TRP" localSheetId="2">#REF!</definedName>
    <definedName name="TRP" localSheetId="5">#REF!</definedName>
    <definedName name="TRP" localSheetId="15">#REF!</definedName>
    <definedName name="TRP" localSheetId="12">#REF!</definedName>
    <definedName name="TRP" localSheetId="0">#REF!</definedName>
    <definedName name="TRP">#REF!</definedName>
    <definedName name="TTT" localSheetId="2">#REF!</definedName>
    <definedName name="TTT" localSheetId="5">#REF!</definedName>
    <definedName name="TTT">#REF!</definedName>
    <definedName name="TURNO" localSheetId="2">#REF!</definedName>
    <definedName name="TURNO" localSheetId="5">#REF!</definedName>
    <definedName name="TURNO">#REF!</definedName>
    <definedName name="tuyedjsksj" localSheetId="14" hidden="1">{#N/A,#N/A,FALSE,"Plan1";#N/A,#N/A,FALSE,"Plan2"}</definedName>
    <definedName name="tuyedjsksj" localSheetId="7" hidden="1">{#N/A,#N/A,FALSE,"Plan1";#N/A,#N/A,FALSE,"Plan2"}</definedName>
    <definedName name="tuyedjsksj" localSheetId="1" hidden="1">{#N/A,#N/A,FALSE,"Plan1";#N/A,#N/A,FALSE,"Plan2"}</definedName>
    <definedName name="tuyedjsksj" localSheetId="2" hidden="1">{#N/A,#N/A,FALSE,"Plan1";#N/A,#N/A,FALSE,"Plan2"}</definedName>
    <definedName name="tuyedjsksj" localSheetId="9" hidden="1">{#N/A,#N/A,FALSE,"Plan1";#N/A,#N/A,FALSE,"Plan2"}</definedName>
    <definedName name="tuyedjsksj" localSheetId="5" hidden="1">{#N/A,#N/A,FALSE,"Plan1";#N/A,#N/A,FALSE,"Plan2"}</definedName>
    <definedName name="tuyedjsksj" localSheetId="4" hidden="1">{#N/A,#N/A,FALSE,"Plan1";#N/A,#N/A,FALSE,"Plan2"}</definedName>
    <definedName name="tuyedjsksj" localSheetId="8" hidden="1">{#N/A,#N/A,FALSE,"Plan1";#N/A,#N/A,FALSE,"Plan2"}</definedName>
    <definedName name="tuyedjsksj" localSheetId="12" hidden="1">{#N/A,#N/A,FALSE,"Plan1";#N/A,#N/A,FALSE,"Plan2"}</definedName>
    <definedName name="tuyedjsksj" localSheetId="16" hidden="1">{#N/A,#N/A,FALSE,"Plan1";#N/A,#N/A,FALSE,"Plan2"}</definedName>
    <definedName name="tuyedjsksj" localSheetId="0" hidden="1">{#N/A,#N/A,FALSE,"Plan1";#N/A,#N/A,FALSE,"Plan2"}</definedName>
    <definedName name="tuyedjsksj" localSheetId="11" hidden="1">{#N/A,#N/A,FALSE,"Plan1";#N/A,#N/A,FALSE,"Plan2"}</definedName>
    <definedName name="tuyedjsksj" localSheetId="13" hidden="1">{#N/A,#N/A,FALSE,"Plan1";#N/A,#N/A,FALSE,"Plan2"}</definedName>
    <definedName name="tuyedjsksj" hidden="1">{#N/A,#N/A,FALSE,"Plan1";#N/A,#N/A,FALSE,"Plan2"}</definedName>
    <definedName name="TX_ADM" localSheetId="2">#REF!</definedName>
    <definedName name="TX_ADM" localSheetId="5">#REF!</definedName>
    <definedName name="TX_ADM">#REF!</definedName>
    <definedName name="tx_desconto_real" localSheetId="2">#REF!</definedName>
    <definedName name="tx_desconto_real" localSheetId="5">#REF!</definedName>
    <definedName name="tx_desconto_real">#REF!</definedName>
    <definedName name="TxAplicMes" localSheetId="2">#REF!</definedName>
    <definedName name="TxAplicMes" localSheetId="5">#REF!</definedName>
    <definedName name="TxAplicMes">#REF!</definedName>
    <definedName name="TxCdiMes" localSheetId="2">#REF!</definedName>
    <definedName name="TxCdiMes" localSheetId="5">#REF!</definedName>
    <definedName name="TxCdiMes">#REF!</definedName>
    <definedName name="TxDescMes" localSheetId="2">#REF!</definedName>
    <definedName name="TxDescMes" localSheetId="5">#REF!</definedName>
    <definedName name="TxDescMes">#REF!</definedName>
    <definedName name="TxSecuritizacaoMes" localSheetId="2">#REF!</definedName>
    <definedName name="TxSecuritizacaoMes" localSheetId="5">#REF!</definedName>
    <definedName name="TxSecuritizacaoMes">#REF!</definedName>
    <definedName name="TxSfhEco" localSheetId="2">#REF!</definedName>
    <definedName name="TxSfhEco" localSheetId="5">#REF!</definedName>
    <definedName name="TxSfhEco">#REF!</definedName>
    <definedName name="TxSfhMap" localSheetId="2">#REF!</definedName>
    <definedName name="TxSfhMap" localSheetId="5">#REF!</definedName>
    <definedName name="TxSfhMap">#REF!</definedName>
    <definedName name="TXTEQUIP" localSheetId="2">#REF!</definedName>
    <definedName name="TXTEQUIP" localSheetId="5">#REF!</definedName>
    <definedName name="TXTEQUIP">#REF!</definedName>
    <definedName name="TXTMARCA" localSheetId="2">#REF!</definedName>
    <definedName name="TXTMARCA" localSheetId="5">#REF!</definedName>
    <definedName name="TXTMARCA">#REF!</definedName>
    <definedName name="TXTMOD" localSheetId="2">#REF!</definedName>
    <definedName name="TXTMOD" localSheetId="5">#REF!</definedName>
    <definedName name="TXTMOD">#REF!</definedName>
    <definedName name="TXTPOT" localSheetId="2">#REF!</definedName>
    <definedName name="TXTPOT" localSheetId="5">#REF!</definedName>
    <definedName name="TXTPOT">#REF!</definedName>
    <definedName name="TYHGFHFHG" localSheetId="14" hidden="1">{#N/A,#N/A,FALSE,"Plan1";#N/A,#N/A,FALSE,"Plan2"}</definedName>
    <definedName name="TYHGFHFHG" localSheetId="7" hidden="1">{#N/A,#N/A,FALSE,"Plan1";#N/A,#N/A,FALSE,"Plan2"}</definedName>
    <definedName name="TYHGFHFHG" localSheetId="1" hidden="1">{#N/A,#N/A,FALSE,"Plan1";#N/A,#N/A,FALSE,"Plan2"}</definedName>
    <definedName name="TYHGFHFHG" localSheetId="2" hidden="1">{#N/A,#N/A,FALSE,"Plan1";#N/A,#N/A,FALSE,"Plan2"}</definedName>
    <definedName name="TYHGFHFHG" localSheetId="9" hidden="1">{#N/A,#N/A,FALSE,"Plan1";#N/A,#N/A,FALSE,"Plan2"}</definedName>
    <definedName name="TYHGFHFHG" localSheetId="5" hidden="1">{#N/A,#N/A,FALSE,"Plan1";#N/A,#N/A,FALSE,"Plan2"}</definedName>
    <definedName name="TYHGFHFHG" localSheetId="4" hidden="1">{#N/A,#N/A,FALSE,"Plan1";#N/A,#N/A,FALSE,"Plan2"}</definedName>
    <definedName name="TYHGFHFHG" localSheetId="8" hidden="1">{#N/A,#N/A,FALSE,"Plan1";#N/A,#N/A,FALSE,"Plan2"}</definedName>
    <definedName name="TYHGFHFHG" localSheetId="12" hidden="1">{#N/A,#N/A,FALSE,"Plan1";#N/A,#N/A,FALSE,"Plan2"}</definedName>
    <definedName name="TYHGFHFHG" localSheetId="16" hidden="1">{#N/A,#N/A,FALSE,"Plan1";#N/A,#N/A,FALSE,"Plan2"}</definedName>
    <definedName name="TYHGFHFHG" localSheetId="0" hidden="1">{#N/A,#N/A,FALSE,"Plan1";#N/A,#N/A,FALSE,"Plan2"}</definedName>
    <definedName name="TYHGFHFHG" localSheetId="11" hidden="1">{#N/A,#N/A,FALSE,"Plan1";#N/A,#N/A,FALSE,"Plan2"}</definedName>
    <definedName name="TYHGFHFHG" localSheetId="13" hidden="1">{#N/A,#N/A,FALSE,"Plan1";#N/A,#N/A,FALSE,"Plan2"}</definedName>
    <definedName name="TYHGFHFHG" hidden="1">{#N/A,#N/A,FALSE,"Plan1";#N/A,#N/A,FALSE,"Plan2"}</definedName>
    <definedName name="u" localSheetId="3">{#N/A,#N/A,FALSE,"ET-CAPA";#N/A,#N/A,FALSE,"ET-PAG1";#N/A,#N/A,FALSE,"ET-PAG2";#N/A,#N/A,FALSE,"ET-PAG3";#N/A,#N/A,FALSE,"ET-PAG4";#N/A,#N/A,FALSE,"ET-PAG5"}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7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9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localSheetId="4" hidden="1">{#N/A,#N/A,FALSE,"ET-CAPA";#N/A,#N/A,FALSE,"ET-PAG1";#N/A,#N/A,FALSE,"ET-PAG2";#N/A,#N/A,FALSE,"ET-PAG3";#N/A,#N/A,FALSE,"ET-PAG4";#N/A,#N/A,FALSE,"ET-PAG5"}</definedName>
    <definedName name="u" localSheetId="15" hidden="1">{#N/A,#N/A,FALSE,"ET-CAPA";#N/A,#N/A,FALSE,"ET-PAG1";#N/A,#N/A,FALSE,"ET-PAG2";#N/A,#N/A,FALSE,"ET-PAG3";#N/A,#N/A,FALSE,"ET-PAG4";#N/A,#N/A,FALSE,"ET-PAG5"}</definedName>
    <definedName name="u" localSheetId="8">{#N/A,#N/A,FALSE,"ET-CAPA";#N/A,#N/A,FALSE,"ET-PAG1";#N/A,#N/A,FALSE,"ET-PAG2";#N/A,#N/A,FALSE,"ET-PAG3";#N/A,#N/A,FALSE,"ET-PAG4";#N/A,#N/A,FALSE,"ET-PAG5"}</definedName>
    <definedName name="u" localSheetId="12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11" hidden="1">{#N/A,#N/A,FALSE,"ET-CAPA";#N/A,#N/A,FALSE,"ET-PAG1";#N/A,#N/A,FALSE,"ET-PAG2";#N/A,#N/A,FALSE,"ET-PAG3";#N/A,#N/A,FALSE,"ET-PAG4";#N/A,#N/A,FALSE,"ET-PAG5"}</definedName>
    <definedName name="u" localSheetId="13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14" hidden="1">{#N/A,#N/A,FALSE,"Plan1";#N/A,#N/A,FALSE,"Plan2"}</definedName>
    <definedName name="udhgfhfg" localSheetId="7" hidden="1">{#N/A,#N/A,FALSE,"Plan1";#N/A,#N/A,FALSE,"Plan2"}</definedName>
    <definedName name="udhgfhfg" localSheetId="1" hidden="1">{#N/A,#N/A,FALSE,"Plan1";#N/A,#N/A,FALSE,"Plan2"}</definedName>
    <definedName name="udhgfhfg" localSheetId="2" hidden="1">{#N/A,#N/A,FALSE,"Plan1";#N/A,#N/A,FALSE,"Plan2"}</definedName>
    <definedName name="udhgfhfg" localSheetId="9" hidden="1">{#N/A,#N/A,FALSE,"Plan1";#N/A,#N/A,FALSE,"Plan2"}</definedName>
    <definedName name="udhgfhfg" localSheetId="5" hidden="1">{#N/A,#N/A,FALSE,"Plan1";#N/A,#N/A,FALSE,"Plan2"}</definedName>
    <definedName name="udhgfhfg" localSheetId="4" hidden="1">{#N/A,#N/A,FALSE,"Plan1";#N/A,#N/A,FALSE,"Plan2"}</definedName>
    <definedName name="udhgfhfg" localSheetId="8" hidden="1">{#N/A,#N/A,FALSE,"Plan1";#N/A,#N/A,FALSE,"Plan2"}</definedName>
    <definedName name="udhgfhfg" localSheetId="12" hidden="1">{#N/A,#N/A,FALSE,"Plan1";#N/A,#N/A,FALSE,"Plan2"}</definedName>
    <definedName name="udhgfhfg" localSheetId="16" hidden="1">{#N/A,#N/A,FALSE,"Plan1";#N/A,#N/A,FALSE,"Plan2"}</definedName>
    <definedName name="udhgfhfg" localSheetId="0" hidden="1">{#N/A,#N/A,FALSE,"Plan1";#N/A,#N/A,FALSE,"Plan2"}</definedName>
    <definedName name="udhgfhfg" localSheetId="11" hidden="1">{#N/A,#N/A,FALSE,"Plan1";#N/A,#N/A,FALSE,"Plan2"}</definedName>
    <definedName name="udhgfhfg" localSheetId="13" hidden="1">{#N/A,#N/A,FALSE,"Plan1";#N/A,#N/A,FALSE,"Plan2"}</definedName>
    <definedName name="udhgfhfg" hidden="1">{#N/A,#N/A,FALSE,"Plan1";#N/A,#N/A,FALSE,"Plan2"}</definedName>
    <definedName name="ueiutriuef" localSheetId="14" hidden="1">{#N/A,#N/A,FALSE,"Plan1";#N/A,#N/A,FALSE,"Plan2"}</definedName>
    <definedName name="ueiutriuef" localSheetId="7" hidden="1">{#N/A,#N/A,FALSE,"Plan1";#N/A,#N/A,FALSE,"Plan2"}</definedName>
    <definedName name="ueiutriuef" localSheetId="1" hidden="1">{#N/A,#N/A,FALSE,"Plan1";#N/A,#N/A,FALSE,"Plan2"}</definedName>
    <definedName name="ueiutriuef" localSheetId="2" hidden="1">{#N/A,#N/A,FALSE,"Plan1";#N/A,#N/A,FALSE,"Plan2"}</definedName>
    <definedName name="ueiutriuef" localSheetId="9" hidden="1">{#N/A,#N/A,FALSE,"Plan1";#N/A,#N/A,FALSE,"Plan2"}</definedName>
    <definedName name="ueiutriuef" localSheetId="5" hidden="1">{#N/A,#N/A,FALSE,"Plan1";#N/A,#N/A,FALSE,"Plan2"}</definedName>
    <definedName name="ueiutriuef" localSheetId="4" hidden="1">{#N/A,#N/A,FALSE,"Plan1";#N/A,#N/A,FALSE,"Plan2"}</definedName>
    <definedName name="ueiutriuef" localSheetId="8" hidden="1">{#N/A,#N/A,FALSE,"Plan1";#N/A,#N/A,FALSE,"Plan2"}</definedName>
    <definedName name="ueiutriuef" localSheetId="12" hidden="1">{#N/A,#N/A,FALSE,"Plan1";#N/A,#N/A,FALSE,"Plan2"}</definedName>
    <definedName name="ueiutriuef" localSheetId="16" hidden="1">{#N/A,#N/A,FALSE,"Plan1";#N/A,#N/A,FALSE,"Plan2"}</definedName>
    <definedName name="ueiutriuef" localSheetId="0" hidden="1">{#N/A,#N/A,FALSE,"Plan1";#N/A,#N/A,FALSE,"Plan2"}</definedName>
    <definedName name="ueiutriuef" localSheetId="11" hidden="1">{#N/A,#N/A,FALSE,"Plan1";#N/A,#N/A,FALSE,"Plan2"}</definedName>
    <definedName name="ueiutriuef" localSheetId="13" hidden="1">{#N/A,#N/A,FALSE,"Plan1";#N/A,#N/A,FALSE,"Plan2"}</definedName>
    <definedName name="ueiutriuef" hidden="1">{#N/A,#N/A,FALSE,"Plan1";#N/A,#N/A,FALSE,"Plan2"}</definedName>
    <definedName name="UENSIT" localSheetId="2">#REF!</definedName>
    <definedName name="UENSIT" localSheetId="5">#REF!</definedName>
    <definedName name="UENSIT">#REF!</definedName>
    <definedName name="UENSITS" localSheetId="2">#REF!</definedName>
    <definedName name="UENSITS" localSheetId="5">#REF!</definedName>
    <definedName name="UENSITS">#REF!</definedName>
    <definedName name="UHGSDUS" localSheetId="14" hidden="1">{#N/A,#N/A,FALSE,"Plan1";#N/A,#N/A,FALSE,"Plan2"}</definedName>
    <definedName name="UHGSDUS" localSheetId="7" hidden="1">{#N/A,#N/A,FALSE,"Plan1";#N/A,#N/A,FALSE,"Plan2"}</definedName>
    <definedName name="UHGSDUS" localSheetId="1" hidden="1">{#N/A,#N/A,FALSE,"Plan1";#N/A,#N/A,FALSE,"Plan2"}</definedName>
    <definedName name="UHGSDUS" localSheetId="2" hidden="1">{#N/A,#N/A,FALSE,"Plan1";#N/A,#N/A,FALSE,"Plan2"}</definedName>
    <definedName name="UHGSDUS" localSheetId="9" hidden="1">{#N/A,#N/A,FALSE,"Plan1";#N/A,#N/A,FALSE,"Plan2"}</definedName>
    <definedName name="UHGSDUS" localSheetId="5" hidden="1">{#N/A,#N/A,FALSE,"Plan1";#N/A,#N/A,FALSE,"Plan2"}</definedName>
    <definedName name="UHGSDUS" localSheetId="4" hidden="1">{#N/A,#N/A,FALSE,"Plan1";#N/A,#N/A,FALSE,"Plan2"}</definedName>
    <definedName name="UHGSDUS" localSheetId="8" hidden="1">{#N/A,#N/A,FALSE,"Plan1";#N/A,#N/A,FALSE,"Plan2"}</definedName>
    <definedName name="UHGSDUS" localSheetId="12" hidden="1">{#N/A,#N/A,FALSE,"Plan1";#N/A,#N/A,FALSE,"Plan2"}</definedName>
    <definedName name="UHGSDUS" localSheetId="16" hidden="1">{#N/A,#N/A,FALSE,"Plan1";#N/A,#N/A,FALSE,"Plan2"}</definedName>
    <definedName name="UHGSDUS" localSheetId="0" hidden="1">{#N/A,#N/A,FALSE,"Plan1";#N/A,#N/A,FALSE,"Plan2"}</definedName>
    <definedName name="UHGSDUS" localSheetId="11" hidden="1">{#N/A,#N/A,FALSE,"Plan1";#N/A,#N/A,FALSE,"Plan2"}</definedName>
    <definedName name="UHGSDUS" localSheetId="13" hidden="1">{#N/A,#N/A,FALSE,"Plan1";#N/A,#N/A,FALSE,"Plan2"}</definedName>
    <definedName name="UHGSDUS" hidden="1">{#N/A,#N/A,FALSE,"Plan1";#N/A,#N/A,FALSE,"Plan2"}</definedName>
    <definedName name="UI" localSheetId="2" hidden="1">#REF!</definedName>
    <definedName name="UI" localSheetId="5" hidden="1">#REF!</definedName>
    <definedName name="UI" localSheetId="0" hidden="1">#REF!</definedName>
    <definedName name="UI" hidden="1">#REF!</definedName>
    <definedName name="UIHWER45R" localSheetId="14" hidden="1">{#N/A,#N/A,FALSE,"Plan1";#N/A,#N/A,FALSE,"Plan2"}</definedName>
    <definedName name="UIHWER45R" localSheetId="7" hidden="1">{#N/A,#N/A,FALSE,"Plan1";#N/A,#N/A,FALSE,"Plan2"}</definedName>
    <definedName name="UIHWER45R" localSheetId="1" hidden="1">{#N/A,#N/A,FALSE,"Plan1";#N/A,#N/A,FALSE,"Plan2"}</definedName>
    <definedName name="UIHWER45R" localSheetId="2" hidden="1">{#N/A,#N/A,FALSE,"Plan1";#N/A,#N/A,FALSE,"Plan2"}</definedName>
    <definedName name="UIHWER45R" localSheetId="9" hidden="1">{#N/A,#N/A,FALSE,"Plan1";#N/A,#N/A,FALSE,"Plan2"}</definedName>
    <definedName name="UIHWER45R" localSheetId="5" hidden="1">{#N/A,#N/A,FALSE,"Plan1";#N/A,#N/A,FALSE,"Plan2"}</definedName>
    <definedName name="UIHWER45R" localSheetId="4" hidden="1">{#N/A,#N/A,FALSE,"Plan1";#N/A,#N/A,FALSE,"Plan2"}</definedName>
    <definedName name="UIHWER45R" localSheetId="8" hidden="1">{#N/A,#N/A,FALSE,"Plan1";#N/A,#N/A,FALSE,"Plan2"}</definedName>
    <definedName name="UIHWER45R" localSheetId="12" hidden="1">{#N/A,#N/A,FALSE,"Plan1";#N/A,#N/A,FALSE,"Plan2"}</definedName>
    <definedName name="UIHWER45R" localSheetId="16" hidden="1">{#N/A,#N/A,FALSE,"Plan1";#N/A,#N/A,FALSE,"Plan2"}</definedName>
    <definedName name="UIHWER45R" localSheetId="0" hidden="1">{#N/A,#N/A,FALSE,"Plan1";#N/A,#N/A,FALSE,"Plan2"}</definedName>
    <definedName name="UIHWER45R" localSheetId="11" hidden="1">{#N/A,#N/A,FALSE,"Plan1";#N/A,#N/A,FALSE,"Plan2"}</definedName>
    <definedName name="UIHWER45R" localSheetId="13" hidden="1">{#N/A,#N/A,FALSE,"Plan1";#N/A,#N/A,FALSE,"Plan2"}</definedName>
    <definedName name="UIHWER45R" hidden="1">{#N/A,#N/A,FALSE,"Plan1";#N/A,#N/A,FALSE,"Plan2"}</definedName>
    <definedName name="uiosderuiu" localSheetId="14" hidden="1">{#N/A,#N/A,FALSE,"Plan1";#N/A,#N/A,FALSE,"Plan2"}</definedName>
    <definedName name="uiosderuiu" localSheetId="7" hidden="1">{#N/A,#N/A,FALSE,"Plan1";#N/A,#N/A,FALSE,"Plan2"}</definedName>
    <definedName name="uiosderuiu" localSheetId="1" hidden="1">{#N/A,#N/A,FALSE,"Plan1";#N/A,#N/A,FALSE,"Plan2"}</definedName>
    <definedName name="uiosderuiu" localSheetId="2" hidden="1">{#N/A,#N/A,FALSE,"Plan1";#N/A,#N/A,FALSE,"Plan2"}</definedName>
    <definedName name="uiosderuiu" localSheetId="9" hidden="1">{#N/A,#N/A,FALSE,"Plan1";#N/A,#N/A,FALSE,"Plan2"}</definedName>
    <definedName name="uiosderuiu" localSheetId="5" hidden="1">{#N/A,#N/A,FALSE,"Plan1";#N/A,#N/A,FALSE,"Plan2"}</definedName>
    <definedName name="uiosderuiu" localSheetId="4" hidden="1">{#N/A,#N/A,FALSE,"Plan1";#N/A,#N/A,FALSE,"Plan2"}</definedName>
    <definedName name="uiosderuiu" localSheetId="8" hidden="1">{#N/A,#N/A,FALSE,"Plan1";#N/A,#N/A,FALSE,"Plan2"}</definedName>
    <definedName name="uiosderuiu" localSheetId="12" hidden="1">{#N/A,#N/A,FALSE,"Plan1";#N/A,#N/A,FALSE,"Plan2"}</definedName>
    <definedName name="uiosderuiu" localSheetId="16" hidden="1">{#N/A,#N/A,FALSE,"Plan1";#N/A,#N/A,FALSE,"Plan2"}</definedName>
    <definedName name="uiosderuiu" localSheetId="0" hidden="1">{#N/A,#N/A,FALSE,"Plan1";#N/A,#N/A,FALSE,"Plan2"}</definedName>
    <definedName name="uiosderuiu" localSheetId="11" hidden="1">{#N/A,#N/A,FALSE,"Plan1";#N/A,#N/A,FALSE,"Plan2"}</definedName>
    <definedName name="uiosderuiu" localSheetId="13" hidden="1">{#N/A,#N/A,FALSE,"Plan1";#N/A,#N/A,FALSE,"Plan2"}</definedName>
    <definedName name="uiosderuiu" hidden="1">{#N/A,#N/A,FALSE,"Plan1";#N/A,#N/A,FALSE,"Plan2"}</definedName>
    <definedName name="UIOURET" localSheetId="14" hidden="1">{#N/A,#N/A,FALSE,"Plan1";#N/A,#N/A,FALSE,"Plan2"}</definedName>
    <definedName name="UIOURET" localSheetId="7" hidden="1">{#N/A,#N/A,FALSE,"Plan1";#N/A,#N/A,FALSE,"Plan2"}</definedName>
    <definedName name="UIOURET" localSheetId="1" hidden="1">{#N/A,#N/A,FALSE,"Plan1";#N/A,#N/A,FALSE,"Plan2"}</definedName>
    <definedName name="UIOURET" localSheetId="2" hidden="1">{#N/A,#N/A,FALSE,"Plan1";#N/A,#N/A,FALSE,"Plan2"}</definedName>
    <definedName name="UIOURET" localSheetId="9" hidden="1">{#N/A,#N/A,FALSE,"Plan1";#N/A,#N/A,FALSE,"Plan2"}</definedName>
    <definedName name="UIOURET" localSheetId="5" hidden="1">{#N/A,#N/A,FALSE,"Plan1";#N/A,#N/A,FALSE,"Plan2"}</definedName>
    <definedName name="UIOURET" localSheetId="4" hidden="1">{#N/A,#N/A,FALSE,"Plan1";#N/A,#N/A,FALSE,"Plan2"}</definedName>
    <definedName name="UIOURET" localSheetId="8" hidden="1">{#N/A,#N/A,FALSE,"Plan1";#N/A,#N/A,FALSE,"Plan2"}</definedName>
    <definedName name="UIOURET" localSheetId="12" hidden="1">{#N/A,#N/A,FALSE,"Plan1";#N/A,#N/A,FALSE,"Plan2"}</definedName>
    <definedName name="UIOURET" localSheetId="16" hidden="1">{#N/A,#N/A,FALSE,"Plan1";#N/A,#N/A,FALSE,"Plan2"}</definedName>
    <definedName name="UIOURET" localSheetId="0" hidden="1">{#N/A,#N/A,FALSE,"Plan1";#N/A,#N/A,FALSE,"Plan2"}</definedName>
    <definedName name="UIOURET" localSheetId="11" hidden="1">{#N/A,#N/A,FALSE,"Plan1";#N/A,#N/A,FALSE,"Plan2"}</definedName>
    <definedName name="UIOURET" localSheetId="13" hidden="1">{#N/A,#N/A,FALSE,"Plan1";#N/A,#N/A,FALSE,"Plan2"}</definedName>
    <definedName name="UIOURET" hidden="1">{#N/A,#N/A,FALSE,"Plan1";#N/A,#N/A,FALSE,"Plan2"}</definedName>
    <definedName name="uiwuer" localSheetId="14" hidden="1">{#N/A,#N/A,FALSE,"Plan1";#N/A,#N/A,FALSE,"Plan2"}</definedName>
    <definedName name="uiwuer" localSheetId="7" hidden="1">{#N/A,#N/A,FALSE,"Plan1";#N/A,#N/A,FALSE,"Plan2"}</definedName>
    <definedName name="uiwuer" localSheetId="1" hidden="1">{#N/A,#N/A,FALSE,"Plan1";#N/A,#N/A,FALSE,"Plan2"}</definedName>
    <definedName name="uiwuer" localSheetId="2" hidden="1">{#N/A,#N/A,FALSE,"Plan1";#N/A,#N/A,FALSE,"Plan2"}</definedName>
    <definedName name="uiwuer" localSheetId="9" hidden="1">{#N/A,#N/A,FALSE,"Plan1";#N/A,#N/A,FALSE,"Plan2"}</definedName>
    <definedName name="uiwuer" localSheetId="5" hidden="1">{#N/A,#N/A,FALSE,"Plan1";#N/A,#N/A,FALSE,"Plan2"}</definedName>
    <definedName name="uiwuer" localSheetId="4" hidden="1">{#N/A,#N/A,FALSE,"Plan1";#N/A,#N/A,FALSE,"Plan2"}</definedName>
    <definedName name="uiwuer" localSheetId="8" hidden="1">{#N/A,#N/A,FALSE,"Plan1";#N/A,#N/A,FALSE,"Plan2"}</definedName>
    <definedName name="uiwuer" localSheetId="12" hidden="1">{#N/A,#N/A,FALSE,"Plan1";#N/A,#N/A,FALSE,"Plan2"}</definedName>
    <definedName name="uiwuer" localSheetId="16" hidden="1">{#N/A,#N/A,FALSE,"Plan1";#N/A,#N/A,FALSE,"Plan2"}</definedName>
    <definedName name="uiwuer" localSheetId="0" hidden="1">{#N/A,#N/A,FALSE,"Plan1";#N/A,#N/A,FALSE,"Plan2"}</definedName>
    <definedName name="uiwuer" localSheetId="11" hidden="1">{#N/A,#N/A,FALSE,"Plan1";#N/A,#N/A,FALSE,"Plan2"}</definedName>
    <definedName name="uiwuer" localSheetId="13" hidden="1">{#N/A,#N/A,FALSE,"Plan1";#N/A,#N/A,FALSE,"Plan2"}</definedName>
    <definedName name="uiwuer" hidden="1">{#N/A,#N/A,FALSE,"Plan1";#N/A,#N/A,FALSE,"Plan2"}</definedName>
    <definedName name="UKHDFDSGUDFKD" localSheetId="14" hidden="1">{#N/A,#N/A,FALSE,"Plan1";#N/A,#N/A,FALSE,"Plan2"}</definedName>
    <definedName name="UKHDFDSGUDFKD" localSheetId="7" hidden="1">{#N/A,#N/A,FALSE,"Plan1";#N/A,#N/A,FALSE,"Plan2"}</definedName>
    <definedName name="UKHDFDSGUDFKD" localSheetId="1" hidden="1">{#N/A,#N/A,FALSE,"Plan1";#N/A,#N/A,FALSE,"Plan2"}</definedName>
    <definedName name="UKHDFDSGUDFKD" localSheetId="2" hidden="1">{#N/A,#N/A,FALSE,"Plan1";#N/A,#N/A,FALSE,"Plan2"}</definedName>
    <definedName name="UKHDFDSGUDFKD" localSheetId="9" hidden="1">{#N/A,#N/A,FALSE,"Plan1";#N/A,#N/A,FALSE,"Plan2"}</definedName>
    <definedName name="UKHDFDSGUDFKD" localSheetId="5" hidden="1">{#N/A,#N/A,FALSE,"Plan1";#N/A,#N/A,FALSE,"Plan2"}</definedName>
    <definedName name="UKHDFDSGUDFKD" localSheetId="4" hidden="1">{#N/A,#N/A,FALSE,"Plan1";#N/A,#N/A,FALSE,"Plan2"}</definedName>
    <definedName name="UKHDFDSGUDFKD" localSheetId="8" hidden="1">{#N/A,#N/A,FALSE,"Plan1";#N/A,#N/A,FALSE,"Plan2"}</definedName>
    <definedName name="UKHDFDSGUDFKD" localSheetId="12" hidden="1">{#N/A,#N/A,FALSE,"Plan1";#N/A,#N/A,FALSE,"Plan2"}</definedName>
    <definedName name="UKHDFDSGUDFKD" localSheetId="16" hidden="1">{#N/A,#N/A,FALSE,"Plan1";#N/A,#N/A,FALSE,"Plan2"}</definedName>
    <definedName name="UKHDFDSGUDFKD" localSheetId="0" hidden="1">{#N/A,#N/A,FALSE,"Plan1";#N/A,#N/A,FALSE,"Plan2"}</definedName>
    <definedName name="UKHDFDSGUDFKD" localSheetId="11" hidden="1">{#N/A,#N/A,FALSE,"Plan1";#N/A,#N/A,FALSE,"Plan2"}</definedName>
    <definedName name="UKHDFDSGUDFKD" localSheetId="13" hidden="1">{#N/A,#N/A,FALSE,"Plan1";#N/A,#N/A,FALSE,"Plan2"}</definedName>
    <definedName name="UKHDFDSGUDFKD" hidden="1">{#N/A,#N/A,FALSE,"Plan1";#N/A,#N/A,FALSE,"Plan2"}</definedName>
    <definedName name="um" localSheetId="7" hidden="1">0</definedName>
    <definedName name="um" localSheetId="2" hidden="1">0</definedName>
    <definedName name="um" localSheetId="9" hidden="1">0</definedName>
    <definedName name="UM" localSheetId="5">#REF!</definedName>
    <definedName name="um" localSheetId="8" hidden="1">0</definedName>
    <definedName name="um" localSheetId="0" hidden="1">0</definedName>
    <definedName name="UM" localSheetId="24">#REF!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2">OFFSET(#REF!,0,0,COUNTA(#REF!),1)</definedName>
    <definedName name="UNID" localSheetId="5">OFFSET(#REF!,0,0,COUNTA(#REF!),1)</definedName>
    <definedName name="UNID">OFFSET(#REF!,0,0,COUNTA(#REF!),1)</definedName>
    <definedName name="uni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2">#REF!</definedName>
    <definedName name="univ_cdi" localSheetId="5">#REF!</definedName>
    <definedName name="univ_cdi">#REF!</definedName>
    <definedName name="univ_hist" localSheetId="2">#REF!</definedName>
    <definedName name="univ_hist" localSheetId="5">#REF!</definedName>
    <definedName name="univ_hist">#REF!</definedName>
    <definedName name="univ_uss" localSheetId="2">#REF!</definedName>
    <definedName name="univ_uss" localSheetId="5">#REF!</definedName>
    <definedName name="univ_uss">#REF!</definedName>
    <definedName name="UPS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4" hidden="1">{#N/A,#N/A,FALSE,"Plan1";#N/A,#N/A,FALSE,"Plan2"}</definedName>
    <definedName name="uryrtyt" localSheetId="7" hidden="1">{#N/A,#N/A,FALSE,"Plan1";#N/A,#N/A,FALSE,"Plan2"}</definedName>
    <definedName name="uryrtyt" localSheetId="1" hidden="1">{#N/A,#N/A,FALSE,"Plan1";#N/A,#N/A,FALSE,"Plan2"}</definedName>
    <definedName name="uryrtyt" localSheetId="2" hidden="1">{#N/A,#N/A,FALSE,"Plan1";#N/A,#N/A,FALSE,"Plan2"}</definedName>
    <definedName name="uryrtyt" localSheetId="9" hidden="1">{#N/A,#N/A,FALSE,"Plan1";#N/A,#N/A,FALSE,"Plan2"}</definedName>
    <definedName name="uryrtyt" localSheetId="5" hidden="1">{#N/A,#N/A,FALSE,"Plan1";#N/A,#N/A,FALSE,"Plan2"}</definedName>
    <definedName name="uryrtyt" localSheetId="4" hidden="1">{#N/A,#N/A,FALSE,"Plan1";#N/A,#N/A,FALSE,"Plan2"}</definedName>
    <definedName name="uryrtyt" localSheetId="8" hidden="1">{#N/A,#N/A,FALSE,"Plan1";#N/A,#N/A,FALSE,"Plan2"}</definedName>
    <definedName name="uryrtyt" localSheetId="12" hidden="1">{#N/A,#N/A,FALSE,"Plan1";#N/A,#N/A,FALSE,"Plan2"}</definedName>
    <definedName name="uryrtyt" localSheetId="16" hidden="1">{#N/A,#N/A,FALSE,"Plan1";#N/A,#N/A,FALSE,"Plan2"}</definedName>
    <definedName name="uryrtyt" localSheetId="0" hidden="1">{#N/A,#N/A,FALSE,"Plan1";#N/A,#N/A,FALSE,"Plan2"}</definedName>
    <definedName name="uryrtyt" localSheetId="11" hidden="1">{#N/A,#N/A,FALSE,"Plan1";#N/A,#N/A,FALSE,"Plan2"}</definedName>
    <definedName name="uryrtyt" localSheetId="13" hidden="1">{#N/A,#N/A,FALSE,"Plan1";#N/A,#N/A,FALSE,"Plan2"}</definedName>
    <definedName name="uryrtyt" hidden="1">{#N/A,#N/A,FALSE,"Plan1";#N/A,#N/A,FALSE,"Plan2"}</definedName>
    <definedName name="V" localSheetId="2">#REF!</definedName>
    <definedName name="V" localSheetId="9">#REF!</definedName>
    <definedName name="V" localSheetId="5">#REF!</definedName>
    <definedName name="V" localSheetId="24">#REF!</definedName>
    <definedName name="V">#REF!</definedName>
    <definedName name="VALIDADE_EXECUÇÃO" localSheetId="2">#REF!</definedName>
    <definedName name="VALIDADE_EXECUÇÃO" localSheetId="5">#REF!</definedName>
    <definedName name="VALIDADE_EXECUÇÃO">#REF!</definedName>
    <definedName name="Valor_PLS_Controladoria" localSheetId="2">#REF!</definedName>
    <definedName name="Valor_PLS_Controladoria" localSheetId="5">#REF!</definedName>
    <definedName name="Valor_PLS_Controladoria">#REF!</definedName>
    <definedName name="Valor_Previsto_Fin_Medições" localSheetId="2">#REF!</definedName>
    <definedName name="Valor_Previsto_Fin_Medições" localSheetId="5">#REF!</definedName>
    <definedName name="Valor_Previsto_Fin_Medições">#REF!</definedName>
    <definedName name="VALOR_REAIS" localSheetId="2">#REF!</definedName>
    <definedName name="VALOR_REAIS" localSheetId="5">#REF!</definedName>
    <definedName name="VALOR_REAIS">#REF!</definedName>
    <definedName name="Valor_Recebido_Fin_Medições" localSheetId="2">#REF!</definedName>
    <definedName name="Valor_Recebido_Fin_Medições" localSheetId="5">#REF!</definedName>
    <definedName name="Valor_Recebido_Fin_Medições">#REF!</definedName>
    <definedName name="Valor_Sienge" localSheetId="2">#REF!</definedName>
    <definedName name="Valor_Sienge" localSheetId="5">#REF!</definedName>
    <definedName name="Valor_Sienge">#REF!</definedName>
    <definedName name="VALOR_VENDA" localSheetId="2">#REF!</definedName>
    <definedName name="VALOR_VENDA" localSheetId="5">#REF!</definedName>
    <definedName name="VALOR_VENDA">#REF!</definedName>
    <definedName name="valores_diferidos" localSheetId="2">#REF!</definedName>
    <definedName name="valores_diferidos" localSheetId="5">#REF!</definedName>
    <definedName name="valores_diferidos">#REF!</definedName>
    <definedName name="valv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2">#REF!</definedName>
    <definedName name="VAOS" localSheetId="5">#REF!</definedName>
    <definedName name="VAOS">#REF!</definedName>
    <definedName name="vdsgfrhgfr" localSheetId="14" hidden="1">{#N/A,#N/A,FALSE,"Plan1";#N/A,#N/A,FALSE,"Plan2"}</definedName>
    <definedName name="vdsgfrhgfr" localSheetId="7" hidden="1">{#N/A,#N/A,FALSE,"Plan1";#N/A,#N/A,FALSE,"Plan2"}</definedName>
    <definedName name="vdsgfrhgfr" localSheetId="1" hidden="1">{#N/A,#N/A,FALSE,"Plan1";#N/A,#N/A,FALSE,"Plan2"}</definedName>
    <definedName name="vdsgfrhgfr" localSheetId="2" hidden="1">{#N/A,#N/A,FALSE,"Plan1";#N/A,#N/A,FALSE,"Plan2"}</definedName>
    <definedName name="vdsgfrhgfr" localSheetId="9" hidden="1">{#N/A,#N/A,FALSE,"Plan1";#N/A,#N/A,FALSE,"Plan2"}</definedName>
    <definedName name="vdsgfrhgfr" localSheetId="5" hidden="1">{#N/A,#N/A,FALSE,"Plan1";#N/A,#N/A,FALSE,"Plan2"}</definedName>
    <definedName name="vdsgfrhgfr" localSheetId="4" hidden="1">{#N/A,#N/A,FALSE,"Plan1";#N/A,#N/A,FALSE,"Plan2"}</definedName>
    <definedName name="vdsgfrhgfr" localSheetId="8" hidden="1">{#N/A,#N/A,FALSE,"Plan1";#N/A,#N/A,FALSE,"Plan2"}</definedName>
    <definedName name="vdsgfrhgfr" localSheetId="12" hidden="1">{#N/A,#N/A,FALSE,"Plan1";#N/A,#N/A,FALSE,"Plan2"}</definedName>
    <definedName name="vdsgfrhgfr" localSheetId="16" hidden="1">{#N/A,#N/A,FALSE,"Plan1";#N/A,#N/A,FALSE,"Plan2"}</definedName>
    <definedName name="vdsgfrhgfr" localSheetId="0" hidden="1">{#N/A,#N/A,FALSE,"Plan1";#N/A,#N/A,FALSE,"Plan2"}</definedName>
    <definedName name="vdsgfrhgfr" localSheetId="11" hidden="1">{#N/A,#N/A,FALSE,"Plan1";#N/A,#N/A,FALSE,"Plan2"}</definedName>
    <definedName name="vdsgfrhgfr" localSheetId="13" hidden="1">{#N/A,#N/A,FALSE,"Plan1";#N/A,#N/A,FALSE,"Plan2"}</definedName>
    <definedName name="vdsgfrhgfr" hidden="1">{#N/A,#N/A,FALSE,"Plan1";#N/A,#N/A,FALSE,"Plan2"}</definedName>
    <definedName name="Veiculos" localSheetId="2">#REF!</definedName>
    <definedName name="Veiculos" localSheetId="5">#REF!</definedName>
    <definedName name="Veiculos">#REF!</definedName>
    <definedName name="VENDA_ADOTADA" localSheetId="2">#REF!</definedName>
    <definedName name="VENDA_ADOTADA" localSheetId="5">#REF!</definedName>
    <definedName name="VENDA_ADOTADA">#REF!</definedName>
    <definedName name="VENDAFINAL_R" localSheetId="2">#REF!</definedName>
    <definedName name="VENDAFINAL_R" localSheetId="5">#REF!</definedName>
    <definedName name="VENDAFINAL_R">#REF!</definedName>
    <definedName name="VENDAFINAL_U" localSheetId="2">#REF!</definedName>
    <definedName name="VENDAFINAL_U" localSheetId="5">#REF!</definedName>
    <definedName name="VENDAFINAL_U">#REF!</definedName>
    <definedName name="Vendas" localSheetId="2">#REF!</definedName>
    <definedName name="Vendas" localSheetId="5">#REF!</definedName>
    <definedName name="Vendas">#REF!</definedName>
    <definedName name="vendas_" localSheetId="2">#REF!</definedName>
    <definedName name="vendas_" localSheetId="5">#REF!</definedName>
    <definedName name="vendas_">#REF!</definedName>
    <definedName name="VERIFICAR" localSheetId="14" hidden="1">{#N/A,#N/A,TRUE,"Quinzena 01 à 15-04-98 "}</definedName>
    <definedName name="VERIFICAR" localSheetId="7" hidden="1">{#N/A,#N/A,TRUE,"Quinzena 01 à 15-04-98 "}</definedName>
    <definedName name="VERIFICAR" localSheetId="1" hidden="1">{#N/A,#N/A,TRUE,"Quinzena 01 à 15-04-98 "}</definedName>
    <definedName name="VERIFICAR" localSheetId="2" hidden="1">{#N/A,#N/A,TRUE,"Quinzena 01 à 15-04-98 "}</definedName>
    <definedName name="VERIFICAR" localSheetId="9" hidden="1">{#N/A,#N/A,TRUE,"Quinzena 01 à 15-04-98 "}</definedName>
    <definedName name="VERIFICAR" localSheetId="5" hidden="1">{#N/A,#N/A,TRUE,"Quinzena 01 à 15-04-98 "}</definedName>
    <definedName name="VERIFICAR" localSheetId="4" hidden="1">{#N/A,#N/A,TRUE,"Quinzena 01 à 15-04-98 "}</definedName>
    <definedName name="VERIFICAR" localSheetId="8" hidden="1">{#N/A,#N/A,TRUE,"Quinzena 01 à 15-04-98 "}</definedName>
    <definedName name="VERIFICAR" localSheetId="12" hidden="1">{#N/A,#N/A,TRUE,"Quinzena 01 à 15-04-98 "}</definedName>
    <definedName name="VERIFICAR" localSheetId="16" hidden="1">{#N/A,#N/A,TRUE,"Quinzena 01 à 15-04-98 "}</definedName>
    <definedName name="VERIFICAR" localSheetId="0" hidden="1">{#N/A,#N/A,TRUE,"Quinzena 01 à 15-04-98 "}</definedName>
    <definedName name="VERIFICAR" localSheetId="11" hidden="1">{#N/A,#N/A,TRUE,"Quinzena 01 à 15-04-98 "}</definedName>
    <definedName name="VERIFICAR" localSheetId="13" hidden="1">{#N/A,#N/A,TRUE,"Quinzena 01 à 15-04-98 "}</definedName>
    <definedName name="VERIFICAR" hidden="1">{#N/A,#N/A,TRUE,"Quinzena 01 à 15-04-98 "}</definedName>
    <definedName name="versao_estudo" localSheetId="2">#REF!</definedName>
    <definedName name="versao_estudo" localSheetId="5">#REF!</definedName>
    <definedName name="versao_estudo">#REF!</definedName>
    <definedName name="vfbg" localSheetId="2">#REF!</definedName>
    <definedName name="vfbg" localSheetId="5">#REF!</definedName>
    <definedName name="vfbg">#REF!</definedName>
    <definedName name="vfnijfd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4" hidden="1">{#N/A,#N/A,FALSE,"Plan1";#N/A,#N/A,FALSE,"Plan2"}</definedName>
    <definedName name="VFV" localSheetId="7" hidden="1">{#N/A,#N/A,FALSE,"Plan1";#N/A,#N/A,FALSE,"Plan2"}</definedName>
    <definedName name="VFV" localSheetId="1" hidden="1">{#N/A,#N/A,FALSE,"Plan1";#N/A,#N/A,FALSE,"Plan2"}</definedName>
    <definedName name="VFV" localSheetId="2" hidden="1">{#N/A,#N/A,FALSE,"Plan1";#N/A,#N/A,FALSE,"Plan2"}</definedName>
    <definedName name="VFV" localSheetId="9" hidden="1">{#N/A,#N/A,FALSE,"Plan1";#N/A,#N/A,FALSE,"Plan2"}</definedName>
    <definedName name="VFV" localSheetId="5" hidden="1">{#N/A,#N/A,FALSE,"Plan1";#N/A,#N/A,FALSE,"Plan2"}</definedName>
    <definedName name="VFV" localSheetId="4" hidden="1">{#N/A,#N/A,FALSE,"Plan1";#N/A,#N/A,FALSE,"Plan2"}</definedName>
    <definedName name="VFV" localSheetId="8" hidden="1">{#N/A,#N/A,FALSE,"Plan1";#N/A,#N/A,FALSE,"Plan2"}</definedName>
    <definedName name="VFV" localSheetId="12" hidden="1">{#N/A,#N/A,FALSE,"Plan1";#N/A,#N/A,FALSE,"Plan2"}</definedName>
    <definedName name="VFV" localSheetId="16" hidden="1">{#N/A,#N/A,FALSE,"Plan1";#N/A,#N/A,FALSE,"Plan2"}</definedName>
    <definedName name="VFV" localSheetId="0" hidden="1">{#N/A,#N/A,FALSE,"Plan1";#N/A,#N/A,FALSE,"Plan2"}</definedName>
    <definedName name="VFV" localSheetId="11" hidden="1">{#N/A,#N/A,FALSE,"Plan1";#N/A,#N/A,FALSE,"Plan2"}</definedName>
    <definedName name="VFV" localSheetId="13" hidden="1">{#N/A,#N/A,FALSE,"Plan1";#N/A,#N/A,FALSE,"Plan2"}</definedName>
    <definedName name="VFV" hidden="1">{#N/A,#N/A,FALSE,"Plan1";#N/A,#N/A,FALSE,"Plan2"}</definedName>
    <definedName name="VI" localSheetId="2">#REF!</definedName>
    <definedName name="VI" localSheetId="9">#REF!</definedName>
    <definedName name="VI" localSheetId="5">#REF!</definedName>
    <definedName name="VI" localSheetId="24">#REF!</definedName>
    <definedName name="VI">#REF!</definedName>
    <definedName name="VINTE" localSheetId="2">#REF!</definedName>
    <definedName name="VINTE" localSheetId="5">#REF!</definedName>
    <definedName name="VINTE" localSheetId="24">#REF!</definedName>
    <definedName name="VINTE">#REF!</definedName>
    <definedName name="visao_cashflow" localSheetId="2">#REF!</definedName>
    <definedName name="visao_cashflow" localSheetId="5">#REF!</definedName>
    <definedName name="visao_cashflow">#REF!</definedName>
    <definedName name="visao_VL" localSheetId="2">#REF!</definedName>
    <definedName name="visao_VL" localSheetId="5">#REF!</definedName>
    <definedName name="visao_VL">#REF!</definedName>
    <definedName name="vl_cd" localSheetId="2">#REF!</definedName>
    <definedName name="vl_cd" localSheetId="5">#REF!</definedName>
    <definedName name="vl_cd">#REF!</definedName>
    <definedName name="vl_k1" localSheetId="2">#REF!</definedName>
    <definedName name="vl_k1" localSheetId="5">#REF!</definedName>
    <definedName name="vl_k1">#REF!</definedName>
    <definedName name="vl_k2" localSheetId="2">#REF!</definedName>
    <definedName name="vl_k2" localSheetId="5">#REF!</definedName>
    <definedName name="vl_k2">#REF!</definedName>
    <definedName name="vl_k3" localSheetId="2">#REF!</definedName>
    <definedName name="vl_k3" localSheetId="5">#REF!</definedName>
    <definedName name="vl_k3">#REF!</definedName>
    <definedName name="vld_classificacao" localSheetId="20" hidden="1">IF(#REF!="Ativa",OFFSET(INDEX(rng_list_classificacao,MATCH(#REF!,rng_list_classificacao,0)),1,0,COUNTA(rng_list_classificacao)-1),#REF!)</definedName>
    <definedName name="vld_classificacao" localSheetId="14" hidden="1">IF(#REF!="Ativa",OFFSET(INDEX(rng_list_classificacao,MATCH(#REF!,rng_list_classificacao,0)),1,0,COUNTA(rng_list_classificacao)-1),#REF!)</definedName>
    <definedName name="vld_classificacao" localSheetId="21" hidden="1">IF(#REF!="Ativa",OFFSET(INDEX(rng_list_classificacao,MATCH(#REF!,rng_list_classificacao,0)),1,0,COUNTA(rng_list_classificacao)-1),#REF!)</definedName>
    <definedName name="vld_classificacao" localSheetId="7" hidden="1">IF(#REF!="Ativa",OFFSET(INDEX(rng_list_classificacao,MATCH(#REF!,rng_list_classificacao,0)),1,0,COUNTA(rng_list_classificacao)-1),#REF!)</definedName>
    <definedName name="vld_classificacao" localSheetId="1" hidden="1">IF(#REF!="Ativa",OFFSET(INDEX(rng_list_classificacao,MATCH(#REF!,rng_list_classificacao,0)),1,0,COUNTA(rng_list_classificacao)-1),#REF!)</definedName>
    <definedName name="vld_classificacao" localSheetId="2" hidden="1">IF(#REF!="Ativa",OFFSET(INDEX(rng_list_classificacao,MATCH(#REF!,rng_list_classificacao,0)),1,0,COUNTA(rng_list_classificacao)-1),#REF!)</definedName>
    <definedName name="vld_classificacao" localSheetId="9" hidden="1">IF(#REF!="Ativa",OFFSET(INDEX(rng_list_classificacao,MATCH(#REF!,rng_list_classificacao,0)),1,0,COUNTA(rng_list_classificacao)-1),#REF!)</definedName>
    <definedName name="vld_classificacao" localSheetId="5" hidden="1">IF(#REF!="Ativa",OFFSET(INDEX(rng_list_classificacao,MATCH(#REF!,rng_list_classificacao,0)),1,0,COUNTA(rng_list_classificacao)-1),#REF!)</definedName>
    <definedName name="vld_classificacao" localSheetId="4" hidden="1">IF(#REF!="Ativa",OFFSET(INDEX(rng_list_classificacao,MATCH(#REF!,rng_list_classificacao,0)),1,0,COUNTA(rng_list_classificacao)-1),#REF!)</definedName>
    <definedName name="vld_classificacao" localSheetId="8" hidden="1">IF(#REF!="Ativa",OFFSET(INDEX(rng_list_classificacao,MATCH(#REF!,rng_list_classificacao,0)),1,0,COUNTA(rng_list_classificacao)-1),#REF!)</definedName>
    <definedName name="vld_classificacao" localSheetId="12" hidden="1">IF(#REF!="Ativa",OFFSET(INDEX(rng_list_classificacao,MATCH(#REF!,rng_list_classificacao,0)),1,0,COUNTA(rng_list_classificacao)-1),#REF!)</definedName>
    <definedName name="vld_classificacao" localSheetId="16" hidden="1">IF(#REF!="Ativa",OFFSET(INDEX(rng_list_classificacao,MATCH(#REF!,rng_list_classificacao,0)),1,0,COUNTA(rng_list_classificacao)-1),#REF!)</definedName>
    <definedName name="vld_classificacao" localSheetId="0" hidden="1">IF(#REF!="Ativa",OFFSET(INDEX(rng_list_classificacao,MATCH(#REF!,rng_list_classificacao,0)),1,0,COUNTA(rng_list_classificacao)-1),#REF!)</definedName>
    <definedName name="vld_classificacao" localSheetId="11" hidden="1">IF(#REF!="Ativa",OFFSET(INDEX(rng_list_classificacao,MATCH(#REF!,rng_list_classificacao,0)),1,0,COUNTA(rng_list_classificacao)-1),#REF!)</definedName>
    <definedName name="vld_classificacao" localSheetId="22" hidden="1">IF(#REF!="Ativa",OFFSET(INDEX(rng_list_classificacao,MATCH(#REF!,rng_list_classificacao,0)),1,0,COUNTA(rng_list_classificacao)-1),#REF!)</definedName>
    <definedName name="vld_classificacao" localSheetId="13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20" hidden="1">OFFSET(INDEX(rng_list_regional,MATCH(#REF!,rng_list_regional,0)),1,0,COUNTA(rng_list_regional)-1)</definedName>
    <definedName name="vld_regional" localSheetId="14" hidden="1">OFFSET(INDEX(rng_list_regional,MATCH(#REF!,rng_list_regional,0)),1,0,COUNTA(rng_list_regional)-1)</definedName>
    <definedName name="vld_regional" localSheetId="21" hidden="1">OFFSET(INDEX(rng_list_regional,MATCH(#REF!,rng_list_regional,0)),1,0,COUNTA(rng_list_regional)-1)</definedName>
    <definedName name="vld_regional" localSheetId="7" hidden="1">OFFSET(INDEX(rng_list_regional,MATCH(#REF!,rng_list_regional,0)),1,0,COUNTA(rng_list_regional)-1)</definedName>
    <definedName name="vld_regional" localSheetId="1" hidden="1">OFFSET(INDEX(rng_list_regional,MATCH(#REF!,rng_list_regional,0)),1,0,COUNTA(rng_list_regional)-1)</definedName>
    <definedName name="vld_regional" localSheetId="2" hidden="1">OFFSET(INDEX(rng_list_regional,MATCH(#REF!,rng_list_regional,0)),1,0,COUNTA(rng_list_regional)-1)</definedName>
    <definedName name="vld_regional" localSheetId="9" hidden="1">OFFSET(INDEX(rng_list_regional,MATCH(#REF!,rng_list_regional,0)),1,0,COUNTA(rng_list_regional)-1)</definedName>
    <definedName name="vld_regional" localSheetId="5" hidden="1">OFFSET(INDEX(rng_list_regional,MATCH(#REF!,rng_list_regional,0)),1,0,COUNTA(rng_list_regional)-1)</definedName>
    <definedName name="vld_regional" localSheetId="4" hidden="1">OFFSET(INDEX(rng_list_regional,MATCH(#REF!,rng_list_regional,0)),1,0,COUNTA(rng_list_regional)-1)</definedName>
    <definedName name="vld_regional" localSheetId="8" hidden="1">OFFSET(INDEX(rng_list_regional,MATCH(#REF!,rng_list_regional,0)),1,0,COUNTA(rng_list_regional)-1)</definedName>
    <definedName name="vld_regional" localSheetId="12" hidden="1">OFFSET(INDEX(rng_list_regional,MATCH(#REF!,rng_list_regional,0)),1,0,COUNTA(rng_list_regional)-1)</definedName>
    <definedName name="vld_regional" localSheetId="16" hidden="1">OFFSET(INDEX(rng_list_regional,MATCH(#REF!,rng_list_regional,0)),1,0,COUNTA(rng_list_regional)-1)</definedName>
    <definedName name="vld_regional" localSheetId="0" hidden="1">OFFSET(INDEX(rng_list_regional,MATCH(#REF!,rng_list_regional,0)),1,0,COUNTA(rng_list_regional)-1)</definedName>
    <definedName name="vld_regional" localSheetId="11" hidden="1">OFFSET(INDEX(rng_list_regional,MATCH(#REF!,rng_list_regional,0)),1,0,COUNTA(rng_list_regional)-1)</definedName>
    <definedName name="vld_regional" localSheetId="22" hidden="1">OFFSET(INDEX(rng_list_regional,MATCH(#REF!,rng_list_regional,0)),1,0,COUNTA(rng_list_regional)-1)</definedName>
    <definedName name="vld_regional" localSheetId="13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20" hidden="1">IF(#REF!="Ativa",OFFSET(INDEX(rng_list_segmento,MATCH(#REF!,rng_list_segmento,0)),1,0,COUNTA(rng_list_segmento)-1),#REF!)</definedName>
    <definedName name="vld_segmento" localSheetId="14" hidden="1">IF(#REF!="Ativa",OFFSET(INDEX(rng_list_segmento,MATCH(#REF!,rng_list_segmento,0)),1,0,COUNTA(rng_list_segmento)-1),#REF!)</definedName>
    <definedName name="vld_segmento" localSheetId="21" hidden="1">IF(#REF!="Ativa",OFFSET(INDEX(rng_list_segmento,MATCH(#REF!,rng_list_segmento,0)),1,0,COUNTA(rng_list_segmento)-1),#REF!)</definedName>
    <definedName name="vld_segmento" localSheetId="7" hidden="1">IF(#REF!="Ativa",OFFSET(INDEX(rng_list_segmento,MATCH(#REF!,rng_list_segmento,0)),1,0,COUNTA(rng_list_segmento)-1),#REF!)</definedName>
    <definedName name="vld_segmento" localSheetId="1" hidden="1">IF(#REF!="Ativa",OFFSET(INDEX(rng_list_segmento,MATCH(#REF!,rng_list_segmento,0)),1,0,COUNTA(rng_list_segmento)-1),#REF!)</definedName>
    <definedName name="vld_segmento" localSheetId="2" hidden="1">IF(#REF!="Ativa",OFFSET(INDEX(rng_list_segmento,MATCH(#REF!,rng_list_segmento,0)),1,0,COUNTA(rng_list_segmento)-1),#REF!)</definedName>
    <definedName name="vld_segmento" localSheetId="9" hidden="1">IF(#REF!="Ativa",OFFSET(INDEX(rng_list_segmento,MATCH(#REF!,rng_list_segmento,0)),1,0,COUNTA(rng_list_segmento)-1),#REF!)</definedName>
    <definedName name="vld_segmento" localSheetId="5" hidden="1">IF(#REF!="Ativa",OFFSET(INDEX(rng_list_segmento,MATCH(#REF!,rng_list_segmento,0)),1,0,COUNTA(rng_list_segmento)-1),#REF!)</definedName>
    <definedName name="vld_segmento" localSheetId="4" hidden="1">IF(#REF!="Ativa",OFFSET(INDEX(rng_list_segmento,MATCH(#REF!,rng_list_segmento,0)),1,0,COUNTA(rng_list_segmento)-1),#REF!)</definedName>
    <definedName name="vld_segmento" localSheetId="8" hidden="1">IF(#REF!="Ativa",OFFSET(INDEX(rng_list_segmento,MATCH(#REF!,rng_list_segmento,0)),1,0,COUNTA(rng_list_segmento)-1),#REF!)</definedName>
    <definedName name="vld_segmento" localSheetId="12" hidden="1">IF(#REF!="Ativa",OFFSET(INDEX(rng_list_segmento,MATCH(#REF!,rng_list_segmento,0)),1,0,COUNTA(rng_list_segmento)-1),#REF!)</definedName>
    <definedName name="vld_segmento" localSheetId="16" hidden="1">IF(#REF!="Ativa",OFFSET(INDEX(rng_list_segmento,MATCH(#REF!,rng_list_segmento,0)),1,0,COUNTA(rng_list_segmento)-1),#REF!)</definedName>
    <definedName name="vld_segmento" localSheetId="0" hidden="1">IF(#REF!="Ativa",OFFSET(INDEX(rng_list_segmento,MATCH(#REF!,rng_list_segmento,0)),1,0,COUNTA(rng_list_segmento)-1),#REF!)</definedName>
    <definedName name="vld_segmento" localSheetId="11" hidden="1">IF(#REF!="Ativa",OFFSET(INDEX(rng_list_segmento,MATCH(#REF!,rng_list_segmento,0)),1,0,COUNTA(rng_list_segmento)-1),#REF!)</definedName>
    <definedName name="vld_segmento" localSheetId="22" hidden="1">IF(#REF!="Ativa",OFFSET(INDEX(rng_list_segmento,MATCH(#REF!,rng_list_segmento,0)),1,0,COUNTA(rng_list_segmento)-1),#REF!)</definedName>
    <definedName name="vld_segmento" localSheetId="13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20" hidden="1">OFFSET(INDEX(rng_list_sociedade,MATCH(#REF!,rng_list_sociedade,0)),1,0,COUNTA(rng_list_sociedade)-1)</definedName>
    <definedName name="vld_sociedade" localSheetId="14" hidden="1">OFFSET(INDEX(rng_list_sociedade,MATCH(#REF!,rng_list_sociedade,0)),1,0,COUNTA(rng_list_sociedade)-1)</definedName>
    <definedName name="vld_sociedade" localSheetId="21" hidden="1">OFFSET(INDEX(rng_list_sociedade,MATCH(#REF!,rng_list_sociedade,0)),1,0,COUNTA(rng_list_sociedade)-1)</definedName>
    <definedName name="vld_sociedade" localSheetId="7" hidden="1">OFFSET(INDEX(rng_list_sociedade,MATCH(#REF!,rng_list_sociedade,0)),1,0,COUNTA(rng_list_sociedade)-1)</definedName>
    <definedName name="vld_sociedade" localSheetId="1" hidden="1">OFFSET(INDEX(rng_list_sociedade,MATCH(#REF!,rng_list_sociedade,0)),1,0,COUNTA(rng_list_sociedade)-1)</definedName>
    <definedName name="vld_sociedade" localSheetId="2" hidden="1">OFFSET(INDEX(rng_list_sociedade,MATCH(#REF!,rng_list_sociedade,0)),1,0,COUNTA(rng_list_sociedade)-1)</definedName>
    <definedName name="vld_sociedade" localSheetId="9" hidden="1">OFFSET(INDEX(rng_list_sociedade,MATCH(#REF!,rng_list_sociedade,0)),1,0,COUNTA(rng_list_sociedade)-1)</definedName>
    <definedName name="vld_sociedade" localSheetId="5" hidden="1">OFFSET(INDEX(rng_list_sociedade,MATCH(#REF!,rng_list_sociedade,0)),1,0,COUNTA(rng_list_sociedade)-1)</definedName>
    <definedName name="vld_sociedade" localSheetId="4" hidden="1">OFFSET(INDEX(rng_list_sociedade,MATCH(#REF!,rng_list_sociedade,0)),1,0,COUNTA(rng_list_sociedade)-1)</definedName>
    <definedName name="vld_sociedade" localSheetId="8" hidden="1">OFFSET(INDEX(rng_list_sociedade,MATCH(#REF!,rng_list_sociedade,0)),1,0,COUNTA(rng_list_sociedade)-1)</definedName>
    <definedName name="vld_sociedade" localSheetId="12" hidden="1">OFFSET(INDEX(rng_list_sociedade,MATCH(#REF!,rng_list_sociedade,0)),1,0,COUNTA(rng_list_sociedade)-1)</definedName>
    <definedName name="vld_sociedade" localSheetId="16" hidden="1">OFFSET(INDEX(rng_list_sociedade,MATCH(#REF!,rng_list_sociedade,0)),1,0,COUNTA(rng_list_sociedade)-1)</definedName>
    <definedName name="vld_sociedade" localSheetId="0" hidden="1">OFFSET(INDEX(rng_list_sociedade,MATCH(#REF!,rng_list_sociedade,0)),1,0,COUNTA(rng_list_sociedade)-1)</definedName>
    <definedName name="vld_sociedade" localSheetId="11" hidden="1">OFFSET(INDEX(rng_list_sociedade,MATCH(#REF!,rng_list_sociedade,0)),1,0,COUNTA(rng_list_sociedade)-1)</definedName>
    <definedName name="vld_sociedade" localSheetId="22" hidden="1">OFFSET(INDEX(rng_list_sociedade,MATCH(#REF!,rng_list_sociedade,0)),1,0,COUNTA(rng_list_sociedade)-1)</definedName>
    <definedName name="vld_sociedade" localSheetId="13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20" hidden="1">OFFSET(INDEX(rng_list_status_empresa,MATCH(#REF!,rng_list_status_empresa,0)),1,0,COUNTA(rng_list_status_empresa)-1)</definedName>
    <definedName name="vld_status_empresa" localSheetId="14" hidden="1">OFFSET(INDEX(rng_list_status_empresa,MATCH(#REF!,rng_list_status_empresa,0)),1,0,COUNTA(rng_list_status_empresa)-1)</definedName>
    <definedName name="vld_status_empresa" localSheetId="21" hidden="1">OFFSET(INDEX(rng_list_status_empresa,MATCH(#REF!,rng_list_status_empresa,0)),1,0,COUNTA(rng_list_status_empresa)-1)</definedName>
    <definedName name="vld_status_empresa" localSheetId="7" hidden="1">OFFSET(INDEX(rng_list_status_empresa,MATCH(#REF!,rng_list_status_empresa,0)),1,0,COUNTA(rng_list_status_empresa)-1)</definedName>
    <definedName name="vld_status_empresa" localSheetId="1" hidden="1">OFFSET(INDEX(rng_list_status_empresa,MATCH(#REF!,rng_list_status_empresa,0)),1,0,COUNTA(rng_list_status_empresa)-1)</definedName>
    <definedName name="vld_status_empresa" localSheetId="2" hidden="1">OFFSET(INDEX(rng_list_status_empresa,MATCH(#REF!,rng_list_status_empresa,0)),1,0,COUNTA(rng_list_status_empresa)-1)</definedName>
    <definedName name="vld_status_empresa" localSheetId="9" hidden="1">OFFSET(INDEX(rng_list_status_empresa,MATCH(#REF!,rng_list_status_empresa,0)),1,0,COUNTA(rng_list_status_empresa)-1)</definedName>
    <definedName name="vld_status_empresa" localSheetId="5" hidden="1">OFFSET(INDEX(rng_list_status_empresa,MATCH(#REF!,rng_list_status_empresa,0)),1,0,COUNTA(rng_list_status_empresa)-1)</definedName>
    <definedName name="vld_status_empresa" localSheetId="4" hidden="1">OFFSET(INDEX(rng_list_status_empresa,MATCH(#REF!,rng_list_status_empresa,0)),1,0,COUNTA(rng_list_status_empresa)-1)</definedName>
    <definedName name="vld_status_empresa" localSheetId="8" hidden="1">OFFSET(INDEX(rng_list_status_empresa,MATCH(#REF!,rng_list_status_empresa,0)),1,0,COUNTA(rng_list_status_empresa)-1)</definedName>
    <definedName name="vld_status_empresa" localSheetId="12" hidden="1">OFFSET(INDEX(rng_list_status_empresa,MATCH(#REF!,rng_list_status_empresa,0)),1,0,COUNTA(rng_list_status_empresa)-1)</definedName>
    <definedName name="vld_status_empresa" localSheetId="16" hidden="1">OFFSET(INDEX(rng_list_status_empresa,MATCH(#REF!,rng_list_status_empresa,0)),1,0,COUNTA(rng_list_status_empresa)-1)</definedName>
    <definedName name="vld_status_empresa" localSheetId="0" hidden="1">OFFSET(INDEX(rng_list_status_empresa,MATCH(#REF!,rng_list_status_empresa,0)),1,0,COUNTA(rng_list_status_empresa)-1)</definedName>
    <definedName name="vld_status_empresa" localSheetId="11" hidden="1">OFFSET(INDEX(rng_list_status_empresa,MATCH(#REF!,rng_list_status_empresa,0)),1,0,COUNTA(rng_list_status_empresa)-1)</definedName>
    <definedName name="vld_status_empresa" localSheetId="22" hidden="1">OFFSET(INDEX(rng_list_status_empresa,MATCH(#REF!,rng_list_status_empresa,0)),1,0,COUNTA(rng_list_status_empresa)-1)</definedName>
    <definedName name="vld_status_empresa" localSheetId="13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20" hidden="1">IF(#REF!="Ativa",OFFSET(INDEX(rng_list_status_lancamento,MATCH(#REF!,rng_list_status_lancamento,0)),1,0,COUNTA(rng_list_status_lancamento)-1),#REF!)</definedName>
    <definedName name="vld_status_lancamento" localSheetId="14" hidden="1">IF(#REF!="Ativa",OFFSET(INDEX(rng_list_status_lancamento,MATCH(#REF!,rng_list_status_lancamento,0)),1,0,COUNTA(rng_list_status_lancamento)-1),#REF!)</definedName>
    <definedName name="vld_status_lancamento" localSheetId="21" hidden="1">IF(#REF!="Ativa",OFFSET(INDEX(rng_list_status_lancamento,MATCH(#REF!,rng_list_status_lancamento,0)),1,0,COUNTA(rng_list_status_lancamento)-1),#REF!)</definedName>
    <definedName name="vld_status_lancamento" localSheetId="7" hidden="1">IF(#REF!="Ativa",OFFSET(INDEX(rng_list_status_lancamento,MATCH(#REF!,rng_list_status_lancamento,0)),1,0,COUNTA(rng_list_status_lancamento)-1),#REF!)</definedName>
    <definedName name="vld_status_lancamento" localSheetId="1" hidden="1">IF(#REF!="Ativa",OFFSET(INDEX(rng_list_status_lancamento,MATCH(#REF!,rng_list_status_lancamento,0)),1,0,COUNTA(rng_list_status_lancamento)-1),#REF!)</definedName>
    <definedName name="vld_status_lancamento" localSheetId="2" hidden="1">IF(#REF!="Ativa",OFFSET(INDEX(rng_list_status_lancamento,MATCH(#REF!,rng_list_status_lancamento,0)),1,0,COUNTA(rng_list_status_lancamento)-1),#REF!)</definedName>
    <definedName name="vld_status_lancamento" localSheetId="9" hidden="1">IF(#REF!="Ativa",OFFSET(INDEX(rng_list_status_lancamento,MATCH(#REF!,rng_list_status_lancamento,0)),1,0,COUNTA(rng_list_status_lancamento)-1),#REF!)</definedName>
    <definedName name="vld_status_lancamento" localSheetId="5" hidden="1">IF(#REF!="Ativa",OFFSET(INDEX(rng_list_status_lancamento,MATCH(#REF!,rng_list_status_lancamento,0)),1,0,COUNTA(rng_list_status_lancamento)-1),#REF!)</definedName>
    <definedName name="vld_status_lancamento" localSheetId="4" hidden="1">IF(#REF!="Ativa",OFFSET(INDEX(rng_list_status_lancamento,MATCH(#REF!,rng_list_status_lancamento,0)),1,0,COUNTA(rng_list_status_lancamento)-1),#REF!)</definedName>
    <definedName name="vld_status_lancamento" localSheetId="8" hidden="1">IF(#REF!="Ativa",OFFSET(INDEX(rng_list_status_lancamento,MATCH(#REF!,rng_list_status_lancamento,0)),1,0,COUNTA(rng_list_status_lancamento)-1),#REF!)</definedName>
    <definedName name="vld_status_lancamento" localSheetId="12" hidden="1">IF(#REF!="Ativa",OFFSET(INDEX(rng_list_status_lancamento,MATCH(#REF!,rng_list_status_lancamento,0)),1,0,COUNTA(rng_list_status_lancamento)-1),#REF!)</definedName>
    <definedName name="vld_status_lancamento" localSheetId="16" hidden="1">IF(#REF!="Ativa",OFFSET(INDEX(rng_list_status_lancamento,MATCH(#REF!,rng_list_status_lancamento,0)),1,0,COUNTA(rng_list_status_lancamento)-1),#REF!)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localSheetId="11" hidden="1">IF(#REF!="Ativa",OFFSET(INDEX(rng_list_status_lancamento,MATCH(#REF!,rng_list_status_lancamento,0)),1,0,COUNTA(rng_list_status_lancamento)-1),#REF!)</definedName>
    <definedName name="vld_status_lancamento" localSheetId="22" hidden="1">IF(#REF!="Ativa",OFFSET(INDEX(rng_list_status_lancamento,MATCH(#REF!,rng_list_status_lancamento,0)),1,0,COUNTA(rng_list_status_lancamento)-1),#REF!)</definedName>
    <definedName name="vld_status_lancamento" localSheetId="13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20" hidden="1">IF(#REF!="Ativa",OFFSET(INDEX(rng_list_status_projeto,MATCH(#REF!,rng_list_status_projeto,0)),1,0,COUNTA(rng_list_status_projeto)-1),#REF!)</definedName>
    <definedName name="vld_status_projeto" localSheetId="14" hidden="1">IF(#REF!="Ativa",OFFSET(INDEX(rng_list_status_projeto,MATCH(#REF!,rng_list_status_projeto,0)),1,0,COUNTA(rng_list_status_projeto)-1),#REF!)</definedName>
    <definedName name="vld_status_projeto" localSheetId="21" hidden="1">IF(#REF!="Ativa",OFFSET(INDEX(rng_list_status_projeto,MATCH(#REF!,rng_list_status_projeto,0)),1,0,COUNTA(rng_list_status_projeto)-1),#REF!)</definedName>
    <definedName name="vld_status_projeto" localSheetId="7" hidden="1">IF(#REF!="Ativa",OFFSET(INDEX(rng_list_status_projeto,MATCH(#REF!,rng_list_status_projeto,0)),1,0,COUNTA(rng_list_status_projeto)-1),#REF!)</definedName>
    <definedName name="vld_status_projeto" localSheetId="1" hidden="1">IF(#REF!="Ativa",OFFSET(INDEX(rng_list_status_projeto,MATCH(#REF!,rng_list_status_projeto,0)),1,0,COUNTA(rng_list_status_projeto)-1),#REF!)</definedName>
    <definedName name="vld_status_projeto" localSheetId="2" hidden="1">IF(#REF!="Ativa",OFFSET(INDEX(rng_list_status_projeto,MATCH(#REF!,rng_list_status_projeto,0)),1,0,COUNTA(rng_list_status_projeto)-1),#REF!)</definedName>
    <definedName name="vld_status_projeto" localSheetId="9" hidden="1">IF(#REF!="Ativa",OFFSET(INDEX(rng_list_status_projeto,MATCH(#REF!,rng_list_status_projeto,0)),1,0,COUNTA(rng_list_status_projeto)-1),#REF!)</definedName>
    <definedName name="vld_status_projeto" localSheetId="5" hidden="1">IF(#REF!="Ativa",OFFSET(INDEX(rng_list_status_projeto,MATCH(#REF!,rng_list_status_projeto,0)),1,0,COUNTA(rng_list_status_projeto)-1),#REF!)</definedName>
    <definedName name="vld_status_projeto" localSheetId="4" hidden="1">IF(#REF!="Ativa",OFFSET(INDEX(rng_list_status_projeto,MATCH(#REF!,rng_list_status_projeto,0)),1,0,COUNTA(rng_list_status_projeto)-1),#REF!)</definedName>
    <definedName name="vld_status_projeto" localSheetId="8" hidden="1">IF(#REF!="Ativa",OFFSET(INDEX(rng_list_status_projeto,MATCH(#REF!,rng_list_status_projeto,0)),1,0,COUNTA(rng_list_status_projeto)-1),#REF!)</definedName>
    <definedName name="vld_status_projeto" localSheetId="12" hidden="1">IF(#REF!="Ativa",OFFSET(INDEX(rng_list_status_projeto,MATCH(#REF!,rng_list_status_projeto,0)),1,0,COUNTA(rng_list_status_projeto)-1),#REF!)</definedName>
    <definedName name="vld_status_projeto" localSheetId="16" hidden="1">IF(#REF!="Ativa",OFFSET(INDEX(rng_list_status_projeto,MATCH(#REF!,rng_list_status_projeto,0)),1,0,COUNTA(rng_list_status_projeto)-1),#REF!)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localSheetId="11" hidden="1">IF(#REF!="Ativa",OFFSET(INDEX(rng_list_status_projeto,MATCH(#REF!,rng_list_status_projeto,0)),1,0,COUNTA(rng_list_status_projeto)-1),#REF!)</definedName>
    <definedName name="vld_status_projeto" localSheetId="22" hidden="1">IF(#REF!="Ativa",OFFSET(INDEX(rng_list_status_projeto,MATCH(#REF!,rng_list_status_projeto,0)),1,0,COUNTA(rng_list_status_projeto)-1),#REF!)</definedName>
    <definedName name="vld_status_projeto" localSheetId="13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20" hidden="1">OFFSET(INDEX(rng_list_status_viabilidade,MATCH(#REF!,rng_list_status_viabilidade,0)),1,0,COUNTA(rng_list_status_viabilidade)-1)</definedName>
    <definedName name="vld_status_viabilidade" localSheetId="14" hidden="1">OFFSET(INDEX(rng_list_status_viabilidade,MATCH(#REF!,rng_list_status_viabilidade,0)),1,0,COUNTA(rng_list_status_viabilidade)-1)</definedName>
    <definedName name="vld_status_viabilidade" localSheetId="21" hidden="1">OFFSET(INDEX(rng_list_status_viabilidade,MATCH(#REF!,rng_list_status_viabilidade,0)),1,0,COUNTA(rng_list_status_viabilidade)-1)</definedName>
    <definedName name="vld_status_viabilidade" localSheetId="7" hidden="1">OFFSET(INDEX(rng_list_status_viabilidade,MATCH(#REF!,rng_list_status_viabilidade,0)),1,0,COUNTA(rng_list_status_viabilidade)-1)</definedName>
    <definedName name="vld_status_viabilidade" localSheetId="1" hidden="1">OFFSET(INDEX(rng_list_status_viabilidade,MATCH(#REF!,rng_list_status_viabilidade,0)),1,0,COUNTA(rng_list_status_viabilidade)-1)</definedName>
    <definedName name="vld_status_viabilidade" localSheetId="2" hidden="1">OFFSET(INDEX(rng_list_status_viabilidade,MATCH(#REF!,rng_list_status_viabilidade,0)),1,0,COUNTA(rng_list_status_viabilidade)-1)</definedName>
    <definedName name="vld_status_viabilidade" localSheetId="9" hidden="1">OFFSET(INDEX(rng_list_status_viabilidade,MATCH(#REF!,rng_list_status_viabilidade,0)),1,0,COUNTA(rng_list_status_viabilidade)-1)</definedName>
    <definedName name="vld_status_viabilidade" localSheetId="5" hidden="1">OFFSET(INDEX(rng_list_status_viabilidade,MATCH(#REF!,rng_list_status_viabilidade,0)),1,0,COUNTA(rng_list_status_viabilidade)-1)</definedName>
    <definedName name="vld_status_viabilidade" localSheetId="4" hidden="1">OFFSET(INDEX(rng_list_status_viabilidade,MATCH(#REF!,rng_list_status_viabilidade,0)),1,0,COUNTA(rng_list_status_viabilidade)-1)</definedName>
    <definedName name="vld_status_viabilidade" localSheetId="8" hidden="1">OFFSET(INDEX(rng_list_status_viabilidade,MATCH(#REF!,rng_list_status_viabilidade,0)),1,0,COUNTA(rng_list_status_viabilidade)-1)</definedName>
    <definedName name="vld_status_viabilidade" localSheetId="12" hidden="1">OFFSET(INDEX(rng_list_status_viabilidade,MATCH(#REF!,rng_list_status_viabilidade,0)),1,0,COUNTA(rng_list_status_viabilidade)-1)</definedName>
    <definedName name="vld_status_viabilidade" localSheetId="16" hidden="1">OFFSET(INDEX(rng_list_status_viabilidade,MATCH(#REF!,rng_list_status_viabilidade,0)),1,0,COUNTA(rng_list_status_viabilidade)-1)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localSheetId="11" hidden="1">OFFSET(INDEX(rng_list_status_viabilidade,MATCH(#REF!,rng_list_status_viabilidade,0)),1,0,COUNTA(rng_list_status_viabilidade)-1)</definedName>
    <definedName name="vld_status_viabilidade" localSheetId="22" hidden="1">OFFSET(INDEX(rng_list_status_viabilidade,MATCH(#REF!,rng_list_status_viabilidade,0)),1,0,COUNTA(rng_list_status_viabilidade)-1)</definedName>
    <definedName name="vld_status_viabilidade" localSheetId="13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2">#REF!</definedName>
    <definedName name="VOLUME1" localSheetId="9">#REF!</definedName>
    <definedName name="VOLUME1" localSheetId="5">#REF!</definedName>
    <definedName name="VOLUME1">#REF!</definedName>
    <definedName name="VOLUME2" localSheetId="2">#REF!</definedName>
    <definedName name="VOLUME2" localSheetId="5">#REF!</definedName>
    <definedName name="VOLUME2">#REF!</definedName>
    <definedName name="VOLUME3" localSheetId="2">#REF!</definedName>
    <definedName name="VOLUME3" localSheetId="5">#REF!</definedName>
    <definedName name="VOLUME3">#REF!</definedName>
    <definedName name="VSDHFGDFGR" localSheetId="14" hidden="1">{#N/A,#N/A,FALSE,"Plan1";#N/A,#N/A,FALSE,"Plan2"}</definedName>
    <definedName name="VSDHFGDFGR" localSheetId="7" hidden="1">{#N/A,#N/A,FALSE,"Plan1";#N/A,#N/A,FALSE,"Plan2"}</definedName>
    <definedName name="VSDHFGDFGR" localSheetId="1" hidden="1">{#N/A,#N/A,FALSE,"Plan1";#N/A,#N/A,FALSE,"Plan2"}</definedName>
    <definedName name="VSDHFGDFGR" localSheetId="2" hidden="1">{#N/A,#N/A,FALSE,"Plan1";#N/A,#N/A,FALSE,"Plan2"}</definedName>
    <definedName name="VSDHFGDFGR" localSheetId="9" hidden="1">{#N/A,#N/A,FALSE,"Plan1";#N/A,#N/A,FALSE,"Plan2"}</definedName>
    <definedName name="VSDHFGDFGR" localSheetId="5" hidden="1">{#N/A,#N/A,FALSE,"Plan1";#N/A,#N/A,FALSE,"Plan2"}</definedName>
    <definedName name="VSDHFGDFGR" localSheetId="4" hidden="1">{#N/A,#N/A,FALSE,"Plan1";#N/A,#N/A,FALSE,"Plan2"}</definedName>
    <definedName name="VSDHFGDFGR" localSheetId="8" hidden="1">{#N/A,#N/A,FALSE,"Plan1";#N/A,#N/A,FALSE,"Plan2"}</definedName>
    <definedName name="VSDHFGDFGR" localSheetId="12" hidden="1">{#N/A,#N/A,FALSE,"Plan1";#N/A,#N/A,FALSE,"Plan2"}</definedName>
    <definedName name="VSDHFGDFGR" localSheetId="16" hidden="1">{#N/A,#N/A,FALSE,"Plan1";#N/A,#N/A,FALSE,"Plan2"}</definedName>
    <definedName name="VSDHFGDFGR" localSheetId="0" hidden="1">{#N/A,#N/A,FALSE,"Plan1";#N/A,#N/A,FALSE,"Plan2"}</definedName>
    <definedName name="VSDHFGDFGR" localSheetId="11" hidden="1">{#N/A,#N/A,FALSE,"Plan1";#N/A,#N/A,FALSE,"Plan2"}</definedName>
    <definedName name="VSDHFGDFGR" localSheetId="13" hidden="1">{#N/A,#N/A,FALSE,"Plan1";#N/A,#N/A,FALSE,"Plan2"}</definedName>
    <definedName name="VSDHFGDFGR" hidden="1">{#N/A,#N/A,FALSE,"Plan1";#N/A,#N/A,FALSE,"Plan2"}</definedName>
    <definedName name="vvbb" localSheetId="14" hidden="1">{"tabela",#N/A,FALSE,"Tabela";"decoração",#N/A,FALSE,"Decor.";"Informações",#N/A,FALSE,"Inform."}</definedName>
    <definedName name="vvbb" localSheetId="7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localSheetId="9" hidden="1">{"tabela",#N/A,FALSE,"Tabela";"decoração",#N/A,FALSE,"Decor.";"Informações",#N/A,FALSE,"Inform."}</definedName>
    <definedName name="vvbb" localSheetId="5" hidden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localSheetId="8" hidden="1">{"tabela",#N/A,FALSE,"Tabela";"decoração",#N/A,FALSE,"Decor.";"Informações",#N/A,FALSE,"Inform."}</definedName>
    <definedName name="vvbb" localSheetId="12" hidden="1">{"tabela",#N/A,FALSE,"Tabela";"decoração",#N/A,FALSE,"Decor.";"Informações",#N/A,FALSE,"Inform."}</definedName>
    <definedName name="vvbb" localSheetId="16" hidden="1">{"tabela",#N/A,FALSE,"Tabela";"decoração",#N/A,FALSE,"Decor.";"Informações",#N/A,FALSE,"Inform."}</definedName>
    <definedName name="vvbb" localSheetId="0" hidden="1">{"tabela",#N/A,FALSE,"Tabela";"decoração",#N/A,FALSE,"Decor.";"Informações",#N/A,FALSE,"Inform."}</definedName>
    <definedName name="vvbb" localSheetId="11" hidden="1">{"tabela",#N/A,FALSE,"Tabela";"decoração",#N/A,FALSE,"Decor.";"Informações",#N/A,FALSE,"Inform."}</definedName>
    <definedName name="vvbb" localSheetId="13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4" hidden="1">{#N/A,#N/A,FALSE,"Plan1";#N/A,#N/A,FALSE,"Plan2"}</definedName>
    <definedName name="vvcbnb" localSheetId="7" hidden="1">{#N/A,#N/A,FALSE,"Plan1";#N/A,#N/A,FALSE,"Plan2"}</definedName>
    <definedName name="vvcbnb" localSheetId="1" hidden="1">{#N/A,#N/A,FALSE,"Plan1";#N/A,#N/A,FALSE,"Plan2"}</definedName>
    <definedName name="vvcbnb" localSheetId="2" hidden="1">{#N/A,#N/A,FALSE,"Plan1";#N/A,#N/A,FALSE,"Plan2"}</definedName>
    <definedName name="vvcbnb" localSheetId="9" hidden="1">{#N/A,#N/A,FALSE,"Plan1";#N/A,#N/A,FALSE,"Plan2"}</definedName>
    <definedName name="vvcbnb" localSheetId="5" hidden="1">{#N/A,#N/A,FALSE,"Plan1";#N/A,#N/A,FALSE,"Plan2"}</definedName>
    <definedName name="vvcbnb" localSheetId="4" hidden="1">{#N/A,#N/A,FALSE,"Plan1";#N/A,#N/A,FALSE,"Plan2"}</definedName>
    <definedName name="vvcbnb" localSheetId="8" hidden="1">{#N/A,#N/A,FALSE,"Plan1";#N/A,#N/A,FALSE,"Plan2"}</definedName>
    <definedName name="vvcbnb" localSheetId="12" hidden="1">{#N/A,#N/A,FALSE,"Plan1";#N/A,#N/A,FALSE,"Plan2"}</definedName>
    <definedName name="vvcbnb" localSheetId="16" hidden="1">{#N/A,#N/A,FALSE,"Plan1";#N/A,#N/A,FALSE,"Plan2"}</definedName>
    <definedName name="vvcbnb" localSheetId="0" hidden="1">{#N/A,#N/A,FALSE,"Plan1";#N/A,#N/A,FALSE,"Plan2"}</definedName>
    <definedName name="vvcbnb" localSheetId="11" hidden="1">{#N/A,#N/A,FALSE,"Plan1";#N/A,#N/A,FALSE,"Plan2"}</definedName>
    <definedName name="vvcbnb" localSheetId="13" hidden="1">{#N/A,#N/A,FALSE,"Plan1";#N/A,#N/A,FALSE,"Plan2"}</definedName>
    <definedName name="vvcbnb" hidden="1">{#N/A,#N/A,FALSE,"Plan1";#N/A,#N/A,FALSE,"Plan2"}</definedName>
    <definedName name="vvvvv" localSheetId="14" hidden="1">{"Econ Consolidado",#N/A,FALSE,"Econ Consol";"Fluxo de Caixa",#N/A,FALSE,"Fluxo Caixa";"Investimentos",#N/A,FALSE,"Investimentos"}</definedName>
    <definedName name="vvvvv" localSheetId="7" hidden="1">{"Econ Consolidado",#N/A,FALSE,"Econ Consol";"Fluxo de Caixa",#N/A,FALSE,"Fluxo Caixa";"Investimentos",#N/A,FALSE,"Investimentos"}</definedName>
    <definedName name="vvvvv" localSheetId="1" hidden="1">{"Econ Consolidado",#N/A,FALSE,"Econ Consol";"Fluxo de Caixa",#N/A,FALSE,"Fluxo Caixa";"Investimentos",#N/A,FALSE,"Investimentos"}</definedName>
    <definedName name="vvvvv" localSheetId="2" hidden="1">{"Econ Consolidado",#N/A,FALSE,"Econ Consol";"Fluxo de Caixa",#N/A,FALSE,"Fluxo Caixa";"Investimentos",#N/A,FALSE,"Investimentos"}</definedName>
    <definedName name="vvvvv" localSheetId="9" hidden="1">{"Econ Consolidado",#N/A,FALSE,"Econ Consol";"Fluxo de Caixa",#N/A,FALSE,"Fluxo Caixa";"Investimentos",#N/A,FALSE,"Investimentos"}</definedName>
    <definedName name="vvvvv" localSheetId="5" hidden="1">{"Econ Consolidado",#N/A,FALSE,"Econ Consol";"Fluxo de Caixa",#N/A,FALSE,"Fluxo Caixa";"Investimentos",#N/A,FALSE,"Investimentos"}</definedName>
    <definedName name="vvvvv" localSheetId="4" hidden="1">{"Econ Consolidado",#N/A,FALSE,"Econ Consol";"Fluxo de Caixa",#N/A,FALSE,"Fluxo Caixa";"Investimentos",#N/A,FALSE,"Investimentos"}</definedName>
    <definedName name="vvvvv" localSheetId="8" hidden="1">{"Econ Consolidado",#N/A,FALSE,"Econ Consol";"Fluxo de Caixa",#N/A,FALSE,"Fluxo Caixa";"Investimentos",#N/A,FALSE,"Investimentos"}</definedName>
    <definedName name="vvvvv" localSheetId="12" hidden="1">{"Econ Consolidado",#N/A,FALSE,"Econ Consol";"Fluxo de Caixa",#N/A,FALSE,"Fluxo Caixa";"Investimentos",#N/A,FALSE,"Investimentos"}</definedName>
    <definedName name="vvvvv" localSheetId="16" hidden="1">{"Econ Consolidado",#N/A,FALSE,"Econ Consol";"Fluxo de Caixa",#N/A,FALSE,"Fluxo Caixa";"Investimentos",#N/A,FALSE,"Investimentos"}</definedName>
    <definedName name="vvvvv" localSheetId="0" hidden="1">{"Econ Consolidado",#N/A,FALSE,"Econ Consol";"Fluxo de Caixa",#N/A,FALSE,"Fluxo Caixa";"Investimentos",#N/A,FALSE,"Investimentos"}</definedName>
    <definedName name="vvvvv" localSheetId="11" hidden="1">{"Econ Consolidado",#N/A,FALSE,"Econ Consol";"Fluxo de Caixa",#N/A,FALSE,"Fluxo Caixa";"Investimentos",#N/A,FALSE,"Investimentos"}</definedName>
    <definedName name="vvvvv" localSheetId="13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14" hidden="1">{#N/A,#N/A,FALSE,"Plan1";#N/A,#N/A,FALSE,"Plan2"}</definedName>
    <definedName name="vvvvvv" localSheetId="7" hidden="1">{#N/A,#N/A,FALSE,"Plan1";#N/A,#N/A,FALSE,"Plan2"}</definedName>
    <definedName name="vvvvvv" localSheetId="1" hidden="1">{#N/A,#N/A,FALSE,"Plan1";#N/A,#N/A,FALSE,"Plan2"}</definedName>
    <definedName name="vvvvvv" localSheetId="2" hidden="1">{#N/A,#N/A,FALSE,"Plan1";#N/A,#N/A,FALSE,"Plan2"}</definedName>
    <definedName name="vvvvvv" localSheetId="9" hidden="1">{#N/A,#N/A,FALSE,"Plan1";#N/A,#N/A,FALSE,"Plan2"}</definedName>
    <definedName name="vvvvvv" localSheetId="5" hidden="1">{#N/A,#N/A,FALSE,"Plan1";#N/A,#N/A,FALSE,"Plan2"}</definedName>
    <definedName name="vvvvvv" localSheetId="4" hidden="1">{#N/A,#N/A,FALSE,"Plan1";#N/A,#N/A,FALSE,"Plan2"}</definedName>
    <definedName name="vvvvvv" localSheetId="8" hidden="1">{#N/A,#N/A,FALSE,"Plan1";#N/A,#N/A,FALSE,"Plan2"}</definedName>
    <definedName name="vvvvvv" localSheetId="12" hidden="1">{#N/A,#N/A,FALSE,"Plan1";#N/A,#N/A,FALSE,"Plan2"}</definedName>
    <definedName name="vvvvvv" localSheetId="16" hidden="1">{#N/A,#N/A,FALSE,"Plan1";#N/A,#N/A,FALSE,"Plan2"}</definedName>
    <definedName name="vvvvvv" localSheetId="0" hidden="1">{#N/A,#N/A,FALSE,"Plan1";#N/A,#N/A,FALSE,"Plan2"}</definedName>
    <definedName name="vvvvvv" localSheetId="11" hidden="1">{#N/A,#N/A,FALSE,"Plan1";#N/A,#N/A,FALSE,"Plan2"}</definedName>
    <definedName name="vvvvvv" localSheetId="13" hidden="1">{#N/A,#N/A,FALSE,"Plan1";#N/A,#N/A,FALSE,"Plan2"}</definedName>
    <definedName name="vvvvvv" hidden="1">{#N/A,#N/A,FALSE,"Plan1";#N/A,#N/A,FALSE,"Plan2"}</definedName>
    <definedName name="vvvvvvvvvvvvvvvvv" localSheetId="14" hidden="1">{"HW",#N/A,FALSE,"1998"}</definedName>
    <definedName name="vvvvvvvvvvvvvvvvv" localSheetId="7" hidden="1">{"HW",#N/A,FALSE,"1998"}</definedName>
    <definedName name="vvvvvvvvvvvvvvvvv" localSheetId="1" hidden="1">{"HW",#N/A,FALSE,"1998"}</definedName>
    <definedName name="vvvvvvvvvvvvvvvvv" localSheetId="2" hidden="1">{"HW",#N/A,FALSE,"1998"}</definedName>
    <definedName name="vvvvvvvvvvvvvvvvv" localSheetId="9" hidden="1">{"HW",#N/A,FALSE,"1998"}</definedName>
    <definedName name="vvvvvvvvvvvvvvvvv" localSheetId="5" hidden="1">{"HW",#N/A,FALSE,"1998"}</definedName>
    <definedName name="vvvvvvvvvvvvvvvvv" localSheetId="4" hidden="1">{"HW",#N/A,FALSE,"1998"}</definedName>
    <definedName name="vvvvvvvvvvvvvvvvv" localSheetId="8" hidden="1">{"HW",#N/A,FALSE,"1998"}</definedName>
    <definedName name="vvvvvvvvvvvvvvvvv" localSheetId="12" hidden="1">{"HW",#N/A,FALSE,"1998"}</definedName>
    <definedName name="vvvvvvvvvvvvvvvvv" localSheetId="16" hidden="1">{"HW",#N/A,FALSE,"1998"}</definedName>
    <definedName name="vvvvvvvvvvvvvvvvv" localSheetId="0" hidden="1">{"HW",#N/A,FALSE,"1998"}</definedName>
    <definedName name="vvvvvvvvvvvvvvvvv" localSheetId="11" hidden="1">{"HW",#N/A,FALSE,"1998"}</definedName>
    <definedName name="vvvvvvvvvvvvvvvvv" localSheetId="13" hidden="1">{"HW",#N/A,FALSE,"1998"}</definedName>
    <definedName name="vvvvvvvvvvvvvvvvv" hidden="1">{"HW",#N/A,FALSE,"1998"}</definedName>
    <definedName name="VX" localSheetId="2" hidden="1">#REF!</definedName>
    <definedName name="VX" localSheetId="5" hidden="1">#REF!</definedName>
    <definedName name="VX" localSheetId="0" hidden="1">#REF!</definedName>
    <definedName name="VX" hidden="1">#REF!</definedName>
    <definedName name="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5">#REF!</definedName>
    <definedName name="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2">#REF!</definedName>
    <definedName name="wacc" localSheetId="9">#REF!</definedName>
    <definedName name="wacc" localSheetId="5">#REF!</definedName>
    <definedName name="wacc">#REF!</definedName>
    <definedName name="wadalrdjlaev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2" hidden="1">#REF!</definedName>
    <definedName name="wdewr" localSheetId="5" hidden="1">#REF!</definedName>
    <definedName name="wdewr" localSheetId="0" hidden="1">#REF!</definedName>
    <definedName name="wdewr" hidden="1">#REF!</definedName>
    <definedName name="WE" localSheetId="0" hidden="1">#REF!</definedName>
    <definedName name="WE" hidden="1">#REF!</definedName>
    <definedName name="weki_9701.xls" hidden="1">#REF!</definedName>
    <definedName name="wekir9701.xls" hidden="1">#REF!</definedName>
    <definedName name="werw4tr" localSheetId="14" hidden="1">{#N/A,#N/A,FALSE,"Plan1";#N/A,#N/A,FALSE,"Plan2"}</definedName>
    <definedName name="werw4tr" localSheetId="7" hidden="1">{#N/A,#N/A,FALSE,"Plan1";#N/A,#N/A,FALSE,"Plan2"}</definedName>
    <definedName name="werw4tr" localSheetId="1" hidden="1">{#N/A,#N/A,FALSE,"Plan1";#N/A,#N/A,FALSE,"Plan2"}</definedName>
    <definedName name="werw4tr" localSheetId="2" hidden="1">{#N/A,#N/A,FALSE,"Plan1";#N/A,#N/A,FALSE,"Plan2"}</definedName>
    <definedName name="werw4tr" localSheetId="9" hidden="1">{#N/A,#N/A,FALSE,"Plan1";#N/A,#N/A,FALSE,"Plan2"}</definedName>
    <definedName name="werw4tr" localSheetId="5" hidden="1">{#N/A,#N/A,FALSE,"Plan1";#N/A,#N/A,FALSE,"Plan2"}</definedName>
    <definedName name="werw4tr" localSheetId="4" hidden="1">{#N/A,#N/A,FALSE,"Plan1";#N/A,#N/A,FALSE,"Plan2"}</definedName>
    <definedName name="werw4tr" localSheetId="8" hidden="1">{#N/A,#N/A,FALSE,"Plan1";#N/A,#N/A,FALSE,"Plan2"}</definedName>
    <definedName name="werw4tr" localSheetId="12" hidden="1">{#N/A,#N/A,FALSE,"Plan1";#N/A,#N/A,FALSE,"Plan2"}</definedName>
    <definedName name="werw4tr" localSheetId="16" hidden="1">{#N/A,#N/A,FALSE,"Plan1";#N/A,#N/A,FALSE,"Plan2"}</definedName>
    <definedName name="werw4tr" localSheetId="0" hidden="1">{#N/A,#N/A,FALSE,"Plan1";#N/A,#N/A,FALSE,"Plan2"}</definedName>
    <definedName name="werw4tr" localSheetId="11" hidden="1">{#N/A,#N/A,FALSE,"Plan1";#N/A,#N/A,FALSE,"Plan2"}</definedName>
    <definedName name="werw4tr" localSheetId="13" hidden="1">{#N/A,#N/A,FALSE,"Plan1";#N/A,#N/A,FALSE,"Plan2"}</definedName>
    <definedName name="werw4tr" hidden="1">{#N/A,#N/A,FALSE,"Plan1";#N/A,#N/A,FALSE,"Plan2"}</definedName>
    <definedName name="wetoedjtkdr" localSheetId="14" hidden="1">{#N/A,#N/A,FALSE,"Plan1";#N/A,#N/A,FALSE,"Plan2"}</definedName>
    <definedName name="wetoedjtkdr" localSheetId="7" hidden="1">{#N/A,#N/A,FALSE,"Plan1";#N/A,#N/A,FALSE,"Plan2"}</definedName>
    <definedName name="wetoedjtkdr" localSheetId="1" hidden="1">{#N/A,#N/A,FALSE,"Plan1";#N/A,#N/A,FALSE,"Plan2"}</definedName>
    <definedName name="wetoedjtkdr" localSheetId="2" hidden="1">{#N/A,#N/A,FALSE,"Plan1";#N/A,#N/A,FALSE,"Plan2"}</definedName>
    <definedName name="wetoedjtkdr" localSheetId="9" hidden="1">{#N/A,#N/A,FALSE,"Plan1";#N/A,#N/A,FALSE,"Plan2"}</definedName>
    <definedName name="wetoedjtkdr" localSheetId="5" hidden="1">{#N/A,#N/A,FALSE,"Plan1";#N/A,#N/A,FALSE,"Plan2"}</definedName>
    <definedName name="wetoedjtkdr" localSheetId="4" hidden="1">{#N/A,#N/A,FALSE,"Plan1";#N/A,#N/A,FALSE,"Plan2"}</definedName>
    <definedName name="wetoedjtkdr" localSheetId="8" hidden="1">{#N/A,#N/A,FALSE,"Plan1";#N/A,#N/A,FALSE,"Plan2"}</definedName>
    <definedName name="wetoedjtkdr" localSheetId="12" hidden="1">{#N/A,#N/A,FALSE,"Plan1";#N/A,#N/A,FALSE,"Plan2"}</definedName>
    <definedName name="wetoedjtkdr" localSheetId="16" hidden="1">{#N/A,#N/A,FALSE,"Plan1";#N/A,#N/A,FALSE,"Plan2"}</definedName>
    <definedName name="wetoedjtkdr" localSheetId="0" hidden="1">{#N/A,#N/A,FALSE,"Plan1";#N/A,#N/A,FALSE,"Plan2"}</definedName>
    <definedName name="wetoedjtkdr" localSheetId="11" hidden="1">{#N/A,#N/A,FALSE,"Plan1";#N/A,#N/A,FALSE,"Plan2"}</definedName>
    <definedName name="wetoedjtkdr" localSheetId="13" hidden="1">{#N/A,#N/A,FALSE,"Plan1";#N/A,#N/A,FALSE,"Plan2"}</definedName>
    <definedName name="wetoedjtkdr" hidden="1">{#N/A,#N/A,FALSE,"Plan1";#N/A,#N/A,FALSE,"Plan2"}</definedName>
    <definedName name="WHATS" localSheetId="14" hidden="1">{"'Edit'!$A$1:$V$2277"}</definedName>
    <definedName name="WHATS" localSheetId="7" hidden="1">{"'Edit'!$A$1:$V$2277"}</definedName>
    <definedName name="WHATS" localSheetId="1" hidden="1">{"'Edit'!$A$1:$V$2277"}</definedName>
    <definedName name="WHATS" localSheetId="2" hidden="1">{"'Edit'!$A$1:$V$2277"}</definedName>
    <definedName name="WHATS" localSheetId="9" hidden="1">{"'Edit'!$A$1:$V$2277"}</definedName>
    <definedName name="WHATS" localSheetId="5" hidden="1">{"'Edit'!$A$1:$V$2277"}</definedName>
    <definedName name="WHATS" localSheetId="4" hidden="1">{"'Edit'!$A$1:$V$2277"}</definedName>
    <definedName name="WHATS" localSheetId="8" hidden="1">{"'Edit'!$A$1:$V$2277"}</definedName>
    <definedName name="WHATS" localSheetId="12" hidden="1">{"'Edit'!$A$1:$V$2277"}</definedName>
    <definedName name="WHATS" localSheetId="16" hidden="1">{"'Edit'!$A$1:$V$2277"}</definedName>
    <definedName name="WHATS" localSheetId="0" hidden="1">{"'Edit'!$A$1:$V$2277"}</definedName>
    <definedName name="WHATS" localSheetId="11" hidden="1">{"'Edit'!$A$1:$V$2277"}</definedName>
    <definedName name="WHATS" localSheetId="13" hidden="1">{"'Edit'!$A$1:$V$2277"}</definedName>
    <definedName name="WHATS" hidden="1">{"'Edit'!$A$1:$V$2277"}</definedName>
    <definedName name="win.VESSEL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2">#REF!</definedName>
    <definedName name="WITENS" localSheetId="5">#REF!</definedName>
    <definedName name="WITENS">#REF!</definedName>
    <definedName name="WKJHIR" localSheetId="14" hidden="1">{#N/A,#N/A,FALSE,"Plan1";#N/A,#N/A,FALSE,"Plan2"}</definedName>
    <definedName name="WKJHIR" localSheetId="7" hidden="1">{#N/A,#N/A,FALSE,"Plan1";#N/A,#N/A,FALSE,"Plan2"}</definedName>
    <definedName name="WKJHIR" localSheetId="1" hidden="1">{#N/A,#N/A,FALSE,"Plan1";#N/A,#N/A,FALSE,"Plan2"}</definedName>
    <definedName name="WKJHIR" localSheetId="2" hidden="1">{#N/A,#N/A,FALSE,"Plan1";#N/A,#N/A,FALSE,"Plan2"}</definedName>
    <definedName name="WKJHIR" localSheetId="9" hidden="1">{#N/A,#N/A,FALSE,"Plan1";#N/A,#N/A,FALSE,"Plan2"}</definedName>
    <definedName name="WKJHIR" localSheetId="5" hidden="1">{#N/A,#N/A,FALSE,"Plan1";#N/A,#N/A,FALSE,"Plan2"}</definedName>
    <definedName name="WKJHIR" localSheetId="4" hidden="1">{#N/A,#N/A,FALSE,"Plan1";#N/A,#N/A,FALSE,"Plan2"}</definedName>
    <definedName name="WKJHIR" localSheetId="8" hidden="1">{#N/A,#N/A,FALSE,"Plan1";#N/A,#N/A,FALSE,"Plan2"}</definedName>
    <definedName name="WKJHIR" localSheetId="12" hidden="1">{#N/A,#N/A,FALSE,"Plan1";#N/A,#N/A,FALSE,"Plan2"}</definedName>
    <definedName name="WKJHIR" localSheetId="16" hidden="1">{#N/A,#N/A,FALSE,"Plan1";#N/A,#N/A,FALSE,"Plan2"}</definedName>
    <definedName name="WKJHIR" localSheetId="0" hidden="1">{#N/A,#N/A,FALSE,"Plan1";#N/A,#N/A,FALSE,"Plan2"}</definedName>
    <definedName name="WKJHIR" localSheetId="11" hidden="1">{#N/A,#N/A,FALSE,"Plan1";#N/A,#N/A,FALSE,"Plan2"}</definedName>
    <definedName name="WKJHIR" localSheetId="13" hidden="1">{#N/A,#N/A,FALSE,"Plan1";#N/A,#N/A,FALSE,"Plan2"}</definedName>
    <definedName name="WKJHIR" hidden="1">{#N/A,#N/A,FALSE,"Plan1";#N/A,#N/A,FALSE,"Plan2"}</definedName>
    <definedName name="WLQ" localSheetId="14" hidden="1">{#N/A,#N/A,FALSE,"명세표"}</definedName>
    <definedName name="WLQ" localSheetId="7" hidden="1">{#N/A,#N/A,FALSE,"명세표"}</definedName>
    <definedName name="WLQ" localSheetId="1" hidden="1">{#N/A,#N/A,FALSE,"명세표"}</definedName>
    <definedName name="WLQ" localSheetId="2" hidden="1">{#N/A,#N/A,FALSE,"명세표"}</definedName>
    <definedName name="WLQ" localSheetId="9" hidden="1">{#N/A,#N/A,FALSE,"명세표"}</definedName>
    <definedName name="WLQ" localSheetId="5" hidden="1">{#N/A,#N/A,FALSE,"명세표"}</definedName>
    <definedName name="WLQ" localSheetId="4" hidden="1">{#N/A,#N/A,FALSE,"명세표"}</definedName>
    <definedName name="WLQ" localSheetId="8" hidden="1">{#N/A,#N/A,FALSE,"명세표"}</definedName>
    <definedName name="WLQ" localSheetId="12" hidden="1">{#N/A,#N/A,FALSE,"명세표"}</definedName>
    <definedName name="WLQ" localSheetId="16" hidden="1">{#N/A,#N/A,FALSE,"명세표"}</definedName>
    <definedName name="WLQ" localSheetId="0" hidden="1">{#N/A,#N/A,FALSE,"명세표"}</definedName>
    <definedName name="WLQ" localSheetId="11" hidden="1">{#N/A,#N/A,FALSE,"명세표"}</definedName>
    <definedName name="WLQ" localSheetId="13" hidden="1">{#N/A,#N/A,FALSE,"명세표"}</definedName>
    <definedName name="WLQ" hidden="1">{#N/A,#N/A,FALSE,"명세표"}</definedName>
    <definedName name="WNMLOCAL" localSheetId="2">#REF!</definedName>
    <definedName name="WNMLOCAL" localSheetId="5">#REF!</definedName>
    <definedName name="WNMLOCAL">#REF!</definedName>
    <definedName name="WNMMUN" localSheetId="2">#REF!</definedName>
    <definedName name="WNMMUN" localSheetId="5">#REF!</definedName>
    <definedName name="WNMMUN">#REF!</definedName>
    <definedName name="WNMSERV" localSheetId="2">#REF!</definedName>
    <definedName name="WNMSERV" localSheetId="5">#REF!</definedName>
    <definedName name="WNMSERV">#REF!</definedName>
    <definedName name="worl_cdi" localSheetId="2">#REF!</definedName>
    <definedName name="worl_cdi" localSheetId="5">#REF!</definedName>
    <definedName name="worl_cdi">#REF!</definedName>
    <definedName name="worl_hist" localSheetId="2">#REF!</definedName>
    <definedName name="worl_hist" localSheetId="5">#REF!</definedName>
    <definedName name="worl_hist">#REF!</definedName>
    <definedName name="worl_uss" localSheetId="2">#REF!</definedName>
    <definedName name="worl_uss" localSheetId="5">#REF!</definedName>
    <definedName name="worl_uss">#REF!</definedName>
    <definedName name="WRITE" localSheetId="14" hidden="1">{#N/A,#N/A,FALSE,"CCTV"}</definedName>
    <definedName name="WRITE" localSheetId="7" hidden="1">{#N/A,#N/A,FALSE,"CCTV"}</definedName>
    <definedName name="WRITE" localSheetId="1" hidden="1">{#N/A,#N/A,FALSE,"CCTV"}</definedName>
    <definedName name="WRITE" localSheetId="2" hidden="1">{#N/A,#N/A,FALSE,"CCTV"}</definedName>
    <definedName name="WRITE" localSheetId="9" hidden="1">{#N/A,#N/A,FALSE,"CCTV"}</definedName>
    <definedName name="WRITE" localSheetId="5" hidden="1">{#N/A,#N/A,FALSE,"CCTV"}</definedName>
    <definedName name="WRITE" localSheetId="4" hidden="1">{#N/A,#N/A,FALSE,"CCTV"}</definedName>
    <definedName name="WRITE" localSheetId="8" hidden="1">{#N/A,#N/A,FALSE,"CCTV"}</definedName>
    <definedName name="WRITE" localSheetId="12" hidden="1">{#N/A,#N/A,FALSE,"CCTV"}</definedName>
    <definedName name="WRITE" localSheetId="16" hidden="1">{#N/A,#N/A,FALSE,"CCTV"}</definedName>
    <definedName name="WRITE" localSheetId="0" hidden="1">{#N/A,#N/A,FALSE,"CCTV"}</definedName>
    <definedName name="WRITE" localSheetId="11" hidden="1">{#N/A,#N/A,FALSE,"CCTV"}</definedName>
    <definedName name="WRITE" localSheetId="13" hidden="1">{#N/A,#N/A,FALSE,"CCTV"}</definedName>
    <definedName name="WRITE" hidden="1">{#N/A,#N/A,FALSE,"CCTV"}</definedName>
    <definedName name="wrn.BM." localSheetId="14" hidden="1">{#N/A,#N/A,FALSE,"CCTV"}</definedName>
    <definedName name="wrn.BM." localSheetId="7" hidden="1">{#N/A,#N/A,FALSE,"CCTV"}</definedName>
    <definedName name="wrn.BM." localSheetId="1" hidden="1">{#N/A,#N/A,FALSE,"CCTV"}</definedName>
    <definedName name="wrn.BM." localSheetId="2" hidden="1">{#N/A,#N/A,FALSE,"CCTV"}</definedName>
    <definedName name="wrn.BM." localSheetId="9" hidden="1">{#N/A,#N/A,FALSE,"CCTV"}</definedName>
    <definedName name="wrn.BM." localSheetId="5" hidden="1">{#N/A,#N/A,FALSE,"CCTV"}</definedName>
    <definedName name="wrn.BM." localSheetId="4" hidden="1">{#N/A,#N/A,FALSE,"CCTV"}</definedName>
    <definedName name="wrn.BM." localSheetId="8" hidden="1">{#N/A,#N/A,FALSE,"CCTV"}</definedName>
    <definedName name="wrn.BM." localSheetId="12" hidden="1">{#N/A,#N/A,FALSE,"CCTV"}</definedName>
    <definedName name="wrn.BM." localSheetId="16" hidden="1">{#N/A,#N/A,FALSE,"CCTV"}</definedName>
    <definedName name="wrn.BM." localSheetId="0" hidden="1">{#N/A,#N/A,FALSE,"CCTV"}</definedName>
    <definedName name="wrn.BM." localSheetId="11" hidden="1">{#N/A,#N/A,FALSE,"CCTV"}</definedName>
    <definedName name="wrn.BM." localSheetId="13" hidden="1">{#N/A,#N/A,FALSE,"CCTV"}</definedName>
    <definedName name="wrn.BM." hidden="1">{#N/A,#N/A,FALSE,"CCTV"}</definedName>
    <definedName name="wrn.Brita98.xls." localSheetId="14" hidden="1">{#N/A,#N/A,TRUE,"Quinzena 01 à 15-04-98 "}</definedName>
    <definedName name="wrn.Brita98.xls." localSheetId="7" hidden="1">{#N/A,#N/A,TRUE,"Quinzena 01 à 15-04-98 "}</definedName>
    <definedName name="wrn.Brita98.xls." localSheetId="1" hidden="1">{#N/A,#N/A,TRUE,"Quinzena 01 à 15-04-98 "}</definedName>
    <definedName name="wrn.Brita98.xls." localSheetId="2" hidden="1">{#N/A,#N/A,TRUE,"Quinzena 01 à 15-04-98 "}</definedName>
    <definedName name="wrn.Brita98.xls." localSheetId="9" hidden="1">{#N/A,#N/A,TRUE,"Quinzena 01 à 15-04-98 "}</definedName>
    <definedName name="wrn.Brita98.xls." localSheetId="5" hidden="1">{#N/A,#N/A,TRUE,"Quinzena 01 à 15-04-98 "}</definedName>
    <definedName name="wrn.Brita98.xls." localSheetId="4" hidden="1">{#N/A,#N/A,TRUE,"Quinzena 01 à 15-04-98 "}</definedName>
    <definedName name="wrn.Brita98.xls." localSheetId="8" hidden="1">{#N/A,#N/A,TRUE,"Quinzena 01 à 15-04-98 "}</definedName>
    <definedName name="wrn.Brita98.xls." localSheetId="12" hidden="1">{#N/A,#N/A,TRUE,"Quinzena 01 à 15-04-98 "}</definedName>
    <definedName name="wrn.Brita98.xls." localSheetId="16" hidden="1">{#N/A,#N/A,TRUE,"Quinzena 01 à 15-04-98 "}</definedName>
    <definedName name="wrn.Brita98.xls." localSheetId="0" hidden="1">{#N/A,#N/A,TRUE,"Quinzena 01 à 15-04-98 "}</definedName>
    <definedName name="wrn.Brita98.xls." localSheetId="11" hidden="1">{#N/A,#N/A,TRUE,"Quinzena 01 à 15-04-98 "}</definedName>
    <definedName name="wrn.Brita98.xls." localSheetId="13" hidden="1">{#N/A,#N/A,TRUE,"Quinzena 01 à 15-04-98 "}</definedName>
    <definedName name="wrn.Brita98.xls." hidden="1">{#N/A,#N/A,TRUE,"Quinzena 01 à 15-04-98 "}</definedName>
    <definedName name="wrn.Completo." localSheetId="1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7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9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8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6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4" hidden="1">{"EconCons",#N/A,TRUE,"Econômico - Consolidado";"CaixaCons",#N/A,TRUE,"Caixa - Consolidado";"InvestCons",#N/A,TRUE,"Invest Consolidado"}</definedName>
    <definedName name="wrn.Cons." localSheetId="7" hidden="1">{"EconCons",#N/A,TRUE,"Econômico - Consolidado";"CaixaCons",#N/A,TRUE,"Caixa - Consolidado";"InvestCons",#N/A,TRUE,"Invest Consolidado"}</definedName>
    <definedName name="wrn.Cons." localSheetId="1" hidden="1">{"EconCons",#N/A,TRUE,"Econômico - Consolidado";"CaixaCons",#N/A,TRUE,"Caixa - Consolidado";"InvestCons",#N/A,TRUE,"Invest Consolidado"}</definedName>
    <definedName name="wrn.Cons." localSheetId="2" hidden="1">{"EconCons",#N/A,TRUE,"Econômico - Consolidado";"CaixaCons",#N/A,TRUE,"Caixa - Consolidado";"InvestCons",#N/A,TRUE,"Invest Consolidado"}</definedName>
    <definedName name="wrn.Cons." localSheetId="9" hidden="1">{"EconCons",#N/A,TRUE,"Econômico - Consolidado";"CaixaCons",#N/A,TRUE,"Caixa - Consolidado";"InvestCons",#N/A,TRUE,"Invest Consolidado"}</definedName>
    <definedName name="wrn.Cons." localSheetId="5" hidden="1">{"EconCons",#N/A,TRUE,"Econômico - Consolidado";"CaixaCons",#N/A,TRUE,"Caixa - Consolidado";"InvestCons",#N/A,TRUE,"Invest Consolidado"}</definedName>
    <definedName name="wrn.Cons." localSheetId="4" hidden="1">{"EconCons",#N/A,TRUE,"Econômico - Consolidado";"CaixaCons",#N/A,TRUE,"Caixa - Consolidado";"InvestCons",#N/A,TRUE,"Invest Consolidado"}</definedName>
    <definedName name="wrn.Cons." localSheetId="8" hidden="1">{"EconCons",#N/A,TRUE,"Econômico - Consolidado";"CaixaCons",#N/A,TRUE,"Caixa - Consolidado";"InvestCons",#N/A,TRUE,"Invest Consolidado"}</definedName>
    <definedName name="wrn.Cons." localSheetId="12" hidden="1">{"EconCons",#N/A,TRUE,"Econômico - Consolidado";"CaixaCons",#N/A,TRUE,"Caixa - Consolidado";"InvestCons",#N/A,TRUE,"Invest Consolidado"}</definedName>
    <definedName name="wrn.Cons." localSheetId="16" hidden="1">{"EconCons",#N/A,TRUE,"Econômico - Consolidado";"CaixaCons",#N/A,TRUE,"Caixa - Consolidado";"InvestCons",#N/A,TRUE,"Invest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." localSheetId="11" hidden="1">{"EconCons",#N/A,TRUE,"Econômico - Consolidado";"CaixaCons",#N/A,TRUE,"Caixa - Consolidado";"InvestCons",#N/A,TRUE,"Invest Consolidado"}</definedName>
    <definedName name="wrn.Cons." localSheetId="13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14" hidden="1">{"Econ Consolidado",#N/A,FALSE,"Econ Consol";"Fluxo de Caixa",#N/A,FALSE,"Fluxo Caixa";"Investimentos",#N/A,FALSE,"Investimentos"}</definedName>
    <definedName name="wrn.Consolidado." localSheetId="7" hidden="1">{"Econ Consolidado",#N/A,FALSE,"Econ Consol";"Fluxo de Caixa",#N/A,FALSE,"Fluxo Caixa";"Investimentos",#N/A,FALSE,"Investimentos"}</definedName>
    <definedName name="wrn.Consolidado." localSheetId="1" hidden="1">{"Econ Consolidado",#N/A,FALSE,"Econ Consol";"Fluxo de Caixa",#N/A,FALSE,"Fluxo Caixa";"Investimentos",#N/A,FALSE,"Investimentos"}</definedName>
    <definedName name="wrn.Consolidado." localSheetId="2" hidden="1">{"Econ Consolidado",#N/A,FALSE,"Econ Consol";"Fluxo de Caixa",#N/A,FALSE,"Fluxo Caixa";"Investimentos",#N/A,FALSE,"Investimentos"}</definedName>
    <definedName name="wrn.Consolidado." localSheetId="9" hidden="1">{"Econ Consolidado",#N/A,FALSE,"Econ Consol";"Fluxo de Caixa",#N/A,FALSE,"Fluxo Caixa";"Investimentos",#N/A,FALSE,"Investimentos"}</definedName>
    <definedName name="wrn.Consolidado." localSheetId="5" hidden="1">{"Econ Consolidado",#N/A,FALSE,"Econ Consol";"Fluxo de Caixa",#N/A,FALSE,"Fluxo Caixa";"Investimentos",#N/A,FALSE,"Investimentos"}</definedName>
    <definedName name="wrn.Consolidado." localSheetId="4" hidden="1">{"Econ Consolidado",#N/A,FALSE,"Econ Consol";"Fluxo de Caixa",#N/A,FALSE,"Fluxo Caixa";"Investimentos",#N/A,FALSE,"Investimentos"}</definedName>
    <definedName name="wrn.Consolidado." localSheetId="8" hidden="1">{"Econ Consolidado",#N/A,FALSE,"Econ Consol";"Fluxo de Caixa",#N/A,FALSE,"Fluxo Caixa";"Investimentos",#N/A,FALSE,"Investimentos"}</definedName>
    <definedName name="wrn.Consolidado." localSheetId="12" hidden="1">{"Econ Consolidado",#N/A,FALSE,"Econ Consol";"Fluxo de Caixa",#N/A,FALSE,"Fluxo Caixa";"Investimentos",#N/A,FALSE,"Investimentos"}</definedName>
    <definedName name="wrn.Consolidado." localSheetId="16" hidden="1">{"Econ Consolidado",#N/A,FALSE,"Econ Consol";"Fluxo de Caixa",#N/A,FALSE,"Fluxo Caixa";"Investimentos",#N/A,FALSE,"Investimentos"}</definedName>
    <definedName name="wrn.Consolidado." localSheetId="0" hidden="1">{"Econ Consolidado",#N/A,FALSE,"Econ Consol";"Fluxo de Caixa",#N/A,FALSE,"Fluxo Caixa";"Investimentos",#N/A,FALSE,"Investimentos"}</definedName>
    <definedName name="wrn.Consolidado." localSheetId="11" hidden="1">{"Econ Consolidado",#N/A,FALSE,"Econ Consol";"Fluxo de Caixa",#N/A,FALSE,"Fluxo Caixa";"Investimentos",#N/A,FALSE,"Investimentos"}</definedName>
    <definedName name="wrn.Consolidado." localSheetId="13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7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9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localSheetId="4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8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14" hidden="1">{#N/A,#N/A,FALSE,"cdi";#N/A,#N/A,FALSE,"debent";#N/A,#N/A,FALSE,"fdos";#N/A,#N/A,FALSE,"resumo"}</definedName>
    <definedName name="wrn.HAGE." localSheetId="7" hidden="1">{#N/A,#N/A,FALSE,"cdi";#N/A,#N/A,FALSE,"debent";#N/A,#N/A,FALSE,"fdos";#N/A,#N/A,FALSE,"resumo"}</definedName>
    <definedName name="wrn.HAGE." localSheetId="1" hidden="1">{#N/A,#N/A,FALSE,"cdi";#N/A,#N/A,FALSE,"debent";#N/A,#N/A,FALSE,"fdos";#N/A,#N/A,FALSE,"resumo"}</definedName>
    <definedName name="wrn.HAGE." localSheetId="2" hidden="1">{#N/A,#N/A,FALSE,"cdi";#N/A,#N/A,FALSE,"debent";#N/A,#N/A,FALSE,"fdos";#N/A,#N/A,FALSE,"resumo"}</definedName>
    <definedName name="wrn.HAGE." localSheetId="9" hidden="1">{#N/A,#N/A,FALSE,"cdi";#N/A,#N/A,FALSE,"debent";#N/A,#N/A,FALSE,"fdos";#N/A,#N/A,FALSE,"resumo"}</definedName>
    <definedName name="wrn.HAGE." localSheetId="5" hidden="1">{#N/A,#N/A,FALSE,"cdi";#N/A,#N/A,FALSE,"debent";#N/A,#N/A,FALSE,"fdos";#N/A,#N/A,FALSE,"resumo"}</definedName>
    <definedName name="wrn.HAGE." localSheetId="4" hidden="1">{#N/A,#N/A,FALSE,"cdi";#N/A,#N/A,FALSE,"debent";#N/A,#N/A,FALSE,"fdos";#N/A,#N/A,FALSE,"resumo"}</definedName>
    <definedName name="wrn.HAGE." localSheetId="8" hidden="1">{#N/A,#N/A,FALSE,"cdi";#N/A,#N/A,FALSE,"debent";#N/A,#N/A,FALSE,"fdos";#N/A,#N/A,FALSE,"resumo"}</definedName>
    <definedName name="wrn.HAGE." localSheetId="12" hidden="1">{#N/A,#N/A,FALSE,"cdi";#N/A,#N/A,FALSE,"debent";#N/A,#N/A,FALSE,"fdos";#N/A,#N/A,FALSE,"resumo"}</definedName>
    <definedName name="wrn.HAGE." localSheetId="16" hidden="1">{#N/A,#N/A,FALSE,"cdi";#N/A,#N/A,FALSE,"debent";#N/A,#N/A,FALSE,"fdos";#N/A,#N/A,FALSE,"resumo"}</definedName>
    <definedName name="wrn.HAGE." localSheetId="0" hidden="1">{#N/A,#N/A,FALSE,"cdi";#N/A,#N/A,FALSE,"debent";#N/A,#N/A,FALSE,"fdos";#N/A,#N/A,FALSE,"resumo"}</definedName>
    <definedName name="wrn.HAGE." localSheetId="11" hidden="1">{#N/A,#N/A,FALSE,"cdi";#N/A,#N/A,FALSE,"debent";#N/A,#N/A,FALSE,"fdos";#N/A,#N/A,FALSE,"resumo"}</definedName>
    <definedName name="wrn.HAGE." localSheetId="13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14" hidden="1">{#N/A,#N/A,FALSE,"cdi";#N/A,#N/A,FALSE,"debent";#N/A,#N/A,FALSE,"fdos";#N/A,#N/A,FALSE,"resumo"}</definedName>
    <definedName name="wrn.HAGE01" localSheetId="7" hidden="1">{#N/A,#N/A,FALSE,"cdi";#N/A,#N/A,FALSE,"debent";#N/A,#N/A,FALSE,"fdos";#N/A,#N/A,FALSE,"resumo"}</definedName>
    <definedName name="wrn.HAGE01" localSheetId="1" hidden="1">{#N/A,#N/A,FALSE,"cdi";#N/A,#N/A,FALSE,"debent";#N/A,#N/A,FALSE,"fdos";#N/A,#N/A,FALSE,"resumo"}</definedName>
    <definedName name="wrn.HAGE01" localSheetId="2" hidden="1">{#N/A,#N/A,FALSE,"cdi";#N/A,#N/A,FALSE,"debent";#N/A,#N/A,FALSE,"fdos";#N/A,#N/A,FALSE,"resumo"}</definedName>
    <definedName name="wrn.HAGE01" localSheetId="9" hidden="1">{#N/A,#N/A,FALSE,"cdi";#N/A,#N/A,FALSE,"debent";#N/A,#N/A,FALSE,"fdos";#N/A,#N/A,FALSE,"resumo"}</definedName>
    <definedName name="wrn.HAGE01" localSheetId="5" hidden="1">{#N/A,#N/A,FALSE,"cdi";#N/A,#N/A,FALSE,"debent";#N/A,#N/A,FALSE,"fdos";#N/A,#N/A,FALSE,"resumo"}</definedName>
    <definedName name="wrn.HAGE01" localSheetId="4" hidden="1">{#N/A,#N/A,FALSE,"cdi";#N/A,#N/A,FALSE,"debent";#N/A,#N/A,FALSE,"fdos";#N/A,#N/A,FALSE,"resumo"}</definedName>
    <definedName name="wrn.HAGE01" localSheetId="8" hidden="1">{#N/A,#N/A,FALSE,"cdi";#N/A,#N/A,FALSE,"debent";#N/A,#N/A,FALSE,"fdos";#N/A,#N/A,FALSE,"resumo"}</definedName>
    <definedName name="wrn.HAGE01" localSheetId="12" hidden="1">{#N/A,#N/A,FALSE,"cdi";#N/A,#N/A,FALSE,"debent";#N/A,#N/A,FALSE,"fdos";#N/A,#N/A,FALSE,"resumo"}</definedName>
    <definedName name="wrn.HAGE01" localSheetId="16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AGE01" localSheetId="11" hidden="1">{#N/A,#N/A,FALSE,"cdi";#N/A,#N/A,FALSE,"debent";#N/A,#N/A,FALSE,"fdos";#N/A,#N/A,FALSE,"resumo"}</definedName>
    <definedName name="wrn.HAGE01" localSheetId="13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14" hidden="1">{"HW",#N/A,FALSE,"1998"}</definedName>
    <definedName name="wrn.HW." localSheetId="7" hidden="1">{"HW",#N/A,FALSE,"1998"}</definedName>
    <definedName name="wrn.HW." localSheetId="1" hidden="1">{"HW",#N/A,FALSE,"1998"}</definedName>
    <definedName name="wrn.HW." localSheetId="2" hidden="1">{"HW",#N/A,FALSE,"1998"}</definedName>
    <definedName name="wrn.HW." localSheetId="9" hidden="1">{"HW",#N/A,FALSE,"1998"}</definedName>
    <definedName name="wrn.HW." localSheetId="5" hidden="1">{"HW",#N/A,FALSE,"1998"}</definedName>
    <definedName name="wrn.HW." localSheetId="4" hidden="1">{"HW",#N/A,FALSE,"1998"}</definedName>
    <definedName name="wrn.HW." localSheetId="8" hidden="1">{"HW",#N/A,FALSE,"1998"}</definedName>
    <definedName name="wrn.HW." localSheetId="12" hidden="1">{"HW",#N/A,FALSE,"1998"}</definedName>
    <definedName name="wrn.HW." localSheetId="16" hidden="1">{"HW",#N/A,FALSE,"1998"}</definedName>
    <definedName name="wrn.HW." localSheetId="0" hidden="1">{"HW",#N/A,FALSE,"1998"}</definedName>
    <definedName name="wrn.HW." localSheetId="11" hidden="1">{"HW",#N/A,FALSE,"1998"}</definedName>
    <definedName name="wrn.HW." localSheetId="13" hidden="1">{"HW",#N/A,FALSE,"1998"}</definedName>
    <definedName name="wrn.HW." hidden="1">{"HW",#N/A,FALSE,"1998"}</definedName>
    <definedName name="wrn.imp_flx." localSheetId="1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7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9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8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6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4" hidden="1">{#N/A,#N/A,FALSE,"Plan1";#N/A,#N/A,FALSE,"Plan2"}</definedName>
    <definedName name="wrn.IMPRESSO." localSheetId="7" hidden="1">{#N/A,#N/A,FALSE,"Plan1";#N/A,#N/A,FALSE,"Plan2"}</definedName>
    <definedName name="wrn.IMPRESSO." localSheetId="1" hidden="1">{#N/A,#N/A,FALSE,"Plan1";#N/A,#N/A,FALSE,"Plan2"}</definedName>
    <definedName name="wrn.IMPRESSO." localSheetId="2" hidden="1">{#N/A,#N/A,FALSE,"Plan1";#N/A,#N/A,FALSE,"Plan2"}</definedName>
    <definedName name="wrn.IMPRESSO." localSheetId="9" hidden="1">{#N/A,#N/A,FALSE,"Plan1";#N/A,#N/A,FALSE,"Plan2"}</definedName>
    <definedName name="wrn.IMPRESSO." localSheetId="5" hidden="1">{#N/A,#N/A,FALSE,"Plan1";#N/A,#N/A,FALSE,"Plan2"}</definedName>
    <definedName name="wrn.IMPRESSO." localSheetId="4" hidden="1">{#N/A,#N/A,FALSE,"Plan1";#N/A,#N/A,FALSE,"Plan2"}</definedName>
    <definedName name="wrn.IMPRESSO." localSheetId="8" hidden="1">{#N/A,#N/A,FALSE,"Plan1";#N/A,#N/A,FALSE,"Plan2"}</definedName>
    <definedName name="wrn.IMPRESSO." localSheetId="12" hidden="1">{#N/A,#N/A,FALSE,"Plan1";#N/A,#N/A,FALSE,"Plan2"}</definedName>
    <definedName name="wrn.IMPRESSO." localSheetId="16" hidden="1">{#N/A,#N/A,FALSE,"Plan1";#N/A,#N/A,FALSE,"Plan2"}</definedName>
    <definedName name="wrn.IMPRESSO." localSheetId="0" hidden="1">{#N/A,#N/A,FALSE,"Plan1";#N/A,#N/A,FALSE,"Plan2"}</definedName>
    <definedName name="wrn.IMPRESSO." localSheetId="11" hidden="1">{#N/A,#N/A,FALSE,"Plan1";#N/A,#N/A,FALSE,"Plan2"}</definedName>
    <definedName name="wrn.IMPRESSO." localSheetId="13" hidden="1">{#N/A,#N/A,FALSE,"Plan1";#N/A,#N/A,FALSE,"Plan2"}</definedName>
    <definedName name="wrn.IMPRESSO." hidden="1">{#N/A,#N/A,FALSE,"Plan1";#N/A,#N/A,FALSE,"Plan2"}</definedName>
    <definedName name="wrn.Imprimir." localSheetId="14" hidden="1">{"tabela",#N/A,FALSE,"Tabela";"decoração",#N/A,FALSE,"Decor.";"Informações",#N/A,FALSE,"Inform."}</definedName>
    <definedName name="wrn.Imprimir." localSheetId="7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localSheetId="9" hidden="1">{"tabela",#N/A,FALSE,"Tabela";"decoração",#N/A,FALSE,"Decor.";"Informações",#N/A,FALSE,"Inform."}</definedName>
    <definedName name="wrn.Imprimir." localSheetId="5" hidden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localSheetId="8" hidden="1">{"tabela",#N/A,FALSE,"Tabela";"decoração",#N/A,FALSE,"Decor.";"Informações",#N/A,FALSE,"Inform."}</definedName>
    <definedName name="wrn.Imprimir." localSheetId="12" hidden="1">{"tabela",#N/A,FALSE,"Tabela";"decoração",#N/A,FALSE,"Decor.";"Informações",#N/A,FALSE,"Inform."}</definedName>
    <definedName name="wrn.Imprimir." localSheetId="16" hidden="1">{"tabela",#N/A,FALSE,"Tabela";"decoração",#N/A,FALSE,"Decor.";"Informações",#N/A,FALSE,"Inform."}</definedName>
    <definedName name="wrn.Imprimir." localSheetId="0" hidden="1">{"tabela",#N/A,FALSE,"Tabela";"decoração",#N/A,FALSE,"Decor.";"Informações",#N/A,FALSE,"Inform."}</definedName>
    <definedName name="wrn.Imprimir." localSheetId="11" hidden="1">{"tabela",#N/A,FALSE,"Tabela";"decoração",#N/A,FALSE,"Decor.";"Informações",#N/A,FALSE,"Inform."}</definedName>
    <definedName name="wrn.Imprimir." localSheetId="13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1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6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7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9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7" hidden="1">{#N/A,#N/A,FALSE,"ALVENARIA";#N/A,#N/A,FALSE,"BLOCOS";#N/A,#N/A,FALSE,"CINTAS";#N/A,#N/A,FALSE,"CORTINA";#N/A,#N/A,FALSE,"LAJES";#N/A,#N/A,FALSE,"PILARES";#N/A,#N/A,FALSE,"VIGAS"}</definedName>
    <definedName name="wrn.mode_lev.xls." localSheetId="1" hidden="1">{#N/A,#N/A,FALSE,"ALVENARIA";#N/A,#N/A,FALSE,"BLOCOS";#N/A,#N/A,FALSE,"CINTAS";#N/A,#N/A,FALSE,"CORTINA";#N/A,#N/A,FALSE,"LAJES";#N/A,#N/A,FALSE,"PILARES";#N/A,#N/A,FALSE,"VIGAS"}</definedName>
    <definedName name="wrn.mode_lev.xls." localSheetId="8" hidden="1">{#N/A,#N/A,FALSE,"ALVENARIA";#N/A,#N/A,FALSE,"BLOCOS";#N/A,#N/A,FALSE,"CINTAS";#N/A,#N/A,FALSE,"CORTINA";#N/A,#N/A,FALSE,"LAJES";#N/A,#N/A,FALSE,"PILARES";#N/A,#N/A,FALSE,"VIGAS"}</definedName>
    <definedName name="wrn.mode_lev.xls." hidden="1">{#N/A,#N/A,FALSE,"ALVENARIA";#N/A,#N/A,FALSE,"BLOCOS";#N/A,#N/A,FALSE,"CINTAS";#N/A,#N/A,FALSE,"CORTINA";#N/A,#N/A,FALSE,"LAJES";#N/A,#N/A,FALSE,"PILARES";#N/A,#N/A,FALSE,"VIGAS"}</definedName>
    <definedName name="wrn.Month._.Report._.Package." localSheetId="14" hidden="1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1" hidden="1">{#N/A,#N/A,FALSE,"Global Wls Trend";#N/A,#N/A,FALSE,"Region Trend";#N/A,#N/A,FALSE,"PBU Trend"}</definedName>
    <definedName name="wrn.Month._.Report._.Package." localSheetId="2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5" hidden="1">{#N/A,#N/A,FALSE,"Global Wls Trend";#N/A,#N/A,FALSE,"Region Trend";#N/A,#N/A,FALSE,"PBU Trend"}</definedName>
    <definedName name="wrn.Month._.Report._.Package." localSheetId="4" hidden="1">{#N/A,#N/A,FALSE,"Global Wls Trend";#N/A,#N/A,FALSE,"Region Trend";#N/A,#N/A,FALSE,"PBU Trend"}</definedName>
    <definedName name="wrn.Month._.Report._.Package." localSheetId="8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localSheetId="16" hidden="1">{#N/A,#N/A,FALSE,"Global Wls Trend";#N/A,#N/A,FALSE,"Region Trend";#N/A,#N/A,FALSE,"PBU Trend"}</definedName>
    <definedName name="wrn.Month._.Report._.Package." localSheetId="0" hidden="1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localSheetId="13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6" hidden="1">{#N/A,#N/A,FALSE,"Global by BU";#N/A,#N/A,FALSE,"U.S. by BU";#N/A,#N/A,FALSE,"Canada by BU";#N/A,#N/A,FALSE,"Europe by BU";#N/A,#N/A,FALSE,"Asia by BU";#N/A,#N/A,FALSE,"Cala by BU"}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3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4" hidden="1">{#N/A,#N/A,FALSE,"F-01"}</definedName>
    <definedName name="wrn.Planiha._.de._.Medição._.F._.01." localSheetId="7" hidden="1">{#N/A,#N/A,FALSE,"F-01"}</definedName>
    <definedName name="wrn.Planiha._.de._.Medição._.F._.01." localSheetId="1" hidden="1">{#N/A,#N/A,FALSE,"F-01"}</definedName>
    <definedName name="wrn.Planiha._.de._.Medição._.F._.01." localSheetId="2" hidden="1">{#N/A,#N/A,FALSE,"F-01"}</definedName>
    <definedName name="wrn.Planiha._.de._.Medição._.F._.01." localSheetId="9" hidden="1">{#N/A,#N/A,FALSE,"F-01"}</definedName>
    <definedName name="wrn.Planiha._.de._.Medição._.F._.01." localSheetId="5" hidden="1">{#N/A,#N/A,FALSE,"F-01"}</definedName>
    <definedName name="wrn.Planiha._.de._.Medição._.F._.01." localSheetId="4" hidden="1">{#N/A,#N/A,FALSE,"F-01"}</definedName>
    <definedName name="wrn.Planiha._.de._.Medição._.F._.01." localSheetId="8" hidden="1">{#N/A,#N/A,FALSE,"F-01"}</definedName>
    <definedName name="wrn.Planiha._.de._.Medição._.F._.01." localSheetId="12" hidden="1">{#N/A,#N/A,FALSE,"F-01"}</definedName>
    <definedName name="wrn.Planiha._.de._.Medição._.F._.01." localSheetId="16" hidden="1">{#N/A,#N/A,FALSE,"F-01"}</definedName>
    <definedName name="wrn.Planiha._.de._.Medição._.F._.01." localSheetId="0" hidden="1">{#N/A,#N/A,FALSE,"F-01"}</definedName>
    <definedName name="wrn.Planiha._.de._.Medição._.F._.01." localSheetId="11" hidden="1">{#N/A,#N/A,FALSE,"F-01"}</definedName>
    <definedName name="wrn.Planiha._.de._.Medição._.F._.01." localSheetId="13" hidden="1">{#N/A,#N/A,FALSE,"F-01"}</definedName>
    <definedName name="wrn.Planiha._.de._.Medição._.F._.01." hidden="1">{#N/A,#N/A,FALSE,"F-01"}</definedName>
    <definedName name="wrn.Planiha._.de._.Medição._.F._.01._1" localSheetId="14" hidden="1">{#N/A,#N/A,FALSE,"F-01"}</definedName>
    <definedName name="wrn.Planiha._.de._.Medição._.F._.01._1" localSheetId="7" hidden="1">{#N/A,#N/A,FALSE,"F-01"}</definedName>
    <definedName name="wrn.Planiha._.de._.Medição._.F._.01._1" localSheetId="1" hidden="1">{#N/A,#N/A,FALSE,"F-01"}</definedName>
    <definedName name="wrn.Planiha._.de._.Medição._.F._.01._1" localSheetId="2" hidden="1">{#N/A,#N/A,FALSE,"F-01"}</definedName>
    <definedName name="wrn.Planiha._.de._.Medição._.F._.01._1" localSheetId="9" hidden="1">{#N/A,#N/A,FALSE,"F-01"}</definedName>
    <definedName name="wrn.Planiha._.de._.Medição._.F._.01._1" localSheetId="5" hidden="1">{#N/A,#N/A,FALSE,"F-01"}</definedName>
    <definedName name="wrn.Planiha._.de._.Medição._.F._.01._1" localSheetId="4" hidden="1">{#N/A,#N/A,FALSE,"F-01"}</definedName>
    <definedName name="wrn.Planiha._.de._.Medição._.F._.01._1" localSheetId="8" hidden="1">{#N/A,#N/A,FALSE,"F-01"}</definedName>
    <definedName name="wrn.Planiha._.de._.Medição._.F._.01._1" localSheetId="12" hidden="1">{#N/A,#N/A,FALSE,"F-01"}</definedName>
    <definedName name="wrn.Planiha._.de._.Medição._.F._.01._1" localSheetId="16" hidden="1">{#N/A,#N/A,FALSE,"F-01"}</definedName>
    <definedName name="wrn.Planiha._.de._.Medição._.F._.01._1" localSheetId="0" hidden="1">{#N/A,#N/A,FALSE,"F-01"}</definedName>
    <definedName name="wrn.Planiha._.de._.Medição._.F._.01._1" localSheetId="11" hidden="1">{#N/A,#N/A,FALSE,"F-01"}</definedName>
    <definedName name="wrn.Planiha._.de._.Medição._.F._.01._1" localSheetId="13" hidden="1">{#N/A,#N/A,FALSE,"F-01"}</definedName>
    <definedName name="wrn.Planiha._.de._.Medição._.F._.01._1" hidden="1">{#N/A,#N/A,FALSE,"F-01"}</definedName>
    <definedName name="wrn.Planilha_de_Medição_F_02" localSheetId="14" hidden="1">{#N/A,#N/A,FALSE,"F-01"}</definedName>
    <definedName name="wrn.Planilha_de_Medição_F_02" localSheetId="7" hidden="1">{#N/A,#N/A,FALSE,"F-01"}</definedName>
    <definedName name="wrn.Planilha_de_Medição_F_02" localSheetId="1" hidden="1">{#N/A,#N/A,FALSE,"F-01"}</definedName>
    <definedName name="wrn.Planilha_de_Medição_F_02" localSheetId="2" hidden="1">{#N/A,#N/A,FALSE,"F-01"}</definedName>
    <definedName name="wrn.Planilha_de_Medição_F_02" localSheetId="9" hidden="1">{#N/A,#N/A,FALSE,"F-01"}</definedName>
    <definedName name="wrn.Planilha_de_Medição_F_02" localSheetId="5" hidden="1">{#N/A,#N/A,FALSE,"F-01"}</definedName>
    <definedName name="wrn.Planilha_de_Medição_F_02" localSheetId="4" hidden="1">{#N/A,#N/A,FALSE,"F-01"}</definedName>
    <definedName name="wrn.Planilha_de_Medição_F_02" localSheetId="8" hidden="1">{#N/A,#N/A,FALSE,"F-01"}</definedName>
    <definedName name="wrn.Planilha_de_Medição_F_02" localSheetId="12" hidden="1">{#N/A,#N/A,FALSE,"F-01"}</definedName>
    <definedName name="wrn.Planilha_de_Medição_F_02" localSheetId="16" hidden="1">{#N/A,#N/A,FALSE,"F-01"}</definedName>
    <definedName name="wrn.Planilha_de_Medição_F_02" localSheetId="0" hidden="1">{#N/A,#N/A,FALSE,"F-01"}</definedName>
    <definedName name="wrn.Planilha_de_Medição_F_02" localSheetId="11" hidden="1">{#N/A,#N/A,FALSE,"F-01"}</definedName>
    <definedName name="wrn.Planilha_de_Medição_F_02" localSheetId="13" hidden="1">{#N/A,#N/A,FALSE,"F-01"}</definedName>
    <definedName name="wrn.Planilha_de_Medição_F_02" hidden="1">{#N/A,#N/A,FALSE,"F-01"}</definedName>
    <definedName name="wrn.print._.all." localSheetId="14" hidden="1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1" hidden="1">{#N/A,#N/A,FALSE,"$170M Cash";#N/A,#N/A,FALSE,"$250M Cash";#N/A,#N/A,FALSE,"$325M Cash"}</definedName>
    <definedName name="wrn.print._.all." localSheetId="2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5" hidden="1">{#N/A,#N/A,FALSE,"$170M Cash";#N/A,#N/A,FALSE,"$250M Cash";#N/A,#N/A,FALSE,"$325M Cash"}</definedName>
    <definedName name="wrn.print._.all." localSheetId="4" hidden="1">{#N/A,#N/A,FALSE,"$170M Cash";#N/A,#N/A,FALSE,"$250M Cash";#N/A,#N/A,FALSE,"$325M Cash"}</definedName>
    <definedName name="wrn.print._.all." localSheetId="8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localSheetId="16" hidden="1">{#N/A,#N/A,FALSE,"$170M Cash";#N/A,#N/A,FALSE,"$250M Cash";#N/A,#N/A,FALSE,"$325M Cash"}</definedName>
    <definedName name="wrn.print._.all." localSheetId="0" hidden="1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localSheetId="13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1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9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4" hidden="1">{#N/A,#N/A,FALSE,"Sheet1";#N/A,#N/A,FALSE,"Sheet2";#N/A,#N/A,FALSE,"Sheet3"}</definedName>
    <definedName name="wrn.PrintCurr." localSheetId="7" hidden="1">{#N/A,#N/A,FALSE,"Sheet1";#N/A,#N/A,FALSE,"Sheet2";#N/A,#N/A,FALSE,"Sheet3"}</definedName>
    <definedName name="wrn.PrintCurr." localSheetId="1" hidden="1">{#N/A,#N/A,FALSE,"Sheet1";#N/A,#N/A,FALSE,"Sheet2";#N/A,#N/A,FALSE,"Sheet3"}</definedName>
    <definedName name="wrn.PrintCurr." localSheetId="2" hidden="1">{#N/A,#N/A,FALSE,"Sheet1";#N/A,#N/A,FALSE,"Sheet2";#N/A,#N/A,FALSE,"Sheet3"}</definedName>
    <definedName name="wrn.PrintCurr." localSheetId="9" hidden="1">{#N/A,#N/A,FALSE,"Sheet1";#N/A,#N/A,FALSE,"Sheet2";#N/A,#N/A,FALSE,"Sheet3"}</definedName>
    <definedName name="wrn.PrintCurr." localSheetId="5" hidden="1">{#N/A,#N/A,FALSE,"Sheet1";#N/A,#N/A,FALSE,"Sheet2";#N/A,#N/A,FALSE,"Sheet3"}</definedName>
    <definedName name="wrn.PrintCurr." localSheetId="4" hidden="1">{#N/A,#N/A,FALSE,"Sheet1";#N/A,#N/A,FALSE,"Sheet2";#N/A,#N/A,FALSE,"Sheet3"}</definedName>
    <definedName name="wrn.PrintCurr." localSheetId="8" hidden="1">{#N/A,#N/A,FALSE,"Sheet1";#N/A,#N/A,FALSE,"Sheet2";#N/A,#N/A,FALSE,"Sheet3"}</definedName>
    <definedName name="wrn.PrintCurr." localSheetId="12" hidden="1">{#N/A,#N/A,FALSE,"Sheet1";#N/A,#N/A,FALSE,"Sheet2";#N/A,#N/A,FALSE,"Sheet3"}</definedName>
    <definedName name="wrn.PrintCurr." localSheetId="16" hidden="1">{#N/A,#N/A,FALSE,"Sheet1";#N/A,#N/A,FALSE,"Sheet2";#N/A,#N/A,FALSE,"Sheet3"}</definedName>
    <definedName name="wrn.PrintCurr." localSheetId="0" hidden="1">{#N/A,#N/A,FALSE,"Sheet1";#N/A,#N/A,FALSE,"Sheet2";#N/A,#N/A,FALSE,"Sheet3"}</definedName>
    <definedName name="wrn.PrintCurr." localSheetId="11" hidden="1">{#N/A,#N/A,FALSE,"Sheet1";#N/A,#N/A,FALSE,"Sheet2";#N/A,#N/A,FALSE,"Sheet3"}</definedName>
    <definedName name="wrn.PrintCurr." localSheetId="13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14" hidden="1">{#N/A,#N/A,FALSE,"Sheet4";#N/A,#N/A,FALSE,"Sheet5";#N/A,#N/A,FALSE,"Sheet6"}</definedName>
    <definedName name="wrn.PrintPrev1." localSheetId="7" hidden="1">{#N/A,#N/A,FALSE,"Sheet4";#N/A,#N/A,FALSE,"Sheet5";#N/A,#N/A,FALSE,"Sheet6"}</definedName>
    <definedName name="wrn.PrintPrev1." localSheetId="1" hidden="1">{#N/A,#N/A,FALSE,"Sheet4";#N/A,#N/A,FALSE,"Sheet5";#N/A,#N/A,FALSE,"Sheet6"}</definedName>
    <definedName name="wrn.PrintPrev1." localSheetId="2" hidden="1">{#N/A,#N/A,FALSE,"Sheet4";#N/A,#N/A,FALSE,"Sheet5";#N/A,#N/A,FALSE,"Sheet6"}</definedName>
    <definedName name="wrn.PrintPrev1." localSheetId="9" hidden="1">{#N/A,#N/A,FALSE,"Sheet4";#N/A,#N/A,FALSE,"Sheet5";#N/A,#N/A,FALSE,"Sheet6"}</definedName>
    <definedName name="wrn.PrintPrev1." localSheetId="5" hidden="1">{#N/A,#N/A,FALSE,"Sheet4";#N/A,#N/A,FALSE,"Sheet5";#N/A,#N/A,FALSE,"Sheet6"}</definedName>
    <definedName name="wrn.PrintPrev1." localSheetId="4" hidden="1">{#N/A,#N/A,FALSE,"Sheet4";#N/A,#N/A,FALSE,"Sheet5";#N/A,#N/A,FALSE,"Sheet6"}</definedName>
    <definedName name="wrn.PrintPrev1." localSheetId="8" hidden="1">{#N/A,#N/A,FALSE,"Sheet4";#N/A,#N/A,FALSE,"Sheet5";#N/A,#N/A,FALSE,"Sheet6"}</definedName>
    <definedName name="wrn.PrintPrev1." localSheetId="12" hidden="1">{#N/A,#N/A,FALSE,"Sheet4";#N/A,#N/A,FALSE,"Sheet5";#N/A,#N/A,FALSE,"Sheet6"}</definedName>
    <definedName name="wrn.PrintPrev1." localSheetId="16" hidden="1">{#N/A,#N/A,FALSE,"Sheet4";#N/A,#N/A,FALSE,"Sheet5";#N/A,#N/A,FALSE,"Sheet6"}</definedName>
    <definedName name="wrn.PrintPrev1." localSheetId="0" hidden="1">{#N/A,#N/A,FALSE,"Sheet4";#N/A,#N/A,FALSE,"Sheet5";#N/A,#N/A,FALSE,"Sheet6"}</definedName>
    <definedName name="wrn.PrintPrev1." localSheetId="11" hidden="1">{#N/A,#N/A,FALSE,"Sheet4";#N/A,#N/A,FALSE,"Sheet5";#N/A,#N/A,FALSE,"Sheet6"}</definedName>
    <definedName name="wrn.PrintPrev1." localSheetId="13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14" hidden="1">{#N/A,#N/A,FALSE,"Sheet7";#N/A,#N/A,FALSE,"Sheet8";#N/A,#N/A,FALSE,"Sheet9"}</definedName>
    <definedName name="wrn.PrintPrev2." localSheetId="7" hidden="1">{#N/A,#N/A,FALSE,"Sheet7";#N/A,#N/A,FALSE,"Sheet8";#N/A,#N/A,FALSE,"Sheet9"}</definedName>
    <definedName name="wrn.PrintPrev2." localSheetId="1" hidden="1">{#N/A,#N/A,FALSE,"Sheet7";#N/A,#N/A,FALSE,"Sheet8";#N/A,#N/A,FALSE,"Sheet9"}</definedName>
    <definedName name="wrn.PrintPrev2." localSheetId="2" hidden="1">{#N/A,#N/A,FALSE,"Sheet7";#N/A,#N/A,FALSE,"Sheet8";#N/A,#N/A,FALSE,"Sheet9"}</definedName>
    <definedName name="wrn.PrintPrev2." localSheetId="9" hidden="1">{#N/A,#N/A,FALSE,"Sheet7";#N/A,#N/A,FALSE,"Sheet8";#N/A,#N/A,FALSE,"Sheet9"}</definedName>
    <definedName name="wrn.PrintPrev2." localSheetId="5" hidden="1">{#N/A,#N/A,FALSE,"Sheet7";#N/A,#N/A,FALSE,"Sheet8";#N/A,#N/A,FALSE,"Sheet9"}</definedName>
    <definedName name="wrn.PrintPrev2." localSheetId="4" hidden="1">{#N/A,#N/A,FALSE,"Sheet7";#N/A,#N/A,FALSE,"Sheet8";#N/A,#N/A,FALSE,"Sheet9"}</definedName>
    <definedName name="wrn.PrintPrev2." localSheetId="8" hidden="1">{#N/A,#N/A,FALSE,"Sheet7";#N/A,#N/A,FALSE,"Sheet8";#N/A,#N/A,FALSE,"Sheet9"}</definedName>
    <definedName name="wrn.PrintPrev2." localSheetId="12" hidden="1">{#N/A,#N/A,FALSE,"Sheet7";#N/A,#N/A,FALSE,"Sheet8";#N/A,#N/A,FALSE,"Sheet9"}</definedName>
    <definedName name="wrn.PrintPrev2." localSheetId="16" hidden="1">{#N/A,#N/A,FALSE,"Sheet7";#N/A,#N/A,FALSE,"Sheet8";#N/A,#N/A,FALSE,"Sheet9"}</definedName>
    <definedName name="wrn.PrintPrev2." localSheetId="0" hidden="1">{#N/A,#N/A,FALSE,"Sheet7";#N/A,#N/A,FALSE,"Sheet8";#N/A,#N/A,FALSE,"Sheet9"}</definedName>
    <definedName name="wrn.PrintPrev2." localSheetId="11" hidden="1">{#N/A,#N/A,FALSE,"Sheet7";#N/A,#N/A,FALSE,"Sheet8";#N/A,#N/A,FALSE,"Sheet9"}</definedName>
    <definedName name="wrn.PrintPrev2." localSheetId="13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1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9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5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4" hidden="1">{#N/A,#N/A,FALSE,"TABLE"}</definedName>
    <definedName name="wrn.STAFFS." localSheetId="7" hidden="1">{#N/A,#N/A,FALSE,"TABLE"}</definedName>
    <definedName name="wrn.STAFFS." localSheetId="1" hidden="1">{#N/A,#N/A,FALSE,"TABLE"}</definedName>
    <definedName name="wrn.STAFFS." localSheetId="2" hidden="1">{#N/A,#N/A,FALSE,"TABLE"}</definedName>
    <definedName name="wrn.STAFFS." localSheetId="9" hidden="1">{#N/A,#N/A,FALSE,"TABLE"}</definedName>
    <definedName name="wrn.STAFFS." localSheetId="5" hidden="1">{#N/A,#N/A,FALSE,"TABLE"}</definedName>
    <definedName name="wrn.STAFFS." localSheetId="4" hidden="1">{#N/A,#N/A,FALSE,"TABLE"}</definedName>
    <definedName name="wrn.STAFFS." localSheetId="8" hidden="1">{#N/A,#N/A,FALSE,"TABLE"}</definedName>
    <definedName name="wrn.STAFFS." localSheetId="12" hidden="1">{#N/A,#N/A,FALSE,"TABLE"}</definedName>
    <definedName name="wrn.STAFFS." localSheetId="16" hidden="1">{#N/A,#N/A,FALSE,"TABLE"}</definedName>
    <definedName name="wrn.STAFFS." localSheetId="0" hidden="1">{#N/A,#N/A,FALSE,"TABLE"}</definedName>
    <definedName name="wrn.STAFFS." localSheetId="11" hidden="1">{#N/A,#N/A,FALSE,"TABLE"}</definedName>
    <definedName name="wrn.STAFFS." localSheetId="13" hidden="1">{#N/A,#N/A,FALSE,"TABLE"}</definedName>
    <definedName name="wrn.STAFFS." hidden="1">{#N/A,#N/A,FALSE,"TABLE"}</definedName>
    <definedName name="wrn.TERCEIRO.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4" hidden="1">{#N/A,#N/A,FALSE,"명세표"}</definedName>
    <definedName name="wrn.test1." localSheetId="7" hidden="1">{#N/A,#N/A,FALSE,"명세표"}</definedName>
    <definedName name="wrn.test1." localSheetId="1" hidden="1">{#N/A,#N/A,FALSE,"명세표"}</definedName>
    <definedName name="wrn.test1." localSheetId="2" hidden="1">{#N/A,#N/A,FALSE,"명세표"}</definedName>
    <definedName name="wrn.test1." localSheetId="9" hidden="1">{#N/A,#N/A,FALSE,"명세표"}</definedName>
    <definedName name="wrn.test1." localSheetId="5" hidden="1">{#N/A,#N/A,FALSE,"명세표"}</definedName>
    <definedName name="wrn.test1." localSheetId="4" hidden="1">{#N/A,#N/A,FALSE,"명세표"}</definedName>
    <definedName name="wrn.test1." localSheetId="8" hidden="1">{#N/A,#N/A,FALSE,"명세표"}</definedName>
    <definedName name="wrn.test1." localSheetId="12" hidden="1">{#N/A,#N/A,FALSE,"명세표"}</definedName>
    <definedName name="wrn.test1." localSheetId="16" hidden="1">{#N/A,#N/A,FALSE,"명세표"}</definedName>
    <definedName name="wrn.test1." localSheetId="0" hidden="1">{#N/A,#N/A,FALSE,"명세표"}</definedName>
    <definedName name="wrn.test1." localSheetId="11" hidden="1">{#N/A,#N/A,FALSE,"명세표"}</definedName>
    <definedName name="wrn.test1." localSheetId="13" hidden="1">{#N/A,#N/A,FALSE,"명세표"}</definedName>
    <definedName name="wrn.test1." hidden="1">{#N/A,#N/A,FALSE,"명세표"}</definedName>
    <definedName name="wrn.Unidades." localSheetId="14" hidden="1">{"Rio Branco",#N/A,FALSE,"Rio Branco";"Itajaí",#N/A,FALSE,"Itajaí";"Pinheiro Machado",#N/A,FALSE,"PMachado";"Esteio",#N/A,FALSE,"Esteio"}</definedName>
    <definedName name="wrn.Unidades." localSheetId="7" hidden="1">{"Rio Branco",#N/A,FALSE,"Rio Branco";"Itajaí",#N/A,FALSE,"Itajaí";"Pinheiro Machado",#N/A,FALSE,"PMachado";"Esteio",#N/A,FALSE,"Esteio"}</definedName>
    <definedName name="wrn.Unidades." localSheetId="1" hidden="1">{"Rio Branco",#N/A,FALSE,"Rio Branco";"Itajaí",#N/A,FALSE,"Itajaí";"Pinheiro Machado",#N/A,FALSE,"PMachado";"Esteio",#N/A,FALSE,"Esteio"}</definedName>
    <definedName name="wrn.Unidades." localSheetId="2" hidden="1">{"Rio Branco",#N/A,FALSE,"Rio Branco";"Itajaí",#N/A,FALSE,"Itajaí";"Pinheiro Machado",#N/A,FALSE,"PMachado";"Esteio",#N/A,FALSE,"Esteio"}</definedName>
    <definedName name="wrn.Unidades." localSheetId="9" hidden="1">{"Rio Branco",#N/A,FALSE,"Rio Branco";"Itajaí",#N/A,FALSE,"Itajaí";"Pinheiro Machado",#N/A,FALSE,"PMachado";"Esteio",#N/A,FALSE,"Esteio"}</definedName>
    <definedName name="wrn.Unidades." localSheetId="5" hidden="1">{"Rio Branco",#N/A,FALSE,"Rio Branco";"Itajaí",#N/A,FALSE,"Itajaí";"Pinheiro Machado",#N/A,FALSE,"PMachado";"Esteio",#N/A,FALSE,"Esteio"}</definedName>
    <definedName name="wrn.Unidades." localSheetId="4" hidden="1">{"Rio Branco",#N/A,FALSE,"Rio Branco";"Itajaí",#N/A,FALSE,"Itajaí";"Pinheiro Machado",#N/A,FALSE,"PMachado";"Esteio",#N/A,FALSE,"Esteio"}</definedName>
    <definedName name="wrn.Unidades." localSheetId="8" hidden="1">{"Rio Branco",#N/A,FALSE,"Rio Branco";"Itajaí",#N/A,FALSE,"Itajaí";"Pinheiro Machado",#N/A,FALSE,"PMachado";"Esteio",#N/A,FALSE,"Esteio"}</definedName>
    <definedName name="wrn.Unidades." localSheetId="12" hidden="1">{"Rio Branco",#N/A,FALSE,"Rio Branco";"Itajaí",#N/A,FALSE,"Itajaí";"Pinheiro Machado",#N/A,FALSE,"PMachado";"Esteio",#N/A,FALSE,"Esteio"}</definedName>
    <definedName name="wrn.Unidades." localSheetId="16" hidden="1">{"Rio Branco",#N/A,FALSE,"Rio Branco";"Itajaí",#N/A,FALSE,"Itajaí";"Pinheiro Machado",#N/A,FALSE,"PMachado";"Esteio",#N/A,FALSE,"Esteio"}</definedName>
    <definedName name="wrn.Unidades." localSheetId="0" hidden="1">{"Rio Branco",#N/A,FALSE,"Rio Branco";"Itajaí",#N/A,FALSE,"Itajaí";"Pinheiro Machado",#N/A,FALSE,"PMachado";"Esteio",#N/A,FALSE,"Esteio"}</definedName>
    <definedName name="wrn.Unidades." localSheetId="11" hidden="1">{"Rio Branco",#N/A,FALSE,"Rio Branco";"Itajaí",#N/A,FALSE,"Itajaí";"Pinheiro Machado",#N/A,FALSE,"PMachado";"Esteio",#N/A,FALSE,"Esteio"}</definedName>
    <definedName name="wrn.Unidades." localSheetId="13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4" hidden="1">{#N/A,#N/A,FALSE,"Sheet1";#N/A,#N/A,FALSE,"Sheet2";#N/A,#N/A,FALSE,"TAB96-1"}</definedName>
    <definedName name="wrn.견적." localSheetId="7" hidden="1">{#N/A,#N/A,FALSE,"Sheet1";#N/A,#N/A,FALSE,"Sheet2";#N/A,#N/A,FALSE,"TAB96-1"}</definedName>
    <definedName name="wrn.견적." localSheetId="1" hidden="1">{#N/A,#N/A,FALSE,"Sheet1";#N/A,#N/A,FALSE,"Sheet2";#N/A,#N/A,FALSE,"TAB96-1"}</definedName>
    <definedName name="wrn.견적." localSheetId="2" hidden="1">{#N/A,#N/A,FALSE,"Sheet1";#N/A,#N/A,FALSE,"Sheet2";#N/A,#N/A,FALSE,"TAB96-1"}</definedName>
    <definedName name="wrn.견적." localSheetId="9" hidden="1">{#N/A,#N/A,FALSE,"Sheet1";#N/A,#N/A,FALSE,"Sheet2";#N/A,#N/A,FALSE,"TAB96-1"}</definedName>
    <definedName name="wrn.견적." localSheetId="5" hidden="1">{#N/A,#N/A,FALSE,"Sheet1";#N/A,#N/A,FALSE,"Sheet2";#N/A,#N/A,FALSE,"TAB96-1"}</definedName>
    <definedName name="wrn.견적." localSheetId="4" hidden="1">{#N/A,#N/A,FALSE,"Sheet1";#N/A,#N/A,FALSE,"Sheet2";#N/A,#N/A,FALSE,"TAB96-1"}</definedName>
    <definedName name="wrn.견적." localSheetId="8" hidden="1">{#N/A,#N/A,FALSE,"Sheet1";#N/A,#N/A,FALSE,"Sheet2";#N/A,#N/A,FALSE,"TAB96-1"}</definedName>
    <definedName name="wrn.견적." localSheetId="12" hidden="1">{#N/A,#N/A,FALSE,"Sheet1";#N/A,#N/A,FALSE,"Sheet2";#N/A,#N/A,FALSE,"TAB96-1"}</definedName>
    <definedName name="wrn.견적." localSheetId="16" hidden="1">{#N/A,#N/A,FALSE,"Sheet1";#N/A,#N/A,FALSE,"Sheet2";#N/A,#N/A,FALSE,"TAB96-1"}</definedName>
    <definedName name="wrn.견적." localSheetId="0" hidden="1">{#N/A,#N/A,FALSE,"Sheet1";#N/A,#N/A,FALSE,"Sheet2";#N/A,#N/A,FALSE,"TAB96-1"}</definedName>
    <definedName name="wrn.견적." localSheetId="11" hidden="1">{#N/A,#N/A,FALSE,"Sheet1";#N/A,#N/A,FALSE,"Sheet2";#N/A,#N/A,FALSE,"TAB96-1"}</definedName>
    <definedName name="wrn.견적." localSheetId="13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14" hidden="1">{#N/A,#N/A,FALSE,"ENG'G(보호계전기)"}</definedName>
    <definedName name="wrn.보호계전기." localSheetId="7" hidden="1">{#N/A,#N/A,FALSE,"ENG'G(보호계전기)"}</definedName>
    <definedName name="wrn.보호계전기." localSheetId="1" hidden="1">{#N/A,#N/A,FALSE,"ENG'G(보호계전기)"}</definedName>
    <definedName name="wrn.보호계전기." localSheetId="2" hidden="1">{#N/A,#N/A,FALSE,"ENG'G(보호계전기)"}</definedName>
    <definedName name="wrn.보호계전기." localSheetId="9" hidden="1">{#N/A,#N/A,FALSE,"ENG'G(보호계전기)"}</definedName>
    <definedName name="wrn.보호계전기." localSheetId="5" hidden="1">{#N/A,#N/A,FALSE,"ENG'G(보호계전기)"}</definedName>
    <definedName name="wrn.보호계전기." localSheetId="4" hidden="1">{#N/A,#N/A,FALSE,"ENG'G(보호계전기)"}</definedName>
    <definedName name="wrn.보호계전기." localSheetId="8" hidden="1">{#N/A,#N/A,FALSE,"ENG'G(보호계전기)"}</definedName>
    <definedName name="wrn.보호계전기." localSheetId="12" hidden="1">{#N/A,#N/A,FALSE,"ENG'G(보호계전기)"}</definedName>
    <definedName name="wrn.보호계전기." localSheetId="16" hidden="1">{#N/A,#N/A,FALSE,"ENG'G(보호계전기)"}</definedName>
    <definedName name="wrn.보호계전기." localSheetId="0" hidden="1">{#N/A,#N/A,FALSE,"ENG'G(보호계전기)"}</definedName>
    <definedName name="wrn.보호계전기." localSheetId="11" hidden="1">{#N/A,#N/A,FALSE,"ENG'G(보호계전기)"}</definedName>
    <definedName name="wrn.보호계전기." localSheetId="13" hidden="1">{#N/A,#N/A,FALSE,"ENG'G(보호계전기)"}</definedName>
    <definedName name="wrn.보호계전기." hidden="1">{#N/A,#N/A,FALSE,"ENG'G(보호계전기)"}</definedName>
    <definedName name="wrn.현장._.NCR._.분석." localSheetId="14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9" hidden="1">{#N/A,#N/A,FALSE,"현장 NCR 분석";#N/A,#N/A,FALSE,"현장품질감사";#N/A,#N/A,FALSE,"현장품질감사"}</definedName>
    <definedName name="wrn.현장._.NCR._.분석." localSheetId="5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8" hidden="1">{#N/A,#N/A,FALSE,"현장 NCR 분석";#N/A,#N/A,FALSE,"현장품질감사";#N/A,#N/A,FALSE,"현장품질감사"}</definedName>
    <definedName name="wrn.현장._.NCR._.분석." localSheetId="12" hidden="1">{#N/A,#N/A,FALSE,"현장 NCR 분석";#N/A,#N/A,FALSE,"현장품질감사";#N/A,#N/A,FALSE,"현장품질감사"}</definedName>
    <definedName name="wrn.현장._.NCR._.분석." localSheetId="16" hidden="1">{#N/A,#N/A,FALSE,"현장 NCR 분석";#N/A,#N/A,FALSE,"현장품질감사";#N/A,#N/A,FALSE,"현장품질감사"}</definedName>
    <definedName name="wrn.현장._.NCR._.분석." localSheetId="0" hidden="1">{#N/A,#N/A,FALSE,"현장 NCR 분석";#N/A,#N/A,FALSE,"현장품질감사";#N/A,#N/A,FALSE,"현장품질감사"}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1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14" hidden="1">{"EconCons",#N/A,TRUE,"Econômico - Consolidado";"CaixaCons",#N/A,TRUE,"Caixa - Consolidado";"InvestCons",#N/A,TRUE,"Invest Consolidado"}</definedName>
    <definedName name="wrn1.Cons." localSheetId="7" hidden="1">{"EconCons",#N/A,TRUE,"Econômico - Consolidado";"CaixaCons",#N/A,TRUE,"Caixa - Consolidado";"InvestCons",#N/A,TRUE,"Invest Consolidado"}</definedName>
    <definedName name="wrn1.Cons." localSheetId="1" hidden="1">{"EconCons",#N/A,TRUE,"Econômico - Consolidado";"CaixaCons",#N/A,TRUE,"Caixa - Consolidado";"InvestCons",#N/A,TRUE,"Invest Consolidado"}</definedName>
    <definedName name="wrn1.Cons." localSheetId="2" hidden="1">{"EconCons",#N/A,TRUE,"Econômico - Consolidado";"CaixaCons",#N/A,TRUE,"Caixa - Consolidado";"InvestCons",#N/A,TRUE,"Invest Consolidado"}</definedName>
    <definedName name="wrn1.Cons." localSheetId="9" hidden="1">{"EconCons",#N/A,TRUE,"Econômico - Consolidado";"CaixaCons",#N/A,TRUE,"Caixa - Consolidado";"InvestCons",#N/A,TRUE,"Invest Consolidado"}</definedName>
    <definedName name="wrn1.Cons." localSheetId="5" hidden="1">{"EconCons",#N/A,TRUE,"Econômico - Consolidado";"CaixaCons",#N/A,TRUE,"Caixa - Consolidado";"InvestCons",#N/A,TRUE,"Invest Consolidado"}</definedName>
    <definedName name="wrn1.Cons." localSheetId="4" hidden="1">{"EconCons",#N/A,TRUE,"Econômico - Consolidado";"CaixaCons",#N/A,TRUE,"Caixa - Consolidado";"InvestCons",#N/A,TRUE,"Invest Consolidado"}</definedName>
    <definedName name="wrn1.Cons." localSheetId="8" hidden="1">{"EconCons",#N/A,TRUE,"Econômico - Consolidado";"CaixaCons",#N/A,TRUE,"Caixa - Consolidado";"InvestCons",#N/A,TRUE,"Invest Consolidado"}</definedName>
    <definedName name="wrn1.Cons." localSheetId="12" hidden="1">{"EconCons",#N/A,TRUE,"Econômico - Consolidado";"CaixaCons",#N/A,TRUE,"Caixa - Consolidado";"InvestCons",#N/A,TRUE,"Invest Consolidado"}</definedName>
    <definedName name="wrn1.Cons." localSheetId="16" hidden="1">{"EconCons",#N/A,TRUE,"Econômico - Consolidado";"CaixaCons",#N/A,TRUE,"Caixa - Consolidado";"InvestCons",#N/A,TRUE,"Invest Consolidado"}</definedName>
    <definedName name="wrn1.Cons." localSheetId="0" hidden="1">{"EconCons",#N/A,TRUE,"Econômico - Consolidado";"CaixaCons",#N/A,TRUE,"Caixa - Consolidado";"InvestCons",#N/A,TRUE,"Invest Consolidado"}</definedName>
    <definedName name="wrn1.Cons." localSheetId="11" hidden="1">{"EconCons",#N/A,TRUE,"Econômico - Consolidado";"CaixaCons",#N/A,TRUE,"Caixa - Consolidado";"InvestCons",#N/A,TRUE,"Invest Consolidado"}</definedName>
    <definedName name="wrn1.Cons." localSheetId="13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14" hidden="1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1" hidden="1">{#N/A,#N/A,FALSE,"$170M Cash";#N/A,#N/A,FALSE,"$250M Cash";#N/A,#N/A,FALSE,"$325M Cash"}</definedName>
    <definedName name="wrn1.print._.all." localSheetId="2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5" hidden="1">{#N/A,#N/A,FALSE,"$170M Cash";#N/A,#N/A,FALSE,"$250M Cash";#N/A,#N/A,FALSE,"$325M Cash"}</definedName>
    <definedName name="wrn1.print._.all." localSheetId="4" hidden="1">{#N/A,#N/A,FALSE,"$170M Cash";#N/A,#N/A,FALSE,"$250M Cash";#N/A,#N/A,FALSE,"$325M Cash"}</definedName>
    <definedName name="wrn1.print._.all." localSheetId="8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localSheetId="16" hidden="1">{#N/A,#N/A,FALSE,"$170M Cash";#N/A,#N/A,FALSE,"$250M Cash";#N/A,#N/A,FALSE,"$325M Cash"}</definedName>
    <definedName name="wrn1.print._.all." localSheetId="0" hidden="1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localSheetId="13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14" hidden="1">{"'장비'!$A$3:$M$12"}</definedName>
    <definedName name="WRS" localSheetId="7" hidden="1">{"'장비'!$A$3:$M$12"}</definedName>
    <definedName name="WRS" localSheetId="1" hidden="1">{"'장비'!$A$3:$M$12"}</definedName>
    <definedName name="WRS" localSheetId="2" hidden="1">{"'장비'!$A$3:$M$12"}</definedName>
    <definedName name="WRS" localSheetId="9" hidden="1">{"'장비'!$A$3:$M$12"}</definedName>
    <definedName name="WRS" localSheetId="5" hidden="1">{"'장비'!$A$3:$M$12"}</definedName>
    <definedName name="WRS" localSheetId="4" hidden="1">{"'장비'!$A$3:$M$12"}</definedName>
    <definedName name="WRS" localSheetId="8" hidden="1">{"'장비'!$A$3:$M$12"}</definedName>
    <definedName name="WRS" localSheetId="12" hidden="1">{"'장비'!$A$3:$M$12"}</definedName>
    <definedName name="WRS" localSheetId="16" hidden="1">{"'장비'!$A$3:$M$12"}</definedName>
    <definedName name="WRS" localSheetId="0" hidden="1">{"'장비'!$A$3:$M$12"}</definedName>
    <definedName name="WRS" localSheetId="11" hidden="1">{"'장비'!$A$3:$M$12"}</definedName>
    <definedName name="WRS" localSheetId="13" hidden="1">{"'장비'!$A$3:$M$12"}</definedName>
    <definedName name="WRS" hidden="1">{"'장비'!$A$3:$M$12"}</definedName>
    <definedName name="wrt" localSheetId="14" hidden="1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1" hidden="1">{#N/A,#N/A,FALSE,"$170M Cash";#N/A,#N/A,FALSE,"$250M Cash";#N/A,#N/A,FALSE,"$325M Cash"}</definedName>
    <definedName name="wrt" localSheetId="2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5" hidden="1">{#N/A,#N/A,FALSE,"$170M Cash";#N/A,#N/A,FALSE,"$250M Cash";#N/A,#N/A,FALSE,"$325M Cash"}</definedName>
    <definedName name="wrt" localSheetId="4" hidden="1">{#N/A,#N/A,FALSE,"$170M Cash";#N/A,#N/A,FALSE,"$250M Cash";#N/A,#N/A,FALSE,"$325M Cash"}</definedName>
    <definedName name="wrt" localSheetId="8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localSheetId="16" hidden="1">{#N/A,#N/A,FALSE,"$170M Cash";#N/A,#N/A,FALSE,"$250M Cash";#N/A,#N/A,FALSE,"$325M Cash"}</definedName>
    <definedName name="wrt" localSheetId="0" hidden="1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localSheetId="13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2">#REF!</definedName>
    <definedName name="X" localSheetId="9">#REF!</definedName>
    <definedName name="X" localSheetId="5">#REF!</definedName>
    <definedName name="X" localSheetId="24">#REF!</definedName>
    <definedName name="X">#REF!</definedName>
    <definedName name="XALFA" localSheetId="2">#REF!</definedName>
    <definedName name="XALFA" localSheetId="5">#REF!</definedName>
    <definedName name="XALFA">#REF!</definedName>
    <definedName name="XC" localSheetId="2">#REF!</definedName>
    <definedName name="XC" localSheetId="5">#REF!</definedName>
    <definedName name="XC" localSheetId="24">#REF!</definedName>
    <definedName name="XC">#REF!</definedName>
    <definedName name="xcfrt" localSheetId="14" hidden="1">{#N/A,#N/A,FALSE,"Plan1";#N/A,#N/A,FALSE,"Plan2"}</definedName>
    <definedName name="xcfrt" localSheetId="7" hidden="1">{#N/A,#N/A,FALSE,"Plan1";#N/A,#N/A,FALSE,"Plan2"}</definedName>
    <definedName name="xcfrt" localSheetId="1" hidden="1">{#N/A,#N/A,FALSE,"Plan1";#N/A,#N/A,FALSE,"Plan2"}</definedName>
    <definedName name="xcfrt" localSheetId="2" hidden="1">{#N/A,#N/A,FALSE,"Plan1";#N/A,#N/A,FALSE,"Plan2"}</definedName>
    <definedName name="xcfrt" localSheetId="9" hidden="1">{#N/A,#N/A,FALSE,"Plan1";#N/A,#N/A,FALSE,"Plan2"}</definedName>
    <definedName name="xcfrt" localSheetId="5" hidden="1">{#N/A,#N/A,FALSE,"Plan1";#N/A,#N/A,FALSE,"Plan2"}</definedName>
    <definedName name="xcfrt" localSheetId="4" hidden="1">{#N/A,#N/A,FALSE,"Plan1";#N/A,#N/A,FALSE,"Plan2"}</definedName>
    <definedName name="xcfrt" localSheetId="8" hidden="1">{#N/A,#N/A,FALSE,"Plan1";#N/A,#N/A,FALSE,"Plan2"}</definedName>
    <definedName name="xcfrt" localSheetId="12" hidden="1">{#N/A,#N/A,FALSE,"Plan1";#N/A,#N/A,FALSE,"Plan2"}</definedName>
    <definedName name="xcfrt" localSheetId="16" hidden="1">{#N/A,#N/A,FALSE,"Plan1";#N/A,#N/A,FALSE,"Plan2"}</definedName>
    <definedName name="xcfrt" localSheetId="0" hidden="1">{#N/A,#N/A,FALSE,"Plan1";#N/A,#N/A,FALSE,"Plan2"}</definedName>
    <definedName name="xcfrt" localSheetId="11" hidden="1">{#N/A,#N/A,FALSE,"Plan1";#N/A,#N/A,FALSE,"Plan2"}</definedName>
    <definedName name="xcfrt" localSheetId="13" hidden="1">{#N/A,#N/A,FALSE,"Plan1";#N/A,#N/A,FALSE,"Plan2"}</definedName>
    <definedName name="xcfrt" hidden="1">{#N/A,#N/A,FALSE,"Plan1";#N/A,#N/A,FALSE,"Plan2"}</definedName>
    <definedName name="xcgjkfghf" localSheetId="14" hidden="1">{#N/A,#N/A,FALSE,"Plan1";#N/A,#N/A,FALSE,"Plan2"}</definedName>
    <definedName name="xcgjkfghf" localSheetId="7" hidden="1">{#N/A,#N/A,FALSE,"Plan1";#N/A,#N/A,FALSE,"Plan2"}</definedName>
    <definedName name="xcgjkfghf" localSheetId="1" hidden="1">{#N/A,#N/A,FALSE,"Plan1";#N/A,#N/A,FALSE,"Plan2"}</definedName>
    <definedName name="xcgjkfghf" localSheetId="2" hidden="1">{#N/A,#N/A,FALSE,"Plan1";#N/A,#N/A,FALSE,"Plan2"}</definedName>
    <definedName name="xcgjkfghf" localSheetId="9" hidden="1">{#N/A,#N/A,FALSE,"Plan1";#N/A,#N/A,FALSE,"Plan2"}</definedName>
    <definedName name="xcgjkfghf" localSheetId="5" hidden="1">{#N/A,#N/A,FALSE,"Plan1";#N/A,#N/A,FALSE,"Plan2"}</definedName>
    <definedName name="xcgjkfghf" localSheetId="4" hidden="1">{#N/A,#N/A,FALSE,"Plan1";#N/A,#N/A,FALSE,"Plan2"}</definedName>
    <definedName name="xcgjkfghf" localSheetId="8" hidden="1">{#N/A,#N/A,FALSE,"Plan1";#N/A,#N/A,FALSE,"Plan2"}</definedName>
    <definedName name="xcgjkfghf" localSheetId="12" hidden="1">{#N/A,#N/A,FALSE,"Plan1";#N/A,#N/A,FALSE,"Plan2"}</definedName>
    <definedName name="xcgjkfghf" localSheetId="16" hidden="1">{#N/A,#N/A,FALSE,"Plan1";#N/A,#N/A,FALSE,"Plan2"}</definedName>
    <definedName name="xcgjkfghf" localSheetId="0" hidden="1">{#N/A,#N/A,FALSE,"Plan1";#N/A,#N/A,FALSE,"Plan2"}</definedName>
    <definedName name="xcgjkfghf" localSheetId="11" hidden="1">{#N/A,#N/A,FALSE,"Plan1";#N/A,#N/A,FALSE,"Plan2"}</definedName>
    <definedName name="xcgjkfghf" localSheetId="13" hidden="1">{#N/A,#N/A,FALSE,"Plan1";#N/A,#N/A,FALSE,"Plan2"}</definedName>
    <definedName name="xcgjkfghf" hidden="1">{#N/A,#N/A,FALSE,"Plan1";#N/A,#N/A,FALSE,"Plan2"}</definedName>
    <definedName name="XCGJKVHFDG" localSheetId="14" hidden="1">{#N/A,#N/A,FALSE,"Plan1";#N/A,#N/A,FALSE,"Plan2"}</definedName>
    <definedName name="XCGJKVHFDG" localSheetId="7" hidden="1">{#N/A,#N/A,FALSE,"Plan1";#N/A,#N/A,FALSE,"Plan2"}</definedName>
    <definedName name="XCGJKVHFDG" localSheetId="1" hidden="1">{#N/A,#N/A,FALSE,"Plan1";#N/A,#N/A,FALSE,"Plan2"}</definedName>
    <definedName name="XCGJKVHFDG" localSheetId="2" hidden="1">{#N/A,#N/A,FALSE,"Plan1";#N/A,#N/A,FALSE,"Plan2"}</definedName>
    <definedName name="XCGJKVHFDG" localSheetId="9" hidden="1">{#N/A,#N/A,FALSE,"Plan1";#N/A,#N/A,FALSE,"Plan2"}</definedName>
    <definedName name="XCGJKVHFDG" localSheetId="5" hidden="1">{#N/A,#N/A,FALSE,"Plan1";#N/A,#N/A,FALSE,"Plan2"}</definedName>
    <definedName name="XCGJKVHFDG" localSheetId="4" hidden="1">{#N/A,#N/A,FALSE,"Plan1";#N/A,#N/A,FALSE,"Plan2"}</definedName>
    <definedName name="XCGJKVHFDG" localSheetId="8" hidden="1">{#N/A,#N/A,FALSE,"Plan1";#N/A,#N/A,FALSE,"Plan2"}</definedName>
    <definedName name="XCGJKVHFDG" localSheetId="12" hidden="1">{#N/A,#N/A,FALSE,"Plan1";#N/A,#N/A,FALSE,"Plan2"}</definedName>
    <definedName name="XCGJKVHFDG" localSheetId="16" hidden="1">{#N/A,#N/A,FALSE,"Plan1";#N/A,#N/A,FALSE,"Plan2"}</definedName>
    <definedName name="XCGJKVHFDG" localSheetId="0" hidden="1">{#N/A,#N/A,FALSE,"Plan1";#N/A,#N/A,FALSE,"Plan2"}</definedName>
    <definedName name="XCGJKVHFDG" localSheetId="11" hidden="1">{#N/A,#N/A,FALSE,"Plan1";#N/A,#N/A,FALSE,"Plan2"}</definedName>
    <definedName name="XCGJKVHFDG" localSheetId="13" hidden="1">{#N/A,#N/A,FALSE,"Plan1";#N/A,#N/A,FALSE,"Plan2"}</definedName>
    <definedName name="XCGJKVHFDG" hidden="1">{#N/A,#N/A,FALSE,"Plan1";#N/A,#N/A,FALSE,"Plan2"}</definedName>
    <definedName name="xcgtrty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2">#REF!</definedName>
    <definedName name="XCI" localSheetId="9">#REF!</definedName>
    <definedName name="XCI" localSheetId="5">#REF!</definedName>
    <definedName name="XCI" localSheetId="24">#REF!</definedName>
    <definedName name="XCI">#REF!</definedName>
    <definedName name="XCII" localSheetId="2">#REF!</definedName>
    <definedName name="XCII" localSheetId="5">#REF!</definedName>
    <definedName name="XCII" localSheetId="24">#REF!</definedName>
    <definedName name="XCII">#REF!</definedName>
    <definedName name="XCIII" localSheetId="2">#REF!</definedName>
    <definedName name="XCIII" localSheetId="5">#REF!</definedName>
    <definedName name="XCIII" localSheetId="24">#REF!</definedName>
    <definedName name="XCIII">#REF!</definedName>
    <definedName name="XCIV" localSheetId="2">#REF!</definedName>
    <definedName name="XCIV" localSheetId="5">#REF!</definedName>
    <definedName name="XCIV" localSheetId="24">#REF!</definedName>
    <definedName name="XCIV">#REF!</definedName>
    <definedName name="XCIX" localSheetId="2">#REF!</definedName>
    <definedName name="XCIX" localSheetId="5">#REF!</definedName>
    <definedName name="XCIX" localSheetId="24">#REF!</definedName>
    <definedName name="XCIX">#REF!</definedName>
    <definedName name="xçl" localSheetId="14" hidden="1">{#N/A,#N/A,FALSE,"Plan1";#N/A,#N/A,FALSE,"Plan2"}</definedName>
    <definedName name="xçl" localSheetId="7" hidden="1">{#N/A,#N/A,FALSE,"Plan1";#N/A,#N/A,FALSE,"Plan2"}</definedName>
    <definedName name="xçl" localSheetId="1" hidden="1">{#N/A,#N/A,FALSE,"Plan1";#N/A,#N/A,FALSE,"Plan2"}</definedName>
    <definedName name="xçl" localSheetId="2" hidden="1">{#N/A,#N/A,FALSE,"Plan1";#N/A,#N/A,FALSE,"Plan2"}</definedName>
    <definedName name="xçl" localSheetId="9" hidden="1">{#N/A,#N/A,FALSE,"Plan1";#N/A,#N/A,FALSE,"Plan2"}</definedName>
    <definedName name="xçl" localSheetId="5" hidden="1">{#N/A,#N/A,FALSE,"Plan1";#N/A,#N/A,FALSE,"Plan2"}</definedName>
    <definedName name="xçl" localSheetId="4" hidden="1">{#N/A,#N/A,FALSE,"Plan1";#N/A,#N/A,FALSE,"Plan2"}</definedName>
    <definedName name="xçl" localSheetId="8" hidden="1">{#N/A,#N/A,FALSE,"Plan1";#N/A,#N/A,FALSE,"Plan2"}</definedName>
    <definedName name="xçl" localSheetId="12" hidden="1">{#N/A,#N/A,FALSE,"Plan1";#N/A,#N/A,FALSE,"Plan2"}</definedName>
    <definedName name="xçl" localSheetId="16" hidden="1">{#N/A,#N/A,FALSE,"Plan1";#N/A,#N/A,FALSE,"Plan2"}</definedName>
    <definedName name="xçl" localSheetId="0" hidden="1">{#N/A,#N/A,FALSE,"Plan1";#N/A,#N/A,FALSE,"Plan2"}</definedName>
    <definedName name="xçl" localSheetId="11" hidden="1">{#N/A,#N/A,FALSE,"Plan1";#N/A,#N/A,FALSE,"Plan2"}</definedName>
    <definedName name="xçl" localSheetId="13" hidden="1">{#N/A,#N/A,FALSE,"Plan1";#N/A,#N/A,FALSE,"Plan2"}</definedName>
    <definedName name="xçl" hidden="1">{#N/A,#N/A,FALSE,"Plan1";#N/A,#N/A,FALSE,"Plan2"}</definedName>
    <definedName name="xcndj" localSheetId="14" hidden="1">{#N/A,#N/A,FALSE,"Plan1";#N/A,#N/A,FALSE,"Plan2"}</definedName>
    <definedName name="xcndj" localSheetId="7" hidden="1">{#N/A,#N/A,FALSE,"Plan1";#N/A,#N/A,FALSE,"Plan2"}</definedName>
    <definedName name="xcndj" localSheetId="1" hidden="1">{#N/A,#N/A,FALSE,"Plan1";#N/A,#N/A,FALSE,"Plan2"}</definedName>
    <definedName name="xcndj" localSheetId="2" hidden="1">{#N/A,#N/A,FALSE,"Plan1";#N/A,#N/A,FALSE,"Plan2"}</definedName>
    <definedName name="xcndj" localSheetId="9" hidden="1">{#N/A,#N/A,FALSE,"Plan1";#N/A,#N/A,FALSE,"Plan2"}</definedName>
    <definedName name="xcndj" localSheetId="5" hidden="1">{#N/A,#N/A,FALSE,"Plan1";#N/A,#N/A,FALSE,"Plan2"}</definedName>
    <definedName name="xcndj" localSheetId="4" hidden="1">{#N/A,#N/A,FALSE,"Plan1";#N/A,#N/A,FALSE,"Plan2"}</definedName>
    <definedName name="xcndj" localSheetId="8" hidden="1">{#N/A,#N/A,FALSE,"Plan1";#N/A,#N/A,FALSE,"Plan2"}</definedName>
    <definedName name="xcndj" localSheetId="12" hidden="1">{#N/A,#N/A,FALSE,"Plan1";#N/A,#N/A,FALSE,"Plan2"}</definedName>
    <definedName name="xcndj" localSheetId="16" hidden="1">{#N/A,#N/A,FALSE,"Plan1";#N/A,#N/A,FALSE,"Plan2"}</definedName>
    <definedName name="xcndj" localSheetId="0" hidden="1">{#N/A,#N/A,FALSE,"Plan1";#N/A,#N/A,FALSE,"Plan2"}</definedName>
    <definedName name="xcndj" localSheetId="11" hidden="1">{#N/A,#N/A,FALSE,"Plan1";#N/A,#N/A,FALSE,"Plan2"}</definedName>
    <definedName name="xcndj" localSheetId="13" hidden="1">{#N/A,#N/A,FALSE,"Plan1";#N/A,#N/A,FALSE,"Plan2"}</definedName>
    <definedName name="xcndj" hidden="1">{#N/A,#N/A,FALSE,"Plan1";#N/A,#N/A,FALSE,"Plan2"}</definedName>
    <definedName name="XCV" localSheetId="2">#REF!</definedName>
    <definedName name="XCV" localSheetId="9">#REF!</definedName>
    <definedName name="XCV" localSheetId="5">#REF!</definedName>
    <definedName name="XCV" localSheetId="24">#REF!</definedName>
    <definedName name="XCV">#REF!</definedName>
    <definedName name="XCVGGT" localSheetId="14" hidden="1">{#N/A,#N/A,FALSE,"Plan1";#N/A,#N/A,FALSE,"Plan2"}</definedName>
    <definedName name="XCVGGT" localSheetId="7" hidden="1">{#N/A,#N/A,FALSE,"Plan1";#N/A,#N/A,FALSE,"Plan2"}</definedName>
    <definedName name="XCVGGT" localSheetId="1" hidden="1">{#N/A,#N/A,FALSE,"Plan1";#N/A,#N/A,FALSE,"Plan2"}</definedName>
    <definedName name="XCVGGT" localSheetId="2" hidden="1">{#N/A,#N/A,FALSE,"Plan1";#N/A,#N/A,FALSE,"Plan2"}</definedName>
    <definedName name="XCVGGT" localSheetId="9" hidden="1">{#N/A,#N/A,FALSE,"Plan1";#N/A,#N/A,FALSE,"Plan2"}</definedName>
    <definedName name="XCVGGT" localSheetId="5" hidden="1">{#N/A,#N/A,FALSE,"Plan1";#N/A,#N/A,FALSE,"Plan2"}</definedName>
    <definedName name="XCVGGT" localSheetId="4" hidden="1">{#N/A,#N/A,FALSE,"Plan1";#N/A,#N/A,FALSE,"Plan2"}</definedName>
    <definedName name="XCVGGT" localSheetId="8" hidden="1">{#N/A,#N/A,FALSE,"Plan1";#N/A,#N/A,FALSE,"Plan2"}</definedName>
    <definedName name="XCVGGT" localSheetId="12" hidden="1">{#N/A,#N/A,FALSE,"Plan1";#N/A,#N/A,FALSE,"Plan2"}</definedName>
    <definedName name="XCVGGT" localSheetId="16" hidden="1">{#N/A,#N/A,FALSE,"Plan1";#N/A,#N/A,FALSE,"Plan2"}</definedName>
    <definedName name="XCVGGT" localSheetId="0" hidden="1">{#N/A,#N/A,FALSE,"Plan1";#N/A,#N/A,FALSE,"Plan2"}</definedName>
    <definedName name="XCVGGT" localSheetId="11" hidden="1">{#N/A,#N/A,FALSE,"Plan1";#N/A,#N/A,FALSE,"Plan2"}</definedName>
    <definedName name="XCVGGT" localSheetId="13" hidden="1">{#N/A,#N/A,FALSE,"Plan1";#N/A,#N/A,FALSE,"Plan2"}</definedName>
    <definedName name="XCVGGT" hidden="1">{#N/A,#N/A,FALSE,"Plan1";#N/A,#N/A,FALSE,"Plan2"}</definedName>
    <definedName name="XCVI" localSheetId="2">#REF!</definedName>
    <definedName name="XCVI" localSheetId="9">#REF!</definedName>
    <definedName name="XCVI" localSheetId="5">#REF!</definedName>
    <definedName name="XCVI" localSheetId="24">#REF!</definedName>
    <definedName name="XCVI">#REF!</definedName>
    <definedName name="XCVII" localSheetId="2">#REF!</definedName>
    <definedName name="XCVII" localSheetId="5">#REF!</definedName>
    <definedName name="XCVII" localSheetId="24">#REF!</definedName>
    <definedName name="XCVII">#REF!</definedName>
    <definedName name="XCVIII" localSheetId="2">#REF!</definedName>
    <definedName name="XCVIII" localSheetId="5">#REF!</definedName>
    <definedName name="XCVIII" localSheetId="24">#REF!</definedName>
    <definedName name="XCVIII">#REF!</definedName>
    <definedName name="xcvrg" localSheetId="14" hidden="1">{#N/A,#N/A,FALSE,"Plan1";#N/A,#N/A,FALSE,"Plan2"}</definedName>
    <definedName name="xcvrg" localSheetId="7" hidden="1">{#N/A,#N/A,FALSE,"Plan1";#N/A,#N/A,FALSE,"Plan2"}</definedName>
    <definedName name="xcvrg" localSheetId="1" hidden="1">{#N/A,#N/A,FALSE,"Plan1";#N/A,#N/A,FALSE,"Plan2"}</definedName>
    <definedName name="xcvrg" localSheetId="2" hidden="1">{#N/A,#N/A,FALSE,"Plan1";#N/A,#N/A,FALSE,"Plan2"}</definedName>
    <definedName name="xcvrg" localSheetId="9" hidden="1">{#N/A,#N/A,FALSE,"Plan1";#N/A,#N/A,FALSE,"Plan2"}</definedName>
    <definedName name="xcvrg" localSheetId="5" hidden="1">{#N/A,#N/A,FALSE,"Plan1";#N/A,#N/A,FALSE,"Plan2"}</definedName>
    <definedName name="xcvrg" localSheetId="4" hidden="1">{#N/A,#N/A,FALSE,"Plan1";#N/A,#N/A,FALSE,"Plan2"}</definedName>
    <definedName name="xcvrg" localSheetId="8" hidden="1">{#N/A,#N/A,FALSE,"Plan1";#N/A,#N/A,FALSE,"Plan2"}</definedName>
    <definedName name="xcvrg" localSheetId="12" hidden="1">{#N/A,#N/A,FALSE,"Plan1";#N/A,#N/A,FALSE,"Plan2"}</definedName>
    <definedName name="xcvrg" localSheetId="16" hidden="1">{#N/A,#N/A,FALSE,"Plan1";#N/A,#N/A,FALSE,"Plan2"}</definedName>
    <definedName name="xcvrg" localSheetId="0" hidden="1">{#N/A,#N/A,FALSE,"Plan1";#N/A,#N/A,FALSE,"Plan2"}</definedName>
    <definedName name="xcvrg" localSheetId="11" hidden="1">{#N/A,#N/A,FALSE,"Plan1";#N/A,#N/A,FALSE,"Plan2"}</definedName>
    <definedName name="xcvrg" localSheetId="13" hidden="1">{#N/A,#N/A,FALSE,"Plan1";#N/A,#N/A,FALSE,"Plan2"}</definedName>
    <definedName name="xcvrg" hidden="1">{#N/A,#N/A,FALSE,"Plan1";#N/A,#N/A,FALSE,"Plan2"}</definedName>
    <definedName name="XDATA" localSheetId="2">#REF!</definedName>
    <definedName name="XDATA" localSheetId="5">#REF!</definedName>
    <definedName name="XDATA">#REF!</definedName>
    <definedName name="xdfe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4" hidden="1">{#N/A,#N/A,FALSE,"Plan1";#N/A,#N/A,FALSE,"Plan2"}</definedName>
    <definedName name="xdgtyhyt" localSheetId="7" hidden="1">{#N/A,#N/A,FALSE,"Plan1";#N/A,#N/A,FALSE,"Plan2"}</definedName>
    <definedName name="xdgtyhyt" localSheetId="1" hidden="1">{#N/A,#N/A,FALSE,"Plan1";#N/A,#N/A,FALSE,"Plan2"}</definedName>
    <definedName name="xdgtyhyt" localSheetId="2" hidden="1">{#N/A,#N/A,FALSE,"Plan1";#N/A,#N/A,FALSE,"Plan2"}</definedName>
    <definedName name="xdgtyhyt" localSheetId="9" hidden="1">{#N/A,#N/A,FALSE,"Plan1";#N/A,#N/A,FALSE,"Plan2"}</definedName>
    <definedName name="xdgtyhyt" localSheetId="5" hidden="1">{#N/A,#N/A,FALSE,"Plan1";#N/A,#N/A,FALSE,"Plan2"}</definedName>
    <definedName name="xdgtyhyt" localSheetId="4" hidden="1">{#N/A,#N/A,FALSE,"Plan1";#N/A,#N/A,FALSE,"Plan2"}</definedName>
    <definedName name="xdgtyhyt" localSheetId="8" hidden="1">{#N/A,#N/A,FALSE,"Plan1";#N/A,#N/A,FALSE,"Plan2"}</definedName>
    <definedName name="xdgtyhyt" localSheetId="12" hidden="1">{#N/A,#N/A,FALSE,"Plan1";#N/A,#N/A,FALSE,"Plan2"}</definedName>
    <definedName name="xdgtyhyt" localSheetId="16" hidden="1">{#N/A,#N/A,FALSE,"Plan1";#N/A,#N/A,FALSE,"Plan2"}</definedName>
    <definedName name="xdgtyhyt" localSheetId="0" hidden="1">{#N/A,#N/A,FALSE,"Plan1";#N/A,#N/A,FALSE,"Plan2"}</definedName>
    <definedName name="xdgtyhyt" localSheetId="11" hidden="1">{#N/A,#N/A,FALSE,"Plan1";#N/A,#N/A,FALSE,"Plan2"}</definedName>
    <definedName name="xdgtyhyt" localSheetId="13" hidden="1">{#N/A,#N/A,FALSE,"Plan1";#N/A,#N/A,FALSE,"Plan2"}</definedName>
    <definedName name="xdgtyhyt" hidden="1">{#N/A,#N/A,FALSE,"Plan1";#N/A,#N/A,FALSE,"Plan2"}</definedName>
    <definedName name="xfdlfj" localSheetId="14" hidden="1">{#N/A,#N/A,FALSE,"Plan1";#N/A,#N/A,FALSE,"Plan2"}</definedName>
    <definedName name="xfdlfj" localSheetId="7" hidden="1">{#N/A,#N/A,FALSE,"Plan1";#N/A,#N/A,FALSE,"Plan2"}</definedName>
    <definedName name="xfdlfj" localSheetId="1" hidden="1">{#N/A,#N/A,FALSE,"Plan1";#N/A,#N/A,FALSE,"Plan2"}</definedName>
    <definedName name="xfdlfj" localSheetId="2" hidden="1">{#N/A,#N/A,FALSE,"Plan1";#N/A,#N/A,FALSE,"Plan2"}</definedName>
    <definedName name="xfdlfj" localSheetId="9" hidden="1">{#N/A,#N/A,FALSE,"Plan1";#N/A,#N/A,FALSE,"Plan2"}</definedName>
    <definedName name="xfdlfj" localSheetId="5" hidden="1">{#N/A,#N/A,FALSE,"Plan1";#N/A,#N/A,FALSE,"Plan2"}</definedName>
    <definedName name="xfdlfj" localSheetId="4" hidden="1">{#N/A,#N/A,FALSE,"Plan1";#N/A,#N/A,FALSE,"Plan2"}</definedName>
    <definedName name="xfdlfj" localSheetId="8" hidden="1">{#N/A,#N/A,FALSE,"Plan1";#N/A,#N/A,FALSE,"Plan2"}</definedName>
    <definedName name="xfdlfj" localSheetId="12" hidden="1">{#N/A,#N/A,FALSE,"Plan1";#N/A,#N/A,FALSE,"Plan2"}</definedName>
    <definedName name="xfdlfj" localSheetId="16" hidden="1">{#N/A,#N/A,FALSE,"Plan1";#N/A,#N/A,FALSE,"Plan2"}</definedName>
    <definedName name="xfdlfj" localSheetId="0" hidden="1">{#N/A,#N/A,FALSE,"Plan1";#N/A,#N/A,FALSE,"Plan2"}</definedName>
    <definedName name="xfdlfj" localSheetId="11" hidden="1">{#N/A,#N/A,FALSE,"Plan1";#N/A,#N/A,FALSE,"Plan2"}</definedName>
    <definedName name="xfdlfj" localSheetId="13" hidden="1">{#N/A,#N/A,FALSE,"Plan1";#N/A,#N/A,FALSE,"Plan2"}</definedName>
    <definedName name="xfdlfj" hidden="1">{#N/A,#N/A,FALSE,"Plan1";#N/A,#N/A,FALSE,"Plan2"}</definedName>
    <definedName name="xfdxfdf" localSheetId="14" hidden="1">{#N/A,#N/A,FALSE,"Plan1";#N/A,#N/A,FALSE,"Plan2"}</definedName>
    <definedName name="xfdxfdf" localSheetId="7" hidden="1">{#N/A,#N/A,FALSE,"Plan1";#N/A,#N/A,FALSE,"Plan2"}</definedName>
    <definedName name="xfdxfdf" localSheetId="1" hidden="1">{#N/A,#N/A,FALSE,"Plan1";#N/A,#N/A,FALSE,"Plan2"}</definedName>
    <definedName name="xfdxfdf" localSheetId="2" hidden="1">{#N/A,#N/A,FALSE,"Plan1";#N/A,#N/A,FALSE,"Plan2"}</definedName>
    <definedName name="xfdxfdf" localSheetId="9" hidden="1">{#N/A,#N/A,FALSE,"Plan1";#N/A,#N/A,FALSE,"Plan2"}</definedName>
    <definedName name="xfdxfdf" localSheetId="5" hidden="1">{#N/A,#N/A,FALSE,"Plan1";#N/A,#N/A,FALSE,"Plan2"}</definedName>
    <definedName name="xfdxfdf" localSheetId="4" hidden="1">{#N/A,#N/A,FALSE,"Plan1";#N/A,#N/A,FALSE,"Plan2"}</definedName>
    <definedName name="xfdxfdf" localSheetId="8" hidden="1">{#N/A,#N/A,FALSE,"Plan1";#N/A,#N/A,FALSE,"Plan2"}</definedName>
    <definedName name="xfdxfdf" localSheetId="12" hidden="1">{#N/A,#N/A,FALSE,"Plan1";#N/A,#N/A,FALSE,"Plan2"}</definedName>
    <definedName name="xfdxfdf" localSheetId="16" hidden="1">{#N/A,#N/A,FALSE,"Plan1";#N/A,#N/A,FALSE,"Plan2"}</definedName>
    <definedName name="xfdxfdf" localSheetId="0" hidden="1">{#N/A,#N/A,FALSE,"Plan1";#N/A,#N/A,FALSE,"Plan2"}</definedName>
    <definedName name="xfdxfdf" localSheetId="11" hidden="1">{#N/A,#N/A,FALSE,"Plan1";#N/A,#N/A,FALSE,"Plan2"}</definedName>
    <definedName name="xfdxfdf" localSheetId="13" hidden="1">{#N/A,#N/A,FALSE,"Plan1";#N/A,#N/A,FALSE,"Plan2"}</definedName>
    <definedName name="xfdxfdf" hidden="1">{#N/A,#N/A,FALSE,"Plan1";#N/A,#N/A,FALSE,"Plan2"}</definedName>
    <definedName name="XFJKLDJKLGJ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4" hidden="1">{#N/A,#N/A,FALSE,"Plan1";#N/A,#N/A,FALSE,"Plan2"}</definedName>
    <definedName name="xfrty" localSheetId="7" hidden="1">{#N/A,#N/A,FALSE,"Plan1";#N/A,#N/A,FALSE,"Plan2"}</definedName>
    <definedName name="xfrty" localSheetId="1" hidden="1">{#N/A,#N/A,FALSE,"Plan1";#N/A,#N/A,FALSE,"Plan2"}</definedName>
    <definedName name="xfrty" localSheetId="2" hidden="1">{#N/A,#N/A,FALSE,"Plan1";#N/A,#N/A,FALSE,"Plan2"}</definedName>
    <definedName name="xfrty" localSheetId="9" hidden="1">{#N/A,#N/A,FALSE,"Plan1";#N/A,#N/A,FALSE,"Plan2"}</definedName>
    <definedName name="xfrty" localSheetId="5" hidden="1">{#N/A,#N/A,FALSE,"Plan1";#N/A,#N/A,FALSE,"Plan2"}</definedName>
    <definedName name="xfrty" localSheetId="4" hidden="1">{#N/A,#N/A,FALSE,"Plan1";#N/A,#N/A,FALSE,"Plan2"}</definedName>
    <definedName name="xfrty" localSheetId="8" hidden="1">{#N/A,#N/A,FALSE,"Plan1";#N/A,#N/A,FALSE,"Plan2"}</definedName>
    <definedName name="xfrty" localSheetId="12" hidden="1">{#N/A,#N/A,FALSE,"Plan1";#N/A,#N/A,FALSE,"Plan2"}</definedName>
    <definedName name="xfrty" localSheetId="16" hidden="1">{#N/A,#N/A,FALSE,"Plan1";#N/A,#N/A,FALSE,"Plan2"}</definedName>
    <definedName name="xfrty" localSheetId="0" hidden="1">{#N/A,#N/A,FALSE,"Plan1";#N/A,#N/A,FALSE,"Plan2"}</definedName>
    <definedName name="xfrty" localSheetId="11" hidden="1">{#N/A,#N/A,FALSE,"Plan1";#N/A,#N/A,FALSE,"Plan2"}</definedName>
    <definedName name="xfrty" localSheetId="13" hidden="1">{#N/A,#N/A,FALSE,"Plan1";#N/A,#N/A,FALSE,"Plan2"}</definedName>
    <definedName name="xfrty" hidden="1">{#N/A,#N/A,FALSE,"Plan1";#N/A,#N/A,FALSE,"Plan2"}</definedName>
    <definedName name="XFT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4" hidden="1">{"Econ Consolidado",#N/A,FALSE,"Econ Consol";"Fluxo de Caixa",#N/A,FALSE,"Fluxo Caixa";"Investimentos",#N/A,FALSE,"Investimentos"}</definedName>
    <definedName name="xfvchdhhd" localSheetId="7" hidden="1">{"Econ Consolidado",#N/A,FALSE,"Econ Consol";"Fluxo de Caixa",#N/A,FALSE,"Fluxo Caixa";"Investimentos",#N/A,FALSE,"Investimentos"}</definedName>
    <definedName name="xfvchdhhd" localSheetId="1" hidden="1">{"Econ Consolidado",#N/A,FALSE,"Econ Consol";"Fluxo de Caixa",#N/A,FALSE,"Fluxo Caixa";"Investimentos",#N/A,FALSE,"Investimentos"}</definedName>
    <definedName name="xfvchdhhd" localSheetId="2" hidden="1">{"Econ Consolidado",#N/A,FALSE,"Econ Consol";"Fluxo de Caixa",#N/A,FALSE,"Fluxo Caixa";"Investimentos",#N/A,FALSE,"Investimentos"}</definedName>
    <definedName name="xfvchdhhd" localSheetId="9" hidden="1">{"Econ Consolidado",#N/A,FALSE,"Econ Consol";"Fluxo de Caixa",#N/A,FALSE,"Fluxo Caixa";"Investimentos",#N/A,FALSE,"Investimentos"}</definedName>
    <definedName name="xfvchdhhd" localSheetId="5" hidden="1">{"Econ Consolidado",#N/A,FALSE,"Econ Consol";"Fluxo de Caixa",#N/A,FALSE,"Fluxo Caixa";"Investimentos",#N/A,FALSE,"Investimentos"}</definedName>
    <definedName name="xfvchdhhd" localSheetId="4" hidden="1">{"Econ Consolidado",#N/A,FALSE,"Econ Consol";"Fluxo de Caixa",#N/A,FALSE,"Fluxo Caixa";"Investimentos",#N/A,FALSE,"Investimentos"}</definedName>
    <definedName name="xfvchdhhd" localSheetId="8" hidden="1">{"Econ Consolidado",#N/A,FALSE,"Econ Consol";"Fluxo de Caixa",#N/A,FALSE,"Fluxo Caixa";"Investimentos",#N/A,FALSE,"Investimentos"}</definedName>
    <definedName name="xfvchdhhd" localSheetId="12" hidden="1">{"Econ Consolidado",#N/A,FALSE,"Econ Consol";"Fluxo de Caixa",#N/A,FALSE,"Fluxo Caixa";"Investimentos",#N/A,FALSE,"Investimentos"}</definedName>
    <definedName name="xfvchdhhd" localSheetId="16" hidden="1">{"Econ Consolidado",#N/A,FALSE,"Econ Consol";"Fluxo de Caixa",#N/A,FALSE,"Fluxo Caixa";"Investimentos",#N/A,FALSE,"Investimentos"}</definedName>
    <definedName name="xfvchdhhd" localSheetId="0" hidden="1">{"Econ Consolidado",#N/A,FALSE,"Econ Consol";"Fluxo de Caixa",#N/A,FALSE,"Fluxo Caixa";"Investimentos",#N/A,FALSE,"Investimentos"}</definedName>
    <definedName name="xfvchdhhd" localSheetId="11" hidden="1">{"Econ Consolidado",#N/A,FALSE,"Econ Consol";"Fluxo de Caixa",#N/A,FALSE,"Fluxo Caixa";"Investimentos",#N/A,FALSE,"Investimentos"}</definedName>
    <definedName name="xfvchdhhd" localSheetId="13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14" hidden="1">{#N/A,#N/A,FALSE,"Plan1";#N/A,#N/A,FALSE,"Plan2"}</definedName>
    <definedName name="xfvgcfgt" localSheetId="7" hidden="1">{#N/A,#N/A,FALSE,"Plan1";#N/A,#N/A,FALSE,"Plan2"}</definedName>
    <definedName name="xfvgcfgt" localSheetId="1" hidden="1">{#N/A,#N/A,FALSE,"Plan1";#N/A,#N/A,FALSE,"Plan2"}</definedName>
    <definedName name="xfvgcfgt" localSheetId="2" hidden="1">{#N/A,#N/A,FALSE,"Plan1";#N/A,#N/A,FALSE,"Plan2"}</definedName>
    <definedName name="xfvgcfgt" localSheetId="9" hidden="1">{#N/A,#N/A,FALSE,"Plan1";#N/A,#N/A,FALSE,"Plan2"}</definedName>
    <definedName name="xfvgcfgt" localSheetId="5" hidden="1">{#N/A,#N/A,FALSE,"Plan1";#N/A,#N/A,FALSE,"Plan2"}</definedName>
    <definedName name="xfvgcfgt" localSheetId="4" hidden="1">{#N/A,#N/A,FALSE,"Plan1";#N/A,#N/A,FALSE,"Plan2"}</definedName>
    <definedName name="xfvgcfgt" localSheetId="8" hidden="1">{#N/A,#N/A,FALSE,"Plan1";#N/A,#N/A,FALSE,"Plan2"}</definedName>
    <definedName name="xfvgcfgt" localSheetId="12" hidden="1">{#N/A,#N/A,FALSE,"Plan1";#N/A,#N/A,FALSE,"Plan2"}</definedName>
    <definedName name="xfvgcfgt" localSheetId="16" hidden="1">{#N/A,#N/A,FALSE,"Plan1";#N/A,#N/A,FALSE,"Plan2"}</definedName>
    <definedName name="xfvgcfgt" localSheetId="0" hidden="1">{#N/A,#N/A,FALSE,"Plan1";#N/A,#N/A,FALSE,"Plan2"}</definedName>
    <definedName name="xfvgcfgt" localSheetId="11" hidden="1">{#N/A,#N/A,FALSE,"Plan1";#N/A,#N/A,FALSE,"Plan2"}</definedName>
    <definedName name="xfvgcfgt" localSheetId="13" hidden="1">{#N/A,#N/A,FALSE,"Plan1";#N/A,#N/A,FALSE,"Plan2"}</definedName>
    <definedName name="xfvgcfgt" hidden="1">{#N/A,#N/A,FALSE,"Plan1";#N/A,#N/A,FALSE,"Plan2"}</definedName>
    <definedName name="xgrg" localSheetId="14" hidden="1">{#N/A,#N/A,FALSE,"Plan1";#N/A,#N/A,FALSE,"Plan2"}</definedName>
    <definedName name="xgrg" localSheetId="7" hidden="1">{#N/A,#N/A,FALSE,"Plan1";#N/A,#N/A,FALSE,"Plan2"}</definedName>
    <definedName name="xgrg" localSheetId="1" hidden="1">{#N/A,#N/A,FALSE,"Plan1";#N/A,#N/A,FALSE,"Plan2"}</definedName>
    <definedName name="xgrg" localSheetId="2" hidden="1">{#N/A,#N/A,FALSE,"Plan1";#N/A,#N/A,FALSE,"Plan2"}</definedName>
    <definedName name="xgrg" localSheetId="9" hidden="1">{#N/A,#N/A,FALSE,"Plan1";#N/A,#N/A,FALSE,"Plan2"}</definedName>
    <definedName name="xgrg" localSheetId="5" hidden="1">{#N/A,#N/A,FALSE,"Plan1";#N/A,#N/A,FALSE,"Plan2"}</definedName>
    <definedName name="xgrg" localSheetId="4" hidden="1">{#N/A,#N/A,FALSE,"Plan1";#N/A,#N/A,FALSE,"Plan2"}</definedName>
    <definedName name="xgrg" localSheetId="8" hidden="1">{#N/A,#N/A,FALSE,"Plan1";#N/A,#N/A,FALSE,"Plan2"}</definedName>
    <definedName name="xgrg" localSheetId="12" hidden="1">{#N/A,#N/A,FALSE,"Plan1";#N/A,#N/A,FALSE,"Plan2"}</definedName>
    <definedName name="xgrg" localSheetId="16" hidden="1">{#N/A,#N/A,FALSE,"Plan1";#N/A,#N/A,FALSE,"Plan2"}</definedName>
    <definedName name="xgrg" localSheetId="0" hidden="1">{#N/A,#N/A,FALSE,"Plan1";#N/A,#N/A,FALSE,"Plan2"}</definedName>
    <definedName name="xgrg" localSheetId="11" hidden="1">{#N/A,#N/A,FALSE,"Plan1";#N/A,#N/A,FALSE,"Plan2"}</definedName>
    <definedName name="xgrg" localSheetId="13" hidden="1">{#N/A,#N/A,FALSE,"Plan1";#N/A,#N/A,FALSE,"Plan2"}</definedName>
    <definedName name="xgrg" hidden="1">{#N/A,#N/A,FALSE,"Plan1";#N/A,#N/A,FALSE,"Plan2"}</definedName>
    <definedName name="XI" localSheetId="2">#REF!</definedName>
    <definedName name="XI" localSheetId="9">#REF!</definedName>
    <definedName name="XI" localSheetId="5">#REF!</definedName>
    <definedName name="XI" localSheetId="24">#REF!</definedName>
    <definedName name="XI">#REF!</definedName>
    <definedName name="XII" localSheetId="2">#REF!</definedName>
    <definedName name="XII" localSheetId="5">#REF!</definedName>
    <definedName name="XII" localSheetId="24">#REF!</definedName>
    <definedName name="XII">#REF!</definedName>
    <definedName name="XIII" localSheetId="2">#REF!</definedName>
    <definedName name="XIII" localSheetId="5">#REF!</definedName>
    <definedName name="XIII" localSheetId="24">#REF!</definedName>
    <definedName name="XIII">#REF!</definedName>
    <definedName name="XITEM" localSheetId="2">#REF!</definedName>
    <definedName name="XITEM" localSheetId="5">#REF!</definedName>
    <definedName name="XITEM">#REF!</definedName>
    <definedName name="XIV" localSheetId="2">#REF!</definedName>
    <definedName name="XIV" localSheetId="5">#REF!</definedName>
    <definedName name="XIV" localSheetId="24">#REF!</definedName>
    <definedName name="XIV">#REF!</definedName>
    <definedName name="XLOC" localSheetId="2">#REF!</definedName>
    <definedName name="XLOC" localSheetId="5">#REF!</definedName>
    <definedName name="XLOC">#REF!</definedName>
    <definedName name="xmght" localSheetId="14" hidden="1">{#N/A,#N/A,FALSE,"Plan1";#N/A,#N/A,FALSE,"Plan2"}</definedName>
    <definedName name="xmght" localSheetId="7" hidden="1">{#N/A,#N/A,FALSE,"Plan1";#N/A,#N/A,FALSE,"Plan2"}</definedName>
    <definedName name="xmght" localSheetId="1" hidden="1">{#N/A,#N/A,FALSE,"Plan1";#N/A,#N/A,FALSE,"Plan2"}</definedName>
    <definedName name="xmght" localSheetId="2" hidden="1">{#N/A,#N/A,FALSE,"Plan1";#N/A,#N/A,FALSE,"Plan2"}</definedName>
    <definedName name="xmght" localSheetId="9" hidden="1">{#N/A,#N/A,FALSE,"Plan1";#N/A,#N/A,FALSE,"Plan2"}</definedName>
    <definedName name="xmght" localSheetId="5" hidden="1">{#N/A,#N/A,FALSE,"Plan1";#N/A,#N/A,FALSE,"Plan2"}</definedName>
    <definedName name="xmght" localSheetId="4" hidden="1">{#N/A,#N/A,FALSE,"Plan1";#N/A,#N/A,FALSE,"Plan2"}</definedName>
    <definedName name="xmght" localSheetId="8" hidden="1">{#N/A,#N/A,FALSE,"Plan1";#N/A,#N/A,FALSE,"Plan2"}</definedName>
    <definedName name="xmght" localSheetId="12" hidden="1">{#N/A,#N/A,FALSE,"Plan1";#N/A,#N/A,FALSE,"Plan2"}</definedName>
    <definedName name="xmght" localSheetId="16" hidden="1">{#N/A,#N/A,FALSE,"Plan1";#N/A,#N/A,FALSE,"Plan2"}</definedName>
    <definedName name="xmght" localSheetId="0" hidden="1">{#N/A,#N/A,FALSE,"Plan1";#N/A,#N/A,FALSE,"Plan2"}</definedName>
    <definedName name="xmght" localSheetId="11" hidden="1">{#N/A,#N/A,FALSE,"Plan1";#N/A,#N/A,FALSE,"Plan2"}</definedName>
    <definedName name="xmght" localSheetId="13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2">#REF!</definedName>
    <definedName name="xnInforme_quantos_bebedouros____bebqt__if_bebqt__0__xlQt.bebedouros_invalida___ENTER_p_reinformar__xresp__branch_rqtderv" localSheetId="5">#REF!</definedName>
    <definedName name="xnInforme_quantos_bebedouros____bebqt__if_bebqt__0__xlQt.bebedouros_invalida___ENTER_p_reinformar__xresp__branch_rqtderv">#REF!</definedName>
    <definedName name="XNUCOPIAS" localSheetId="2">#REF!</definedName>
    <definedName name="XNUCOPIAS" localSheetId="5">#REF!</definedName>
    <definedName name="XNUCOPIAS">#REF!</definedName>
    <definedName name="xo" localSheetId="14" hidden="1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1" hidden="1">{#N/A,#N/A,FALSE,"Global by BU";#N/A,#N/A,FALSE,"U.S. by BU";#N/A,#N/A,FALSE,"Canada by BU";#N/A,#N/A,FALSE,"Europe by BU";#N/A,#N/A,FALSE,"Asia by BU";#N/A,#N/A,FALSE,"Cala by BU"}</definedName>
    <definedName name="xo" localSheetId="2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5" hidden="1">{#N/A,#N/A,FALSE,"Global by BU";#N/A,#N/A,FALSE,"U.S. by BU";#N/A,#N/A,FALSE,"Canada by BU";#N/A,#N/A,FALSE,"Europe by BU";#N/A,#N/A,FALSE,"Asia by BU";#N/A,#N/A,FALSE,"Cala by BU"}</definedName>
    <definedName name="xo" localSheetId="4" hidden="1">{#N/A,#N/A,FALSE,"Global by BU";#N/A,#N/A,FALSE,"U.S. by BU";#N/A,#N/A,FALSE,"Canada by BU";#N/A,#N/A,FALSE,"Europe by BU";#N/A,#N/A,FALSE,"Asia by BU";#N/A,#N/A,FALSE,"Cala by BU"}</definedName>
    <definedName name="xo" localSheetId="8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localSheetId="16" hidden="1">{#N/A,#N/A,FALSE,"Global by BU";#N/A,#N/A,FALSE,"U.S. by BU";#N/A,#N/A,FALSE,"Canada by BU";#N/A,#N/A,FALSE,"Europe by BU";#N/A,#N/A,FALSE,"Asia by BU";#N/A,#N/A,FALSE,"Cala by BU"}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localSheetId="13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2" hidden="1">#REF!</definedName>
    <definedName name="XREF_COLUMN_1" localSheetId="5" hidden="1">#REF!</definedName>
    <definedName name="XREF_COLUMN_1" localSheetId="0" hidden="1">#REF!</definedName>
    <definedName name="XREF_COLUMN_1" hidden="1">#REF!</definedName>
    <definedName name="XREF_COLUMN_2" localSheetId="2" hidden="1">#REF!</definedName>
    <definedName name="XREF_COLUMN_2" localSheetId="5" hidden="1">#REF!</definedName>
    <definedName name="XREF_COLUMN_2" localSheetId="0" hidden="1">#REF!</definedName>
    <definedName name="XREF_COLUMN_2" hidden="1">#REF!</definedName>
    <definedName name="XREF_COLUMN_3" localSheetId="2" hidden="1">#REF!</definedName>
    <definedName name="XREF_COLUMN_3" hidden="1">#REF!</definedName>
    <definedName name="XREF_COLUMN_4" localSheetId="2" hidden="1">#REF!</definedName>
    <definedName name="XREF_COLUMN_4" hidden="1">#REF!</definedName>
    <definedName name="XRefColumnsCount" hidden="1">1</definedName>
    <definedName name="XRefCopy2" localSheetId="2" hidden="1">#REF!</definedName>
    <definedName name="XRefCopy2" localSheetId="9" hidden="1">#REF!</definedName>
    <definedName name="XRefCopy2" localSheetId="5" hidden="1">#REF!</definedName>
    <definedName name="XRefCopy2" hidden="1">#REF!</definedName>
    <definedName name="XRefCopy3Row" localSheetId="2" hidden="1">#REF!</definedName>
    <definedName name="XRefCopy3Row" localSheetId="5" hidden="1">#REF!</definedName>
    <definedName name="XRefCopy3Row" localSheetId="0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2" hidden="1">#REF!</definedName>
    <definedName name="XRefPaste2" localSheetId="9" hidden="1">#REF!</definedName>
    <definedName name="XRefPaste2" localSheetId="5" hidden="1">#REF!</definedName>
    <definedName name="XRefPaste2" hidden="1">#REF!</definedName>
    <definedName name="XRefPaste4" localSheetId="2" hidden="1">#REF!</definedName>
    <definedName name="XRefPaste4" localSheetId="5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2">#REF!</definedName>
    <definedName name="XRESP" localSheetId="5">#REF!</definedName>
    <definedName name="XRESP">#REF!</definedName>
    <definedName name="XTITRES" localSheetId="2">#REF!</definedName>
    <definedName name="XTITRES" localSheetId="5">#REF!</definedName>
    <definedName name="XTITRES">#REF!</definedName>
    <definedName name="XV" localSheetId="2">#REF!</definedName>
    <definedName name="XV" localSheetId="5">#REF!</definedName>
    <definedName name="XV" localSheetId="24">#REF!</definedName>
    <definedName name="XV">#REF!</definedName>
    <definedName name="xx" localSheetId="2" hidden="1">#REF!</definedName>
    <definedName name="XX" localSheetId="5">#REF!</definedName>
    <definedName name="xx" localSheetId="0" hidden="1">#REF!</definedName>
    <definedName name="XX" localSheetId="24">#REF!</definedName>
    <definedName name="XX">#REF!</definedName>
    <definedName name="XXI" localSheetId="2">#REF!</definedName>
    <definedName name="XXI" localSheetId="5">#REF!</definedName>
    <definedName name="XXI" localSheetId="24">#REF!</definedName>
    <definedName name="XXI">#REF!</definedName>
    <definedName name="XXII" localSheetId="2">#REF!</definedName>
    <definedName name="XXII" localSheetId="5">#REF!</definedName>
    <definedName name="XXII" localSheetId="24">#REF!</definedName>
    <definedName name="XXII">#REF!</definedName>
    <definedName name="XXIII" localSheetId="2">#REF!</definedName>
    <definedName name="XXIII" localSheetId="5">#REF!</definedName>
    <definedName name="XXIII" localSheetId="24">#REF!</definedName>
    <definedName name="XXIII">#REF!</definedName>
    <definedName name="XXIV" localSheetId="2">#REF!</definedName>
    <definedName name="XXIV" localSheetId="5">#REF!</definedName>
    <definedName name="XXIV" localSheetId="24">#REF!</definedName>
    <definedName name="XXIV">#REF!</definedName>
    <definedName name="XXV" localSheetId="2">#REF!</definedName>
    <definedName name="XXV" localSheetId="5">#REF!</definedName>
    <definedName name="XXV" localSheetId="24">#REF!</definedName>
    <definedName name="XXV">#REF!</definedName>
    <definedName name="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5">#REF!</definedName>
    <definedName name="xxx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4">#REF!</definedName>
    <definedName name="XXX">#REF!</definedName>
    <definedName name="XXXI" localSheetId="2">#REF!</definedName>
    <definedName name="XXXI" localSheetId="9">#REF!</definedName>
    <definedName name="XXXI" localSheetId="5">#REF!</definedName>
    <definedName name="XXXI" localSheetId="24">#REF!</definedName>
    <definedName name="XXXI">#REF!</definedName>
    <definedName name="XXXII" localSheetId="2">#REF!</definedName>
    <definedName name="XXXII" localSheetId="5">#REF!</definedName>
    <definedName name="XXXII" localSheetId="24">#REF!</definedName>
    <definedName name="XXXII">#REF!</definedName>
    <definedName name="XXXIII" localSheetId="2">#REF!</definedName>
    <definedName name="XXXIII" localSheetId="5">#REF!</definedName>
    <definedName name="XXXIII" localSheetId="24">#REF!</definedName>
    <definedName name="XXXIII">#REF!</definedName>
    <definedName name="XXXIV" localSheetId="2">#REF!</definedName>
    <definedName name="XXXIV" localSheetId="5">#REF!</definedName>
    <definedName name="XXXIV" localSheetId="24">#REF!</definedName>
    <definedName name="XXXIV">#REF!</definedName>
    <definedName name="XXXIX" localSheetId="2">#REF!</definedName>
    <definedName name="XXXIX" localSheetId="5">#REF!</definedName>
    <definedName name="XXXIX" localSheetId="24">#REF!</definedName>
    <definedName name="XXXIX">#REF!</definedName>
    <definedName name="XXXV" localSheetId="2">#REF!</definedName>
    <definedName name="XXXV" localSheetId="5">#REF!</definedName>
    <definedName name="XXXV" localSheetId="24">#REF!</definedName>
    <definedName name="XXXV">#REF!</definedName>
    <definedName name="XXXVI" localSheetId="2">#REF!</definedName>
    <definedName name="XXXVI" localSheetId="5">#REF!</definedName>
    <definedName name="XXXVI" localSheetId="24">#REF!</definedName>
    <definedName name="XXXVI">#REF!</definedName>
    <definedName name="XXXVII" localSheetId="2">#REF!</definedName>
    <definedName name="XXXVII" localSheetId="5">#REF!</definedName>
    <definedName name="XXXVII" localSheetId="24">#REF!</definedName>
    <definedName name="XXXVII">#REF!</definedName>
    <definedName name="XXXVIII" localSheetId="2">#REF!</definedName>
    <definedName name="XXXVIII" localSheetId="5">#REF!</definedName>
    <definedName name="XXXVIII" localSheetId="24">#REF!</definedName>
    <definedName name="XXXVIII">#REF!</definedName>
    <definedName name="xxxx" localSheetId="14">#REF!</definedName>
    <definedName name="xxxx" localSheetId="7">#REF!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9">#REF!</definedName>
    <definedName name="xxxx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5">#REF!</definedName>
    <definedName name="xxxx" localSheetId="8">#REF!</definedName>
    <definedName name="xxxx" localSheetId="12">#REF!</definedName>
    <definedName name="xxxx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7" hidden="1">{"'Edit'!$A$1:$V$2277"}</definedName>
    <definedName name="xxxxxxxxxxxx" localSheetId="2" hidden="1">{"'Edit'!$A$1:$V$2277"}</definedName>
    <definedName name="xxxxxxxxxxxx" localSheetId="9" hidden="1">{"'Edit'!$A$1:$V$2277"}</definedName>
    <definedName name="xxxxxxxxxxxx" localSheetId="5">#REF!</definedName>
    <definedName name="xxxxxxxxxxxx" localSheetId="8" hidden="1">{"'Edit'!$A$1:$V$2277"}</definedName>
    <definedName name="xxxxxxxxxxxx" localSheetId="0" hidden="1">{"'Edit'!$A$1:$V$2277"}</definedName>
    <definedName name="xxxxxxxxxxxx" localSheetId="24">#REF!</definedName>
    <definedName name="xxxxxxxxxxxx">#REF!</definedName>
    <definedName name="xxxxxxxxxxxxxx" localSheetId="14" hidden="1">{#N/A,#N/A,FALSE,"Plan1";#N/A,#N/A,FALSE,"Plan2"}</definedName>
    <definedName name="xxxxxxxxxxxxxx" localSheetId="7" hidden="1">{#N/A,#N/A,FALSE,"Plan1";#N/A,#N/A,FALSE,"Plan2"}</definedName>
    <definedName name="xxxxxxxxxxxxxx" localSheetId="1" hidden="1">{#N/A,#N/A,FALSE,"Plan1";#N/A,#N/A,FALSE,"Plan2"}</definedName>
    <definedName name="xxxxxxxxxxxxxx" localSheetId="2" hidden="1">{#N/A,#N/A,FALSE,"Plan1";#N/A,#N/A,FALSE,"Plan2"}</definedName>
    <definedName name="xxxxxxxxxxxxxx" localSheetId="9" hidden="1">{#N/A,#N/A,FALSE,"Plan1";#N/A,#N/A,FALSE,"Plan2"}</definedName>
    <definedName name="xxxxxxxxxxxxxx" localSheetId="5" hidden="1">{#N/A,#N/A,FALSE,"Plan1";#N/A,#N/A,FALSE,"Plan2"}</definedName>
    <definedName name="xxxxxxxxxxxxxx" localSheetId="4" hidden="1">{#N/A,#N/A,FALSE,"Plan1";#N/A,#N/A,FALSE,"Plan2"}</definedName>
    <definedName name="xxxxxxxxxxxxxx" localSheetId="8" hidden="1">{#N/A,#N/A,FALSE,"Plan1";#N/A,#N/A,FALSE,"Plan2"}</definedName>
    <definedName name="xxxxxxxxxxxxxx" localSheetId="12" hidden="1">{#N/A,#N/A,FALSE,"Plan1";#N/A,#N/A,FALSE,"Plan2"}</definedName>
    <definedName name="xxxxxxxxxxxxxx" localSheetId="16" hidden="1">{#N/A,#N/A,FALSE,"Plan1";#N/A,#N/A,FALSE,"Plan2"}</definedName>
    <definedName name="xxxxxxxxxxxxxx" localSheetId="0" hidden="1">{#N/A,#N/A,FALSE,"Plan1";#N/A,#N/A,FALSE,"Plan2"}</definedName>
    <definedName name="xxxxxxxxxxxxxx" localSheetId="11" hidden="1">{#N/A,#N/A,FALSE,"Plan1";#N/A,#N/A,FALSE,"Plan2"}</definedName>
    <definedName name="xxxxxxxxxxxxxx" localSheetId="13" hidden="1">{#N/A,#N/A,FALSE,"Plan1";#N/A,#N/A,FALSE,"Plan2"}</definedName>
    <definedName name="xxxxxxxxxxxxxx" hidden="1">{#N/A,#N/A,FALSE,"Plan1";#N/A,#N/A,FALSE,"Plan2"}</definedName>
    <definedName name="xzfrt" localSheetId="14" hidden="1">{#N/A,#N/A,FALSE,"Plan1";#N/A,#N/A,FALSE,"Plan2"}</definedName>
    <definedName name="xzfrt" localSheetId="7" hidden="1">{#N/A,#N/A,FALSE,"Plan1";#N/A,#N/A,FALSE,"Plan2"}</definedName>
    <definedName name="xzfrt" localSheetId="1" hidden="1">{#N/A,#N/A,FALSE,"Plan1";#N/A,#N/A,FALSE,"Plan2"}</definedName>
    <definedName name="xzfrt" localSheetId="2" hidden="1">{#N/A,#N/A,FALSE,"Plan1";#N/A,#N/A,FALSE,"Plan2"}</definedName>
    <definedName name="xzfrt" localSheetId="9" hidden="1">{#N/A,#N/A,FALSE,"Plan1";#N/A,#N/A,FALSE,"Plan2"}</definedName>
    <definedName name="xzfrt" localSheetId="5" hidden="1">{#N/A,#N/A,FALSE,"Plan1";#N/A,#N/A,FALSE,"Plan2"}</definedName>
    <definedName name="xzfrt" localSheetId="4" hidden="1">{#N/A,#N/A,FALSE,"Plan1";#N/A,#N/A,FALSE,"Plan2"}</definedName>
    <definedName name="xzfrt" localSheetId="8" hidden="1">{#N/A,#N/A,FALSE,"Plan1";#N/A,#N/A,FALSE,"Plan2"}</definedName>
    <definedName name="xzfrt" localSheetId="12" hidden="1">{#N/A,#N/A,FALSE,"Plan1";#N/A,#N/A,FALSE,"Plan2"}</definedName>
    <definedName name="xzfrt" localSheetId="16" hidden="1">{#N/A,#N/A,FALSE,"Plan1";#N/A,#N/A,FALSE,"Plan2"}</definedName>
    <definedName name="xzfrt" localSheetId="0" hidden="1">{#N/A,#N/A,FALSE,"Plan1";#N/A,#N/A,FALSE,"Plan2"}</definedName>
    <definedName name="xzfrt" localSheetId="11" hidden="1">{#N/A,#N/A,FALSE,"Plan1";#N/A,#N/A,FALSE,"Plan2"}</definedName>
    <definedName name="xzfrt" localSheetId="13" hidden="1">{#N/A,#N/A,FALSE,"Plan1";#N/A,#N/A,FALSE,"Plan2"}</definedName>
    <definedName name="xzfrt" hidden="1">{#N/A,#N/A,FALSE,"Plan1";#N/A,#N/A,FALSE,"Plan2"}</definedName>
    <definedName name="yeitrtged" localSheetId="14" hidden="1">{#N/A,#N/A,FALSE,"Plan1";#N/A,#N/A,FALSE,"Plan2"}</definedName>
    <definedName name="yeitrtged" localSheetId="7" hidden="1">{#N/A,#N/A,FALSE,"Plan1";#N/A,#N/A,FALSE,"Plan2"}</definedName>
    <definedName name="yeitrtged" localSheetId="1" hidden="1">{#N/A,#N/A,FALSE,"Plan1";#N/A,#N/A,FALSE,"Plan2"}</definedName>
    <definedName name="yeitrtged" localSheetId="2" hidden="1">{#N/A,#N/A,FALSE,"Plan1";#N/A,#N/A,FALSE,"Plan2"}</definedName>
    <definedName name="yeitrtged" localSheetId="9" hidden="1">{#N/A,#N/A,FALSE,"Plan1";#N/A,#N/A,FALSE,"Plan2"}</definedName>
    <definedName name="yeitrtged" localSheetId="5" hidden="1">{#N/A,#N/A,FALSE,"Plan1";#N/A,#N/A,FALSE,"Plan2"}</definedName>
    <definedName name="yeitrtged" localSheetId="4" hidden="1">{#N/A,#N/A,FALSE,"Plan1";#N/A,#N/A,FALSE,"Plan2"}</definedName>
    <definedName name="yeitrtged" localSheetId="8" hidden="1">{#N/A,#N/A,FALSE,"Plan1";#N/A,#N/A,FALSE,"Plan2"}</definedName>
    <definedName name="yeitrtged" localSheetId="12" hidden="1">{#N/A,#N/A,FALSE,"Plan1";#N/A,#N/A,FALSE,"Plan2"}</definedName>
    <definedName name="yeitrtged" localSheetId="16" hidden="1">{#N/A,#N/A,FALSE,"Plan1";#N/A,#N/A,FALSE,"Plan2"}</definedName>
    <definedName name="yeitrtged" localSheetId="0" hidden="1">{#N/A,#N/A,FALSE,"Plan1";#N/A,#N/A,FALSE,"Plan2"}</definedName>
    <definedName name="yeitrtged" localSheetId="11" hidden="1">{#N/A,#N/A,FALSE,"Plan1";#N/A,#N/A,FALSE,"Plan2"}</definedName>
    <definedName name="yeitrtged" localSheetId="13" hidden="1">{#N/A,#N/A,FALSE,"Plan1";#N/A,#N/A,FALSE,"Plan2"}</definedName>
    <definedName name="yeitrtged" hidden="1">{#N/A,#N/A,FALSE,"Plan1";#N/A,#N/A,FALSE,"Plan2"}</definedName>
    <definedName name="yhdfiuygrui" localSheetId="14" hidden="1">{#N/A,#N/A,FALSE,"Plan1";#N/A,#N/A,FALSE,"Plan2"}</definedName>
    <definedName name="yhdfiuygrui" localSheetId="7" hidden="1">{#N/A,#N/A,FALSE,"Plan1";#N/A,#N/A,FALSE,"Plan2"}</definedName>
    <definedName name="yhdfiuygrui" localSheetId="1" hidden="1">{#N/A,#N/A,FALSE,"Plan1";#N/A,#N/A,FALSE,"Plan2"}</definedName>
    <definedName name="yhdfiuygrui" localSheetId="2" hidden="1">{#N/A,#N/A,FALSE,"Plan1";#N/A,#N/A,FALSE,"Plan2"}</definedName>
    <definedName name="yhdfiuygrui" localSheetId="9" hidden="1">{#N/A,#N/A,FALSE,"Plan1";#N/A,#N/A,FALSE,"Plan2"}</definedName>
    <definedName name="yhdfiuygrui" localSheetId="5" hidden="1">{#N/A,#N/A,FALSE,"Plan1";#N/A,#N/A,FALSE,"Plan2"}</definedName>
    <definedName name="yhdfiuygrui" localSheetId="4" hidden="1">{#N/A,#N/A,FALSE,"Plan1";#N/A,#N/A,FALSE,"Plan2"}</definedName>
    <definedName name="yhdfiuygrui" localSheetId="8" hidden="1">{#N/A,#N/A,FALSE,"Plan1";#N/A,#N/A,FALSE,"Plan2"}</definedName>
    <definedName name="yhdfiuygrui" localSheetId="12" hidden="1">{#N/A,#N/A,FALSE,"Plan1";#N/A,#N/A,FALSE,"Plan2"}</definedName>
    <definedName name="yhdfiuygrui" localSheetId="16" hidden="1">{#N/A,#N/A,FALSE,"Plan1";#N/A,#N/A,FALSE,"Plan2"}</definedName>
    <definedName name="yhdfiuygrui" localSheetId="0" hidden="1">{#N/A,#N/A,FALSE,"Plan1";#N/A,#N/A,FALSE,"Plan2"}</definedName>
    <definedName name="yhdfiuygrui" localSheetId="11" hidden="1">{#N/A,#N/A,FALSE,"Plan1";#N/A,#N/A,FALSE,"Plan2"}</definedName>
    <definedName name="yhdfiuygrui" localSheetId="13" hidden="1">{#N/A,#N/A,FALSE,"Plan1";#N/A,#N/A,FALSE,"Plan2"}</definedName>
    <definedName name="yhdfiuygrui" hidden="1">{#N/A,#N/A,FALSE,"Plan1";#N/A,#N/A,FALSE,"Plan2"}</definedName>
    <definedName name="YRGUYDRIY" localSheetId="14" hidden="1">{"Econ Consolidado",#N/A,FALSE,"Econ Consol";"Fluxo de Caixa",#N/A,FALSE,"Fluxo Caixa";"Investimentos",#N/A,FALSE,"Investimentos"}</definedName>
    <definedName name="YRGUYDRIY" localSheetId="7" hidden="1">{"Econ Consolidado",#N/A,FALSE,"Econ Consol";"Fluxo de Caixa",#N/A,FALSE,"Fluxo Caixa";"Investimentos",#N/A,FALSE,"Investimentos"}</definedName>
    <definedName name="YRGUYDRIY" localSheetId="1" hidden="1">{"Econ Consolidado",#N/A,FALSE,"Econ Consol";"Fluxo de Caixa",#N/A,FALSE,"Fluxo Caixa";"Investimentos",#N/A,FALSE,"Investimentos"}</definedName>
    <definedName name="YRGUYDRIY" localSheetId="2" hidden="1">{"Econ Consolidado",#N/A,FALSE,"Econ Consol";"Fluxo de Caixa",#N/A,FALSE,"Fluxo Caixa";"Investimentos",#N/A,FALSE,"Investimentos"}</definedName>
    <definedName name="YRGUYDRIY" localSheetId="9" hidden="1">{"Econ Consolidado",#N/A,FALSE,"Econ Consol";"Fluxo de Caixa",#N/A,FALSE,"Fluxo Caixa";"Investimentos",#N/A,FALSE,"Investimentos"}</definedName>
    <definedName name="YRGUYDRIY" localSheetId="5" hidden="1">{"Econ Consolidado",#N/A,FALSE,"Econ Consol";"Fluxo de Caixa",#N/A,FALSE,"Fluxo Caixa";"Investimentos",#N/A,FALSE,"Investimentos"}</definedName>
    <definedName name="YRGUYDRIY" localSheetId="4" hidden="1">{"Econ Consolidado",#N/A,FALSE,"Econ Consol";"Fluxo de Caixa",#N/A,FALSE,"Fluxo Caixa";"Investimentos",#N/A,FALSE,"Investimentos"}</definedName>
    <definedName name="YRGUYDRIY" localSheetId="8" hidden="1">{"Econ Consolidado",#N/A,FALSE,"Econ Consol";"Fluxo de Caixa",#N/A,FALSE,"Fluxo Caixa";"Investimentos",#N/A,FALSE,"Investimentos"}</definedName>
    <definedName name="YRGUYDRIY" localSheetId="12" hidden="1">{"Econ Consolidado",#N/A,FALSE,"Econ Consol";"Fluxo de Caixa",#N/A,FALSE,"Fluxo Caixa";"Investimentos",#N/A,FALSE,"Investimentos"}</definedName>
    <definedName name="YRGUYDRIY" localSheetId="16" hidden="1">{"Econ Consolidado",#N/A,FALSE,"Econ Consol";"Fluxo de Caixa",#N/A,FALSE,"Fluxo Caixa";"Investimentos",#N/A,FALSE,"Investimentos"}</definedName>
    <definedName name="YRGUYDRIY" localSheetId="0" hidden="1">{"Econ Consolidado",#N/A,FALSE,"Econ Consol";"Fluxo de Caixa",#N/A,FALSE,"Fluxo Caixa";"Investimentos",#N/A,FALSE,"Investimentos"}</definedName>
    <definedName name="YRGUYDRIY" localSheetId="11" hidden="1">{"Econ Consolidado",#N/A,FALSE,"Econ Consol";"Fluxo de Caixa",#N/A,FALSE,"Fluxo Caixa";"Investimentos",#N/A,FALSE,"Investimentos"}</definedName>
    <definedName name="YRGUYDRIY" localSheetId="13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2">#REF!</definedName>
    <definedName name="ytdju" localSheetId="5">#REF!</definedName>
    <definedName name="ytdju">#REF!</definedName>
    <definedName name="yuegursdmksf" localSheetId="14" hidden="1">{#N/A,#N/A,FALSE,"Plan1";#N/A,#N/A,FALSE,"Plan2"}</definedName>
    <definedName name="yuegursdmksf" localSheetId="7" hidden="1">{#N/A,#N/A,FALSE,"Plan1";#N/A,#N/A,FALSE,"Plan2"}</definedName>
    <definedName name="yuegursdmksf" localSheetId="1" hidden="1">{#N/A,#N/A,FALSE,"Plan1";#N/A,#N/A,FALSE,"Plan2"}</definedName>
    <definedName name="yuegursdmksf" localSheetId="2" hidden="1">{#N/A,#N/A,FALSE,"Plan1";#N/A,#N/A,FALSE,"Plan2"}</definedName>
    <definedName name="yuegursdmksf" localSheetId="9" hidden="1">{#N/A,#N/A,FALSE,"Plan1";#N/A,#N/A,FALSE,"Plan2"}</definedName>
    <definedName name="yuegursdmksf" localSheetId="5" hidden="1">{#N/A,#N/A,FALSE,"Plan1";#N/A,#N/A,FALSE,"Plan2"}</definedName>
    <definedName name="yuegursdmksf" localSheetId="4" hidden="1">{#N/A,#N/A,FALSE,"Plan1";#N/A,#N/A,FALSE,"Plan2"}</definedName>
    <definedName name="yuegursdmksf" localSheetId="8" hidden="1">{#N/A,#N/A,FALSE,"Plan1";#N/A,#N/A,FALSE,"Plan2"}</definedName>
    <definedName name="yuegursdmksf" localSheetId="12" hidden="1">{#N/A,#N/A,FALSE,"Plan1";#N/A,#N/A,FALSE,"Plan2"}</definedName>
    <definedName name="yuegursdmksf" localSheetId="16" hidden="1">{#N/A,#N/A,FALSE,"Plan1";#N/A,#N/A,FALSE,"Plan2"}</definedName>
    <definedName name="yuegursdmksf" localSheetId="0" hidden="1">{#N/A,#N/A,FALSE,"Plan1";#N/A,#N/A,FALSE,"Plan2"}</definedName>
    <definedName name="yuegursdmksf" localSheetId="11" hidden="1">{#N/A,#N/A,FALSE,"Plan1";#N/A,#N/A,FALSE,"Plan2"}</definedName>
    <definedName name="yuegursdmksf" localSheetId="13" hidden="1">{#N/A,#N/A,FALSE,"Plan1";#N/A,#N/A,FALSE,"Plan2"}</definedName>
    <definedName name="yuegursdmksf" hidden="1">{#N/A,#N/A,FALSE,"Plan1";#N/A,#N/A,FALSE,"Plan2"}</definedName>
    <definedName name="yuekl4fr" localSheetId="14" hidden="1">{#N/A,#N/A,FALSE,"Plan1";#N/A,#N/A,FALSE,"Plan2"}</definedName>
    <definedName name="yuekl4fr" localSheetId="7" hidden="1">{#N/A,#N/A,FALSE,"Plan1";#N/A,#N/A,FALSE,"Plan2"}</definedName>
    <definedName name="yuekl4fr" localSheetId="1" hidden="1">{#N/A,#N/A,FALSE,"Plan1";#N/A,#N/A,FALSE,"Plan2"}</definedName>
    <definedName name="yuekl4fr" localSheetId="2" hidden="1">{#N/A,#N/A,FALSE,"Plan1";#N/A,#N/A,FALSE,"Plan2"}</definedName>
    <definedName name="yuekl4fr" localSheetId="9" hidden="1">{#N/A,#N/A,FALSE,"Plan1";#N/A,#N/A,FALSE,"Plan2"}</definedName>
    <definedName name="yuekl4fr" localSheetId="5" hidden="1">{#N/A,#N/A,FALSE,"Plan1";#N/A,#N/A,FALSE,"Plan2"}</definedName>
    <definedName name="yuekl4fr" localSheetId="4" hidden="1">{#N/A,#N/A,FALSE,"Plan1";#N/A,#N/A,FALSE,"Plan2"}</definedName>
    <definedName name="yuekl4fr" localSheetId="8" hidden="1">{#N/A,#N/A,FALSE,"Plan1";#N/A,#N/A,FALSE,"Plan2"}</definedName>
    <definedName name="yuekl4fr" localSheetId="12" hidden="1">{#N/A,#N/A,FALSE,"Plan1";#N/A,#N/A,FALSE,"Plan2"}</definedName>
    <definedName name="yuekl4fr" localSheetId="16" hidden="1">{#N/A,#N/A,FALSE,"Plan1";#N/A,#N/A,FALSE,"Plan2"}</definedName>
    <definedName name="yuekl4fr" localSheetId="0" hidden="1">{#N/A,#N/A,FALSE,"Plan1";#N/A,#N/A,FALSE,"Plan2"}</definedName>
    <definedName name="yuekl4fr" localSheetId="11" hidden="1">{#N/A,#N/A,FALSE,"Plan1";#N/A,#N/A,FALSE,"Plan2"}</definedName>
    <definedName name="yuekl4fr" localSheetId="13" hidden="1">{#N/A,#N/A,FALSE,"Plan1";#N/A,#N/A,FALSE,"Plan2"}</definedName>
    <definedName name="yuekl4fr" hidden="1">{#N/A,#N/A,FALSE,"Plan1";#N/A,#N/A,FALSE,"Plan2"}</definedName>
    <definedName name="yureytuyrea" localSheetId="14" hidden="1">{#N/A,#N/A,FALSE,"Plan1";#N/A,#N/A,FALSE,"Plan2"}</definedName>
    <definedName name="yureytuyrea" localSheetId="7" hidden="1">{#N/A,#N/A,FALSE,"Plan1";#N/A,#N/A,FALSE,"Plan2"}</definedName>
    <definedName name="yureytuyrea" localSheetId="1" hidden="1">{#N/A,#N/A,FALSE,"Plan1";#N/A,#N/A,FALSE,"Plan2"}</definedName>
    <definedName name="yureytuyrea" localSheetId="2" hidden="1">{#N/A,#N/A,FALSE,"Plan1";#N/A,#N/A,FALSE,"Plan2"}</definedName>
    <definedName name="yureytuyrea" localSheetId="9" hidden="1">{#N/A,#N/A,FALSE,"Plan1";#N/A,#N/A,FALSE,"Plan2"}</definedName>
    <definedName name="yureytuyrea" localSheetId="5" hidden="1">{#N/A,#N/A,FALSE,"Plan1";#N/A,#N/A,FALSE,"Plan2"}</definedName>
    <definedName name="yureytuyrea" localSheetId="4" hidden="1">{#N/A,#N/A,FALSE,"Plan1";#N/A,#N/A,FALSE,"Plan2"}</definedName>
    <definedName name="yureytuyrea" localSheetId="8" hidden="1">{#N/A,#N/A,FALSE,"Plan1";#N/A,#N/A,FALSE,"Plan2"}</definedName>
    <definedName name="yureytuyrea" localSheetId="12" hidden="1">{#N/A,#N/A,FALSE,"Plan1";#N/A,#N/A,FALSE,"Plan2"}</definedName>
    <definedName name="yureytuyrea" localSheetId="16" hidden="1">{#N/A,#N/A,FALSE,"Plan1";#N/A,#N/A,FALSE,"Plan2"}</definedName>
    <definedName name="yureytuyrea" localSheetId="0" hidden="1">{#N/A,#N/A,FALSE,"Plan1";#N/A,#N/A,FALSE,"Plan2"}</definedName>
    <definedName name="yureytuyrea" localSheetId="11" hidden="1">{#N/A,#N/A,FALSE,"Plan1";#N/A,#N/A,FALSE,"Plan2"}</definedName>
    <definedName name="yureytuyrea" localSheetId="13" hidden="1">{#N/A,#N/A,FALSE,"Plan1";#N/A,#N/A,FALSE,"Plan2"}</definedName>
    <definedName name="yureytuyrea" hidden="1">{#N/A,#N/A,FALSE,"Plan1";#N/A,#N/A,FALSE,"Plan2"}</definedName>
    <definedName name="z" localSheetId="14" hidden="1">{"'Estimativa de Lançamento-JAN'!$A$1:$AI$85"}</definedName>
    <definedName name="z" localSheetId="7" hidden="1">{"'Estimativa de Lançamento-JAN'!$A$1:$AI$85"}</definedName>
    <definedName name="z" localSheetId="1" hidden="1">{"'Estimativa de Lançamento-JAN'!$A$1:$AI$85"}</definedName>
    <definedName name="z" localSheetId="2" hidden="1">{"'Estimativa de Lançamento-JAN'!$A$1:$AI$85"}</definedName>
    <definedName name="z" localSheetId="9" hidden="1">{"'Estimativa de Lançamento-JAN'!$A$1:$AI$85"}</definedName>
    <definedName name="z" localSheetId="5" hidden="1">{"'Estimativa de Lançamento-JAN'!$A$1:$AI$85"}</definedName>
    <definedName name="z" localSheetId="4" hidden="1">{"'Estimativa de Lançamento-JAN'!$A$1:$AI$85"}</definedName>
    <definedName name="z" localSheetId="8" hidden="1">{"'Estimativa de Lançamento-JAN'!$A$1:$AI$85"}</definedName>
    <definedName name="z" localSheetId="12" hidden="1">{"'Estimativa de Lançamento-JAN'!$A$1:$AI$85"}</definedName>
    <definedName name="z" localSheetId="16" hidden="1">{"'Estimativa de Lançamento-JAN'!$A$1:$AI$85"}</definedName>
    <definedName name="z" localSheetId="0" hidden="1">{"'Estimativa de Lançamento-JAN'!$A$1:$AI$85"}</definedName>
    <definedName name="z" localSheetId="11" hidden="1">{"'Estimativa de Lançamento-JAN'!$A$1:$AI$85"}</definedName>
    <definedName name="z" localSheetId="13" hidden="1">{"'Estimativa de Lançamento-JAN'!$A$1:$AI$85"}</definedName>
    <definedName name="z" hidden="1">{"'Estimativa de Lançamento-JAN'!$A$1:$AI$85"}</definedName>
    <definedName name="z\djs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2" hidden="1">#REF!</definedName>
    <definedName name="Z_022B7420_7F94_427F_B370_84030F9B3342_.wvu.FilterData" localSheetId="5" hidden="1">#REF!</definedName>
    <definedName name="Z_022B7420_7F94_427F_B370_84030F9B3342_.wvu.FilterData" localSheetId="0" hidden="1">#REF!</definedName>
    <definedName name="Z_022B7420_7F94_427F_B370_84030F9B3342_.wvu.FilterData" hidden="1">#REF!</definedName>
    <definedName name="Z_04BC043C_175B_412D_8093_6F29CD74FBAE_.wvu.FilterData" localSheetId="0" hidden="1">#REF!</definedName>
    <definedName name="Z_04BC043C_175B_412D_8093_6F29CD74FBAE_.wvu.FilterData" hidden="1">#REF!</definedName>
    <definedName name="Z_058B9256_CB4D_4C39_834D_D693FEEB491F_.wvu.FilterData" localSheetId="0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2" hidden="1">#REF!</definedName>
    <definedName name="Z_14D375AC_5615_46DE_8EE3_95915B2A8B54_.wvu.FilterData" localSheetId="5" hidden="1">#REF!</definedName>
    <definedName name="Z_14D375AC_5615_46DE_8EE3_95915B2A8B54_.wvu.FilterData" localSheetId="0" hidden="1">#REF!</definedName>
    <definedName name="Z_14D375AC_5615_46DE_8EE3_95915B2A8B54_.wvu.FilterData" hidden="1">#REF!</definedName>
    <definedName name="Z_15697660_066E_11D5_AF15_00010242ED40_.wvu.PrintArea" localSheetId="2" hidden="1">#REF!</definedName>
    <definedName name="Z_15697660_066E_11D5_AF15_00010242ED40_.wvu.PrintArea" localSheetId="5" hidden="1">#REF!</definedName>
    <definedName name="Z_15697660_066E_11D5_AF15_00010242ED40_.wvu.PrintArea" localSheetId="0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2" hidden="1">#REF!,#REF!</definedName>
    <definedName name="Z_60DF8B29_1C1F_4B50_BDA8_B8E0C7DD04C3_.wvu.Cols" localSheetId="5" hidden="1">#REF!,#REF!</definedName>
    <definedName name="Z_60DF8B29_1C1F_4B50_BDA8_B8E0C7DD04C3_.wvu.Cols" localSheetId="0" hidden="1">#REF!,#REF!</definedName>
    <definedName name="Z_60DF8B29_1C1F_4B50_BDA8_B8E0C7DD04C3_.wvu.Cols" hidden="1">#REF!,#REF!</definedName>
    <definedName name="Z_60DF8B29_1C1F_4B50_BDA8_B8E0C7DD04C3_.wvu.FilterData" localSheetId="2" hidden="1">#REF!</definedName>
    <definedName name="Z_60DF8B29_1C1F_4B50_BDA8_B8E0C7DD04C3_.wvu.FilterData" localSheetId="5" hidden="1">#REF!</definedName>
    <definedName name="Z_60DF8B29_1C1F_4B50_BDA8_B8E0C7DD04C3_.wvu.FilterData" localSheetId="0" hidden="1">#REF!</definedName>
    <definedName name="Z_60DF8B29_1C1F_4B50_BDA8_B8E0C7DD04C3_.wvu.FilterData" hidden="1">#REF!</definedName>
    <definedName name="Z_615F4A4D_D5AB_4A04_81F5_F436484247A5_.wvu.FilterData" localSheetId="0" hidden="1">#REF!</definedName>
    <definedName name="Z_615F4A4D_D5AB_4A04_81F5_F436484247A5_.wvu.FilterData" hidden="1">#REF!</definedName>
    <definedName name="Z_616443B5_6F0D_4082_9223_F71B54305366_.wvu.FilterData" localSheetId="0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2" hidden="1">#REF!,#REF!</definedName>
    <definedName name="Z_E3FFE9E0_6C4F_4FB4_A56E_FBE96871B5C8_.wvu.Cols" localSheetId="5" hidden="1">#REF!,#REF!</definedName>
    <definedName name="Z_E3FFE9E0_6C4F_4FB4_A56E_FBE96871B5C8_.wvu.Cols" localSheetId="0" hidden="1">#REF!,#REF!</definedName>
    <definedName name="Z_E3FFE9E0_6C4F_4FB4_A56E_FBE96871B5C8_.wvu.Cols" hidden="1">#REF!,#REF!</definedName>
    <definedName name="Z_E3FFE9E0_6C4F_4FB4_A56E_FBE96871B5C8_.wvu.FilterData" localSheetId="2" hidden="1">#REF!</definedName>
    <definedName name="Z_E3FFE9E0_6C4F_4FB4_A56E_FBE96871B5C8_.wvu.FilterData" localSheetId="5" hidden="1">#REF!</definedName>
    <definedName name="Z_E3FFE9E0_6C4F_4FB4_A56E_FBE96871B5C8_.wvu.FilterData" localSheetId="0" hidden="1">#REF!</definedName>
    <definedName name="Z_E3FFE9E0_6C4F_4FB4_A56E_FBE96871B5C8_.wvu.FilterData" hidden="1">#REF!</definedName>
    <definedName name="Z_E42D429F_E4E8_41D2_9176_83C726BAF8E3_.wvu.FilterData" localSheetId="0" hidden="1">#REF!</definedName>
    <definedName name="Z_E42D429F_E4E8_41D2_9176_83C726BAF8E3_.wvu.FilterData" hidden="1">#REF!</definedName>
    <definedName name="Z_E491B72F_902A_11D7_9C1E_0004231B06E7_.wvu.FilterData" localSheetId="0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2" hidden="1">#REF!</definedName>
    <definedName name="Z_F9CB3A99_6D24_412C_93C4_575819594890_.wvu.FilterData" localSheetId="5" hidden="1">#REF!</definedName>
    <definedName name="Z_F9CB3A99_6D24_412C_93C4_575819594890_.wvu.FilterData" localSheetId="0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14" hidden="1">{#N/A,#N/A,FALSE,"Plan1";#N/A,#N/A,FALSE,"Plan2"}</definedName>
    <definedName name="zcdçskld" localSheetId="7" hidden="1">{#N/A,#N/A,FALSE,"Plan1";#N/A,#N/A,FALSE,"Plan2"}</definedName>
    <definedName name="zcdçskld" localSheetId="1" hidden="1">{#N/A,#N/A,FALSE,"Plan1";#N/A,#N/A,FALSE,"Plan2"}</definedName>
    <definedName name="zcdçskld" localSheetId="2" hidden="1">{#N/A,#N/A,FALSE,"Plan1";#N/A,#N/A,FALSE,"Plan2"}</definedName>
    <definedName name="zcdçskld" localSheetId="9" hidden="1">{#N/A,#N/A,FALSE,"Plan1";#N/A,#N/A,FALSE,"Plan2"}</definedName>
    <definedName name="zcdçskld" localSheetId="5" hidden="1">{#N/A,#N/A,FALSE,"Plan1";#N/A,#N/A,FALSE,"Plan2"}</definedName>
    <definedName name="zcdçskld" localSheetId="4" hidden="1">{#N/A,#N/A,FALSE,"Plan1";#N/A,#N/A,FALSE,"Plan2"}</definedName>
    <definedName name="zcdçskld" localSheetId="8" hidden="1">{#N/A,#N/A,FALSE,"Plan1";#N/A,#N/A,FALSE,"Plan2"}</definedName>
    <definedName name="zcdçskld" localSheetId="12" hidden="1">{#N/A,#N/A,FALSE,"Plan1";#N/A,#N/A,FALSE,"Plan2"}</definedName>
    <definedName name="zcdçskld" localSheetId="16" hidden="1">{#N/A,#N/A,FALSE,"Plan1";#N/A,#N/A,FALSE,"Plan2"}</definedName>
    <definedName name="zcdçskld" localSheetId="0" hidden="1">{#N/A,#N/A,FALSE,"Plan1";#N/A,#N/A,FALSE,"Plan2"}</definedName>
    <definedName name="zcdçskld" localSheetId="11" hidden="1">{#N/A,#N/A,FALSE,"Plan1";#N/A,#N/A,FALSE,"Plan2"}</definedName>
    <definedName name="zcdçskld" localSheetId="13" hidden="1">{#N/A,#N/A,FALSE,"Plan1";#N/A,#N/A,FALSE,"Plan2"}</definedName>
    <definedName name="zcdçskld" hidden="1">{#N/A,#N/A,FALSE,"Plan1";#N/A,#N/A,FALSE,"Plan2"}</definedName>
    <definedName name="zcsdrfrt" localSheetId="14" hidden="1">{#N/A,#N/A,FALSE,"Plan1";#N/A,#N/A,FALSE,"Plan2"}</definedName>
    <definedName name="zcsdrfrt" localSheetId="7" hidden="1">{#N/A,#N/A,FALSE,"Plan1";#N/A,#N/A,FALSE,"Plan2"}</definedName>
    <definedName name="zcsdrfrt" localSheetId="1" hidden="1">{#N/A,#N/A,FALSE,"Plan1";#N/A,#N/A,FALSE,"Plan2"}</definedName>
    <definedName name="zcsdrfrt" localSheetId="2" hidden="1">{#N/A,#N/A,FALSE,"Plan1";#N/A,#N/A,FALSE,"Plan2"}</definedName>
    <definedName name="zcsdrfrt" localSheetId="9" hidden="1">{#N/A,#N/A,FALSE,"Plan1";#N/A,#N/A,FALSE,"Plan2"}</definedName>
    <definedName name="zcsdrfrt" localSheetId="5" hidden="1">{#N/A,#N/A,FALSE,"Plan1";#N/A,#N/A,FALSE,"Plan2"}</definedName>
    <definedName name="zcsdrfrt" localSheetId="4" hidden="1">{#N/A,#N/A,FALSE,"Plan1";#N/A,#N/A,FALSE,"Plan2"}</definedName>
    <definedName name="zcsdrfrt" localSheetId="8" hidden="1">{#N/A,#N/A,FALSE,"Plan1";#N/A,#N/A,FALSE,"Plan2"}</definedName>
    <definedName name="zcsdrfrt" localSheetId="12" hidden="1">{#N/A,#N/A,FALSE,"Plan1";#N/A,#N/A,FALSE,"Plan2"}</definedName>
    <definedName name="zcsdrfrt" localSheetId="16" hidden="1">{#N/A,#N/A,FALSE,"Plan1";#N/A,#N/A,FALSE,"Plan2"}</definedName>
    <definedName name="zcsdrfrt" localSheetId="0" hidden="1">{#N/A,#N/A,FALSE,"Plan1";#N/A,#N/A,FALSE,"Plan2"}</definedName>
    <definedName name="zcsdrfrt" localSheetId="11" hidden="1">{#N/A,#N/A,FALSE,"Plan1";#N/A,#N/A,FALSE,"Plan2"}</definedName>
    <definedName name="zcsdrfrt" localSheetId="13" hidden="1">{#N/A,#N/A,FALSE,"Plan1";#N/A,#N/A,FALSE,"Plan2"}</definedName>
    <definedName name="zcsdrfrt" hidden="1">{#N/A,#N/A,FALSE,"Plan1";#N/A,#N/A,FALSE,"Plan2"}</definedName>
    <definedName name="ZDRE" localSheetId="14" hidden="1">{#N/A,#N/A,FALSE,"Plan1";#N/A,#N/A,FALSE,"Plan2"}</definedName>
    <definedName name="ZDRE" localSheetId="7" hidden="1">{#N/A,#N/A,FALSE,"Plan1";#N/A,#N/A,FALSE,"Plan2"}</definedName>
    <definedName name="ZDRE" localSheetId="1" hidden="1">{#N/A,#N/A,FALSE,"Plan1";#N/A,#N/A,FALSE,"Plan2"}</definedName>
    <definedName name="ZDRE" localSheetId="2" hidden="1">{#N/A,#N/A,FALSE,"Plan1";#N/A,#N/A,FALSE,"Plan2"}</definedName>
    <definedName name="ZDRE" localSheetId="9" hidden="1">{#N/A,#N/A,FALSE,"Plan1";#N/A,#N/A,FALSE,"Plan2"}</definedName>
    <definedName name="ZDRE" localSheetId="5" hidden="1">{#N/A,#N/A,FALSE,"Plan1";#N/A,#N/A,FALSE,"Plan2"}</definedName>
    <definedName name="ZDRE" localSheetId="4" hidden="1">{#N/A,#N/A,FALSE,"Plan1";#N/A,#N/A,FALSE,"Plan2"}</definedName>
    <definedName name="ZDRE" localSheetId="8" hidden="1">{#N/A,#N/A,FALSE,"Plan1";#N/A,#N/A,FALSE,"Plan2"}</definedName>
    <definedName name="ZDRE" localSheetId="12" hidden="1">{#N/A,#N/A,FALSE,"Plan1";#N/A,#N/A,FALSE,"Plan2"}</definedName>
    <definedName name="ZDRE" localSheetId="16" hidden="1">{#N/A,#N/A,FALSE,"Plan1";#N/A,#N/A,FALSE,"Plan2"}</definedName>
    <definedName name="ZDRE" localSheetId="0" hidden="1">{#N/A,#N/A,FALSE,"Plan1";#N/A,#N/A,FALSE,"Plan2"}</definedName>
    <definedName name="ZDRE" localSheetId="11" hidden="1">{#N/A,#N/A,FALSE,"Plan1";#N/A,#N/A,FALSE,"Plan2"}</definedName>
    <definedName name="ZDRE" localSheetId="13" hidden="1">{#N/A,#N/A,FALSE,"Plan1";#N/A,#N/A,FALSE,"Plan2"}</definedName>
    <definedName name="ZDRE" hidden="1">{#N/A,#N/A,FALSE,"Plan1";#N/A,#N/A,FALSE,"Plan2"}</definedName>
    <definedName name="ZEZE" localSheetId="2">#REF!</definedName>
    <definedName name="ZEZE" localSheetId="5">#REF!</definedName>
    <definedName name="ZEZE">#REF!</definedName>
    <definedName name="ZIN" localSheetId="2">#REF!</definedName>
    <definedName name="ZIN" localSheetId="5">#REF!</definedName>
    <definedName name="ZIN">#REF!</definedName>
    <definedName name="ZINS" localSheetId="2">#REF!</definedName>
    <definedName name="ZINS" localSheetId="5">#REF!</definedName>
    <definedName name="ZINS">#REF!</definedName>
    <definedName name="ZSADF" localSheetId="14" hidden="1">{#N/A,#N/A,FALSE,"Plan1";#N/A,#N/A,FALSE,"Plan2"}</definedName>
    <definedName name="ZSADF" localSheetId="7" hidden="1">{#N/A,#N/A,FALSE,"Plan1";#N/A,#N/A,FALSE,"Plan2"}</definedName>
    <definedName name="ZSADF" localSheetId="1" hidden="1">{#N/A,#N/A,FALSE,"Plan1";#N/A,#N/A,FALSE,"Plan2"}</definedName>
    <definedName name="ZSADF" localSheetId="2" hidden="1">{#N/A,#N/A,FALSE,"Plan1";#N/A,#N/A,FALSE,"Plan2"}</definedName>
    <definedName name="ZSADF" localSheetId="9" hidden="1">{#N/A,#N/A,FALSE,"Plan1";#N/A,#N/A,FALSE,"Plan2"}</definedName>
    <definedName name="ZSADF" localSheetId="5" hidden="1">{#N/A,#N/A,FALSE,"Plan1";#N/A,#N/A,FALSE,"Plan2"}</definedName>
    <definedName name="ZSADF" localSheetId="4" hidden="1">{#N/A,#N/A,FALSE,"Plan1";#N/A,#N/A,FALSE,"Plan2"}</definedName>
    <definedName name="ZSADF" localSheetId="8" hidden="1">{#N/A,#N/A,FALSE,"Plan1";#N/A,#N/A,FALSE,"Plan2"}</definedName>
    <definedName name="ZSADF" localSheetId="12" hidden="1">{#N/A,#N/A,FALSE,"Plan1";#N/A,#N/A,FALSE,"Plan2"}</definedName>
    <definedName name="ZSADF" localSheetId="16" hidden="1">{#N/A,#N/A,FALSE,"Plan1";#N/A,#N/A,FALSE,"Plan2"}</definedName>
    <definedName name="ZSADF" localSheetId="0" hidden="1">{#N/A,#N/A,FALSE,"Plan1";#N/A,#N/A,FALSE,"Plan2"}</definedName>
    <definedName name="ZSADF" localSheetId="11" hidden="1">{#N/A,#N/A,FALSE,"Plan1";#N/A,#N/A,FALSE,"Plan2"}</definedName>
    <definedName name="ZSADF" localSheetId="13" hidden="1">{#N/A,#N/A,FALSE,"Plan1";#N/A,#N/A,FALSE,"Plan2"}</definedName>
    <definedName name="ZSADF" hidden="1">{#N/A,#N/A,FALSE,"Plan1";#N/A,#N/A,FALSE,"Plan2"}</definedName>
    <definedName name="zsads" localSheetId="14" hidden="1">{#N/A,#N/A,FALSE,"Plan1";#N/A,#N/A,FALSE,"Plan2"}</definedName>
    <definedName name="zsads" localSheetId="7" hidden="1">{#N/A,#N/A,FALSE,"Plan1";#N/A,#N/A,FALSE,"Plan2"}</definedName>
    <definedName name="zsads" localSheetId="1" hidden="1">{#N/A,#N/A,FALSE,"Plan1";#N/A,#N/A,FALSE,"Plan2"}</definedName>
    <definedName name="zsads" localSheetId="2" hidden="1">{#N/A,#N/A,FALSE,"Plan1";#N/A,#N/A,FALSE,"Plan2"}</definedName>
    <definedName name="zsads" localSheetId="9" hidden="1">{#N/A,#N/A,FALSE,"Plan1";#N/A,#N/A,FALSE,"Plan2"}</definedName>
    <definedName name="zsads" localSheetId="5" hidden="1">{#N/A,#N/A,FALSE,"Plan1";#N/A,#N/A,FALSE,"Plan2"}</definedName>
    <definedName name="zsads" localSheetId="4" hidden="1">{#N/A,#N/A,FALSE,"Plan1";#N/A,#N/A,FALSE,"Plan2"}</definedName>
    <definedName name="zsads" localSheetId="8" hidden="1">{#N/A,#N/A,FALSE,"Plan1";#N/A,#N/A,FALSE,"Plan2"}</definedName>
    <definedName name="zsads" localSheetId="12" hidden="1">{#N/A,#N/A,FALSE,"Plan1";#N/A,#N/A,FALSE,"Plan2"}</definedName>
    <definedName name="zsads" localSheetId="16" hidden="1">{#N/A,#N/A,FALSE,"Plan1";#N/A,#N/A,FALSE,"Plan2"}</definedName>
    <definedName name="zsads" localSheetId="0" hidden="1">{#N/A,#N/A,FALSE,"Plan1";#N/A,#N/A,FALSE,"Plan2"}</definedName>
    <definedName name="zsads" localSheetId="11" hidden="1">{#N/A,#N/A,FALSE,"Plan1";#N/A,#N/A,FALSE,"Plan2"}</definedName>
    <definedName name="zsads" localSheetId="13" hidden="1">{#N/A,#N/A,FALSE,"Plan1";#N/A,#N/A,FALSE,"Plan2"}</definedName>
    <definedName name="zsads" hidden="1">{#N/A,#N/A,FALSE,"Plan1";#N/A,#N/A,FALSE,"Plan2"}</definedName>
    <definedName name="ZSDFSETR" localSheetId="2" hidden="1">#REF!</definedName>
    <definedName name="ZSDFSETR" localSheetId="5" hidden="1">#REF!</definedName>
    <definedName name="ZSDFSETR" localSheetId="0" hidden="1">#REF!</definedName>
    <definedName name="ZSDFSETR" hidden="1">#REF!</definedName>
    <definedName name="zsds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4" hidden="1">{#N/A,#N/A,FALSE,"Plan1";#N/A,#N/A,FALSE,"Plan2"}</definedName>
    <definedName name="zxccdf" localSheetId="7" hidden="1">{#N/A,#N/A,FALSE,"Plan1";#N/A,#N/A,FALSE,"Plan2"}</definedName>
    <definedName name="zxccdf" localSheetId="1" hidden="1">{#N/A,#N/A,FALSE,"Plan1";#N/A,#N/A,FALSE,"Plan2"}</definedName>
    <definedName name="zxccdf" localSheetId="2" hidden="1">{#N/A,#N/A,FALSE,"Plan1";#N/A,#N/A,FALSE,"Plan2"}</definedName>
    <definedName name="zxccdf" localSheetId="9" hidden="1">{#N/A,#N/A,FALSE,"Plan1";#N/A,#N/A,FALSE,"Plan2"}</definedName>
    <definedName name="zxccdf" localSheetId="5" hidden="1">{#N/A,#N/A,FALSE,"Plan1";#N/A,#N/A,FALSE,"Plan2"}</definedName>
    <definedName name="zxccdf" localSheetId="4" hidden="1">{#N/A,#N/A,FALSE,"Plan1";#N/A,#N/A,FALSE,"Plan2"}</definedName>
    <definedName name="zxccdf" localSheetId="8" hidden="1">{#N/A,#N/A,FALSE,"Plan1";#N/A,#N/A,FALSE,"Plan2"}</definedName>
    <definedName name="zxccdf" localSheetId="12" hidden="1">{#N/A,#N/A,FALSE,"Plan1";#N/A,#N/A,FALSE,"Plan2"}</definedName>
    <definedName name="zxccdf" localSheetId="16" hidden="1">{#N/A,#N/A,FALSE,"Plan1";#N/A,#N/A,FALSE,"Plan2"}</definedName>
    <definedName name="zxccdf" localSheetId="0" hidden="1">{#N/A,#N/A,FALSE,"Plan1";#N/A,#N/A,FALSE,"Plan2"}</definedName>
    <definedName name="zxccdf" localSheetId="11" hidden="1">{#N/A,#N/A,FALSE,"Plan1";#N/A,#N/A,FALSE,"Plan2"}</definedName>
    <definedName name="zxccdf" localSheetId="13" hidden="1">{#N/A,#N/A,FALSE,"Plan1";#N/A,#N/A,FALSE,"Plan2"}</definedName>
    <definedName name="zxccdf" hidden="1">{#N/A,#N/A,FALSE,"Plan1";#N/A,#N/A,FALSE,"Plan2"}</definedName>
    <definedName name="zxcdsf" localSheetId="2" hidden="1">#REF!</definedName>
    <definedName name="zxcdsf" localSheetId="5" hidden="1">#REF!</definedName>
    <definedName name="zxcdsf" localSheetId="0" hidden="1">#REF!</definedName>
    <definedName name="zxcdsf" hidden="1">#REF!</definedName>
    <definedName name="zxcfdstrrt" localSheetId="14" hidden="1">{#N/A,#N/A,FALSE,"Plan1";#N/A,#N/A,FALSE,"Plan2"}</definedName>
    <definedName name="zxcfdstrrt" localSheetId="7" hidden="1">{#N/A,#N/A,FALSE,"Plan1";#N/A,#N/A,FALSE,"Plan2"}</definedName>
    <definedName name="zxcfdstrrt" localSheetId="1" hidden="1">{#N/A,#N/A,FALSE,"Plan1";#N/A,#N/A,FALSE,"Plan2"}</definedName>
    <definedName name="zxcfdstrrt" localSheetId="2" hidden="1">{#N/A,#N/A,FALSE,"Plan1";#N/A,#N/A,FALSE,"Plan2"}</definedName>
    <definedName name="zxcfdstrrt" localSheetId="9" hidden="1">{#N/A,#N/A,FALSE,"Plan1";#N/A,#N/A,FALSE,"Plan2"}</definedName>
    <definedName name="zxcfdstrrt" localSheetId="5" hidden="1">{#N/A,#N/A,FALSE,"Plan1";#N/A,#N/A,FALSE,"Plan2"}</definedName>
    <definedName name="zxcfdstrrt" localSheetId="4" hidden="1">{#N/A,#N/A,FALSE,"Plan1";#N/A,#N/A,FALSE,"Plan2"}</definedName>
    <definedName name="zxcfdstrrt" localSheetId="8" hidden="1">{#N/A,#N/A,FALSE,"Plan1";#N/A,#N/A,FALSE,"Plan2"}</definedName>
    <definedName name="zxcfdstrrt" localSheetId="12" hidden="1">{#N/A,#N/A,FALSE,"Plan1";#N/A,#N/A,FALSE,"Plan2"}</definedName>
    <definedName name="zxcfdstrrt" localSheetId="16" hidden="1">{#N/A,#N/A,FALSE,"Plan1";#N/A,#N/A,FALSE,"Plan2"}</definedName>
    <definedName name="zxcfdstrrt" localSheetId="0" hidden="1">{#N/A,#N/A,FALSE,"Plan1";#N/A,#N/A,FALSE,"Plan2"}</definedName>
    <definedName name="zxcfdstrrt" localSheetId="11" hidden="1">{#N/A,#N/A,FALSE,"Plan1";#N/A,#N/A,FALSE,"Plan2"}</definedName>
    <definedName name="zxcfdstrrt" localSheetId="13" hidden="1">{#N/A,#N/A,FALSE,"Plan1";#N/A,#N/A,FALSE,"Plan2"}</definedName>
    <definedName name="zxcfdstrrt" hidden="1">{#N/A,#N/A,FALSE,"Plan1";#N/A,#N/A,FALSE,"Plan2"}</definedName>
    <definedName name="zxcx" localSheetId="14" hidden="1">{#N/A,#N/A,FALSE,"Plan1";#N/A,#N/A,FALSE,"Plan2"}</definedName>
    <definedName name="zxcx" localSheetId="7" hidden="1">{#N/A,#N/A,FALSE,"Plan1";#N/A,#N/A,FALSE,"Plan2"}</definedName>
    <definedName name="zxcx" localSheetId="1" hidden="1">{#N/A,#N/A,FALSE,"Plan1";#N/A,#N/A,FALSE,"Plan2"}</definedName>
    <definedName name="zxcx" localSheetId="2" hidden="1">{#N/A,#N/A,FALSE,"Plan1";#N/A,#N/A,FALSE,"Plan2"}</definedName>
    <definedName name="zxcx" localSheetId="9" hidden="1">{#N/A,#N/A,FALSE,"Plan1";#N/A,#N/A,FALSE,"Plan2"}</definedName>
    <definedName name="zxcx" localSheetId="5" hidden="1">{#N/A,#N/A,FALSE,"Plan1";#N/A,#N/A,FALSE,"Plan2"}</definedName>
    <definedName name="zxcx" localSheetId="4" hidden="1">{#N/A,#N/A,FALSE,"Plan1";#N/A,#N/A,FALSE,"Plan2"}</definedName>
    <definedName name="zxcx" localSheetId="8" hidden="1">{#N/A,#N/A,FALSE,"Plan1";#N/A,#N/A,FALSE,"Plan2"}</definedName>
    <definedName name="zxcx" localSheetId="12" hidden="1">{#N/A,#N/A,FALSE,"Plan1";#N/A,#N/A,FALSE,"Plan2"}</definedName>
    <definedName name="zxcx" localSheetId="16" hidden="1">{#N/A,#N/A,FALSE,"Plan1";#N/A,#N/A,FALSE,"Plan2"}</definedName>
    <definedName name="zxcx" localSheetId="0" hidden="1">{#N/A,#N/A,FALSE,"Plan1";#N/A,#N/A,FALSE,"Plan2"}</definedName>
    <definedName name="zxcx" localSheetId="11" hidden="1">{#N/A,#N/A,FALSE,"Plan1";#N/A,#N/A,FALSE,"Plan2"}</definedName>
    <definedName name="zxcx" localSheetId="13" hidden="1">{#N/A,#N/A,FALSE,"Plan1";#N/A,#N/A,FALSE,"Plan2"}</definedName>
    <definedName name="zxcx" hidden="1">{#N/A,#N/A,FALSE,"Plan1";#N/A,#N/A,FALSE,"Plan2"}</definedName>
    <definedName name="ZXFCRF" localSheetId="1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4" hidden="1">{#N/A,#N/A,FALSE,"Plan1";#N/A,#N/A,FALSE,"Plan2"}</definedName>
    <definedName name="ZXFHDFRHDF" localSheetId="7" hidden="1">{#N/A,#N/A,FALSE,"Plan1";#N/A,#N/A,FALSE,"Plan2"}</definedName>
    <definedName name="ZXFHDFRHDF" localSheetId="1" hidden="1">{#N/A,#N/A,FALSE,"Plan1";#N/A,#N/A,FALSE,"Plan2"}</definedName>
    <definedName name="ZXFHDFRHDF" localSheetId="2" hidden="1">{#N/A,#N/A,FALSE,"Plan1";#N/A,#N/A,FALSE,"Plan2"}</definedName>
    <definedName name="ZXFHDFRHDF" localSheetId="9" hidden="1">{#N/A,#N/A,FALSE,"Plan1";#N/A,#N/A,FALSE,"Plan2"}</definedName>
    <definedName name="ZXFHDFRHDF" localSheetId="5" hidden="1">{#N/A,#N/A,FALSE,"Plan1";#N/A,#N/A,FALSE,"Plan2"}</definedName>
    <definedName name="ZXFHDFRHDF" localSheetId="4" hidden="1">{#N/A,#N/A,FALSE,"Plan1";#N/A,#N/A,FALSE,"Plan2"}</definedName>
    <definedName name="ZXFHDFRHDF" localSheetId="8" hidden="1">{#N/A,#N/A,FALSE,"Plan1";#N/A,#N/A,FALSE,"Plan2"}</definedName>
    <definedName name="ZXFHDFRHDF" localSheetId="12" hidden="1">{#N/A,#N/A,FALSE,"Plan1";#N/A,#N/A,FALSE,"Plan2"}</definedName>
    <definedName name="ZXFHDFRHDF" localSheetId="16" hidden="1">{#N/A,#N/A,FALSE,"Plan1";#N/A,#N/A,FALSE,"Plan2"}</definedName>
    <definedName name="ZXFHDFRHDF" localSheetId="0" hidden="1">{#N/A,#N/A,FALSE,"Plan1";#N/A,#N/A,FALSE,"Plan2"}</definedName>
    <definedName name="ZXFHDFRHDF" localSheetId="11" hidden="1">{#N/A,#N/A,FALSE,"Plan1";#N/A,#N/A,FALSE,"Plan2"}</definedName>
    <definedName name="ZXFHDFRHDF" localSheetId="13" hidden="1">{#N/A,#N/A,FALSE,"Plan1";#N/A,#N/A,FALSE,"Plan2"}</definedName>
    <definedName name="ZXFHDFRHDF" hidden="1">{#N/A,#N/A,FALSE,"Plan1";#N/A,#N/A,FALSE,"Plan2"}</definedName>
    <definedName name="ZZ" localSheetId="2">#REF!</definedName>
    <definedName name="ZZ" localSheetId="5">#REF!</definedName>
    <definedName name="ZZ">#REF!</definedName>
    <definedName name="zzdftr" localSheetId="14" hidden="1">{#N/A,#N/A,FALSE,"Plan1";#N/A,#N/A,FALSE,"Plan2"}</definedName>
    <definedName name="zzdftr" localSheetId="7" hidden="1">{#N/A,#N/A,FALSE,"Plan1";#N/A,#N/A,FALSE,"Plan2"}</definedName>
    <definedName name="zzdftr" localSheetId="1" hidden="1">{#N/A,#N/A,FALSE,"Plan1";#N/A,#N/A,FALSE,"Plan2"}</definedName>
    <definedName name="zzdftr" localSheetId="2" hidden="1">{#N/A,#N/A,FALSE,"Plan1";#N/A,#N/A,FALSE,"Plan2"}</definedName>
    <definedName name="zzdftr" localSheetId="9" hidden="1">{#N/A,#N/A,FALSE,"Plan1";#N/A,#N/A,FALSE,"Plan2"}</definedName>
    <definedName name="zzdftr" localSheetId="5" hidden="1">{#N/A,#N/A,FALSE,"Plan1";#N/A,#N/A,FALSE,"Plan2"}</definedName>
    <definedName name="zzdftr" localSheetId="4" hidden="1">{#N/A,#N/A,FALSE,"Plan1";#N/A,#N/A,FALSE,"Plan2"}</definedName>
    <definedName name="zzdftr" localSheetId="8" hidden="1">{#N/A,#N/A,FALSE,"Plan1";#N/A,#N/A,FALSE,"Plan2"}</definedName>
    <definedName name="zzdftr" localSheetId="12" hidden="1">{#N/A,#N/A,FALSE,"Plan1";#N/A,#N/A,FALSE,"Plan2"}</definedName>
    <definedName name="zzdftr" localSheetId="16" hidden="1">{#N/A,#N/A,FALSE,"Plan1";#N/A,#N/A,FALSE,"Plan2"}</definedName>
    <definedName name="zzdftr" localSheetId="0" hidden="1">{#N/A,#N/A,FALSE,"Plan1";#N/A,#N/A,FALSE,"Plan2"}</definedName>
    <definedName name="zzdftr" localSheetId="11" hidden="1">{#N/A,#N/A,FALSE,"Plan1";#N/A,#N/A,FALSE,"Plan2"}</definedName>
    <definedName name="zzdftr" localSheetId="13" hidden="1">{#N/A,#N/A,FALSE,"Plan1";#N/A,#N/A,FALSE,"Plan2"}</definedName>
    <definedName name="zzdftr" hidden="1">{#N/A,#N/A,FALSE,"Plan1";#N/A,#N/A,FALSE,"Plan2"}</definedName>
    <definedName name="zzz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5">#REF!</definedName>
    <definedName name="zzz" localSheetId="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4" hidden="1">{"'장비'!$A$3:$M$12"}</definedName>
    <definedName name="ㄱㄷㄱㄷㄱㄱㅎㄺㄷ" localSheetId="7" hidden="1">{"'장비'!$A$3:$M$12"}</definedName>
    <definedName name="ㄱㄷㄱㄷㄱㄱㅎㄺㄷ" localSheetId="1" hidden="1">{"'장비'!$A$3:$M$12"}</definedName>
    <definedName name="ㄱㄷㄱㄷㄱㄱㅎㄺㄷ" localSheetId="2" hidden="1">{"'장비'!$A$3:$M$12"}</definedName>
    <definedName name="ㄱㄷㄱㄷㄱㄱㅎㄺㄷ" localSheetId="9" hidden="1">{"'장비'!$A$3:$M$12"}</definedName>
    <definedName name="ㄱㄷㄱㄷㄱㄱㅎㄺㄷ" localSheetId="5" hidden="1">{"'장비'!$A$3:$M$12"}</definedName>
    <definedName name="ㄱㄷㄱㄷㄱㄱㅎㄺㄷ" localSheetId="4" hidden="1">{"'장비'!$A$3:$M$12"}</definedName>
    <definedName name="ㄱㄷㄱㄷㄱㄱㅎㄺㄷ" localSheetId="8" hidden="1">{"'장비'!$A$3:$M$12"}</definedName>
    <definedName name="ㄱㄷㄱㄷㄱㄱㅎㄺㄷ" localSheetId="12" hidden="1">{"'장비'!$A$3:$M$12"}</definedName>
    <definedName name="ㄱㄷㄱㄷㄱㄱㅎㄺㄷ" localSheetId="16" hidden="1">{"'장비'!$A$3:$M$12"}</definedName>
    <definedName name="ㄱㄷㄱㄷㄱㄱㅎㄺㄷ" localSheetId="0" hidden="1">{"'장비'!$A$3:$M$12"}</definedName>
    <definedName name="ㄱㄷㄱㄷㄱㄱㅎㄺㄷ" localSheetId="11" hidden="1">{"'장비'!$A$3:$M$12"}</definedName>
    <definedName name="ㄱㄷㄱㄷㄱㄱㅎㄺㄷ" localSheetId="13" hidden="1">{"'장비'!$A$3:$M$12"}</definedName>
    <definedName name="ㄱㄷㄱㄷㄱㄱㅎㄺㄷ" hidden="1">{"'장비'!$A$3:$M$12"}</definedName>
    <definedName name="가나다" hidden="1">#REF!</definedName>
    <definedName name="검증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2" hidden="1">#REF!</definedName>
    <definedName name="견적조건" localSheetId="0" hidden="1">#REF!</definedName>
    <definedName name="견적조건" hidden="1">#REF!</definedName>
    <definedName name="계약고햔황2" localSheetId="2" hidden="1">#REF!</definedName>
    <definedName name="계약고햔황2" localSheetId="5" hidden="1">#REF!</definedName>
    <definedName name="계약고햔황2" localSheetId="0" hidden="1">#REF!</definedName>
    <definedName name="계약고햔황2" hidden="1">#REF!</definedName>
    <definedName name="계약고현황2" localSheetId="0" hidden="1">#REF!</definedName>
    <definedName name="계약고현황2" hidden="1">#REF!</definedName>
    <definedName name="고문" localSheetId="14" hidden="1">{#N/A,#N/A,FALSE,"현장 NCR 분석";#N/A,#N/A,FALSE,"현장품질감사";#N/A,#N/A,FALSE,"현장품질감사"}</definedName>
    <definedName name="고문" localSheetId="7" hidden="1">{#N/A,#N/A,FALSE,"현장 NCR 분석";#N/A,#N/A,FALSE,"현장품질감사";#N/A,#N/A,FALSE,"현장품질감사"}</definedName>
    <definedName name="고문" localSheetId="1" hidden="1">{#N/A,#N/A,FALSE,"현장 NCR 분석";#N/A,#N/A,FALSE,"현장품질감사";#N/A,#N/A,FALSE,"현장품질감사"}</definedName>
    <definedName name="고문" localSheetId="2" hidden="1">{#N/A,#N/A,FALSE,"현장 NCR 분석";#N/A,#N/A,FALSE,"현장품질감사";#N/A,#N/A,FALSE,"현장품질감사"}</definedName>
    <definedName name="고문" localSheetId="9" hidden="1">{#N/A,#N/A,FALSE,"현장 NCR 분석";#N/A,#N/A,FALSE,"현장품질감사";#N/A,#N/A,FALSE,"현장품질감사"}</definedName>
    <definedName name="고문" localSheetId="5" hidden="1">{#N/A,#N/A,FALSE,"현장 NCR 분석";#N/A,#N/A,FALSE,"현장품질감사";#N/A,#N/A,FALSE,"현장품질감사"}</definedName>
    <definedName name="고문" localSheetId="4" hidden="1">{#N/A,#N/A,FALSE,"현장 NCR 분석";#N/A,#N/A,FALSE,"현장품질감사";#N/A,#N/A,FALSE,"현장품질감사"}</definedName>
    <definedName name="고문" localSheetId="8" hidden="1">{#N/A,#N/A,FALSE,"현장 NCR 분석";#N/A,#N/A,FALSE,"현장품질감사";#N/A,#N/A,FALSE,"현장품질감사"}</definedName>
    <definedName name="고문" localSheetId="12" hidden="1">{#N/A,#N/A,FALSE,"현장 NCR 분석";#N/A,#N/A,FALSE,"현장품질감사";#N/A,#N/A,FALSE,"현장품질감사"}</definedName>
    <definedName name="고문" localSheetId="16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localSheetId="11" hidden="1">{#N/A,#N/A,FALSE,"현장 NCR 분석";#N/A,#N/A,FALSE,"현장품질감사";#N/A,#N/A,FALSE,"현장품질감사"}</definedName>
    <definedName name="고문" localSheetId="13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14" hidden="1">{#N/A,#N/A,FALSE,"현장 NCR 분석";#N/A,#N/A,FALSE,"현장품질감사";#N/A,#N/A,FALSE,"현장품질감사"}</definedName>
    <definedName name="고문2" localSheetId="7" hidden="1">{#N/A,#N/A,FALSE,"현장 NCR 분석";#N/A,#N/A,FALSE,"현장품질감사";#N/A,#N/A,FALSE,"현장품질감사"}</definedName>
    <definedName name="고문2" localSheetId="1" hidden="1">{#N/A,#N/A,FALSE,"현장 NCR 분석";#N/A,#N/A,FALSE,"현장품질감사";#N/A,#N/A,FALSE,"현장품질감사"}</definedName>
    <definedName name="고문2" localSheetId="2" hidden="1">{#N/A,#N/A,FALSE,"현장 NCR 분석";#N/A,#N/A,FALSE,"현장품질감사";#N/A,#N/A,FALSE,"현장품질감사"}</definedName>
    <definedName name="고문2" localSheetId="9" hidden="1">{#N/A,#N/A,FALSE,"현장 NCR 분석";#N/A,#N/A,FALSE,"현장품질감사";#N/A,#N/A,FALSE,"현장품질감사"}</definedName>
    <definedName name="고문2" localSheetId="5" hidden="1">{#N/A,#N/A,FALSE,"현장 NCR 분석";#N/A,#N/A,FALSE,"현장품질감사";#N/A,#N/A,FALSE,"현장품질감사"}</definedName>
    <definedName name="고문2" localSheetId="4" hidden="1">{#N/A,#N/A,FALSE,"현장 NCR 분석";#N/A,#N/A,FALSE,"현장품질감사";#N/A,#N/A,FALSE,"현장품질감사"}</definedName>
    <definedName name="고문2" localSheetId="8" hidden="1">{#N/A,#N/A,FALSE,"현장 NCR 분석";#N/A,#N/A,FALSE,"현장품질감사";#N/A,#N/A,FALSE,"현장품질감사"}</definedName>
    <definedName name="고문2" localSheetId="12" hidden="1">{#N/A,#N/A,FALSE,"현장 NCR 분석";#N/A,#N/A,FALSE,"현장품질감사";#N/A,#N/A,FALSE,"현장품질감사"}</definedName>
    <definedName name="고문2" localSheetId="16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localSheetId="11" hidden="1">{#N/A,#N/A,FALSE,"현장 NCR 분석";#N/A,#N/A,FALSE,"현장품질감사";#N/A,#N/A,FALSE,"현장품질감사"}</definedName>
    <definedName name="고문2" localSheetId="13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4" hidden="1">{#N/A,#N/A,FALSE,"ENG'G(보호계전기)"}</definedName>
    <definedName name="공급구분표_수정" localSheetId="7" hidden="1">{#N/A,#N/A,FALSE,"ENG'G(보호계전기)"}</definedName>
    <definedName name="공급구분표_수정" localSheetId="1" hidden="1">{#N/A,#N/A,FALSE,"ENG'G(보호계전기)"}</definedName>
    <definedName name="공급구분표_수정" localSheetId="2" hidden="1">{#N/A,#N/A,FALSE,"ENG'G(보호계전기)"}</definedName>
    <definedName name="공급구분표_수정" localSheetId="9" hidden="1">{#N/A,#N/A,FALSE,"ENG'G(보호계전기)"}</definedName>
    <definedName name="공급구분표_수정" localSheetId="5" hidden="1">{#N/A,#N/A,FALSE,"ENG'G(보호계전기)"}</definedName>
    <definedName name="공급구분표_수정" localSheetId="4" hidden="1">{#N/A,#N/A,FALSE,"ENG'G(보호계전기)"}</definedName>
    <definedName name="공급구분표_수정" localSheetId="8" hidden="1">{#N/A,#N/A,FALSE,"ENG'G(보호계전기)"}</definedName>
    <definedName name="공급구분표_수정" localSheetId="12" hidden="1">{#N/A,#N/A,FALSE,"ENG'G(보호계전기)"}</definedName>
    <definedName name="공급구분표_수정" localSheetId="16" hidden="1">{#N/A,#N/A,FALSE,"ENG'G(보호계전기)"}</definedName>
    <definedName name="공급구분표_수정" localSheetId="0" hidden="1">{#N/A,#N/A,FALSE,"ENG'G(보호계전기)"}</definedName>
    <definedName name="공급구분표_수정" localSheetId="11" hidden="1">{#N/A,#N/A,FALSE,"ENG'G(보호계전기)"}</definedName>
    <definedName name="공급구분표_수정" localSheetId="13" hidden="1">{#N/A,#N/A,FALSE,"ENG'G(보호계전기)"}</definedName>
    <definedName name="공급구분표_수정" hidden="1">{#N/A,#N/A,FALSE,"ENG'G(보호계전기)"}</definedName>
    <definedName name="공급표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2" hidden="1">#REF!</definedName>
    <definedName name="ㄴㄴㄴㄴ" localSheetId="0" hidden="1">#REF!</definedName>
    <definedName name="ㄴㄴㄴㄴ" hidden="1">#REF!</definedName>
    <definedName name="내역" localSheetId="14" hidden="1">{#N/A,#N/A,FALSE,"CCTV"}</definedName>
    <definedName name="내역" localSheetId="7" hidden="1">{#N/A,#N/A,FALSE,"CCTV"}</definedName>
    <definedName name="내역" localSheetId="1" hidden="1">{#N/A,#N/A,FALSE,"CCTV"}</definedName>
    <definedName name="내역" localSheetId="2" hidden="1">{#N/A,#N/A,FALSE,"CCTV"}</definedName>
    <definedName name="내역" localSheetId="9" hidden="1">{#N/A,#N/A,FALSE,"CCTV"}</definedName>
    <definedName name="내역" localSheetId="5" hidden="1">{#N/A,#N/A,FALSE,"CCTV"}</definedName>
    <definedName name="내역" localSheetId="4" hidden="1">{#N/A,#N/A,FALSE,"CCTV"}</definedName>
    <definedName name="내역" localSheetId="8" hidden="1">{#N/A,#N/A,FALSE,"CCTV"}</definedName>
    <definedName name="내역" localSheetId="12" hidden="1">{#N/A,#N/A,FALSE,"CCTV"}</definedName>
    <definedName name="내역" localSheetId="16" hidden="1">{#N/A,#N/A,FALSE,"CCTV"}</definedName>
    <definedName name="내역" localSheetId="0" hidden="1">{#N/A,#N/A,FALSE,"CCTV"}</definedName>
    <definedName name="내역" localSheetId="11" hidden="1">{#N/A,#N/A,FALSE,"CCTV"}</definedName>
    <definedName name="내역" localSheetId="13" hidden="1">{#N/A,#N/A,FALSE,"CCTV"}</definedName>
    <definedName name="내역" hidden="1">{#N/A,#N/A,FALSE,"CCTV"}</definedName>
    <definedName name="ㄷㄳ" localSheetId="14" hidden="1">{"'장비'!$A$3:$M$12"}</definedName>
    <definedName name="ㄷㄳ" localSheetId="7" hidden="1">{"'장비'!$A$3:$M$12"}</definedName>
    <definedName name="ㄷㄳ" localSheetId="1" hidden="1">{"'장비'!$A$3:$M$12"}</definedName>
    <definedName name="ㄷㄳ" localSheetId="2" hidden="1">{"'장비'!$A$3:$M$12"}</definedName>
    <definedName name="ㄷㄳ" localSheetId="9" hidden="1">{"'장비'!$A$3:$M$12"}</definedName>
    <definedName name="ㄷㄳ" localSheetId="5" hidden="1">{"'장비'!$A$3:$M$12"}</definedName>
    <definedName name="ㄷㄳ" localSheetId="4" hidden="1">{"'장비'!$A$3:$M$12"}</definedName>
    <definedName name="ㄷㄳ" localSheetId="8" hidden="1">{"'장비'!$A$3:$M$12"}</definedName>
    <definedName name="ㄷㄳ" localSheetId="12" hidden="1">{"'장비'!$A$3:$M$12"}</definedName>
    <definedName name="ㄷㄳ" localSheetId="16" hidden="1">{"'장비'!$A$3:$M$12"}</definedName>
    <definedName name="ㄷㄳ" localSheetId="0" hidden="1">{"'장비'!$A$3:$M$12"}</definedName>
    <definedName name="ㄷㄳ" localSheetId="11" hidden="1">{"'장비'!$A$3:$M$12"}</definedName>
    <definedName name="ㄷㄳ" localSheetId="13" hidden="1">{"'장비'!$A$3:$M$12"}</definedName>
    <definedName name="ㄷㄳ" hidden="1">{"'장비'!$A$3:$M$12"}</definedName>
    <definedName name="ㄷㄷㄷㄷ" localSheetId="14" hidden="1">{"'장비'!$A$3:$M$12"}</definedName>
    <definedName name="ㄷㄷㄷㄷ" localSheetId="7" hidden="1">{"'장비'!$A$3:$M$12"}</definedName>
    <definedName name="ㄷㄷㄷㄷ" localSheetId="1" hidden="1">{"'장비'!$A$3:$M$12"}</definedName>
    <definedName name="ㄷㄷㄷㄷ" localSheetId="2" hidden="1">{"'장비'!$A$3:$M$12"}</definedName>
    <definedName name="ㄷㄷㄷㄷ" localSheetId="9" hidden="1">{"'장비'!$A$3:$M$12"}</definedName>
    <definedName name="ㄷㄷㄷㄷ" localSheetId="5" hidden="1">{"'장비'!$A$3:$M$12"}</definedName>
    <definedName name="ㄷㄷㄷㄷ" localSheetId="4" hidden="1">{"'장비'!$A$3:$M$12"}</definedName>
    <definedName name="ㄷㄷㄷㄷ" localSheetId="8" hidden="1">{"'장비'!$A$3:$M$12"}</definedName>
    <definedName name="ㄷㄷㄷㄷ" localSheetId="12" hidden="1">{"'장비'!$A$3:$M$12"}</definedName>
    <definedName name="ㄷㄷㄷㄷ" localSheetId="16" hidden="1">{"'장비'!$A$3:$M$12"}</definedName>
    <definedName name="ㄷㄷㄷㄷ" localSheetId="0" hidden="1">{"'장비'!$A$3:$M$12"}</definedName>
    <definedName name="ㄷㄷㄷㄷ" localSheetId="11" hidden="1">{"'장비'!$A$3:$M$12"}</definedName>
    <definedName name="ㄷㄷㄷㄷ" localSheetId="13" hidden="1">{"'장비'!$A$3:$M$12"}</definedName>
    <definedName name="ㄷㄷㄷㄷ" hidden="1">{"'장비'!$A$3:$M$12"}</definedName>
    <definedName name="ㄷㅈㅂㄷ" localSheetId="14" hidden="1">{"'장비'!$A$3:$M$12"}</definedName>
    <definedName name="ㄷㅈㅂㄷ" localSheetId="7" hidden="1">{"'장비'!$A$3:$M$12"}</definedName>
    <definedName name="ㄷㅈㅂㄷ" localSheetId="1" hidden="1">{"'장비'!$A$3:$M$12"}</definedName>
    <definedName name="ㄷㅈㅂㄷ" localSheetId="2" hidden="1">{"'장비'!$A$3:$M$12"}</definedName>
    <definedName name="ㄷㅈㅂㄷ" localSheetId="9" hidden="1">{"'장비'!$A$3:$M$12"}</definedName>
    <definedName name="ㄷㅈㅂㄷ" localSheetId="5" hidden="1">{"'장비'!$A$3:$M$12"}</definedName>
    <definedName name="ㄷㅈㅂㄷ" localSheetId="4" hidden="1">{"'장비'!$A$3:$M$12"}</definedName>
    <definedName name="ㄷㅈㅂㄷ" localSheetId="8" hidden="1">{"'장비'!$A$3:$M$12"}</definedName>
    <definedName name="ㄷㅈㅂㄷ" localSheetId="12" hidden="1">{"'장비'!$A$3:$M$12"}</definedName>
    <definedName name="ㄷㅈㅂㄷ" localSheetId="16" hidden="1">{"'장비'!$A$3:$M$12"}</definedName>
    <definedName name="ㄷㅈㅂㄷ" localSheetId="0" hidden="1">{"'장비'!$A$3:$M$12"}</definedName>
    <definedName name="ㄷㅈㅂㄷ" localSheetId="11" hidden="1">{"'장비'!$A$3:$M$12"}</definedName>
    <definedName name="ㄷㅈㅂㄷ" localSheetId="13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14" hidden="1">{"'장비'!$A$3:$M$12"}</definedName>
    <definedName name="ㄹㄹ" localSheetId="7" hidden="1">{"'장비'!$A$3:$M$12"}</definedName>
    <definedName name="ㄹㄹ" localSheetId="1" hidden="1">{"'장비'!$A$3:$M$12"}</definedName>
    <definedName name="ㄹㄹ" localSheetId="2" hidden="1">{"'장비'!$A$3:$M$12"}</definedName>
    <definedName name="ㄹㄹ" localSheetId="9" hidden="1">{"'장비'!$A$3:$M$12"}</definedName>
    <definedName name="ㄹㄹ" localSheetId="5" hidden="1">{"'장비'!$A$3:$M$12"}</definedName>
    <definedName name="ㄹㄹ" localSheetId="4" hidden="1">{"'장비'!$A$3:$M$12"}</definedName>
    <definedName name="ㄹㄹ" localSheetId="8" hidden="1">{"'장비'!$A$3:$M$12"}</definedName>
    <definedName name="ㄹㄹ" localSheetId="12" hidden="1">{"'장비'!$A$3:$M$12"}</definedName>
    <definedName name="ㄹㄹ" localSheetId="16" hidden="1">{"'장비'!$A$3:$M$12"}</definedName>
    <definedName name="ㄹㄹ" localSheetId="0" hidden="1">{"'장비'!$A$3:$M$12"}</definedName>
    <definedName name="ㄹㄹ" localSheetId="11" hidden="1">{"'장비'!$A$3:$M$12"}</definedName>
    <definedName name="ㄹㄹ" localSheetId="13" hidden="1">{"'장비'!$A$3:$M$12"}</definedName>
    <definedName name="ㄹㄹ" hidden="1">{"'장비'!$A$3:$M$12"}</definedName>
    <definedName name="ㄹㄹㄹ" hidden="1">#REF!</definedName>
    <definedName name="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4" hidden="1">{#N/A,#N/A,FALSE,"현장 NCR 분석";#N/A,#N/A,FALSE,"현장품질감사";#N/A,#N/A,FALSE,"현장품질감사"}</definedName>
    <definedName name="러러러" localSheetId="7" hidden="1">{#N/A,#N/A,FALSE,"현장 NCR 분석";#N/A,#N/A,FALSE,"현장품질감사";#N/A,#N/A,FALSE,"현장품질감사"}</definedName>
    <definedName name="러러러" localSheetId="1" hidden="1">{#N/A,#N/A,FALSE,"현장 NCR 분석";#N/A,#N/A,FALSE,"현장품질감사";#N/A,#N/A,FALSE,"현장품질감사"}</definedName>
    <definedName name="러러러" localSheetId="2" hidden="1">{#N/A,#N/A,FALSE,"현장 NCR 분석";#N/A,#N/A,FALSE,"현장품질감사";#N/A,#N/A,FALSE,"현장품질감사"}</definedName>
    <definedName name="러러러" localSheetId="9" hidden="1">{#N/A,#N/A,FALSE,"현장 NCR 분석";#N/A,#N/A,FALSE,"현장품질감사";#N/A,#N/A,FALSE,"현장품질감사"}</definedName>
    <definedName name="러러러" localSheetId="5" hidden="1">{#N/A,#N/A,FALSE,"현장 NCR 분석";#N/A,#N/A,FALSE,"현장품질감사";#N/A,#N/A,FALSE,"현장품질감사"}</definedName>
    <definedName name="러러러" localSheetId="4" hidden="1">{#N/A,#N/A,FALSE,"현장 NCR 분석";#N/A,#N/A,FALSE,"현장품질감사";#N/A,#N/A,FALSE,"현장품질감사"}</definedName>
    <definedName name="러러러" localSheetId="8" hidden="1">{#N/A,#N/A,FALSE,"현장 NCR 분석";#N/A,#N/A,FALSE,"현장품질감사";#N/A,#N/A,FALSE,"현장품질감사"}</definedName>
    <definedName name="러러러" localSheetId="12" hidden="1">{#N/A,#N/A,FALSE,"현장 NCR 분석";#N/A,#N/A,FALSE,"현장품질감사";#N/A,#N/A,FALSE,"현장품질감사"}</definedName>
    <definedName name="러러러" localSheetId="16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localSheetId="11" hidden="1">{#N/A,#N/A,FALSE,"현장 NCR 분석";#N/A,#N/A,FALSE,"현장품질감사";#N/A,#N/A,FALSE,"현장품질감사"}</definedName>
    <definedName name="러러러" localSheetId="13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14" hidden="1">{#N/A,#N/A,FALSE,"명세표"}</definedName>
    <definedName name="ㅁ" localSheetId="7" hidden="1">{#N/A,#N/A,FALSE,"명세표"}</definedName>
    <definedName name="ㅁ" localSheetId="1" hidden="1">{#N/A,#N/A,FALSE,"명세표"}</definedName>
    <definedName name="ㅁ" localSheetId="2" hidden="1">{#N/A,#N/A,FALSE,"명세표"}</definedName>
    <definedName name="ㅁ" localSheetId="9" hidden="1">{#N/A,#N/A,FALSE,"명세표"}</definedName>
    <definedName name="ㅁ" localSheetId="5" hidden="1">{#N/A,#N/A,FALSE,"명세표"}</definedName>
    <definedName name="ㅁ" localSheetId="4" hidden="1">{#N/A,#N/A,FALSE,"명세표"}</definedName>
    <definedName name="ㅁ" localSheetId="8" hidden="1">{#N/A,#N/A,FALSE,"명세표"}</definedName>
    <definedName name="ㅁ" localSheetId="12" hidden="1">{#N/A,#N/A,FALSE,"명세표"}</definedName>
    <definedName name="ㅁ" localSheetId="16" hidden="1">{#N/A,#N/A,FALSE,"명세표"}</definedName>
    <definedName name="ㅁ" localSheetId="0" hidden="1">{#N/A,#N/A,FALSE,"명세표"}</definedName>
    <definedName name="ㅁ" localSheetId="11" hidden="1">{#N/A,#N/A,FALSE,"명세표"}</definedName>
    <definedName name="ㅁ" localSheetId="13" hidden="1">{#N/A,#N/A,FALSE,"명세표"}</definedName>
    <definedName name="ㅁ" hidden="1">{#N/A,#N/A,FALSE,"명세표"}</definedName>
    <definedName name="ㅁㄱ해ㅜ5" localSheetId="2" hidden="1">#REF!</definedName>
    <definedName name="ㅁㄱ해ㅜ5" localSheetId="0" hidden="1">#REF!</definedName>
    <definedName name="ㅁㄱ해ㅜ5" hidden="1">#REF!</definedName>
    <definedName name="ㅁ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4" hidden="1">{#N/A,#N/A,FALSE,"명세표"}</definedName>
    <definedName name="ㅁㅁ" localSheetId="7" hidden="1">{#N/A,#N/A,FALSE,"명세표"}</definedName>
    <definedName name="ㅁㅁ" localSheetId="1" hidden="1">{#N/A,#N/A,FALSE,"명세표"}</definedName>
    <definedName name="ㅁㅁ" localSheetId="2" hidden="1">{#N/A,#N/A,FALSE,"명세표"}</definedName>
    <definedName name="ㅁㅁ" localSheetId="9" hidden="1">{#N/A,#N/A,FALSE,"명세표"}</definedName>
    <definedName name="ㅁㅁ" localSheetId="5" hidden="1">{#N/A,#N/A,FALSE,"명세표"}</definedName>
    <definedName name="ㅁㅁ" localSheetId="4" hidden="1">{#N/A,#N/A,FALSE,"명세표"}</definedName>
    <definedName name="ㅁㅁ" localSheetId="8" hidden="1">{#N/A,#N/A,FALSE,"명세표"}</definedName>
    <definedName name="ㅁㅁ" localSheetId="12" hidden="1">{#N/A,#N/A,FALSE,"명세표"}</definedName>
    <definedName name="ㅁㅁ" localSheetId="16" hidden="1">{#N/A,#N/A,FALSE,"명세표"}</definedName>
    <definedName name="ㅁㅁ" localSheetId="0" hidden="1">{#N/A,#N/A,FALSE,"명세표"}</definedName>
    <definedName name="ㅁㅁ" localSheetId="11" hidden="1">{#N/A,#N/A,FALSE,"명세표"}</definedName>
    <definedName name="ㅁㅁ" localSheetId="13" hidden="1">{#N/A,#N/A,FALSE,"명세표"}</definedName>
    <definedName name="ㅁㅁ" hidden="1">{#N/A,#N/A,FALSE,"명세표"}</definedName>
    <definedName name="ㅁㅁㅁ" localSheetId="2" hidden="1">#REF!</definedName>
    <definedName name="ㅁㅁㅁ" localSheetId="5" hidden="1">#REF!</definedName>
    <definedName name="ㅁㅁㅁ" localSheetId="0" hidden="1">#REF!</definedName>
    <definedName name="ㅁㅁㅁ" hidden="1">#REF!</definedName>
    <definedName name="ㅁㅁㅁㅁㅁㅁㅁㅁㅁㅁㅁㅁ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4" hidden="1">{#N/A,#N/A,FALSE,"명세표"}</definedName>
    <definedName name="머" localSheetId="7" hidden="1">{#N/A,#N/A,FALSE,"명세표"}</definedName>
    <definedName name="머" localSheetId="1" hidden="1">{#N/A,#N/A,FALSE,"명세표"}</definedName>
    <definedName name="머" localSheetId="2" hidden="1">{#N/A,#N/A,FALSE,"명세표"}</definedName>
    <definedName name="머" localSheetId="9" hidden="1">{#N/A,#N/A,FALSE,"명세표"}</definedName>
    <definedName name="머" localSheetId="5" hidden="1">{#N/A,#N/A,FALSE,"명세표"}</definedName>
    <definedName name="머" localSheetId="4" hidden="1">{#N/A,#N/A,FALSE,"명세표"}</definedName>
    <definedName name="머" localSheetId="8" hidden="1">{#N/A,#N/A,FALSE,"명세표"}</definedName>
    <definedName name="머" localSheetId="12" hidden="1">{#N/A,#N/A,FALSE,"명세표"}</definedName>
    <definedName name="머" localSheetId="16" hidden="1">{#N/A,#N/A,FALSE,"명세표"}</definedName>
    <definedName name="머" localSheetId="0" hidden="1">{#N/A,#N/A,FALSE,"명세표"}</definedName>
    <definedName name="머" localSheetId="11" hidden="1">{#N/A,#N/A,FALSE,"명세표"}</definedName>
    <definedName name="머" localSheetId="13" hidden="1">{#N/A,#N/A,FALSE,"명세표"}</definedName>
    <definedName name="머" hidden="1">{#N/A,#N/A,FALSE,"명세표"}</definedName>
    <definedName name="ㅂㅂㅂㅂ" localSheetId="14" hidden="1">{#N/A,#N/A,FALSE,"명세표"}</definedName>
    <definedName name="ㅂㅂㅂㅂ" localSheetId="7" hidden="1">{#N/A,#N/A,FALSE,"명세표"}</definedName>
    <definedName name="ㅂㅂㅂㅂ" localSheetId="1" hidden="1">{#N/A,#N/A,FALSE,"명세표"}</definedName>
    <definedName name="ㅂㅂㅂㅂ" localSheetId="2" hidden="1">{#N/A,#N/A,FALSE,"명세표"}</definedName>
    <definedName name="ㅂㅂㅂㅂ" localSheetId="9" hidden="1">{#N/A,#N/A,FALSE,"명세표"}</definedName>
    <definedName name="ㅂㅂㅂㅂ" localSheetId="5" hidden="1">{#N/A,#N/A,FALSE,"명세표"}</definedName>
    <definedName name="ㅂㅂㅂㅂ" localSheetId="4" hidden="1">{#N/A,#N/A,FALSE,"명세표"}</definedName>
    <definedName name="ㅂㅂㅂㅂ" localSheetId="8" hidden="1">{#N/A,#N/A,FALSE,"명세표"}</definedName>
    <definedName name="ㅂㅂㅂㅂ" localSheetId="12" hidden="1">{#N/A,#N/A,FALSE,"명세표"}</definedName>
    <definedName name="ㅂㅂㅂㅂ" localSheetId="16" hidden="1">{#N/A,#N/A,FALSE,"명세표"}</definedName>
    <definedName name="ㅂㅂㅂㅂ" localSheetId="0" hidden="1">{#N/A,#N/A,FALSE,"명세표"}</definedName>
    <definedName name="ㅂㅂㅂㅂ" localSheetId="11" hidden="1">{#N/A,#N/A,FALSE,"명세표"}</definedName>
    <definedName name="ㅂㅂㅂㅂ" localSheetId="13" hidden="1">{#N/A,#N/A,FALSE,"명세표"}</definedName>
    <definedName name="ㅂㅂㅂㅂ" hidden="1">{#N/A,#N/A,FALSE,"명세표"}</definedName>
    <definedName name="ㅂㅂㅂㅂㅂㅂㅂ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4" hidden="1">{"'장비'!$A$3:$M$12"}</definedName>
    <definedName name="ㅂㅈㄱㅂㅈㄷㄱ" localSheetId="7" hidden="1">{"'장비'!$A$3:$M$12"}</definedName>
    <definedName name="ㅂㅈㄱㅂㅈㄷㄱ" localSheetId="1" hidden="1">{"'장비'!$A$3:$M$12"}</definedName>
    <definedName name="ㅂㅈㄱㅂㅈㄷㄱ" localSheetId="2" hidden="1">{"'장비'!$A$3:$M$12"}</definedName>
    <definedName name="ㅂㅈㄱㅂㅈㄷㄱ" localSheetId="9" hidden="1">{"'장비'!$A$3:$M$12"}</definedName>
    <definedName name="ㅂㅈㄱㅂㅈㄷㄱ" localSheetId="5" hidden="1">{"'장비'!$A$3:$M$12"}</definedName>
    <definedName name="ㅂㅈㄱㅂㅈㄷㄱ" localSheetId="4" hidden="1">{"'장비'!$A$3:$M$12"}</definedName>
    <definedName name="ㅂㅈㄱㅂㅈㄷㄱ" localSheetId="8" hidden="1">{"'장비'!$A$3:$M$12"}</definedName>
    <definedName name="ㅂㅈㄱㅂㅈㄷㄱ" localSheetId="12" hidden="1">{"'장비'!$A$3:$M$12"}</definedName>
    <definedName name="ㅂㅈㄱㅂㅈㄷㄱ" localSheetId="16" hidden="1">{"'장비'!$A$3:$M$12"}</definedName>
    <definedName name="ㅂㅈㄱㅂㅈㄷㄱ" localSheetId="0" hidden="1">{"'장비'!$A$3:$M$12"}</definedName>
    <definedName name="ㅂㅈㄱㅂㅈㄷㄱ" localSheetId="11" hidden="1">{"'장비'!$A$3:$M$12"}</definedName>
    <definedName name="ㅂㅈㄱㅂㅈㄷㄱ" localSheetId="13" hidden="1">{"'장비'!$A$3:$M$12"}</definedName>
    <definedName name="ㅂㅈㄱㅂㅈㄷㄱ" hidden="1">{"'장비'!$A$3:$M$12"}</definedName>
    <definedName name="ㅂㅈㄷ" localSheetId="14" hidden="1">{"'장비'!$A$3:$M$12"}</definedName>
    <definedName name="ㅂㅈㄷ" localSheetId="7" hidden="1">{"'장비'!$A$3:$M$12"}</definedName>
    <definedName name="ㅂㅈㄷ" localSheetId="1" hidden="1">{"'장비'!$A$3:$M$12"}</definedName>
    <definedName name="ㅂㅈㄷ" localSheetId="2" hidden="1">{"'장비'!$A$3:$M$12"}</definedName>
    <definedName name="ㅂㅈㄷ" localSheetId="9" hidden="1">{"'장비'!$A$3:$M$12"}</definedName>
    <definedName name="ㅂㅈㄷ" localSheetId="5" hidden="1">{"'장비'!$A$3:$M$12"}</definedName>
    <definedName name="ㅂㅈㄷ" localSheetId="4" hidden="1">{"'장비'!$A$3:$M$12"}</definedName>
    <definedName name="ㅂㅈㄷ" localSheetId="8" hidden="1">{"'장비'!$A$3:$M$12"}</definedName>
    <definedName name="ㅂㅈㄷ" localSheetId="12" hidden="1">{"'장비'!$A$3:$M$12"}</definedName>
    <definedName name="ㅂㅈㄷ" localSheetId="16" hidden="1">{"'장비'!$A$3:$M$12"}</definedName>
    <definedName name="ㅂㅈㄷ" localSheetId="0" hidden="1">{"'장비'!$A$3:$M$12"}</definedName>
    <definedName name="ㅂㅈㄷ" localSheetId="11" hidden="1">{"'장비'!$A$3:$M$12"}</definedName>
    <definedName name="ㅂㅈㄷ" localSheetId="13" hidden="1">{"'장비'!$A$3:$M$12"}</definedName>
    <definedName name="ㅂㅈㄷ" hidden="1">{"'장비'!$A$3:$M$12"}</definedName>
    <definedName name="ㅂㅈㄷㄷㅂㅈㅈㅂ" localSheetId="14" hidden="1">{"'장비'!$A$3:$M$12"}</definedName>
    <definedName name="ㅂㅈㄷㄷㅂㅈㅈㅂ" localSheetId="7" hidden="1">{"'장비'!$A$3:$M$12"}</definedName>
    <definedName name="ㅂㅈㄷㄷㅂㅈㅈㅂ" localSheetId="1" hidden="1">{"'장비'!$A$3:$M$12"}</definedName>
    <definedName name="ㅂㅈㄷㄷㅂㅈㅈㅂ" localSheetId="2" hidden="1">{"'장비'!$A$3:$M$12"}</definedName>
    <definedName name="ㅂㅈㄷㄷㅂㅈㅈㅂ" localSheetId="9" hidden="1">{"'장비'!$A$3:$M$12"}</definedName>
    <definedName name="ㅂㅈㄷㄷㅂㅈㅈㅂ" localSheetId="5" hidden="1">{"'장비'!$A$3:$M$12"}</definedName>
    <definedName name="ㅂㅈㄷㄷㅂㅈㅈㅂ" localSheetId="4" hidden="1">{"'장비'!$A$3:$M$12"}</definedName>
    <definedName name="ㅂㅈㄷㄷㅂㅈㅈㅂ" localSheetId="8" hidden="1">{"'장비'!$A$3:$M$12"}</definedName>
    <definedName name="ㅂㅈㄷㄷㅂㅈㅈㅂ" localSheetId="12" hidden="1">{"'장비'!$A$3:$M$12"}</definedName>
    <definedName name="ㅂㅈㄷㄷㅂㅈㅈㅂ" localSheetId="16" hidden="1">{"'장비'!$A$3:$M$12"}</definedName>
    <definedName name="ㅂㅈㄷㄷㅂㅈㅈㅂ" localSheetId="0" hidden="1">{"'장비'!$A$3:$M$12"}</definedName>
    <definedName name="ㅂㅈㄷㄷㅂㅈㅈㅂ" localSheetId="11" hidden="1">{"'장비'!$A$3:$M$12"}</definedName>
    <definedName name="ㅂㅈㄷㄷㅂㅈㅈㅂ" localSheetId="13" hidden="1">{"'장비'!$A$3:$M$12"}</definedName>
    <definedName name="ㅂㅈㄷㄷㅂㅈㅈㅂ" hidden="1">{"'장비'!$A$3:$M$12"}</definedName>
    <definedName name="ㅂㅈㄷㅂㅈ" localSheetId="14" hidden="1">{"'장비'!$A$3:$M$12"}</definedName>
    <definedName name="ㅂㅈㄷㅂㅈ" localSheetId="7" hidden="1">{"'장비'!$A$3:$M$12"}</definedName>
    <definedName name="ㅂㅈㄷㅂㅈ" localSheetId="1" hidden="1">{"'장비'!$A$3:$M$12"}</definedName>
    <definedName name="ㅂㅈㄷㅂㅈ" localSheetId="2" hidden="1">{"'장비'!$A$3:$M$12"}</definedName>
    <definedName name="ㅂㅈㄷㅂㅈ" localSheetId="9" hidden="1">{"'장비'!$A$3:$M$12"}</definedName>
    <definedName name="ㅂㅈㄷㅂㅈ" localSheetId="5" hidden="1">{"'장비'!$A$3:$M$12"}</definedName>
    <definedName name="ㅂㅈㄷㅂㅈ" localSheetId="4" hidden="1">{"'장비'!$A$3:$M$12"}</definedName>
    <definedName name="ㅂㅈㄷㅂㅈ" localSheetId="8" hidden="1">{"'장비'!$A$3:$M$12"}</definedName>
    <definedName name="ㅂㅈㄷㅂㅈ" localSheetId="12" hidden="1">{"'장비'!$A$3:$M$12"}</definedName>
    <definedName name="ㅂㅈㄷㅂㅈ" localSheetId="16" hidden="1">{"'장비'!$A$3:$M$12"}</definedName>
    <definedName name="ㅂㅈㄷㅂㅈ" localSheetId="0" hidden="1">{"'장비'!$A$3:$M$12"}</definedName>
    <definedName name="ㅂㅈㄷㅂㅈ" localSheetId="11" hidden="1">{"'장비'!$A$3:$M$12"}</definedName>
    <definedName name="ㅂㅈㄷㅂㅈ" localSheetId="13" hidden="1">{"'장비'!$A$3:$M$12"}</definedName>
    <definedName name="ㅂㅈㄷㅂㅈ" hidden="1">{"'장비'!$A$3:$M$12"}</definedName>
    <definedName name="ㅂㅈㄷㅂㅈㅈㅂㄷ" localSheetId="14" hidden="1">{"'장비'!$A$3:$M$12"}</definedName>
    <definedName name="ㅂㅈㄷㅂㅈㅈㅂㄷ" localSheetId="7" hidden="1">{"'장비'!$A$3:$M$12"}</definedName>
    <definedName name="ㅂㅈㄷㅂㅈㅈㅂㄷ" localSheetId="1" hidden="1">{"'장비'!$A$3:$M$12"}</definedName>
    <definedName name="ㅂㅈㄷㅂㅈㅈㅂㄷ" localSheetId="2" hidden="1">{"'장비'!$A$3:$M$12"}</definedName>
    <definedName name="ㅂㅈㄷㅂㅈㅈㅂㄷ" localSheetId="9" hidden="1">{"'장비'!$A$3:$M$12"}</definedName>
    <definedName name="ㅂㅈㄷㅂㅈㅈㅂㄷ" localSheetId="5" hidden="1">{"'장비'!$A$3:$M$12"}</definedName>
    <definedName name="ㅂㅈㄷㅂㅈㅈㅂㄷ" localSheetId="4" hidden="1">{"'장비'!$A$3:$M$12"}</definedName>
    <definedName name="ㅂㅈㄷㅂㅈㅈㅂㄷ" localSheetId="8" hidden="1">{"'장비'!$A$3:$M$12"}</definedName>
    <definedName name="ㅂㅈㄷㅂㅈㅈㅂㄷ" localSheetId="12" hidden="1">{"'장비'!$A$3:$M$12"}</definedName>
    <definedName name="ㅂㅈㄷㅂㅈㅈㅂㄷ" localSheetId="16" hidden="1">{"'장비'!$A$3:$M$12"}</definedName>
    <definedName name="ㅂㅈㄷㅂㅈㅈㅂㄷ" localSheetId="0" hidden="1">{"'장비'!$A$3:$M$12"}</definedName>
    <definedName name="ㅂㅈㄷㅂㅈㅈㅂㄷ" localSheetId="11" hidden="1">{"'장비'!$A$3:$M$12"}</definedName>
    <definedName name="ㅂㅈㄷㅂㅈㅈㅂㄷ" localSheetId="13" hidden="1">{"'장비'!$A$3:$M$12"}</definedName>
    <definedName name="ㅂㅈㄷㅂㅈㅈㅂㄷ" hidden="1">{"'장비'!$A$3:$M$12"}</definedName>
    <definedName name="ㅂㅈㄷㅈㅂㄷ" localSheetId="14" hidden="1">{"'장비'!$A$3:$M$12"}</definedName>
    <definedName name="ㅂㅈㄷㅈㅂㄷ" localSheetId="7" hidden="1">{"'장비'!$A$3:$M$12"}</definedName>
    <definedName name="ㅂㅈㄷㅈㅂㄷ" localSheetId="1" hidden="1">{"'장비'!$A$3:$M$12"}</definedName>
    <definedName name="ㅂㅈㄷㅈㅂㄷ" localSheetId="2" hidden="1">{"'장비'!$A$3:$M$12"}</definedName>
    <definedName name="ㅂㅈㄷㅈㅂㄷ" localSheetId="9" hidden="1">{"'장비'!$A$3:$M$12"}</definedName>
    <definedName name="ㅂㅈㄷㅈㅂㄷ" localSheetId="5" hidden="1">{"'장비'!$A$3:$M$12"}</definedName>
    <definedName name="ㅂㅈㄷㅈㅂㄷ" localSheetId="4" hidden="1">{"'장비'!$A$3:$M$12"}</definedName>
    <definedName name="ㅂㅈㄷㅈㅂㄷ" localSheetId="8" hidden="1">{"'장비'!$A$3:$M$12"}</definedName>
    <definedName name="ㅂㅈㄷㅈㅂㄷ" localSheetId="12" hidden="1">{"'장비'!$A$3:$M$12"}</definedName>
    <definedName name="ㅂㅈㄷㅈㅂㄷ" localSheetId="16" hidden="1">{"'장비'!$A$3:$M$12"}</definedName>
    <definedName name="ㅂㅈㄷㅈㅂㄷ" localSheetId="0" hidden="1">{"'장비'!$A$3:$M$12"}</definedName>
    <definedName name="ㅂㅈㄷㅈㅂㄷ" localSheetId="11" hidden="1">{"'장비'!$A$3:$M$12"}</definedName>
    <definedName name="ㅂㅈㄷㅈㅂㄷ" localSheetId="13" hidden="1">{"'장비'!$A$3:$M$12"}</definedName>
    <definedName name="ㅂㅈㄷㅈㅂㄷ" hidden="1">{"'장비'!$A$3:$M$12"}</definedName>
    <definedName name="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2" hidden="1">#REF!</definedName>
    <definedName name="보충" localSheetId="5" hidden="1">#REF!</definedName>
    <definedName name="보충" localSheetId="0" hidden="1">#REF!</definedName>
    <definedName name="보충" hidden="1">#REF!</definedName>
    <definedName name="보호" localSheetId="14" hidden="1">{#N/A,#N/A,FALSE,"ENG'G(보호계전기)"}</definedName>
    <definedName name="보호" localSheetId="7" hidden="1">{#N/A,#N/A,FALSE,"ENG'G(보호계전기)"}</definedName>
    <definedName name="보호" localSheetId="1" hidden="1">{#N/A,#N/A,FALSE,"ENG'G(보호계전기)"}</definedName>
    <definedName name="보호" localSheetId="2" hidden="1">{#N/A,#N/A,FALSE,"ENG'G(보호계전기)"}</definedName>
    <definedName name="보호" localSheetId="9" hidden="1">{#N/A,#N/A,FALSE,"ENG'G(보호계전기)"}</definedName>
    <definedName name="보호" localSheetId="5" hidden="1">{#N/A,#N/A,FALSE,"ENG'G(보호계전기)"}</definedName>
    <definedName name="보호" localSheetId="4" hidden="1">{#N/A,#N/A,FALSE,"ENG'G(보호계전기)"}</definedName>
    <definedName name="보호" localSheetId="8" hidden="1">{#N/A,#N/A,FALSE,"ENG'G(보호계전기)"}</definedName>
    <definedName name="보호" localSheetId="12" hidden="1">{#N/A,#N/A,FALSE,"ENG'G(보호계전기)"}</definedName>
    <definedName name="보호" localSheetId="16" hidden="1">{#N/A,#N/A,FALSE,"ENG'G(보호계전기)"}</definedName>
    <definedName name="보호" localSheetId="0" hidden="1">{#N/A,#N/A,FALSE,"ENG'G(보호계전기)"}</definedName>
    <definedName name="보호" localSheetId="11" hidden="1">{#N/A,#N/A,FALSE,"ENG'G(보호계전기)"}</definedName>
    <definedName name="보호" localSheetId="13" hidden="1">{#N/A,#N/A,FALSE,"ENG'G(보호계전기)"}</definedName>
    <definedName name="보호" hidden="1">{#N/A,#N/A,FALSE,"ENG'G(보호계전기)"}</definedName>
    <definedName name="본공사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2" hidden="1">#REF!</definedName>
    <definedName name="부대공사" localSheetId="5" hidden="1">#REF!</definedName>
    <definedName name="부대공사" localSheetId="0" hidden="1">#REF!</definedName>
    <definedName name="부대공사" hidden="1">#REF!</definedName>
    <definedName name="부손익" localSheetId="14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9" hidden="1">{#N/A,#N/A,FALSE,"현장 NCR 분석";#N/A,#N/A,FALSE,"현장품질감사";#N/A,#N/A,FALSE,"현장품질감사"}</definedName>
    <definedName name="부손익" localSheetId="5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8" hidden="1">{#N/A,#N/A,FALSE,"현장 NCR 분석";#N/A,#N/A,FALSE,"현장품질감사";#N/A,#N/A,FALSE,"현장품질감사"}</definedName>
    <definedName name="부손익" localSheetId="12" hidden="1">{#N/A,#N/A,FALSE,"현장 NCR 분석";#N/A,#N/A,FALSE,"현장품질감사";#N/A,#N/A,FALSE,"현장품질감사"}</definedName>
    <definedName name="부손익" localSheetId="16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localSheetId="11" hidden="1">{#N/A,#N/A,FALSE,"현장 NCR 분석";#N/A,#N/A,FALSE,"현장품질감사";#N/A,#N/A,FALSE,"현장품질감사"}</definedName>
    <definedName name="부손익" localSheetId="1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4" hidden="1">{"'장비'!$A$3:$M$12"}</definedName>
    <definedName name="ㅅㄱㄱㄷ" localSheetId="7" hidden="1">{"'장비'!$A$3:$M$12"}</definedName>
    <definedName name="ㅅㄱㄱㄷ" localSheetId="1" hidden="1">{"'장비'!$A$3:$M$12"}</definedName>
    <definedName name="ㅅㄱㄱㄷ" localSheetId="2" hidden="1">{"'장비'!$A$3:$M$12"}</definedName>
    <definedName name="ㅅㄱㄱㄷ" localSheetId="9" hidden="1">{"'장비'!$A$3:$M$12"}</definedName>
    <definedName name="ㅅㄱㄱㄷ" localSheetId="5" hidden="1">{"'장비'!$A$3:$M$12"}</definedName>
    <definedName name="ㅅㄱㄱㄷ" localSheetId="4" hidden="1">{"'장비'!$A$3:$M$12"}</definedName>
    <definedName name="ㅅㄱㄱㄷ" localSheetId="8" hidden="1">{"'장비'!$A$3:$M$12"}</definedName>
    <definedName name="ㅅㄱㄱㄷ" localSheetId="12" hidden="1">{"'장비'!$A$3:$M$12"}</definedName>
    <definedName name="ㅅㄱㄱㄷ" localSheetId="16" hidden="1">{"'장비'!$A$3:$M$12"}</definedName>
    <definedName name="ㅅㄱㄱㄷ" localSheetId="0" hidden="1">{"'장비'!$A$3:$M$12"}</definedName>
    <definedName name="ㅅㄱㄱㄷ" localSheetId="11" hidden="1">{"'장비'!$A$3:$M$12"}</definedName>
    <definedName name="ㅅㄱㄱㄷ" localSheetId="13" hidden="1">{"'장비'!$A$3:$M$12"}</definedName>
    <definedName name="ㅅㄱㄱㄷ" hidden="1">{"'장비'!$A$3:$M$12"}</definedName>
    <definedName name="ㅅㅅㅅㅅㅅ" localSheetId="14" hidden="1">{"'장비'!$A$3:$M$12"}</definedName>
    <definedName name="ㅅㅅㅅㅅㅅ" localSheetId="7" hidden="1">{"'장비'!$A$3:$M$12"}</definedName>
    <definedName name="ㅅㅅㅅㅅㅅ" localSheetId="1" hidden="1">{"'장비'!$A$3:$M$12"}</definedName>
    <definedName name="ㅅㅅㅅㅅㅅ" localSheetId="2" hidden="1">{"'장비'!$A$3:$M$12"}</definedName>
    <definedName name="ㅅㅅㅅㅅㅅ" localSheetId="9" hidden="1">{"'장비'!$A$3:$M$12"}</definedName>
    <definedName name="ㅅㅅㅅㅅㅅ" localSheetId="5" hidden="1">{"'장비'!$A$3:$M$12"}</definedName>
    <definedName name="ㅅㅅㅅㅅㅅ" localSheetId="4" hidden="1">{"'장비'!$A$3:$M$12"}</definedName>
    <definedName name="ㅅㅅㅅㅅㅅ" localSheetId="8" hidden="1">{"'장비'!$A$3:$M$12"}</definedName>
    <definedName name="ㅅㅅㅅㅅㅅ" localSheetId="12" hidden="1">{"'장비'!$A$3:$M$12"}</definedName>
    <definedName name="ㅅㅅㅅㅅㅅ" localSheetId="16" hidden="1">{"'장비'!$A$3:$M$12"}</definedName>
    <definedName name="ㅅㅅㅅㅅㅅ" localSheetId="0" hidden="1">{"'장비'!$A$3:$M$12"}</definedName>
    <definedName name="ㅅㅅㅅㅅㅅ" localSheetId="11" hidden="1">{"'장비'!$A$3:$M$12"}</definedName>
    <definedName name="ㅅㅅㅅㅅㅅ" localSheetId="13" hidden="1">{"'장비'!$A$3:$M$12"}</definedName>
    <definedName name="ㅅㅅㅅㅅㅅ" hidden="1">{"'장비'!$A$3:$M$12"}</definedName>
    <definedName name="사업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2" hidden="1">#REF!</definedName>
    <definedName name="사업계획수정" localSheetId="5" hidden="1">#REF!</definedName>
    <definedName name="사업계획수정" localSheetId="0" hidden="1">#REF!</definedName>
    <definedName name="사업계획수정" hidden="1">#REF!</definedName>
    <definedName name="사업관리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2" hidden="1">#REF!</definedName>
    <definedName name="사업부양식2" localSheetId="5" hidden="1">#REF!</definedName>
    <definedName name="사업부양식2" localSheetId="0" hidden="1">#REF!</definedName>
    <definedName name="사업부양식2" hidden="1">#REF!</definedName>
    <definedName name="산출" localSheetId="0" hidden="1">#REF!</definedName>
    <definedName name="산출" hidden="1">#REF!</definedName>
    <definedName name="새안" localSheetId="14" hidden="1">{#N/A,#N/A,FALSE,"TABLE"}</definedName>
    <definedName name="새안" localSheetId="7" hidden="1">{#N/A,#N/A,FALSE,"TABLE"}</definedName>
    <definedName name="새안" localSheetId="1" hidden="1">{#N/A,#N/A,FALSE,"TABLE"}</definedName>
    <definedName name="새안" localSheetId="2" hidden="1">{#N/A,#N/A,FALSE,"TABLE"}</definedName>
    <definedName name="새안" localSheetId="9" hidden="1">{#N/A,#N/A,FALSE,"TABLE"}</definedName>
    <definedName name="새안" localSheetId="5" hidden="1">{#N/A,#N/A,FALSE,"TABLE"}</definedName>
    <definedName name="새안" localSheetId="4" hidden="1">{#N/A,#N/A,FALSE,"TABLE"}</definedName>
    <definedName name="새안" localSheetId="8" hidden="1">{#N/A,#N/A,FALSE,"TABLE"}</definedName>
    <definedName name="새안" localSheetId="12" hidden="1">{#N/A,#N/A,FALSE,"TABLE"}</definedName>
    <definedName name="새안" localSheetId="16" hidden="1">{#N/A,#N/A,FALSE,"TABLE"}</definedName>
    <definedName name="새안" localSheetId="0" hidden="1">{#N/A,#N/A,FALSE,"TABLE"}</definedName>
    <definedName name="새안" localSheetId="11" hidden="1">{#N/A,#N/A,FALSE,"TABLE"}</definedName>
    <definedName name="새안" localSheetId="13" hidden="1">{#N/A,#N/A,FALSE,"TABLE"}</definedName>
    <definedName name="새안" hidden="1">{#N/A,#N/A,FALSE,"TABLE"}</definedName>
    <definedName name="석항" localSheetId="14" hidden="1">{#N/A,#N/A,FALSE,"명세표"}</definedName>
    <definedName name="석항" localSheetId="7" hidden="1">{#N/A,#N/A,FALSE,"명세표"}</definedName>
    <definedName name="석항" localSheetId="1" hidden="1">{#N/A,#N/A,FALSE,"명세표"}</definedName>
    <definedName name="석항" localSheetId="2" hidden="1">{#N/A,#N/A,FALSE,"명세표"}</definedName>
    <definedName name="석항" localSheetId="9" hidden="1">{#N/A,#N/A,FALSE,"명세표"}</definedName>
    <definedName name="석항" localSheetId="5" hidden="1">{#N/A,#N/A,FALSE,"명세표"}</definedName>
    <definedName name="석항" localSheetId="4" hidden="1">{#N/A,#N/A,FALSE,"명세표"}</definedName>
    <definedName name="석항" localSheetId="8" hidden="1">{#N/A,#N/A,FALSE,"명세표"}</definedName>
    <definedName name="석항" localSheetId="12" hidden="1">{#N/A,#N/A,FALSE,"명세표"}</definedName>
    <definedName name="석항" localSheetId="16" hidden="1">{#N/A,#N/A,FALSE,"명세표"}</definedName>
    <definedName name="석항" localSheetId="0" hidden="1">{#N/A,#N/A,FALSE,"명세표"}</definedName>
    <definedName name="석항" localSheetId="11" hidden="1">{#N/A,#N/A,FALSE,"명세표"}</definedName>
    <definedName name="석항" localSheetId="13" hidden="1">{#N/A,#N/A,FALSE,"명세표"}</definedName>
    <definedName name="석항" hidden="1">{#N/A,#N/A,FALSE,"명세표"}</definedName>
    <definedName name="설계현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2" hidden="1">#REF!</definedName>
    <definedName name="손익계산서" localSheetId="5" hidden="1">#REF!</definedName>
    <definedName name="손익계산서" localSheetId="0" hidden="1">#REF!</definedName>
    <definedName name="손익계산서" hidden="1">#REF!</definedName>
    <definedName name="쇼ㅗㅎ로" localSheetId="14" hidden="1">{"'장비'!$A$3:$M$12"}</definedName>
    <definedName name="쇼ㅗㅎ로" localSheetId="7" hidden="1">{"'장비'!$A$3:$M$12"}</definedName>
    <definedName name="쇼ㅗㅎ로" localSheetId="1" hidden="1">{"'장비'!$A$3:$M$12"}</definedName>
    <definedName name="쇼ㅗㅎ로" localSheetId="2" hidden="1">{"'장비'!$A$3:$M$12"}</definedName>
    <definedName name="쇼ㅗㅎ로" localSheetId="9" hidden="1">{"'장비'!$A$3:$M$12"}</definedName>
    <definedName name="쇼ㅗㅎ로" localSheetId="5" hidden="1">{"'장비'!$A$3:$M$12"}</definedName>
    <definedName name="쇼ㅗㅎ로" localSheetId="4" hidden="1">{"'장비'!$A$3:$M$12"}</definedName>
    <definedName name="쇼ㅗㅎ로" localSheetId="8" hidden="1">{"'장비'!$A$3:$M$12"}</definedName>
    <definedName name="쇼ㅗㅎ로" localSheetId="12" hidden="1">{"'장비'!$A$3:$M$12"}</definedName>
    <definedName name="쇼ㅗㅎ로" localSheetId="16" hidden="1">{"'장비'!$A$3:$M$12"}</definedName>
    <definedName name="쇼ㅗㅎ로" localSheetId="0" hidden="1">{"'장비'!$A$3:$M$12"}</definedName>
    <definedName name="쇼ㅗㅎ로" localSheetId="11" hidden="1">{"'장비'!$A$3:$M$12"}</definedName>
    <definedName name="쇼ㅗㅎ로" localSheetId="13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14" hidden="1">{#N/A,#N/A,FALSE,"명세표"}</definedName>
    <definedName name="신설" localSheetId="7" hidden="1">{#N/A,#N/A,FALSE,"명세표"}</definedName>
    <definedName name="신설" localSheetId="1" hidden="1">{#N/A,#N/A,FALSE,"명세표"}</definedName>
    <definedName name="신설" localSheetId="2" hidden="1">{#N/A,#N/A,FALSE,"명세표"}</definedName>
    <definedName name="신설" localSheetId="9" hidden="1">{#N/A,#N/A,FALSE,"명세표"}</definedName>
    <definedName name="신설" localSheetId="5" hidden="1">{#N/A,#N/A,FALSE,"명세표"}</definedName>
    <definedName name="신설" localSheetId="4" hidden="1">{#N/A,#N/A,FALSE,"명세표"}</definedName>
    <definedName name="신설" localSheetId="8" hidden="1">{#N/A,#N/A,FALSE,"명세표"}</definedName>
    <definedName name="신설" localSheetId="12" hidden="1">{#N/A,#N/A,FALSE,"명세표"}</definedName>
    <definedName name="신설" localSheetId="16" hidden="1">{#N/A,#N/A,FALSE,"명세표"}</definedName>
    <definedName name="신설" localSheetId="0" hidden="1">{#N/A,#N/A,FALSE,"명세표"}</definedName>
    <definedName name="신설" localSheetId="11" hidden="1">{#N/A,#N/A,FALSE,"명세표"}</definedName>
    <definedName name="신설" localSheetId="13" hidden="1">{#N/A,#N/A,FALSE,"명세표"}</definedName>
    <definedName name="신설" hidden="1">{#N/A,#N/A,FALSE,"명세표"}</definedName>
    <definedName name="실적총괄1" localSheetId="2" hidden="1">#REF!</definedName>
    <definedName name="실적총괄1" localSheetId="5" hidden="1">#REF!</definedName>
    <definedName name="실적총괄1" localSheetId="0" hidden="1">#REF!</definedName>
    <definedName name="실적총괄1" hidden="1">#REF!</definedName>
    <definedName name="실총" localSheetId="0" hidden="1">#REF!</definedName>
    <definedName name="실총" hidden="1">#REF!</definedName>
    <definedName name="ㅇㄹㄹ" localSheetId="0" hidden="1">#REF!</definedName>
    <definedName name="ㅇㄹㄹ" hidden="1">#REF!</definedName>
    <definedName name="ㅇㅇ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2" hidden="1">#REF!</definedName>
    <definedName name="ㅇㅇㅇㅇ" localSheetId="0" hidden="1">#REF!</definedName>
    <definedName name="ㅇㅇㅇㅇ" hidden="1">#REF!</definedName>
    <definedName name="양식변경12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2" hidden="1">#REF!</definedName>
    <definedName name="이월" localSheetId="5" hidden="1">#REF!</definedName>
    <definedName name="이월" localSheetId="0" hidden="1">#REF!</definedName>
    <definedName name="이월" hidden="1">#REF!</definedName>
    <definedName name="이이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4" hidden="1">{#N/A,#N/A,FALSE,"명세표"}</definedName>
    <definedName name="ㅈ" localSheetId="7" hidden="1">{#N/A,#N/A,FALSE,"명세표"}</definedName>
    <definedName name="ㅈ" localSheetId="1" hidden="1">{#N/A,#N/A,FALSE,"명세표"}</definedName>
    <definedName name="ㅈ" localSheetId="2" hidden="1">{#N/A,#N/A,FALSE,"명세표"}</definedName>
    <definedName name="ㅈ" localSheetId="9" hidden="1">{#N/A,#N/A,FALSE,"명세표"}</definedName>
    <definedName name="ㅈ" localSheetId="5" hidden="1">{#N/A,#N/A,FALSE,"명세표"}</definedName>
    <definedName name="ㅈ" localSheetId="4" hidden="1">{#N/A,#N/A,FALSE,"명세표"}</definedName>
    <definedName name="ㅈ" localSheetId="8" hidden="1">{#N/A,#N/A,FALSE,"명세표"}</definedName>
    <definedName name="ㅈ" localSheetId="12" hidden="1">{#N/A,#N/A,FALSE,"명세표"}</definedName>
    <definedName name="ㅈ" localSheetId="16" hidden="1">{#N/A,#N/A,FALSE,"명세표"}</definedName>
    <definedName name="ㅈ" localSheetId="0" hidden="1">{#N/A,#N/A,FALSE,"명세표"}</definedName>
    <definedName name="ㅈ" localSheetId="11" hidden="1">{#N/A,#N/A,FALSE,"명세표"}</definedName>
    <definedName name="ㅈ" localSheetId="13" hidden="1">{#N/A,#N/A,FALSE,"명세표"}</definedName>
    <definedName name="ㅈ" hidden="1">{#N/A,#N/A,FALSE,"명세표"}</definedName>
    <definedName name="ㅈㅈㅈㅈ" localSheetId="14" hidden="1">{#N/A,#N/A,FALSE,"명세표"}</definedName>
    <definedName name="ㅈㅈㅈㅈ" localSheetId="7" hidden="1">{#N/A,#N/A,FALSE,"명세표"}</definedName>
    <definedName name="ㅈㅈㅈㅈ" localSheetId="1" hidden="1">{#N/A,#N/A,FALSE,"명세표"}</definedName>
    <definedName name="ㅈㅈㅈㅈ" localSheetId="2" hidden="1">{#N/A,#N/A,FALSE,"명세표"}</definedName>
    <definedName name="ㅈㅈㅈㅈ" localSheetId="9" hidden="1">{#N/A,#N/A,FALSE,"명세표"}</definedName>
    <definedName name="ㅈㅈㅈㅈ" localSheetId="5" hidden="1">{#N/A,#N/A,FALSE,"명세표"}</definedName>
    <definedName name="ㅈㅈㅈㅈ" localSheetId="4" hidden="1">{#N/A,#N/A,FALSE,"명세표"}</definedName>
    <definedName name="ㅈㅈㅈㅈ" localSheetId="8" hidden="1">{#N/A,#N/A,FALSE,"명세표"}</definedName>
    <definedName name="ㅈㅈㅈㅈ" localSheetId="12" hidden="1">{#N/A,#N/A,FALSE,"명세표"}</definedName>
    <definedName name="ㅈㅈㅈㅈ" localSheetId="16" hidden="1">{#N/A,#N/A,FALSE,"명세표"}</definedName>
    <definedName name="ㅈㅈㅈㅈ" localSheetId="0" hidden="1">{#N/A,#N/A,FALSE,"명세표"}</definedName>
    <definedName name="ㅈㅈㅈㅈ" localSheetId="11" hidden="1">{#N/A,#N/A,FALSE,"명세표"}</definedName>
    <definedName name="ㅈㅈㅈㅈ" localSheetId="13" hidden="1">{#N/A,#N/A,FALSE,"명세표"}</definedName>
    <definedName name="ㅈㅈㅈㅈ" hidden="1">{#N/A,#N/A,FALSE,"명세표"}</definedName>
    <definedName name="자미" localSheetId="14" hidden="1">{#N/A,#N/A,FALSE,"명세표"}</definedName>
    <definedName name="자미" localSheetId="7" hidden="1">{#N/A,#N/A,FALSE,"명세표"}</definedName>
    <definedName name="자미" localSheetId="1" hidden="1">{#N/A,#N/A,FALSE,"명세표"}</definedName>
    <definedName name="자미" localSheetId="2" hidden="1">{#N/A,#N/A,FALSE,"명세표"}</definedName>
    <definedName name="자미" localSheetId="9" hidden="1">{#N/A,#N/A,FALSE,"명세표"}</definedName>
    <definedName name="자미" localSheetId="5" hidden="1">{#N/A,#N/A,FALSE,"명세표"}</definedName>
    <definedName name="자미" localSheetId="4" hidden="1">{#N/A,#N/A,FALSE,"명세표"}</definedName>
    <definedName name="자미" localSheetId="8" hidden="1">{#N/A,#N/A,FALSE,"명세표"}</definedName>
    <definedName name="자미" localSheetId="12" hidden="1">{#N/A,#N/A,FALSE,"명세표"}</definedName>
    <definedName name="자미" localSheetId="16" hidden="1">{#N/A,#N/A,FALSE,"명세표"}</definedName>
    <definedName name="자미" localSheetId="0" hidden="1">{#N/A,#N/A,FALSE,"명세표"}</definedName>
    <definedName name="자미" localSheetId="11" hidden="1">{#N/A,#N/A,FALSE,"명세표"}</definedName>
    <definedName name="자미" localSheetId="13" hidden="1">{#N/A,#N/A,FALSE,"명세표"}</definedName>
    <definedName name="자미" hidden="1">{#N/A,#N/A,FALSE,"명세표"}</definedName>
    <definedName name="자운" localSheetId="2" hidden="1">#REF!</definedName>
    <definedName name="자운" localSheetId="5" hidden="1">#REF!</definedName>
    <definedName name="자운" localSheetId="0" hidden="1">#REF!</definedName>
    <definedName name="자운" hidden="1">#REF!</definedName>
    <definedName name="자재3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2" hidden="1">#REF!</definedName>
    <definedName name="전계장금액" localSheetId="5" hidden="1">#REF!</definedName>
    <definedName name="전계장금액" localSheetId="0" hidden="1">#REF!</definedName>
    <definedName name="전계장금액" hidden="1">#REF!</definedName>
    <definedName name="전기사양_SAMPL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2" hidden="1">#REF!</definedName>
    <definedName name="전선조장" localSheetId="5" hidden="1">#REF!</definedName>
    <definedName name="전선조장" localSheetId="0" hidden="1">#REF!</definedName>
    <definedName name="전선조장" hidden="1">#REF!</definedName>
    <definedName name="조직표현장" localSheetId="2" hidden="1">#REF!</definedName>
    <definedName name="조직표현장" localSheetId="5" hidden="1">#REF!</definedName>
    <definedName name="조직표현장" localSheetId="0" hidden="1">#REF!</definedName>
    <definedName name="조직표현장" hidden="1">#REF!</definedName>
    <definedName name="종합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4" hidden="1">{#N/A,#N/A,FALSE,"ENG'G(보호계전기)"}</definedName>
    <definedName name="중량비교검토" localSheetId="7" hidden="1">{#N/A,#N/A,FALSE,"ENG'G(보호계전기)"}</definedName>
    <definedName name="중량비교검토" localSheetId="1" hidden="1">{#N/A,#N/A,FALSE,"ENG'G(보호계전기)"}</definedName>
    <definedName name="중량비교검토" localSheetId="2" hidden="1">{#N/A,#N/A,FALSE,"ENG'G(보호계전기)"}</definedName>
    <definedName name="중량비교검토" localSheetId="9" hidden="1">{#N/A,#N/A,FALSE,"ENG'G(보호계전기)"}</definedName>
    <definedName name="중량비교검토" localSheetId="5" hidden="1">{#N/A,#N/A,FALSE,"ENG'G(보호계전기)"}</definedName>
    <definedName name="중량비교검토" localSheetId="4" hidden="1">{#N/A,#N/A,FALSE,"ENG'G(보호계전기)"}</definedName>
    <definedName name="중량비교검토" localSheetId="8" hidden="1">{#N/A,#N/A,FALSE,"ENG'G(보호계전기)"}</definedName>
    <definedName name="중량비교검토" localSheetId="12" hidden="1">{#N/A,#N/A,FALSE,"ENG'G(보호계전기)"}</definedName>
    <definedName name="중량비교검토" localSheetId="16" hidden="1">{#N/A,#N/A,FALSE,"ENG'G(보호계전기)"}</definedName>
    <definedName name="중량비교검토" localSheetId="0" hidden="1">{#N/A,#N/A,FALSE,"ENG'G(보호계전기)"}</definedName>
    <definedName name="중량비교검토" localSheetId="11" hidden="1">{#N/A,#N/A,FALSE,"ENG'G(보호계전기)"}</definedName>
    <definedName name="중량비교검토" localSheetId="13" hidden="1">{#N/A,#N/A,FALSE,"ENG'G(보호계전기)"}</definedName>
    <definedName name="중량비교검토" hidden="1">{#N/A,#N/A,FALSE,"ENG'G(보호계전기)"}</definedName>
    <definedName name="집계" localSheetId="14" hidden="1">{#N/A,#N/A,FALSE,"명세표"}</definedName>
    <definedName name="집계" localSheetId="7" hidden="1">{#N/A,#N/A,FALSE,"명세표"}</definedName>
    <definedName name="집계" localSheetId="1" hidden="1">{#N/A,#N/A,FALSE,"명세표"}</definedName>
    <definedName name="집계" localSheetId="2" hidden="1">{#N/A,#N/A,FALSE,"명세표"}</definedName>
    <definedName name="집계" localSheetId="9" hidden="1">{#N/A,#N/A,FALSE,"명세표"}</definedName>
    <definedName name="집계" localSheetId="5" hidden="1">{#N/A,#N/A,FALSE,"명세표"}</definedName>
    <definedName name="집계" localSheetId="4" hidden="1">{#N/A,#N/A,FALSE,"명세표"}</definedName>
    <definedName name="집계" localSheetId="8" hidden="1">{#N/A,#N/A,FALSE,"명세표"}</definedName>
    <definedName name="집계" localSheetId="12" hidden="1">{#N/A,#N/A,FALSE,"명세표"}</definedName>
    <definedName name="집계" localSheetId="16" hidden="1">{#N/A,#N/A,FALSE,"명세표"}</definedName>
    <definedName name="집계" localSheetId="0" hidden="1">{#N/A,#N/A,FALSE,"명세표"}</definedName>
    <definedName name="집계" localSheetId="11" hidden="1">{#N/A,#N/A,FALSE,"명세표"}</definedName>
    <definedName name="집계" localSheetId="13" hidden="1">{#N/A,#N/A,FALSE,"명세표"}</definedName>
    <definedName name="집계" hidden="1">{#N/A,#N/A,FALSE,"명세표"}</definedName>
    <definedName name="철골공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4" hidden="1">{#N/A,#N/A,FALSE,"명세표"}</definedName>
    <definedName name="ㅋㅁ" localSheetId="7" hidden="1">{#N/A,#N/A,FALSE,"명세표"}</definedName>
    <definedName name="ㅋㅁ" localSheetId="1" hidden="1">{#N/A,#N/A,FALSE,"명세표"}</definedName>
    <definedName name="ㅋㅁ" localSheetId="2" hidden="1">{#N/A,#N/A,FALSE,"명세표"}</definedName>
    <definedName name="ㅋㅁ" localSheetId="9" hidden="1">{#N/A,#N/A,FALSE,"명세표"}</definedName>
    <definedName name="ㅋㅁ" localSheetId="5" hidden="1">{#N/A,#N/A,FALSE,"명세표"}</definedName>
    <definedName name="ㅋㅁ" localSheetId="4" hidden="1">{#N/A,#N/A,FALSE,"명세표"}</definedName>
    <definedName name="ㅋㅁ" localSheetId="8" hidden="1">{#N/A,#N/A,FALSE,"명세표"}</definedName>
    <definedName name="ㅋㅁ" localSheetId="12" hidden="1">{#N/A,#N/A,FALSE,"명세표"}</definedName>
    <definedName name="ㅋㅁ" localSheetId="16" hidden="1">{#N/A,#N/A,FALSE,"명세표"}</definedName>
    <definedName name="ㅋㅁ" localSheetId="0" hidden="1">{#N/A,#N/A,FALSE,"명세표"}</definedName>
    <definedName name="ㅋㅁ" localSheetId="11" hidden="1">{#N/A,#N/A,FALSE,"명세표"}</definedName>
    <definedName name="ㅋㅁ" localSheetId="13" hidden="1">{#N/A,#N/A,FALSE,"명세표"}</definedName>
    <definedName name="ㅋㅁ" hidden="1">{#N/A,#N/A,FALSE,"명세표"}</definedName>
    <definedName name="ㅋㅋㅋ" localSheetId="14" hidden="1">{#N/A,#N/A,FALSE,"명세표"}</definedName>
    <definedName name="ㅋㅋㅋ" localSheetId="7" hidden="1">{#N/A,#N/A,FALSE,"명세표"}</definedName>
    <definedName name="ㅋㅋㅋ" localSheetId="1" hidden="1">{#N/A,#N/A,FALSE,"명세표"}</definedName>
    <definedName name="ㅋㅋㅋ" localSheetId="2" hidden="1">{#N/A,#N/A,FALSE,"명세표"}</definedName>
    <definedName name="ㅋㅋㅋ" localSheetId="9" hidden="1">{#N/A,#N/A,FALSE,"명세표"}</definedName>
    <definedName name="ㅋㅋㅋ" localSheetId="5" hidden="1">{#N/A,#N/A,FALSE,"명세표"}</definedName>
    <definedName name="ㅋㅋㅋ" localSheetId="4" hidden="1">{#N/A,#N/A,FALSE,"명세표"}</definedName>
    <definedName name="ㅋㅋㅋ" localSheetId="8" hidden="1">{#N/A,#N/A,FALSE,"명세표"}</definedName>
    <definedName name="ㅋㅋㅋ" localSheetId="12" hidden="1">{#N/A,#N/A,FALSE,"명세표"}</definedName>
    <definedName name="ㅋㅋㅋ" localSheetId="16" hidden="1">{#N/A,#N/A,FALSE,"명세표"}</definedName>
    <definedName name="ㅋㅋㅋ" localSheetId="0" hidden="1">{#N/A,#N/A,FALSE,"명세표"}</definedName>
    <definedName name="ㅋㅋㅋ" localSheetId="11" hidden="1">{#N/A,#N/A,FALSE,"명세표"}</definedName>
    <definedName name="ㅋㅋㅋ" localSheetId="13" hidden="1">{#N/A,#N/A,FALSE,"명세표"}</definedName>
    <definedName name="ㅋㅋㅋ" hidden="1">{#N/A,#N/A,FALSE,"명세표"}</definedName>
    <definedName name="ㅌㅌ" localSheetId="14" hidden="1">{#N/A,#N/A,FALSE,"명세표"}</definedName>
    <definedName name="ㅌㅌ" localSheetId="7" hidden="1">{#N/A,#N/A,FALSE,"명세표"}</definedName>
    <definedName name="ㅌㅌ" localSheetId="1" hidden="1">{#N/A,#N/A,FALSE,"명세표"}</definedName>
    <definedName name="ㅌㅌ" localSheetId="2" hidden="1">{#N/A,#N/A,FALSE,"명세표"}</definedName>
    <definedName name="ㅌㅌ" localSheetId="9" hidden="1">{#N/A,#N/A,FALSE,"명세표"}</definedName>
    <definedName name="ㅌㅌ" localSheetId="5" hidden="1">{#N/A,#N/A,FALSE,"명세표"}</definedName>
    <definedName name="ㅌㅌ" localSheetId="4" hidden="1">{#N/A,#N/A,FALSE,"명세표"}</definedName>
    <definedName name="ㅌㅌ" localSheetId="8" hidden="1">{#N/A,#N/A,FALSE,"명세표"}</definedName>
    <definedName name="ㅌㅌ" localSheetId="12" hidden="1">{#N/A,#N/A,FALSE,"명세표"}</definedName>
    <definedName name="ㅌㅌ" localSheetId="16" hidden="1">{#N/A,#N/A,FALSE,"명세표"}</definedName>
    <definedName name="ㅌㅌ" localSheetId="0" hidden="1">{#N/A,#N/A,FALSE,"명세표"}</definedName>
    <definedName name="ㅌㅌ" localSheetId="11" hidden="1">{#N/A,#N/A,FALSE,"명세표"}</definedName>
    <definedName name="ㅌㅌ" localSheetId="13" hidden="1">{#N/A,#N/A,FALSE,"명세표"}</definedName>
    <definedName name="ㅌㅌ" hidden="1">{#N/A,#N/A,FALSE,"명세표"}</definedName>
    <definedName name="토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4" hidden="1">{"'장비'!$A$3:$M$12"}</definedName>
    <definedName name="ㅎㅎㅎㅎ" localSheetId="7" hidden="1">{"'장비'!$A$3:$M$12"}</definedName>
    <definedName name="ㅎㅎㅎㅎ" localSheetId="1" hidden="1">{"'장비'!$A$3:$M$12"}</definedName>
    <definedName name="ㅎㅎㅎㅎ" localSheetId="2" hidden="1">{"'장비'!$A$3:$M$12"}</definedName>
    <definedName name="ㅎㅎㅎㅎ" localSheetId="9" hidden="1">{"'장비'!$A$3:$M$12"}</definedName>
    <definedName name="ㅎㅎㅎㅎ" localSheetId="5" hidden="1">{"'장비'!$A$3:$M$12"}</definedName>
    <definedName name="ㅎㅎㅎㅎ" localSheetId="4" hidden="1">{"'장비'!$A$3:$M$12"}</definedName>
    <definedName name="ㅎㅎㅎㅎ" localSheetId="8" hidden="1">{"'장비'!$A$3:$M$12"}</definedName>
    <definedName name="ㅎㅎㅎㅎ" localSheetId="12" hidden="1">{"'장비'!$A$3:$M$12"}</definedName>
    <definedName name="ㅎㅎㅎㅎ" localSheetId="16" hidden="1">{"'장비'!$A$3:$M$12"}</definedName>
    <definedName name="ㅎㅎㅎㅎ" localSheetId="0" hidden="1">{"'장비'!$A$3:$M$12"}</definedName>
    <definedName name="ㅎㅎㅎㅎ" localSheetId="11" hidden="1">{"'장비'!$A$3:$M$12"}</definedName>
    <definedName name="ㅎㅎㅎㅎ" localSheetId="13" hidden="1">{"'장비'!$A$3:$M$12"}</definedName>
    <definedName name="ㅎㅎㅎㅎ" hidden="1">{"'장비'!$A$3:$M$12"}</definedName>
    <definedName name="하하하" localSheetId="14" hidden="1">{#N/A,#N/A,FALSE,"명세표"}</definedName>
    <definedName name="하하하" localSheetId="7" hidden="1">{#N/A,#N/A,FALSE,"명세표"}</definedName>
    <definedName name="하하하" localSheetId="1" hidden="1">{#N/A,#N/A,FALSE,"명세표"}</definedName>
    <definedName name="하하하" localSheetId="2" hidden="1">{#N/A,#N/A,FALSE,"명세표"}</definedName>
    <definedName name="하하하" localSheetId="9" hidden="1">{#N/A,#N/A,FALSE,"명세표"}</definedName>
    <definedName name="하하하" localSheetId="5" hidden="1">{#N/A,#N/A,FALSE,"명세표"}</definedName>
    <definedName name="하하하" localSheetId="4" hidden="1">{#N/A,#N/A,FALSE,"명세표"}</definedName>
    <definedName name="하하하" localSheetId="8" hidden="1">{#N/A,#N/A,FALSE,"명세표"}</definedName>
    <definedName name="하하하" localSheetId="12" hidden="1">{#N/A,#N/A,FALSE,"명세표"}</definedName>
    <definedName name="하하하" localSheetId="16" hidden="1">{#N/A,#N/A,FALSE,"명세표"}</definedName>
    <definedName name="하하하" localSheetId="0" hidden="1">{#N/A,#N/A,FALSE,"명세표"}</definedName>
    <definedName name="하하하" localSheetId="11" hidden="1">{#N/A,#N/A,FALSE,"명세표"}</definedName>
    <definedName name="하하하" localSheetId="13" hidden="1">{#N/A,#N/A,FALSE,"명세표"}</definedName>
    <definedName name="하하하" hidden="1">{#N/A,#N/A,FALSE,"명세표"}</definedName>
    <definedName name="한국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4" hidden="1">{#N/A,#N/A,FALSE,"명세표"}</definedName>
    <definedName name="호호호" localSheetId="7" hidden="1">{#N/A,#N/A,FALSE,"명세표"}</definedName>
    <definedName name="호호호" localSheetId="1" hidden="1">{#N/A,#N/A,FALSE,"명세표"}</definedName>
    <definedName name="호호호" localSheetId="2" hidden="1">{#N/A,#N/A,FALSE,"명세표"}</definedName>
    <definedName name="호호호" localSheetId="9" hidden="1">{#N/A,#N/A,FALSE,"명세표"}</definedName>
    <definedName name="호호호" localSheetId="5" hidden="1">{#N/A,#N/A,FALSE,"명세표"}</definedName>
    <definedName name="호호호" localSheetId="4" hidden="1">{#N/A,#N/A,FALSE,"명세표"}</definedName>
    <definedName name="호호호" localSheetId="8" hidden="1">{#N/A,#N/A,FALSE,"명세표"}</definedName>
    <definedName name="호호호" localSheetId="12" hidden="1">{#N/A,#N/A,FALSE,"명세표"}</definedName>
    <definedName name="호호호" localSheetId="16" hidden="1">{#N/A,#N/A,FALSE,"명세표"}</definedName>
    <definedName name="호호호" localSheetId="0" hidden="1">{#N/A,#N/A,FALSE,"명세표"}</definedName>
    <definedName name="호호호" localSheetId="11" hidden="1">{#N/A,#N/A,FALSE,"명세표"}</definedName>
    <definedName name="호호호" localSheetId="13" hidden="1">{#N/A,#N/A,FALSE,"명세표"}</definedName>
    <definedName name="호호호" hidden="1">{#N/A,#N/A,FALSE,"명세표"}</definedName>
    <definedName name="ㅏㅏㅏ" localSheetId="14" hidden="1">{#N/A,#N/A,FALSE,"명세표"}</definedName>
    <definedName name="ㅏㅏㅏ" localSheetId="7" hidden="1">{#N/A,#N/A,FALSE,"명세표"}</definedName>
    <definedName name="ㅏㅏㅏ" localSheetId="1" hidden="1">{#N/A,#N/A,FALSE,"명세표"}</definedName>
    <definedName name="ㅏㅏㅏ" localSheetId="2" hidden="1">{#N/A,#N/A,FALSE,"명세표"}</definedName>
    <definedName name="ㅏㅏㅏ" localSheetId="9" hidden="1">{#N/A,#N/A,FALSE,"명세표"}</definedName>
    <definedName name="ㅏㅏㅏ" localSheetId="5" hidden="1">{#N/A,#N/A,FALSE,"명세표"}</definedName>
    <definedName name="ㅏㅏㅏ" localSheetId="4" hidden="1">{#N/A,#N/A,FALSE,"명세표"}</definedName>
    <definedName name="ㅏㅏㅏ" localSheetId="8" hidden="1">{#N/A,#N/A,FALSE,"명세표"}</definedName>
    <definedName name="ㅏㅏㅏ" localSheetId="12" hidden="1">{#N/A,#N/A,FALSE,"명세표"}</definedName>
    <definedName name="ㅏㅏㅏ" localSheetId="16" hidden="1">{#N/A,#N/A,FALSE,"명세표"}</definedName>
    <definedName name="ㅏㅏㅏ" localSheetId="0" hidden="1">{#N/A,#N/A,FALSE,"명세표"}</definedName>
    <definedName name="ㅏㅏㅏ" localSheetId="11" hidden="1">{#N/A,#N/A,FALSE,"명세표"}</definedName>
    <definedName name="ㅏㅏㅏ" localSheetId="13" hidden="1">{#N/A,#N/A,FALSE,"명세표"}</definedName>
    <definedName name="ㅏㅏㅏ" hidden="1">{#N/A,#N/A,FALSE,"명세표"}</definedName>
    <definedName name="ㅔㅔ" localSheetId="14" hidden="1">{#N/A,#N/A,FALSE,"명세표"}</definedName>
    <definedName name="ㅔㅔ" localSheetId="7" hidden="1">{#N/A,#N/A,FALSE,"명세표"}</definedName>
    <definedName name="ㅔㅔ" localSheetId="1" hidden="1">{#N/A,#N/A,FALSE,"명세표"}</definedName>
    <definedName name="ㅔㅔ" localSheetId="2" hidden="1">{#N/A,#N/A,FALSE,"명세표"}</definedName>
    <definedName name="ㅔㅔ" localSheetId="9" hidden="1">{#N/A,#N/A,FALSE,"명세표"}</definedName>
    <definedName name="ㅔㅔ" localSheetId="5" hidden="1">{#N/A,#N/A,FALSE,"명세표"}</definedName>
    <definedName name="ㅔㅔ" localSheetId="4" hidden="1">{#N/A,#N/A,FALSE,"명세표"}</definedName>
    <definedName name="ㅔㅔ" localSheetId="8" hidden="1">{#N/A,#N/A,FALSE,"명세표"}</definedName>
    <definedName name="ㅔㅔ" localSheetId="12" hidden="1">{#N/A,#N/A,FALSE,"명세표"}</definedName>
    <definedName name="ㅔㅔ" localSheetId="16" hidden="1">{#N/A,#N/A,FALSE,"명세표"}</definedName>
    <definedName name="ㅔㅔ" localSheetId="0" hidden="1">{#N/A,#N/A,FALSE,"명세표"}</definedName>
    <definedName name="ㅔㅔ" localSheetId="11" hidden="1">{#N/A,#N/A,FALSE,"명세표"}</definedName>
    <definedName name="ㅔㅔ" localSheetId="13" hidden="1">{#N/A,#N/A,FALSE,"명세표"}</definedName>
    <definedName name="ㅔㅔ" hidden="1">{#N/A,#N/A,FALSE,"명세표"}</definedName>
    <definedName name="ㅔㅔㅔㅔㅔ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4" hidden="1">{"'장비'!$A$3:$M$12"}</definedName>
    <definedName name="ㅗ홓ㅎ로" localSheetId="7" hidden="1">{"'장비'!$A$3:$M$12"}</definedName>
    <definedName name="ㅗ홓ㅎ로" localSheetId="1" hidden="1">{"'장비'!$A$3:$M$12"}</definedName>
    <definedName name="ㅗ홓ㅎ로" localSheetId="2" hidden="1">{"'장비'!$A$3:$M$12"}</definedName>
    <definedName name="ㅗ홓ㅎ로" localSheetId="9" hidden="1">{"'장비'!$A$3:$M$12"}</definedName>
    <definedName name="ㅗ홓ㅎ로" localSheetId="5" hidden="1">{"'장비'!$A$3:$M$12"}</definedName>
    <definedName name="ㅗ홓ㅎ로" localSheetId="4" hidden="1">{"'장비'!$A$3:$M$12"}</definedName>
    <definedName name="ㅗ홓ㅎ로" localSheetId="8" hidden="1">{"'장비'!$A$3:$M$12"}</definedName>
    <definedName name="ㅗ홓ㅎ로" localSheetId="12" hidden="1">{"'장비'!$A$3:$M$12"}</definedName>
    <definedName name="ㅗ홓ㅎ로" localSheetId="16" hidden="1">{"'장비'!$A$3:$M$12"}</definedName>
    <definedName name="ㅗ홓ㅎ로" localSheetId="0" hidden="1">{"'장비'!$A$3:$M$12"}</definedName>
    <definedName name="ㅗ홓ㅎ로" localSheetId="11" hidden="1">{"'장비'!$A$3:$M$12"}</definedName>
    <definedName name="ㅗ홓ㅎ로" localSheetId="13" hidden="1">{"'장비'!$A$3:$M$12"}</definedName>
    <definedName name="ㅗ홓ㅎ로" hidden="1">{"'장비'!$A$3:$M$12"}</definedName>
    <definedName name="ㅗㅗ" localSheetId="14" hidden="1">{#N/A,#N/A,FALSE,"명세표"}</definedName>
    <definedName name="ㅗㅗ" localSheetId="7" hidden="1">{#N/A,#N/A,FALSE,"명세표"}</definedName>
    <definedName name="ㅗㅗ" localSheetId="1" hidden="1">{#N/A,#N/A,FALSE,"명세표"}</definedName>
    <definedName name="ㅗㅗ" localSheetId="2" hidden="1">{#N/A,#N/A,FALSE,"명세표"}</definedName>
    <definedName name="ㅗㅗ" localSheetId="9" hidden="1">{#N/A,#N/A,FALSE,"명세표"}</definedName>
    <definedName name="ㅗㅗ" localSheetId="5" hidden="1">{#N/A,#N/A,FALSE,"명세표"}</definedName>
    <definedName name="ㅗㅗ" localSheetId="4" hidden="1">{#N/A,#N/A,FALSE,"명세표"}</definedName>
    <definedName name="ㅗㅗ" localSheetId="8" hidden="1">{#N/A,#N/A,FALSE,"명세표"}</definedName>
    <definedName name="ㅗㅗ" localSheetId="12" hidden="1">{#N/A,#N/A,FALSE,"명세표"}</definedName>
    <definedName name="ㅗㅗ" localSheetId="16" hidden="1">{#N/A,#N/A,FALSE,"명세표"}</definedName>
    <definedName name="ㅗㅗ" localSheetId="0" hidden="1">{#N/A,#N/A,FALSE,"명세표"}</definedName>
    <definedName name="ㅗㅗ" localSheetId="11" hidden="1">{#N/A,#N/A,FALSE,"명세표"}</definedName>
    <definedName name="ㅗㅗ" localSheetId="13" hidden="1">{#N/A,#N/A,FALSE,"명세표"}</definedName>
    <definedName name="ㅗㅗ" hidden="1">{#N/A,#N/A,FALSE,"명세표"}</definedName>
    <definedName name="ㅗㅗㅗㅗㅗ" localSheetId="14" hidden="1">{"'장비'!$A$3:$M$12"}</definedName>
    <definedName name="ㅗㅗㅗㅗㅗ" localSheetId="7" hidden="1">{"'장비'!$A$3:$M$12"}</definedName>
    <definedName name="ㅗㅗㅗㅗㅗ" localSheetId="1" hidden="1">{"'장비'!$A$3:$M$12"}</definedName>
    <definedName name="ㅗㅗㅗㅗㅗ" localSheetId="2" hidden="1">{"'장비'!$A$3:$M$12"}</definedName>
    <definedName name="ㅗㅗㅗㅗㅗ" localSheetId="9" hidden="1">{"'장비'!$A$3:$M$12"}</definedName>
    <definedName name="ㅗㅗㅗㅗㅗ" localSheetId="5" hidden="1">{"'장비'!$A$3:$M$12"}</definedName>
    <definedName name="ㅗㅗㅗㅗㅗ" localSheetId="4" hidden="1">{"'장비'!$A$3:$M$12"}</definedName>
    <definedName name="ㅗㅗㅗㅗㅗ" localSheetId="8" hidden="1">{"'장비'!$A$3:$M$12"}</definedName>
    <definedName name="ㅗㅗㅗㅗㅗ" localSheetId="12" hidden="1">{"'장비'!$A$3:$M$12"}</definedName>
    <definedName name="ㅗㅗㅗㅗㅗ" localSheetId="16" hidden="1">{"'장비'!$A$3:$M$12"}</definedName>
    <definedName name="ㅗㅗㅗㅗㅗ" localSheetId="0" hidden="1">{"'장비'!$A$3:$M$12"}</definedName>
    <definedName name="ㅗㅗㅗㅗㅗ" localSheetId="11" hidden="1">{"'장비'!$A$3:$M$12"}</definedName>
    <definedName name="ㅗㅗㅗㅗㅗ" localSheetId="13" hidden="1">{"'장비'!$A$3:$M$12"}</definedName>
    <definedName name="ㅗㅗㅗㅗㅗ" hidden="1">{"'장비'!$A$3:$M$12"}</definedName>
    <definedName name="ㅛ" localSheetId="14" hidden="1">{"'장비'!$A$3:$M$12"}</definedName>
    <definedName name="ㅛ" localSheetId="7" hidden="1">{"'장비'!$A$3:$M$12"}</definedName>
    <definedName name="ㅛ" localSheetId="1" hidden="1">{"'장비'!$A$3:$M$12"}</definedName>
    <definedName name="ㅛ" localSheetId="2" hidden="1">{"'장비'!$A$3:$M$12"}</definedName>
    <definedName name="ㅛ" localSheetId="9" hidden="1">{"'장비'!$A$3:$M$12"}</definedName>
    <definedName name="ㅛ" localSheetId="5" hidden="1">{"'장비'!$A$3:$M$12"}</definedName>
    <definedName name="ㅛ" localSheetId="4" hidden="1">{"'장비'!$A$3:$M$12"}</definedName>
    <definedName name="ㅛ" localSheetId="8" hidden="1">{"'장비'!$A$3:$M$12"}</definedName>
    <definedName name="ㅛ" localSheetId="12" hidden="1">{"'장비'!$A$3:$M$12"}</definedName>
    <definedName name="ㅛ" localSheetId="16" hidden="1">{"'장비'!$A$3:$M$12"}</definedName>
    <definedName name="ㅛ" localSheetId="0" hidden="1">{"'장비'!$A$3:$M$12"}</definedName>
    <definedName name="ㅛ" localSheetId="11" hidden="1">{"'장비'!$A$3:$M$12"}</definedName>
    <definedName name="ㅛ" localSheetId="13" hidden="1">{"'장비'!$A$3:$M$12"}</definedName>
    <definedName name="ㅛ" hidden="1">{"'장비'!$A$3:$M$12"}</definedName>
    <definedName name="ㅛㅕㅛㅕㅛ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4" hidden="1">{"'장비'!$A$3:$M$12"}</definedName>
    <definedName name="ㅛㅛㅛ" localSheetId="7" hidden="1">{"'장비'!$A$3:$M$12"}</definedName>
    <definedName name="ㅛㅛㅛ" localSheetId="1" hidden="1">{"'장비'!$A$3:$M$12"}</definedName>
    <definedName name="ㅛㅛㅛ" localSheetId="2" hidden="1">{"'장비'!$A$3:$M$12"}</definedName>
    <definedName name="ㅛㅛㅛ" localSheetId="9" hidden="1">{"'장비'!$A$3:$M$12"}</definedName>
    <definedName name="ㅛㅛㅛ" localSheetId="5" hidden="1">{"'장비'!$A$3:$M$12"}</definedName>
    <definedName name="ㅛㅛㅛ" localSheetId="4" hidden="1">{"'장비'!$A$3:$M$12"}</definedName>
    <definedName name="ㅛㅛㅛ" localSheetId="8" hidden="1">{"'장비'!$A$3:$M$12"}</definedName>
    <definedName name="ㅛㅛㅛ" localSheetId="12" hidden="1">{"'장비'!$A$3:$M$12"}</definedName>
    <definedName name="ㅛㅛㅛ" localSheetId="16" hidden="1">{"'장비'!$A$3:$M$12"}</definedName>
    <definedName name="ㅛㅛㅛ" localSheetId="0" hidden="1">{"'장비'!$A$3:$M$12"}</definedName>
    <definedName name="ㅛㅛㅛ" localSheetId="11" hidden="1">{"'장비'!$A$3:$M$12"}</definedName>
    <definedName name="ㅛㅛㅛ" localSheetId="13" hidden="1">{"'장비'!$A$3:$M$12"}</definedName>
    <definedName name="ㅛㅛㅛ" hidden="1">{"'장비'!$A$3:$M$12"}</definedName>
    <definedName name="ㅜ" localSheetId="14" hidden="1">{#N/A,#N/A,FALSE,"명세표"}</definedName>
    <definedName name="ㅜ" localSheetId="7" hidden="1">{#N/A,#N/A,FALSE,"명세표"}</definedName>
    <definedName name="ㅜ" localSheetId="1" hidden="1">{#N/A,#N/A,FALSE,"명세표"}</definedName>
    <definedName name="ㅜ" localSheetId="2" hidden="1">{#N/A,#N/A,FALSE,"명세표"}</definedName>
    <definedName name="ㅜ" localSheetId="9" hidden="1">{#N/A,#N/A,FALSE,"명세표"}</definedName>
    <definedName name="ㅜ" localSheetId="5" hidden="1">{#N/A,#N/A,FALSE,"명세표"}</definedName>
    <definedName name="ㅜ" localSheetId="4" hidden="1">{#N/A,#N/A,FALSE,"명세표"}</definedName>
    <definedName name="ㅜ" localSheetId="8" hidden="1">{#N/A,#N/A,FALSE,"명세표"}</definedName>
    <definedName name="ㅜ" localSheetId="12" hidden="1">{#N/A,#N/A,FALSE,"명세표"}</definedName>
    <definedName name="ㅜ" localSheetId="16" hidden="1">{#N/A,#N/A,FALSE,"명세표"}</definedName>
    <definedName name="ㅜ" localSheetId="0" hidden="1">{#N/A,#N/A,FALSE,"명세표"}</definedName>
    <definedName name="ㅜ" localSheetId="11" hidden="1">{#N/A,#N/A,FALSE,"명세표"}</definedName>
    <definedName name="ㅜ" localSheetId="13" hidden="1">{#N/A,#N/A,FALSE,"명세표"}</definedName>
    <definedName name="ㅜ" hidden="1">{#N/A,#N/A,FALSE,"명세표"}</definedName>
    <definedName name="ㅠㅠ" localSheetId="1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4" hidden="1">{#N/A,#N/A,FALSE,"명세표"}</definedName>
    <definedName name="ㅡㅡ" localSheetId="7" hidden="1">{#N/A,#N/A,FALSE,"명세표"}</definedName>
    <definedName name="ㅡㅡ" localSheetId="1" hidden="1">{#N/A,#N/A,FALSE,"명세표"}</definedName>
    <definedName name="ㅡㅡ" localSheetId="2" hidden="1">{#N/A,#N/A,FALSE,"명세표"}</definedName>
    <definedName name="ㅡㅡ" localSheetId="9" hidden="1">{#N/A,#N/A,FALSE,"명세표"}</definedName>
    <definedName name="ㅡㅡ" localSheetId="5" hidden="1">{#N/A,#N/A,FALSE,"명세표"}</definedName>
    <definedName name="ㅡㅡ" localSheetId="4" hidden="1">{#N/A,#N/A,FALSE,"명세표"}</definedName>
    <definedName name="ㅡㅡ" localSheetId="8" hidden="1">{#N/A,#N/A,FALSE,"명세표"}</definedName>
    <definedName name="ㅡㅡ" localSheetId="12" hidden="1">{#N/A,#N/A,FALSE,"명세표"}</definedName>
    <definedName name="ㅡㅡ" localSheetId="16" hidden="1">{#N/A,#N/A,FALSE,"명세표"}</definedName>
    <definedName name="ㅡㅡ" localSheetId="0" hidden="1">{#N/A,#N/A,FALSE,"명세표"}</definedName>
    <definedName name="ㅡㅡ" localSheetId="11" hidden="1">{#N/A,#N/A,FALSE,"명세표"}</definedName>
    <definedName name="ㅡㅡ" localSheetId="13" hidden="1">{#N/A,#N/A,FALSE,"명세표"}</definedName>
    <definedName name="ㅡㅡ" hidden="1">{#N/A,#N/A,FALSE,"명세표"}</definedName>
  </definedNames>
  <calcPr calcId="191029" iterate="1" iterateCount="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436" l="1"/>
  <c r="L54" i="436"/>
  <c r="L52" i="436" l="1"/>
  <c r="L30" i="436"/>
  <c r="J10" i="444"/>
  <c r="M7" i="438"/>
  <c r="K7" i="438"/>
  <c r="O16" i="211"/>
  <c r="N16" i="211"/>
  <c r="D2" i="412"/>
  <c r="D1" i="412"/>
  <c r="L170" i="436" l="1"/>
  <c r="H231" i="427"/>
  <c r="G663" i="442"/>
  <c r="M45" i="429"/>
  <c r="L11" i="436"/>
  <c r="L34" i="436"/>
  <c r="M70" i="429" l="1"/>
  <c r="M64" i="429"/>
  <c r="M62" i="429"/>
  <c r="D53" i="432"/>
  <c r="E69" i="429"/>
  <c r="E70" i="429" s="1"/>
  <c r="M42" i="429"/>
  <c r="N11" i="436"/>
  <c r="E10" i="436"/>
  <c r="E11" i="436" s="1"/>
  <c r="A10" i="436"/>
  <c r="N70" i="429" l="1"/>
  <c r="M55" i="429" l="1"/>
  <c r="L48" i="429"/>
  <c r="L49" i="429"/>
  <c r="L50" i="429"/>
  <c r="L51" i="429"/>
  <c r="L47" i="429"/>
  <c r="L45" i="429" l="1"/>
  <c r="D10" i="434"/>
  <c r="D15" i="434" s="1"/>
  <c r="M37" i="429" s="1"/>
  <c r="M21" i="429"/>
  <c r="L56" i="429"/>
  <c r="D14" i="434" l="1"/>
  <c r="D16" i="434"/>
  <c r="E34" i="424"/>
  <c r="M84" i="436" s="1"/>
  <c r="E26" i="424"/>
  <c r="E32" i="424" l="1"/>
  <c r="D33" i="424"/>
  <c r="M110" i="436" l="1"/>
  <c r="L112" i="436"/>
  <c r="E111" i="436"/>
  <c r="E112" i="436" s="1"/>
  <c r="C43" i="424"/>
  <c r="E43" i="424" s="1"/>
  <c r="E42" i="424"/>
  <c r="E41" i="424"/>
  <c r="L110" i="436"/>
  <c r="E37" i="424"/>
  <c r="M106" i="436" s="1"/>
  <c r="E36" i="424"/>
  <c r="M104" i="436" s="1"/>
  <c r="M100" i="436"/>
  <c r="E27" i="448"/>
  <c r="G27" i="448" s="1"/>
  <c r="E26" i="448"/>
  <c r="G26" i="448" s="1"/>
  <c r="F25" i="448"/>
  <c r="E25" i="448"/>
  <c r="E24" i="448"/>
  <c r="G24" i="448" s="1"/>
  <c r="E23" i="448"/>
  <c r="G23" i="448" s="1"/>
  <c r="F22" i="448"/>
  <c r="E22" i="448"/>
  <c r="G22" i="448" s="1"/>
  <c r="E21" i="448"/>
  <c r="G21" i="448" s="1"/>
  <c r="E20" i="448"/>
  <c r="G20" i="448" s="1"/>
  <c r="E19" i="448"/>
  <c r="G19" i="448" s="1"/>
  <c r="D40" i="424" l="1"/>
  <c r="M112" i="436"/>
  <c r="E35" i="424"/>
  <c r="N112" i="436"/>
  <c r="G25" i="448"/>
  <c r="G18" i="448" s="1"/>
  <c r="G1995" i="442" l="1"/>
  <c r="F1995" i="442"/>
  <c r="G2000" i="442"/>
  <c r="E1616" i="442"/>
  <c r="G1615" i="442"/>
  <c r="C1615" i="442"/>
  <c r="B24" i="447"/>
  <c r="D9" i="436"/>
  <c r="E12" i="436"/>
  <c r="E13" i="436" s="1"/>
  <c r="E14" i="436" s="1"/>
  <c r="E15" i="436"/>
  <c r="E16" i="436" s="1"/>
  <c r="E17" i="436"/>
  <c r="E18" i="436" s="1"/>
  <c r="E19" i="436" s="1"/>
  <c r="D19" i="436"/>
  <c r="D20" i="436" s="1"/>
  <c r="D21" i="436" s="1"/>
  <c r="D22" i="436" s="1"/>
  <c r="D23" i="436" s="1"/>
  <c r="D24" i="436" s="1"/>
  <c r="D25" i="436" s="1"/>
  <c r="D26" i="436" s="1"/>
  <c r="D27" i="436" s="1"/>
  <c r="D28" i="436" s="1"/>
  <c r="D29" i="436" s="1"/>
  <c r="D30" i="436" s="1"/>
  <c r="D31" i="436" s="1"/>
  <c r="D32" i="436" s="1"/>
  <c r="D33" i="436" s="1"/>
  <c r="D34" i="436" s="1"/>
  <c r="D35" i="436" s="1"/>
  <c r="E20" i="436"/>
  <c r="E21" i="436" s="1"/>
  <c r="E22" i="436" s="1"/>
  <c r="E23" i="436"/>
  <c r="E24" i="436" s="1"/>
  <c r="E25" i="436" s="1"/>
  <c r="E26" i="436" s="1"/>
  <c r="E27" i="436" s="1"/>
  <c r="E28" i="436" s="1"/>
  <c r="E29" i="436" s="1"/>
  <c r="E30" i="436" s="1"/>
  <c r="E31" i="436"/>
  <c r="E32" i="436" s="1"/>
  <c r="E33" i="436"/>
  <c r="E34" i="436" s="1"/>
  <c r="E35" i="436" s="1"/>
  <c r="E36" i="436" s="1"/>
  <c r="C35" i="436"/>
  <c r="C36" i="436" s="1"/>
  <c r="C37" i="436" s="1"/>
  <c r="C38" i="436" s="1"/>
  <c r="C39" i="436" s="1"/>
  <c r="C40" i="436" s="1"/>
  <c r="C41" i="436" s="1"/>
  <c r="C42" i="436" s="1"/>
  <c r="C43" i="436" s="1"/>
  <c r="C44" i="436" s="1"/>
  <c r="C45" i="436" s="1"/>
  <c r="C46" i="436" s="1"/>
  <c r="C47" i="436" s="1"/>
  <c r="C48" i="436" s="1"/>
  <c r="C49" i="436" s="1"/>
  <c r="C50" i="436" s="1"/>
  <c r="C51" i="436" s="1"/>
  <c r="C52" i="436" s="1"/>
  <c r="C53" i="436" s="1"/>
  <c r="C54" i="436" s="1"/>
  <c r="C55" i="436" s="1"/>
  <c r="C56" i="436" s="1"/>
  <c r="C57" i="436" s="1"/>
  <c r="C58" i="436" s="1"/>
  <c r="D36" i="436"/>
  <c r="D37" i="436" s="1"/>
  <c r="D38" i="436" s="1"/>
  <c r="D39" i="436" s="1"/>
  <c r="D40" i="436" s="1"/>
  <c r="D41" i="436" s="1"/>
  <c r="D42" i="436" s="1"/>
  <c r="D43" i="436" s="1"/>
  <c r="D44" i="436" s="1"/>
  <c r="D45" i="436" s="1"/>
  <c r="D46" i="436" s="1"/>
  <c r="D47" i="436" s="1"/>
  <c r="D48" i="436" s="1"/>
  <c r="D49" i="436" s="1"/>
  <c r="D50" i="436" s="1"/>
  <c r="D51" i="436" s="1"/>
  <c r="D52" i="436" s="1"/>
  <c r="D53" i="436" s="1"/>
  <c r="D54" i="436" s="1"/>
  <c r="D55" i="436" s="1"/>
  <c r="D56" i="436" s="1"/>
  <c r="D57" i="436" s="1"/>
  <c r="D58" i="436" s="1"/>
  <c r="D59" i="436" s="1"/>
  <c r="E37" i="436"/>
  <c r="E38" i="436" s="1"/>
  <c r="E39" i="436" s="1"/>
  <c r="E40" i="436" s="1"/>
  <c r="E41" i="436" s="1"/>
  <c r="E42" i="436" s="1"/>
  <c r="E43" i="436" s="1"/>
  <c r="E44" i="436" s="1"/>
  <c r="E45" i="436"/>
  <c r="E46" i="436" s="1"/>
  <c r="E47" i="436" s="1"/>
  <c r="E48" i="436" s="1"/>
  <c r="E49" i="436" s="1"/>
  <c r="E50" i="436" s="1"/>
  <c r="E51" i="436" s="1"/>
  <c r="E52" i="436" s="1"/>
  <c r="E53" i="436"/>
  <c r="E54" i="436" s="1"/>
  <c r="E55" i="436"/>
  <c r="E56" i="436" s="1"/>
  <c r="E57" i="436"/>
  <c r="E58" i="436" s="1"/>
  <c r="E59" i="436" s="1"/>
  <c r="E60" i="436" s="1"/>
  <c r="C59" i="436"/>
  <c r="C60" i="436" s="1"/>
  <c r="C61" i="436" s="1"/>
  <c r="C62" i="436" s="1"/>
  <c r="C63" i="436" s="1"/>
  <c r="C64" i="436" s="1"/>
  <c r="C65" i="436" s="1"/>
  <c r="C66" i="436" s="1"/>
  <c r="C67" i="436" s="1"/>
  <c r="C68" i="436" s="1"/>
  <c r="C69" i="436" s="1"/>
  <c r="C70" i="436" s="1"/>
  <c r="C71" i="436" s="1"/>
  <c r="C72" i="436" s="1"/>
  <c r="C73" i="436" s="1"/>
  <c r="C74" i="436" s="1"/>
  <c r="C75" i="436" s="1"/>
  <c r="D60" i="436"/>
  <c r="D61" i="436" s="1"/>
  <c r="D62" i="436" s="1"/>
  <c r="D63" i="436" s="1"/>
  <c r="D64" i="436" s="1"/>
  <c r="D65" i="436" s="1"/>
  <c r="D66" i="436" s="1"/>
  <c r="D67" i="436" s="1"/>
  <c r="D68" i="436" s="1"/>
  <c r="D69" i="436" s="1"/>
  <c r="D70" i="436" s="1"/>
  <c r="D71" i="436" s="1"/>
  <c r="D72" i="436" s="1"/>
  <c r="D73" i="436" s="1"/>
  <c r="D74" i="436" s="1"/>
  <c r="D75" i="436" s="1"/>
  <c r="D76" i="436" s="1"/>
  <c r="E61" i="436"/>
  <c r="E62" i="436" s="1"/>
  <c r="E63" i="436" s="1"/>
  <c r="E64" i="436" s="1"/>
  <c r="E65" i="436" s="1"/>
  <c r="E66" i="436"/>
  <c r="E67" i="436" s="1"/>
  <c r="E68" i="436" s="1"/>
  <c r="E69" i="436"/>
  <c r="E70" i="436" s="1"/>
  <c r="E71" i="436" s="1"/>
  <c r="E72" i="436" s="1"/>
  <c r="E73" i="436"/>
  <c r="E74" i="436" s="1"/>
  <c r="E75" i="436" s="1"/>
  <c r="E76" i="436" s="1"/>
  <c r="E77" i="436" s="1"/>
  <c r="C76" i="436"/>
  <c r="C77" i="436" s="1"/>
  <c r="C78" i="436" s="1"/>
  <c r="C79" i="436" s="1"/>
  <c r="D77" i="436"/>
  <c r="D78" i="436" s="1"/>
  <c r="D79" i="436" s="1"/>
  <c r="E78" i="436"/>
  <c r="E79" i="436" s="1"/>
  <c r="E80" i="436" s="1"/>
  <c r="E81" i="436"/>
  <c r="E82" i="436" s="1"/>
  <c r="E83" i="436"/>
  <c r="E84" i="436" s="1"/>
  <c r="E85" i="436" s="1"/>
  <c r="E86" i="436" s="1"/>
  <c r="C85" i="436"/>
  <c r="C86" i="436" s="1"/>
  <c r="C87" i="436" s="1"/>
  <c r="C88" i="436" s="1"/>
  <c r="C89" i="436" s="1"/>
  <c r="C90" i="436" s="1"/>
  <c r="C91" i="436" s="1"/>
  <c r="C92" i="436" s="1"/>
  <c r="C93" i="436" s="1"/>
  <c r="C94" i="436" s="1"/>
  <c r="C95" i="436" s="1"/>
  <c r="C96" i="436" s="1"/>
  <c r="C97" i="436" s="1"/>
  <c r="C98" i="436" s="1"/>
  <c r="C99" i="436" s="1"/>
  <c r="C100" i="436" s="1"/>
  <c r="D86" i="436"/>
  <c r="D87" i="436" s="1"/>
  <c r="D88" i="436" s="1"/>
  <c r="D89" i="436" s="1"/>
  <c r="D90" i="436" s="1"/>
  <c r="D91" i="436" s="1"/>
  <c r="D92" i="436" s="1"/>
  <c r="D93" i="436" s="1"/>
  <c r="D94" i="436" s="1"/>
  <c r="D95" i="436" s="1"/>
  <c r="D96" i="436" s="1"/>
  <c r="D97" i="436" s="1"/>
  <c r="D98" i="436" s="1"/>
  <c r="D99" i="436" s="1"/>
  <c r="D100" i="436" s="1"/>
  <c r="D101" i="436" s="1"/>
  <c r="E87" i="436"/>
  <c r="E88" i="436" s="1"/>
  <c r="E89" i="436"/>
  <c r="E90" i="436" s="1"/>
  <c r="E91" i="436"/>
  <c r="E92" i="436" s="1"/>
  <c r="E93" i="436"/>
  <c r="E94" i="436" s="1"/>
  <c r="E95" i="436"/>
  <c r="E96" i="436" s="1"/>
  <c r="E97" i="436"/>
  <c r="E98" i="436" s="1"/>
  <c r="E99" i="436"/>
  <c r="E100" i="436" s="1"/>
  <c r="E101" i="436" s="1"/>
  <c r="E102" i="436" s="1"/>
  <c r="C101" i="436"/>
  <c r="C102" i="436" s="1"/>
  <c r="C103" i="436" s="1"/>
  <c r="C104" i="436" s="1"/>
  <c r="C105" i="436" s="1"/>
  <c r="C106" i="436" s="1"/>
  <c r="D102" i="436"/>
  <c r="D103" i="436" s="1"/>
  <c r="D104" i="436" s="1"/>
  <c r="D105" i="436" s="1"/>
  <c r="D106" i="436" s="1"/>
  <c r="D107" i="436" s="1"/>
  <c r="E103" i="436"/>
  <c r="E104" i="436" s="1"/>
  <c r="E105" i="436"/>
  <c r="E106" i="436" s="1"/>
  <c r="E107" i="436" s="1"/>
  <c r="E108" i="436" s="1"/>
  <c r="C107" i="436"/>
  <c r="C108" i="436" s="1"/>
  <c r="C109" i="436" s="1"/>
  <c r="C110" i="436" s="1"/>
  <c r="C111" i="436" s="1"/>
  <c r="C112" i="436" s="1"/>
  <c r="D108" i="436"/>
  <c r="D109" i="436" s="1"/>
  <c r="D110" i="436" s="1"/>
  <c r="E109" i="436"/>
  <c r="E110" i="436" s="1"/>
  <c r="E113" i="436" s="1"/>
  <c r="E114" i="436" s="1"/>
  <c r="C113" i="436"/>
  <c r="C114" i="436" s="1"/>
  <c r="C115" i="436" s="1"/>
  <c r="C116" i="436" s="1"/>
  <c r="C117" i="436" s="1"/>
  <c r="C118" i="436" s="1"/>
  <c r="C119" i="436" s="1"/>
  <c r="C120" i="436" s="1"/>
  <c r="C121" i="436" s="1"/>
  <c r="C122" i="436" s="1"/>
  <c r="D114" i="436"/>
  <c r="D115" i="436" s="1"/>
  <c r="D116" i="436" s="1"/>
  <c r="D117" i="436" s="1"/>
  <c r="D118" i="436" s="1"/>
  <c r="D119" i="436" s="1"/>
  <c r="D120" i="436" s="1"/>
  <c r="D121" i="436" s="1"/>
  <c r="D122" i="436" s="1"/>
  <c r="E115" i="436"/>
  <c r="E116" i="436" s="1"/>
  <c r="E117" i="436" s="1"/>
  <c r="E118" i="436" s="1"/>
  <c r="E119" i="436"/>
  <c r="E120" i="436" s="1"/>
  <c r="E121" i="436" s="1"/>
  <c r="E122" i="436" s="1"/>
  <c r="E123" i="436"/>
  <c r="E124" i="436" s="1"/>
  <c r="E125" i="436" s="1"/>
  <c r="E126" i="436"/>
  <c r="E127" i="436" s="1"/>
  <c r="E128" i="436" s="1"/>
  <c r="C131" i="436"/>
  <c r="C132" i="436" s="1"/>
  <c r="D132" i="436"/>
  <c r="E133" i="436"/>
  <c r="E134" i="436" s="1"/>
  <c r="E135" i="436" s="1"/>
  <c r="E136" i="436" s="1"/>
  <c r="E137" i="436" s="1"/>
  <c r="E138" i="436"/>
  <c r="E139" i="436" s="1"/>
  <c r="E140" i="436" s="1"/>
  <c r="E141" i="436" s="1"/>
  <c r="E142" i="436"/>
  <c r="C148" i="436"/>
  <c r="C149" i="436" s="1"/>
  <c r="C150" i="436" s="1"/>
  <c r="C151" i="436" s="1"/>
  <c r="C152" i="436" s="1"/>
  <c r="C153" i="436" s="1"/>
  <c r="C154" i="436" s="1"/>
  <c r="C155" i="436" s="1"/>
  <c r="C156" i="436" s="1"/>
  <c r="C157" i="436" s="1"/>
  <c r="C158" i="436" s="1"/>
  <c r="C159" i="436" s="1"/>
  <c r="C160" i="436" s="1"/>
  <c r="C161" i="436" s="1"/>
  <c r="C162" i="436" s="1"/>
  <c r="C163" i="436" s="1"/>
  <c r="C164" i="436" s="1"/>
  <c r="C165" i="436" s="1"/>
  <c r="C166" i="436" s="1"/>
  <c r="C167" i="436" s="1"/>
  <c r="C168" i="436" s="1"/>
  <c r="C169" i="436" s="1"/>
  <c r="C170" i="436" s="1"/>
  <c r="C171" i="436" s="1"/>
  <c r="C172" i="436" s="1"/>
  <c r="C173" i="436" s="1"/>
  <c r="D149" i="436"/>
  <c r="D150" i="436" s="1"/>
  <c r="D151" i="436" s="1"/>
  <c r="D152" i="436" s="1"/>
  <c r="D153" i="436" s="1"/>
  <c r="D154" i="436" s="1"/>
  <c r="D155" i="436" s="1"/>
  <c r="D156" i="436" s="1"/>
  <c r="D157" i="436" s="1"/>
  <c r="D158" i="436" s="1"/>
  <c r="D159" i="436" s="1"/>
  <c r="D160" i="436" s="1"/>
  <c r="D161" i="436" s="1"/>
  <c r="D162" i="436" s="1"/>
  <c r="D163" i="436" s="1"/>
  <c r="D164" i="436" s="1"/>
  <c r="D165" i="436" s="1"/>
  <c r="D166" i="436" s="1"/>
  <c r="D167" i="436" s="1"/>
  <c r="D168" i="436" s="1"/>
  <c r="D169" i="436" s="1"/>
  <c r="D170" i="436" s="1"/>
  <c r="D171" i="436" s="1"/>
  <c r="D172" i="436" s="1"/>
  <c r="D173" i="436" s="1"/>
  <c r="D174" i="436" s="1"/>
  <c r="E150" i="436"/>
  <c r="E151" i="436" s="1"/>
  <c r="E152" i="436" s="1"/>
  <c r="E153" i="436" s="1"/>
  <c r="E154" i="436" s="1"/>
  <c r="E155" i="436" s="1"/>
  <c r="E156" i="436"/>
  <c r="E157" i="436" s="1"/>
  <c r="E158" i="436" s="1"/>
  <c r="E159" i="436"/>
  <c r="E160" i="436" s="1"/>
  <c r="E161" i="436"/>
  <c r="E162" i="436" s="1"/>
  <c r="E163" i="436"/>
  <c r="E164" i="436" s="1"/>
  <c r="E165" i="436"/>
  <c r="E166" i="436" s="1"/>
  <c r="E167" i="436" s="1"/>
  <c r="E168" i="436" s="1"/>
  <c r="E169" i="436" s="1"/>
  <c r="E170" i="436" s="1"/>
  <c r="E171" i="436" s="1"/>
  <c r="E172" i="436" s="1"/>
  <c r="E173" i="436" s="1"/>
  <c r="E174" i="436" s="1"/>
  <c r="E175" i="436" s="1"/>
  <c r="C174" i="436"/>
  <c r="C175" i="436" s="1"/>
  <c r="C176" i="436" s="1"/>
  <c r="C177" i="436" s="1"/>
  <c r="C178" i="436" s="1"/>
  <c r="C179" i="436" s="1"/>
  <c r="C180" i="436" s="1"/>
  <c r="C181" i="436" s="1"/>
  <c r="C182" i="436" s="1"/>
  <c r="C183" i="436" s="1"/>
  <c r="C184" i="436" s="1"/>
  <c r="C185" i="436" s="1"/>
  <c r="C186" i="436" s="1"/>
  <c r="D175" i="436"/>
  <c r="D176" i="436" s="1"/>
  <c r="D177" i="436" s="1"/>
  <c r="D178" i="436" s="1"/>
  <c r="D179" i="436" s="1"/>
  <c r="D180" i="436" s="1"/>
  <c r="D181" i="436" s="1"/>
  <c r="D182" i="436" s="1"/>
  <c r="D183" i="436" s="1"/>
  <c r="D184" i="436" s="1"/>
  <c r="D185" i="436" s="1"/>
  <c r="D186" i="436" s="1"/>
  <c r="D187" i="436" s="1"/>
  <c r="E176" i="436"/>
  <c r="E177" i="436" s="1"/>
  <c r="E178" i="436"/>
  <c r="E179" i="436" s="1"/>
  <c r="E180" i="436" s="1"/>
  <c r="E181" i="436"/>
  <c r="E182" i="436" s="1"/>
  <c r="E183" i="436" s="1"/>
  <c r="E184" i="436" s="1"/>
  <c r="E185" i="436"/>
  <c r="E186" i="436" s="1"/>
  <c r="E187" i="436" s="1"/>
  <c r="E188" i="436" s="1"/>
  <c r="C187" i="436"/>
  <c r="C188" i="436" s="1"/>
  <c r="C189" i="436" s="1"/>
  <c r="C190" i="436" s="1"/>
  <c r="C191" i="436" s="1"/>
  <c r="C192" i="436" s="1"/>
  <c r="C193" i="436" s="1"/>
  <c r="C194" i="436" s="1"/>
  <c r="C195" i="436" s="1"/>
  <c r="C196" i="436" s="1"/>
  <c r="D188" i="436"/>
  <c r="D189" i="436" s="1"/>
  <c r="D190" i="436" s="1"/>
  <c r="D191" i="436" s="1"/>
  <c r="D192" i="436" s="1"/>
  <c r="D193" i="436" s="1"/>
  <c r="D194" i="436" s="1"/>
  <c r="D195" i="436" s="1"/>
  <c r="D196" i="436" s="1"/>
  <c r="D197" i="436" s="1"/>
  <c r="E189" i="436"/>
  <c r="E190" i="436" s="1"/>
  <c r="E191" i="436" s="1"/>
  <c r="E192" i="436" s="1"/>
  <c r="E193" i="436"/>
  <c r="E194" i="436" s="1"/>
  <c r="E195" i="436" s="1"/>
  <c r="E196" i="436" s="1"/>
  <c r="E197" i="436" s="1"/>
  <c r="E198" i="436" s="1"/>
  <c r="C197" i="436"/>
  <c r="C198" i="436" s="1"/>
  <c r="C199" i="436" s="1"/>
  <c r="C200" i="436" s="1"/>
  <c r="C201" i="436" s="1"/>
  <c r="C202" i="436" s="1"/>
  <c r="C203" i="436" s="1"/>
  <c r="C204" i="436" s="1"/>
  <c r="C205" i="436" s="1"/>
  <c r="C206" i="436" s="1"/>
  <c r="C207" i="436" s="1"/>
  <c r="C208" i="436" s="1"/>
  <c r="C209" i="436" s="1"/>
  <c r="C210" i="436" s="1"/>
  <c r="C211" i="436" s="1"/>
  <c r="C212" i="436" s="1"/>
  <c r="C213" i="436" s="1"/>
  <c r="C214" i="436" s="1"/>
  <c r="C215" i="436" s="1"/>
  <c r="D198" i="436"/>
  <c r="D199" i="436" s="1"/>
  <c r="D200" i="436" s="1"/>
  <c r="D201" i="436" s="1"/>
  <c r="D202" i="436" s="1"/>
  <c r="D203" i="436" s="1"/>
  <c r="D204" i="436" s="1"/>
  <c r="D205" i="436" s="1"/>
  <c r="E199" i="436"/>
  <c r="E200" i="436" s="1"/>
  <c r="E201" i="436" s="1"/>
  <c r="E202" i="436"/>
  <c r="E203" i="436" s="1"/>
  <c r="E204" i="436"/>
  <c r="E205" i="436" s="1"/>
  <c r="E206" i="436" s="1"/>
  <c r="D206" i="436"/>
  <c r="D207" i="436" s="1"/>
  <c r="D208" i="436" s="1"/>
  <c r="D209" i="436" s="1"/>
  <c r="D210" i="436" s="1"/>
  <c r="D211" i="436" s="1"/>
  <c r="D212" i="436" s="1"/>
  <c r="E207" i="436"/>
  <c r="E208" i="436" s="1"/>
  <c r="E209" i="436" s="1"/>
  <c r="E210" i="436" s="1"/>
  <c r="E211" i="436"/>
  <c r="E212" i="436" s="1"/>
  <c r="E213" i="436" s="1"/>
  <c r="D213" i="436"/>
  <c r="D214" i="436" s="1"/>
  <c r="D215" i="436" s="1"/>
  <c r="D216" i="436" s="1"/>
  <c r="E214" i="436"/>
  <c r="E215" i="436" s="1"/>
  <c r="E216" i="436" s="1"/>
  <c r="E217" i="436" s="1"/>
  <c r="C216" i="436"/>
  <c r="C217" i="436" s="1"/>
  <c r="C218" i="436" s="1"/>
  <c r="C219" i="436" s="1"/>
  <c r="C220" i="436" s="1"/>
  <c r="C221" i="436" s="1"/>
  <c r="C222" i="436" s="1"/>
  <c r="C223" i="436" s="1"/>
  <c r="C224" i="436" s="1"/>
  <c r="C225" i="436" s="1"/>
  <c r="C226" i="436" s="1"/>
  <c r="C227" i="436" s="1"/>
  <c r="C228" i="436" s="1"/>
  <c r="C229" i="436" s="1"/>
  <c r="C230" i="436" s="1"/>
  <c r="C231" i="436" s="1"/>
  <c r="C232" i="436" s="1"/>
  <c r="C233" i="436" s="1"/>
  <c r="D217" i="436"/>
  <c r="D218" i="436" s="1"/>
  <c r="D219" i="436" s="1"/>
  <c r="D220" i="436" s="1"/>
  <c r="D221" i="436" s="1"/>
  <c r="D222" i="436" s="1"/>
  <c r="D223" i="436" s="1"/>
  <c r="D224" i="436" s="1"/>
  <c r="D225" i="436" s="1"/>
  <c r="D226" i="436" s="1"/>
  <c r="D227" i="436" s="1"/>
  <c r="D228" i="436" s="1"/>
  <c r="D229" i="436" s="1"/>
  <c r="D230" i="436" s="1"/>
  <c r="D231" i="436" s="1"/>
  <c r="D232" i="436" s="1"/>
  <c r="D233" i="436" s="1"/>
  <c r="D234" i="436" s="1"/>
  <c r="E218" i="436"/>
  <c r="E219" i="436" s="1"/>
  <c r="E220" i="436" s="1"/>
  <c r="E221" i="436" s="1"/>
  <c r="E222" i="436"/>
  <c r="E223" i="436" s="1"/>
  <c r="E224" i="436" s="1"/>
  <c r="E225" i="436" s="1"/>
  <c r="E226" i="436"/>
  <c r="E227" i="436" s="1"/>
  <c r="E228" i="436" s="1"/>
  <c r="E229" i="436" s="1"/>
  <c r="E230" i="436" s="1"/>
  <c r="E231" i="436"/>
  <c r="E232" i="436" s="1"/>
  <c r="E233" i="436" s="1"/>
  <c r="E234" i="436" s="1"/>
  <c r="E235" i="436" s="1"/>
  <c r="C234" i="436"/>
  <c r="C235" i="436" s="1"/>
  <c r="C236" i="436" s="1"/>
  <c r="C237" i="436" s="1"/>
  <c r="C238" i="436" s="1"/>
  <c r="C239" i="436" s="1"/>
  <c r="C240" i="436" s="1"/>
  <c r="C241" i="436" s="1"/>
  <c r="C242" i="436" s="1"/>
  <c r="C243" i="436" s="1"/>
  <c r="C244" i="436" s="1"/>
  <c r="C245" i="436" s="1"/>
  <c r="C246" i="436" s="1"/>
  <c r="C247" i="436" s="1"/>
  <c r="C248" i="436" s="1"/>
  <c r="C249" i="436" s="1"/>
  <c r="D235" i="436"/>
  <c r="D236" i="436" s="1"/>
  <c r="D237" i="436" s="1"/>
  <c r="D238" i="436" s="1"/>
  <c r="D239" i="436" s="1"/>
  <c r="D240" i="436" s="1"/>
  <c r="D241" i="436" s="1"/>
  <c r="E236" i="436"/>
  <c r="E237" i="436" s="1"/>
  <c r="E238" i="436" s="1"/>
  <c r="E239" i="436"/>
  <c r="E240" i="436" s="1"/>
  <c r="E241" i="436" s="1"/>
  <c r="E242" i="436" s="1"/>
  <c r="D242" i="436"/>
  <c r="D243" i="436" s="1"/>
  <c r="D244" i="436" s="1"/>
  <c r="D245" i="436" s="1"/>
  <c r="D246" i="436" s="1"/>
  <c r="D247" i="436" s="1"/>
  <c r="D248" i="436" s="1"/>
  <c r="D249" i="436" s="1"/>
  <c r="D250" i="436" s="1"/>
  <c r="E243" i="436"/>
  <c r="E244" i="436" s="1"/>
  <c r="E245" i="436"/>
  <c r="E246" i="436" s="1"/>
  <c r="E247" i="436" s="1"/>
  <c r="E248" i="436"/>
  <c r="E249" i="436" s="1"/>
  <c r="E250" i="436" s="1"/>
  <c r="E251" i="436" s="1"/>
  <c r="C250" i="436"/>
  <c r="C251" i="436" s="1"/>
  <c r="C252" i="436" s="1"/>
  <c r="C253" i="436" s="1"/>
  <c r="C254" i="436" s="1"/>
  <c r="C255" i="436" s="1"/>
  <c r="C256" i="436" s="1"/>
  <c r="C257" i="436" s="1"/>
  <c r="C258" i="436" s="1"/>
  <c r="C259" i="436" s="1"/>
  <c r="C260" i="436" s="1"/>
  <c r="C261" i="436" s="1"/>
  <c r="C262" i="436" s="1"/>
  <c r="C263" i="436" s="1"/>
  <c r="C264" i="436" s="1"/>
  <c r="D251" i="436"/>
  <c r="D252" i="436" s="1"/>
  <c r="D253" i="436" s="1"/>
  <c r="D254" i="436" s="1"/>
  <c r="D255" i="436" s="1"/>
  <c r="D256" i="436" s="1"/>
  <c r="D257" i="436" s="1"/>
  <c r="D258" i="436" s="1"/>
  <c r="D259" i="436" s="1"/>
  <c r="D260" i="436" s="1"/>
  <c r="D261" i="436" s="1"/>
  <c r="D262" i="436" s="1"/>
  <c r="D263" i="436" s="1"/>
  <c r="D264" i="436" s="1"/>
  <c r="E252" i="436"/>
  <c r="E253" i="436" s="1"/>
  <c r="E254" i="436" s="1"/>
  <c r="E255" i="436" s="1"/>
  <c r="E256" i="436" s="1"/>
  <c r="E257" i="436" s="1"/>
  <c r="E258" i="436" s="1"/>
  <c r="E259" i="436" s="1"/>
  <c r="E260" i="436" s="1"/>
  <c r="E261" i="436" s="1"/>
  <c r="E262" i="436" s="1"/>
  <c r="E263" i="436" s="1"/>
  <c r="E264" i="436" s="1"/>
  <c r="D24" i="447" l="1"/>
  <c r="D10" i="436"/>
  <c r="D11" i="436" s="1"/>
  <c r="D12" i="436" s="1"/>
  <c r="D13" i="436" s="1"/>
  <c r="D14" i="436" s="1"/>
  <c r="D15" i="436" s="1"/>
  <c r="D16" i="436" s="1"/>
  <c r="D17" i="436" s="1"/>
  <c r="D18" i="436" s="1"/>
  <c r="D80" i="436"/>
  <c r="D81" i="436" s="1"/>
  <c r="D82" i="436" s="1"/>
  <c r="D83" i="436" s="1"/>
  <c r="D84" i="436" s="1"/>
  <c r="D85" i="436" s="1"/>
  <c r="C80" i="436"/>
  <c r="C81" i="436" s="1"/>
  <c r="C82" i="436" s="1"/>
  <c r="C83" i="436" s="1"/>
  <c r="C84" i="436" s="1"/>
  <c r="D111" i="436"/>
  <c r="D112" i="436" s="1"/>
  <c r="D113" i="436" s="1"/>
  <c r="C123" i="436"/>
  <c r="C124" i="436" s="1"/>
  <c r="C125" i="436" s="1"/>
  <c r="C126" i="436" s="1"/>
  <c r="C127" i="436" s="1"/>
  <c r="C128" i="436" s="1"/>
  <c r="E129" i="436"/>
  <c r="E130" i="436" s="1"/>
  <c r="E131" i="436" s="1"/>
  <c r="E132" i="436" s="1"/>
  <c r="E143" i="436"/>
  <c r="E144" i="436" s="1"/>
  <c r="E145" i="436" s="1"/>
  <c r="E146" i="436" s="1"/>
  <c r="E147" i="436" s="1"/>
  <c r="E148" i="436" s="1"/>
  <c r="E149" i="436" s="1"/>
  <c r="D123" i="436"/>
  <c r="D124" i="436" s="1"/>
  <c r="D125" i="436" s="1"/>
  <c r="D126" i="436" s="1"/>
  <c r="D127" i="436" s="1"/>
  <c r="D128" i="436" s="1"/>
  <c r="C1616" i="442"/>
  <c r="L151" i="436"/>
  <c r="E291" i="427"/>
  <c r="E289" i="427"/>
  <c r="L121" i="436"/>
  <c r="L223" i="436"/>
  <c r="L152" i="436"/>
  <c r="M249" i="436"/>
  <c r="M247" i="436"/>
  <c r="M246" i="436"/>
  <c r="M244" i="436"/>
  <c r="C133" i="436" l="1"/>
  <c r="C134" i="436" s="1"/>
  <c r="C135" i="436" s="1"/>
  <c r="C136" i="436" s="1"/>
  <c r="C137" i="436" s="1"/>
  <c r="C138" i="436" s="1"/>
  <c r="C139" i="436" s="1"/>
  <c r="C140" i="436" s="1"/>
  <c r="D133" i="436"/>
  <c r="D134" i="436" s="1"/>
  <c r="D135" i="436" s="1"/>
  <c r="D136" i="436" s="1"/>
  <c r="D137" i="436" s="1"/>
  <c r="D138" i="436" s="1"/>
  <c r="D139" i="436" s="1"/>
  <c r="D140" i="436" s="1"/>
  <c r="D129" i="436"/>
  <c r="D130" i="436" s="1"/>
  <c r="D131" i="436" s="1"/>
  <c r="L224" i="436"/>
  <c r="L225" i="436"/>
  <c r="E625" i="443"/>
  <c r="E626" i="443"/>
  <c r="E627" i="443"/>
  <c r="C1978" i="442"/>
  <c r="C1979" i="442" s="1"/>
  <c r="C1980" i="442" s="1"/>
  <c r="C1981" i="442" s="1"/>
  <c r="C1982" i="442" s="1"/>
  <c r="C1983" i="442"/>
  <c r="C1984" i="442" s="1"/>
  <c r="C1985" i="442" s="1"/>
  <c r="C1986" i="442" s="1"/>
  <c r="C1987" i="442" s="1"/>
  <c r="C1988" i="442"/>
  <c r="C1989" i="442" s="1"/>
  <c r="C1990" i="442" s="1"/>
  <c r="C1993" i="442"/>
  <c r="C1994" i="442" s="1"/>
  <c r="C1995" i="442" s="1"/>
  <c r="C1996" i="442" s="1"/>
  <c r="C1997" i="442" s="1"/>
  <c r="C1998" i="442"/>
  <c r="C1999" i="442" s="1"/>
  <c r="C2000" i="442" s="1"/>
  <c r="C2001" i="442" s="1"/>
  <c r="C2002" i="442" s="1"/>
  <c r="C2003" i="442"/>
  <c r="G1987" i="442"/>
  <c r="F1987" i="442"/>
  <c r="E1987" i="442"/>
  <c r="G1986" i="442"/>
  <c r="E1986" i="442"/>
  <c r="G1985" i="442"/>
  <c r="E1985" i="442"/>
  <c r="G1984" i="442"/>
  <c r="E1984" i="442"/>
  <c r="G1983" i="442"/>
  <c r="G1992" i="442"/>
  <c r="F1992" i="442"/>
  <c r="E1992" i="442"/>
  <c r="G1991" i="442"/>
  <c r="E1991" i="442"/>
  <c r="G1990" i="442"/>
  <c r="E1990" i="442"/>
  <c r="G1989" i="442"/>
  <c r="E1989" i="442"/>
  <c r="G1988" i="442"/>
  <c r="F1997" i="442"/>
  <c r="E1997" i="442"/>
  <c r="G1996" i="442"/>
  <c r="E1996" i="442"/>
  <c r="G1994" i="442"/>
  <c r="E1994" i="442"/>
  <c r="G1993" i="442"/>
  <c r="D625" i="443"/>
  <c r="A625" i="443"/>
  <c r="D626" i="443"/>
  <c r="G1997" i="442" s="1"/>
  <c r="A626" i="443"/>
  <c r="D441" i="443"/>
  <c r="A441" i="443"/>
  <c r="C1914" i="442"/>
  <c r="C1915" i="442" s="1"/>
  <c r="C1916" i="442" s="1"/>
  <c r="C1917" i="442" s="1"/>
  <c r="C1918" i="442" s="1"/>
  <c r="C1919" i="442" s="1"/>
  <c r="C1920" i="442"/>
  <c r="C1921" i="442" s="1"/>
  <c r="C1922" i="442" s="1"/>
  <c r="C1923" i="442" s="1"/>
  <c r="C1924" i="442"/>
  <c r="C1925" i="442" s="1"/>
  <c r="C1926" i="442" s="1"/>
  <c r="C1927" i="442" s="1"/>
  <c r="C1928" i="442"/>
  <c r="E1919" i="442"/>
  <c r="E1918" i="442"/>
  <c r="E1917" i="442"/>
  <c r="E1916" i="442"/>
  <c r="G1915" i="442"/>
  <c r="E1915" i="442"/>
  <c r="G1914" i="442"/>
  <c r="L228" i="436"/>
  <c r="D507" i="443"/>
  <c r="A507" i="443"/>
  <c r="D508" i="443"/>
  <c r="A508" i="443"/>
  <c r="G1154" i="442"/>
  <c r="E1154" i="442"/>
  <c r="G1153" i="442"/>
  <c r="C1153" i="442"/>
  <c r="C1154" i="442" s="1"/>
  <c r="G1156" i="442"/>
  <c r="E1156" i="442"/>
  <c r="G1155" i="442"/>
  <c r="C1155" i="442"/>
  <c r="C1156" i="442" s="1"/>
  <c r="L184" i="436"/>
  <c r="L183" i="436"/>
  <c r="L182" i="436"/>
  <c r="D627" i="443"/>
  <c r="G1674" i="442" s="1"/>
  <c r="A627" i="443"/>
  <c r="C1668" i="442"/>
  <c r="C1669" i="442" s="1"/>
  <c r="C1670" i="442" s="1"/>
  <c r="C1671" i="442" s="1"/>
  <c r="C1672" i="442"/>
  <c r="C1673" i="442" s="1"/>
  <c r="C1674" i="442" s="1"/>
  <c r="C1675" i="442"/>
  <c r="C1676" i="442" s="1"/>
  <c r="C1677" i="442" s="1"/>
  <c r="C1678" i="442"/>
  <c r="E1674" i="442"/>
  <c r="E1673" i="442"/>
  <c r="G1672" i="442"/>
  <c r="E1166" i="442"/>
  <c r="G1165" i="442"/>
  <c r="C1165" i="442"/>
  <c r="C1166" i="442" s="1"/>
  <c r="L177" i="436"/>
  <c r="L186" i="436" s="1"/>
  <c r="C1128" i="442"/>
  <c r="C1129" i="442" s="1"/>
  <c r="C1130" i="442"/>
  <c r="C1131" i="442" s="1"/>
  <c r="C1132" i="442"/>
  <c r="C1133" i="442" s="1"/>
  <c r="C1134" i="442"/>
  <c r="C1135" i="442" s="1"/>
  <c r="C1136" i="442" s="1"/>
  <c r="C1137" i="442"/>
  <c r="E1129" i="442"/>
  <c r="G1128" i="442"/>
  <c r="L192" i="436"/>
  <c r="L196" i="436" s="1"/>
  <c r="D410" i="443"/>
  <c r="G1898" i="442" s="1"/>
  <c r="A410" i="443"/>
  <c r="E1898" i="442"/>
  <c r="G1897" i="442"/>
  <c r="C1897" i="442"/>
  <c r="C1898" i="442" s="1"/>
  <c r="D141" i="436" l="1"/>
  <c r="D142" i="436" s="1"/>
  <c r="D143" i="436" s="1"/>
  <c r="D144" i="436" s="1"/>
  <c r="D145" i="436" s="1"/>
  <c r="D146" i="436" s="1"/>
  <c r="D147" i="436" s="1"/>
  <c r="D148" i="436" s="1"/>
  <c r="C141" i="436"/>
  <c r="C142" i="436" s="1"/>
  <c r="L233" i="436"/>
  <c r="C1991" i="442"/>
  <c r="C1992" i="442" s="1"/>
  <c r="C129" i="436" l="1"/>
  <c r="C130" i="436" s="1"/>
  <c r="C143" i="436"/>
  <c r="C144" i="436" s="1"/>
  <c r="C145" i="436" s="1"/>
  <c r="C146" i="436" s="1"/>
  <c r="C147" i="436" s="1"/>
  <c r="C2364" i="442"/>
  <c r="C2365" i="442" s="1"/>
  <c r="C2366" i="442"/>
  <c r="C2367" i="442" s="1"/>
  <c r="C2368" i="442" s="1"/>
  <c r="C2369" i="442" s="1"/>
  <c r="C2370" i="442"/>
  <c r="C2371" i="442" s="1"/>
  <c r="C2372" i="442" s="1"/>
  <c r="C2373" i="442" s="1"/>
  <c r="C2374" i="442"/>
  <c r="G2364" i="442"/>
  <c r="L230" i="436"/>
  <c r="E1794" i="442"/>
  <c r="C1790" i="442"/>
  <c r="C1791" i="442" s="1"/>
  <c r="C1792" i="442"/>
  <c r="C1793" i="442" s="1"/>
  <c r="C1795" i="442" s="1"/>
  <c r="C1796" i="442"/>
  <c r="C1797" i="442" s="1"/>
  <c r="C1798" i="442" s="1"/>
  <c r="C1799" i="442"/>
  <c r="C1800" i="442" s="1"/>
  <c r="E1795" i="442"/>
  <c r="E1793" i="442"/>
  <c r="G1792" i="442"/>
  <c r="L229" i="436"/>
  <c r="L203" i="436"/>
  <c r="L39" i="429" s="1"/>
  <c r="L201" i="436"/>
  <c r="L205" i="436" s="1"/>
  <c r="L200" i="436"/>
  <c r="F192" i="427"/>
  <c r="F193" i="427"/>
  <c r="D564" i="443"/>
  <c r="A564" i="443"/>
  <c r="E2421" i="442"/>
  <c r="G2420" i="442"/>
  <c r="C2420" i="442"/>
  <c r="D80" i="443"/>
  <c r="G2442" i="442" s="1"/>
  <c r="A80" i="443"/>
  <c r="C2433" i="442"/>
  <c r="C2434" i="442" s="1"/>
  <c r="C2435" i="442" s="1"/>
  <c r="C2436" i="442" s="1"/>
  <c r="C2437" i="442" s="1"/>
  <c r="C2438" i="442" s="1"/>
  <c r="C2439" i="442" s="1"/>
  <c r="C2440" i="442" s="1"/>
  <c r="C2441" i="442"/>
  <c r="C2442" i="442" s="1"/>
  <c r="C2443" i="442" s="1"/>
  <c r="C2444" i="442" s="1"/>
  <c r="C2445" i="442"/>
  <c r="C2446" i="442" s="1"/>
  <c r="C2447" i="442" s="1"/>
  <c r="C2448" i="442" s="1"/>
  <c r="C2449" i="442"/>
  <c r="C2450" i="442" s="1"/>
  <c r="C2451" i="442"/>
  <c r="E2444" i="442"/>
  <c r="E2443" i="442"/>
  <c r="E2442" i="442"/>
  <c r="G2441" i="442"/>
  <c r="L157" i="436"/>
  <c r="L167" i="436"/>
  <c r="I231" i="427"/>
  <c r="L136" i="436"/>
  <c r="L146" i="436" s="1"/>
  <c r="L137" i="436"/>
  <c r="L147" i="436" s="1"/>
  <c r="C1794" i="442" l="1"/>
  <c r="C2421" i="442"/>
  <c r="E2" i="404"/>
  <c r="E1" i="404"/>
  <c r="L122" i="436" l="1"/>
  <c r="L120" i="436"/>
  <c r="L128" i="436" l="1"/>
  <c r="C37" i="401"/>
  <c r="C36" i="401"/>
  <c r="C35" i="401"/>
  <c r="C33" i="401"/>
  <c r="B37" i="401"/>
  <c r="B33" i="401"/>
  <c r="L42" i="436" s="1"/>
  <c r="L38" i="436" s="1"/>
  <c r="B36" i="401"/>
  <c r="L44" i="436" s="1"/>
  <c r="L41" i="436" s="1"/>
  <c r="E566" i="442"/>
  <c r="E565" i="442"/>
  <c r="E564" i="442"/>
  <c r="G563" i="442"/>
  <c r="C563" i="442"/>
  <c r="C564" i="442" s="1"/>
  <c r="D5" i="443"/>
  <c r="G560" i="442" s="1"/>
  <c r="A5" i="443"/>
  <c r="E562" i="442"/>
  <c r="E561" i="442"/>
  <c r="E560" i="442"/>
  <c r="G559" i="442"/>
  <c r="C559" i="442"/>
  <c r="C560" i="442" s="1"/>
  <c r="C215" i="442"/>
  <c r="C216" i="442" s="1"/>
  <c r="C217" i="442"/>
  <c r="C218" i="442" s="1"/>
  <c r="C219" i="442" s="1"/>
  <c r="C220" i="442" s="1"/>
  <c r="C221" i="442"/>
  <c r="C222" i="442" s="1"/>
  <c r="C223" i="442" s="1"/>
  <c r="C224" i="442" s="1"/>
  <c r="C225" i="442"/>
  <c r="C226" i="442" s="1"/>
  <c r="C227" i="442"/>
  <c r="F220" i="442"/>
  <c r="F219" i="442"/>
  <c r="F218" i="442"/>
  <c r="E220" i="442"/>
  <c r="E219" i="442"/>
  <c r="E218" i="442"/>
  <c r="G217" i="442"/>
  <c r="C565" i="442" l="1"/>
  <c r="C561" i="442"/>
  <c r="C566" i="442" l="1"/>
  <c r="C562" i="442"/>
  <c r="E2" i="401" l="1"/>
  <c r="E1" i="401"/>
  <c r="G9" i="444"/>
  <c r="G10" i="444"/>
  <c r="I10" i="444" s="1"/>
  <c r="G8" i="444"/>
  <c r="G7" i="444"/>
  <c r="G11" i="444"/>
  <c r="I11" i="444" s="1"/>
  <c r="K8" i="444" l="1"/>
  <c r="G12" i="444"/>
  <c r="L40" i="436" s="1"/>
  <c r="I8" i="444"/>
  <c r="L22" i="436"/>
  <c r="N22" i="436" s="1"/>
  <c r="K11" i="444"/>
  <c r="K7" i="444"/>
  <c r="I7" i="444"/>
  <c r="K10" i="444"/>
  <c r="K9" i="444"/>
  <c r="K12" i="444" s="1"/>
  <c r="L56" i="436" s="1"/>
  <c r="I9" i="444"/>
  <c r="I12" i="444" s="1"/>
  <c r="L71" i="436" l="1"/>
  <c r="N24" i="401"/>
  <c r="B35" i="401" s="1"/>
  <c r="C265" i="436"/>
  <c r="C266" i="436" s="1"/>
  <c r="C267" i="436" s="1"/>
  <c r="C268" i="436" s="1"/>
  <c r="C269" i="436" s="1"/>
  <c r="C270" i="436" s="1"/>
  <c r="C271" i="436" s="1"/>
  <c r="C272" i="436" s="1"/>
  <c r="C273" i="436" s="1"/>
  <c r="C274" i="436" s="1"/>
  <c r="C275" i="436" s="1"/>
  <c r="C276" i="436" s="1"/>
  <c r="C277" i="436" s="1"/>
  <c r="C278" i="436" s="1"/>
  <c r="C279" i="436" s="1"/>
  <c r="C280" i="436" s="1"/>
  <c r="C281" i="436" s="1"/>
  <c r="C282" i="436" s="1"/>
  <c r="C283" i="436" s="1"/>
  <c r="C284" i="436" s="1"/>
  <c r="C285" i="436" s="1"/>
  <c r="C286" i="436" s="1"/>
  <c r="C287" i="436" s="1"/>
  <c r="C288" i="436" s="1"/>
  <c r="C289" i="436" s="1"/>
  <c r="C290" i="436" s="1"/>
  <c r="C291" i="436" s="1"/>
  <c r="C292" i="436" s="1"/>
  <c r="C293" i="436" s="1"/>
  <c r="C294" i="436" s="1"/>
  <c r="C295" i="436" s="1"/>
  <c r="C296" i="436" s="1"/>
  <c r="C297" i="436" s="1"/>
  <c r="C298" i="436" s="1"/>
  <c r="C299" i="436" s="1"/>
  <c r="C300" i="436" s="1"/>
  <c r="C301" i="436" s="1"/>
  <c r="C302" i="436" s="1"/>
  <c r="C303" i="436" s="1"/>
  <c r="C304" i="436" s="1"/>
  <c r="C305" i="436" s="1"/>
  <c r="C306" i="436" s="1"/>
  <c r="C307" i="436" s="1"/>
  <c r="C308" i="436" s="1"/>
  <c r="C309" i="436" s="1"/>
  <c r="C310" i="436" s="1"/>
  <c r="C311" i="436" s="1"/>
  <c r="C312" i="436" s="1"/>
  <c r="C313" i="436" s="1"/>
  <c r="C314" i="436" s="1"/>
  <c r="C315" i="436" s="1"/>
  <c r="C316" i="436" s="1"/>
  <c r="C317" i="436" s="1"/>
  <c r="C318" i="436" s="1"/>
  <c r="C319" i="436" s="1"/>
  <c r="C320" i="436" s="1"/>
  <c r="C321" i="436" s="1"/>
  <c r="C322" i="436" s="1"/>
  <c r="C323" i="436" s="1"/>
  <c r="C324" i="436" s="1"/>
  <c r="C325" i="436" s="1"/>
  <c r="C326" i="436" s="1"/>
  <c r="C327" i="436" s="1"/>
  <c r="C328" i="436" s="1"/>
  <c r="C329" i="436" s="1"/>
  <c r="C330" i="436" s="1"/>
  <c r="C331" i="436" s="1"/>
  <c r="C332" i="436" s="1"/>
  <c r="C333" i="436" s="1"/>
  <c r="C334" i="436" s="1"/>
  <c r="C335" i="436" s="1"/>
  <c r="C336" i="436" s="1"/>
  <c r="C337" i="436" s="1"/>
  <c r="C338" i="436" s="1"/>
  <c r="C339" i="436" s="1"/>
  <c r="C340" i="436" s="1"/>
  <c r="C341" i="436" s="1"/>
  <c r="C342" i="436" s="1"/>
  <c r="C343" i="436" s="1"/>
  <c r="C344" i="436" s="1"/>
  <c r="C345" i="436" s="1"/>
  <c r="C346" i="436" s="1"/>
  <c r="C347" i="436" s="1"/>
  <c r="C348" i="436" s="1"/>
  <c r="C349" i="436" s="1"/>
  <c r="C350" i="436" s="1"/>
  <c r="C351" i="436" s="1"/>
  <c r="C352" i="436" s="1"/>
  <c r="C353" i="436" s="1"/>
  <c r="C354" i="436" s="1"/>
  <c r="C355" i="436" s="1"/>
  <c r="C356" i="436" s="1"/>
  <c r="C357" i="436" s="1"/>
  <c r="C358" i="436" s="1"/>
  <c r="C359" i="436" s="1"/>
  <c r="C360" i="436" s="1"/>
  <c r="C361" i="436" s="1"/>
  <c r="C362" i="436" s="1"/>
  <c r="C363" i="436" s="1"/>
  <c r="C364" i="436" s="1"/>
  <c r="C365" i="436" s="1"/>
  <c r="C366" i="436" s="1"/>
  <c r="C367" i="436" s="1"/>
  <c r="C368" i="436" s="1"/>
  <c r="C369" i="436" s="1"/>
  <c r="C370" i="436" s="1"/>
  <c r="C371" i="436" s="1"/>
  <c r="C372" i="436" s="1"/>
  <c r="C373" i="436" s="1"/>
  <c r="C374" i="436" s="1"/>
  <c r="C375" i="436" s="1"/>
  <c r="C376" i="436" s="1"/>
  <c r="C377" i="436" s="1"/>
  <c r="C378" i="436" s="1"/>
  <c r="C379" i="436" s="1"/>
  <c r="C380" i="436" s="1"/>
  <c r="C381" i="436" s="1"/>
  <c r="C382" i="436" s="1"/>
  <c r="C383" i="436" s="1"/>
  <c r="C384" i="436" s="1"/>
  <c r="C385" i="436" s="1"/>
  <c r="C386" i="436" s="1"/>
  <c r="C387" i="436" s="1"/>
  <c r="C388" i="436" s="1"/>
  <c r="C389" i="436" s="1"/>
  <c r="C390" i="436" s="1"/>
  <c r="C391" i="436" s="1"/>
  <c r="C392" i="436" s="1"/>
  <c r="C393" i="436" s="1"/>
  <c r="C394" i="436" s="1"/>
  <c r="C395" i="436" s="1"/>
  <c r="C396" i="436" s="1"/>
  <c r="C397" i="436" s="1"/>
  <c r="C398" i="436" s="1"/>
  <c r="C399" i="436" s="1"/>
  <c r="C400" i="436" s="1"/>
  <c r="C401" i="436" s="1"/>
  <c r="C402" i="436" s="1"/>
  <c r="C403" i="436" s="1"/>
  <c r="C404" i="436" s="1"/>
  <c r="C405" i="436" s="1"/>
  <c r="C406" i="436" s="1"/>
  <c r="C407" i="436" s="1"/>
  <c r="C408" i="436" s="1"/>
  <c r="C409" i="436" s="1"/>
  <c r="C410" i="436" s="1"/>
  <c r="C411" i="436" s="1"/>
  <c r="C412" i="436" s="1"/>
  <c r="C413" i="436" s="1"/>
  <c r="C414" i="436" s="1"/>
  <c r="C415" i="436" s="1"/>
  <c r="C416" i="436" s="1"/>
  <c r="C417" i="436" s="1"/>
  <c r="C418" i="436" s="1"/>
  <c r="C419" i="436" s="1"/>
  <c r="C420" i="436" s="1"/>
  <c r="C421" i="436" s="1"/>
  <c r="C422" i="436" s="1"/>
  <c r="C423" i="436" s="1"/>
  <c r="C424" i="436" s="1"/>
  <c r="C425" i="436" s="1"/>
  <c r="C426" i="436" s="1"/>
  <c r="C427" i="436" s="1"/>
  <c r="C428" i="436" s="1"/>
  <c r="C429" i="436" s="1"/>
  <c r="C430" i="436" s="1"/>
  <c r="C431" i="436" s="1"/>
  <c r="C432" i="436" s="1"/>
  <c r="C433" i="436" s="1"/>
  <c r="C434" i="436" s="1"/>
  <c r="C435" i="436" s="1"/>
  <c r="C436" i="436" s="1"/>
  <c r="C437" i="436" s="1"/>
  <c r="C438" i="436" s="1"/>
  <c r="C439" i="436" s="1"/>
  <c r="C440" i="436" s="1"/>
  <c r="C441" i="436" s="1"/>
  <c r="C442" i="436" s="1"/>
  <c r="C443" i="436" s="1"/>
  <c r="C444" i="436" s="1"/>
  <c r="C445" i="436" s="1"/>
  <c r="C446" i="436" s="1"/>
  <c r="C447" i="436" s="1"/>
  <c r="C448" i="436" s="1"/>
  <c r="C449" i="436" s="1"/>
  <c r="C450" i="436" s="1"/>
  <c r="C451" i="436" s="1"/>
  <c r="C452" i="436" s="1"/>
  <c r="C453" i="436" s="1"/>
  <c r="C454" i="436" s="1"/>
  <c r="C455" i="436" s="1"/>
  <c r="C456" i="436" s="1"/>
  <c r="C457" i="436" s="1"/>
  <c r="C458" i="436" s="1"/>
  <c r="C459" i="436" s="1"/>
  <c r="C460" i="436" s="1"/>
  <c r="C461" i="436" s="1"/>
  <c r="C462" i="436" s="1"/>
  <c r="C463" i="436" s="1"/>
  <c r="C464" i="436" s="1"/>
  <c r="C465" i="436" s="1"/>
  <c r="C466" i="436" s="1"/>
  <c r="C467" i="436" s="1"/>
  <c r="C468" i="436" s="1"/>
  <c r="C469" i="436" s="1"/>
  <c r="C470" i="436" s="1"/>
  <c r="C471" i="436" s="1"/>
  <c r="C472" i="436" s="1"/>
  <c r="C473" i="436" s="1"/>
  <c r="C474" i="436" s="1"/>
  <c r="C475" i="436" s="1"/>
  <c r="C476" i="436" s="1"/>
  <c r="C477" i="436" s="1"/>
  <c r="C478" i="436" s="1"/>
  <c r="C479" i="436" s="1"/>
  <c r="C480" i="436" s="1"/>
  <c r="C481" i="436" s="1"/>
  <c r="C482" i="436" s="1"/>
  <c r="C483" i="436" s="1"/>
  <c r="C484" i="436" s="1"/>
  <c r="C485" i="436" s="1"/>
  <c r="C486" i="436" s="1"/>
  <c r="C487" i="436" s="1"/>
  <c r="C488" i="436" s="1"/>
  <c r="C489" i="436" s="1"/>
  <c r="C490" i="436" s="1"/>
  <c r="C491" i="436" s="1"/>
  <c r="C492" i="436" s="1"/>
  <c r="C493" i="436" s="1"/>
  <c r="C494" i="436" s="1"/>
  <c r="C495" i="436" s="1"/>
  <c r="C496" i="436" s="1"/>
  <c r="C497" i="436" s="1"/>
  <c r="C498" i="436" s="1"/>
  <c r="C499" i="436" s="1"/>
  <c r="C500" i="436" s="1"/>
  <c r="C501" i="436" s="1"/>
  <c r="C502" i="436" s="1"/>
  <c r="C503" i="436" s="1"/>
  <c r="C504" i="436" s="1"/>
  <c r="C505" i="436" s="1"/>
  <c r="C506" i="436" s="1"/>
  <c r="C507" i="436" s="1"/>
  <c r="C508" i="436" s="1"/>
  <c r="C509" i="436" s="1"/>
  <c r="C510" i="436" s="1"/>
  <c r="C511" i="436" s="1"/>
  <c r="C512" i="436" s="1"/>
  <c r="C513" i="436" s="1"/>
  <c r="C514" i="436" s="1"/>
  <c r="C515" i="436" s="1"/>
  <c r="C516" i="436" s="1"/>
  <c r="C517" i="436" s="1"/>
  <c r="C518" i="436" s="1"/>
  <c r="C519" i="436" s="1"/>
  <c r="C520" i="436" s="1"/>
  <c r="C521" i="436" s="1"/>
  <c r="C522" i="436" s="1"/>
  <c r="C523" i="436" s="1"/>
  <c r="C524" i="436" s="1"/>
  <c r="C525" i="436" s="1"/>
  <c r="C526" i="436" s="1"/>
  <c r="C527" i="436" s="1"/>
  <c r="C528" i="436" s="1"/>
  <c r="C529" i="436" s="1"/>
  <c r="C530" i="436" s="1"/>
  <c r="C531" i="436" s="1"/>
  <c r="C532" i="436" s="1"/>
  <c r="C533" i="436" s="1"/>
  <c r="C534" i="436" s="1"/>
  <c r="C535" i="436" s="1"/>
  <c r="C536" i="436" s="1"/>
  <c r="C537" i="436" s="1"/>
  <c r="C538" i="436" s="1"/>
  <c r="C539" i="436" s="1"/>
  <c r="C540" i="436" s="1"/>
  <c r="C541" i="436" s="1"/>
  <c r="C542" i="436" s="1"/>
  <c r="C543" i="436" s="1"/>
  <c r="C544" i="436" s="1"/>
  <c r="C545" i="436" s="1"/>
  <c r="C546" i="436" s="1"/>
  <c r="C547" i="436" s="1"/>
  <c r="C548" i="436" s="1"/>
  <c r="C549" i="436" s="1"/>
  <c r="C550" i="436" s="1"/>
  <c r="C551" i="436" s="1"/>
  <c r="C552" i="436" s="1"/>
  <c r="C553" i="436" s="1"/>
  <c r="C554" i="436" s="1"/>
  <c r="C555" i="436" s="1"/>
  <c r="C556" i="436" s="1"/>
  <c r="C557" i="436" s="1"/>
  <c r="C558" i="436" s="1"/>
  <c r="C559" i="436" s="1"/>
  <c r="C560" i="436" s="1"/>
  <c r="C561" i="436" s="1"/>
  <c r="C562" i="436" s="1"/>
  <c r="C563" i="436" s="1"/>
  <c r="C564" i="436" s="1"/>
  <c r="C565" i="436" s="1"/>
  <c r="C566" i="436" s="1"/>
  <c r="C567" i="436" s="1"/>
  <c r="C568" i="436" s="1"/>
  <c r="C569" i="436" s="1"/>
  <c r="C570" i="436" s="1"/>
  <c r="C571" i="436" s="1"/>
  <c r="C572" i="436" s="1"/>
  <c r="C573" i="436" s="1"/>
  <c r="C574" i="436" s="1"/>
  <c r="C575" i="436" s="1"/>
  <c r="C576" i="436" s="1"/>
  <c r="C577" i="436" s="1"/>
  <c r="C578" i="436" s="1"/>
  <c r="C579" i="436" s="1"/>
  <c r="C580" i="436" s="1"/>
  <c r="C581" i="436" s="1"/>
  <c r="C582" i="436" s="1"/>
  <c r="C583" i="436" s="1"/>
  <c r="C584" i="436" s="1"/>
  <c r="C585" i="436" s="1"/>
  <c r="C586" i="436" s="1"/>
  <c r="C587" i="436" s="1"/>
  <c r="C588" i="436" s="1"/>
  <c r="C589" i="436" s="1"/>
  <c r="C590" i="436" s="1"/>
  <c r="C591" i="436" s="1"/>
  <c r="C592" i="436" s="1"/>
  <c r="C593" i="436" s="1"/>
  <c r="C594" i="436" s="1"/>
  <c r="C595" i="436" s="1"/>
  <c r="C596" i="436" s="1"/>
  <c r="C597" i="436" s="1"/>
  <c r="C598" i="436" s="1"/>
  <c r="C599" i="436" s="1"/>
  <c r="C600" i="436" s="1"/>
  <c r="C601" i="436" s="1"/>
  <c r="C602" i="436" s="1"/>
  <c r="C603" i="436" s="1"/>
  <c r="C604" i="436" s="1"/>
  <c r="C605" i="436" s="1"/>
  <c r="C606" i="436" s="1"/>
  <c r="C607" i="436" s="1"/>
  <c r="C608" i="436" s="1"/>
  <c r="C609" i="436" s="1"/>
  <c r="C610" i="436" s="1"/>
  <c r="C611" i="436" s="1"/>
  <c r="C612" i="436" s="1"/>
  <c r="C613" i="436" s="1"/>
  <c r="C614" i="436" s="1"/>
  <c r="C615" i="436" s="1"/>
  <c r="C616" i="436" s="1"/>
  <c r="C617" i="436" s="1"/>
  <c r="C618" i="436" s="1"/>
  <c r="C619" i="436" s="1"/>
  <c r="C620" i="436" s="1"/>
  <c r="C621" i="436" s="1"/>
  <c r="C622" i="436" s="1"/>
  <c r="C623" i="436" s="1"/>
  <c r="C624" i="436" s="1"/>
  <c r="C625" i="436" s="1"/>
  <c r="C626" i="436" s="1"/>
  <c r="C627" i="436" s="1"/>
  <c r="C628" i="436" s="1"/>
  <c r="C629" i="436" s="1"/>
  <c r="C630" i="436" s="1"/>
  <c r="C631" i="436" s="1"/>
  <c r="C632" i="436" s="1"/>
  <c r="C633" i="436" s="1"/>
  <c r="C634" i="436" s="1"/>
  <c r="C635" i="436" s="1"/>
  <c r="C636" i="436" s="1"/>
  <c r="C637" i="436" s="1"/>
  <c r="C638" i="436" s="1"/>
  <c r="C639" i="436" s="1"/>
  <c r="C640" i="436" s="1"/>
  <c r="C641" i="436" s="1"/>
  <c r="C642" i="436" s="1"/>
  <c r="C643" i="436" s="1"/>
  <c r="C644" i="436" s="1"/>
  <c r="C645" i="436" s="1"/>
  <c r="C646" i="436" s="1"/>
  <c r="C647" i="436" s="1"/>
  <c r="C648" i="436" s="1"/>
  <c r="C649" i="436" s="1"/>
  <c r="C650" i="436" s="1"/>
  <c r="C651" i="436" s="1"/>
  <c r="C652" i="436" s="1"/>
  <c r="C653" i="436" s="1"/>
  <c r="C654" i="436" s="1"/>
  <c r="C655" i="436" s="1"/>
  <c r="C656" i="436" s="1"/>
  <c r="C657" i="436" s="1"/>
  <c r="C658" i="436" s="1"/>
  <c r="C659" i="436" s="1"/>
  <c r="C660" i="436" s="1"/>
  <c r="C661" i="436" s="1"/>
  <c r="C662" i="436" s="1"/>
  <c r="C663" i="436" s="1"/>
  <c r="C664" i="436" s="1"/>
  <c r="C665" i="436" s="1"/>
  <c r="C666" i="436" s="1"/>
  <c r="C667" i="436" s="1"/>
  <c r="C668" i="436" s="1"/>
  <c r="C669" i="436" s="1"/>
  <c r="C670" i="436" s="1"/>
  <c r="C671" i="436" s="1"/>
  <c r="C672" i="436" s="1"/>
  <c r="C673" i="436" s="1"/>
  <c r="C674" i="436" s="1"/>
  <c r="C675" i="436" s="1"/>
  <c r="C676" i="436" s="1"/>
  <c r="C677" i="436" s="1"/>
  <c r="C678" i="436" s="1"/>
  <c r="C679" i="436" s="1"/>
  <c r="C680" i="436" s="1"/>
  <c r="C681" i="436" s="1"/>
  <c r="C682" i="436" s="1"/>
  <c r="C683" i="436" s="1"/>
  <c r="C684" i="436" s="1"/>
  <c r="C685" i="436" s="1"/>
  <c r="C686" i="436" s="1"/>
  <c r="C687" i="436" s="1"/>
  <c r="C688" i="436" s="1"/>
  <c r="C689" i="436" s="1"/>
  <c r="C690" i="436" s="1"/>
  <c r="C691" i="436" s="1"/>
  <c r="C692" i="436" s="1"/>
  <c r="C693" i="436" s="1"/>
  <c r="C694" i="436" s="1"/>
  <c r="C695" i="436" s="1"/>
  <c r="C696" i="436" s="1"/>
  <c r="C697" i="436" s="1"/>
  <c r="C698" i="436" s="1"/>
  <c r="C699" i="436" s="1"/>
  <c r="C700" i="436" s="1"/>
  <c r="C701" i="436" s="1"/>
  <c r="C702" i="436" s="1"/>
  <c r="C703" i="436" s="1"/>
  <c r="C704" i="436" s="1"/>
  <c r="C705" i="436" s="1"/>
  <c r="C706" i="436" s="1"/>
  <c r="C707" i="436" s="1"/>
  <c r="C708" i="436" s="1"/>
  <c r="C709" i="436" s="1"/>
  <c r="C710" i="436" s="1"/>
  <c r="C711" i="436" s="1"/>
  <c r="C712" i="436" s="1"/>
  <c r="C713" i="436" s="1"/>
  <c r="C714" i="436" s="1"/>
  <c r="C715" i="436" s="1"/>
  <c r="C716" i="436" s="1"/>
  <c r="C717" i="436" s="1"/>
  <c r="C718" i="436" s="1"/>
  <c r="C719" i="436" s="1"/>
  <c r="C720" i="436" s="1"/>
  <c r="C721" i="436" s="1"/>
  <c r="C722" i="436" s="1"/>
  <c r="C723" i="436" s="1"/>
  <c r="C724" i="436" s="1"/>
  <c r="C725" i="436" s="1"/>
  <c r="C726" i="436" s="1"/>
  <c r="C727" i="436" s="1"/>
  <c r="C728" i="436" s="1"/>
  <c r="C729" i="436" s="1"/>
  <c r="C730" i="436" s="1"/>
  <c r="C731" i="436" s="1"/>
  <c r="C732" i="436" s="1"/>
  <c r="C733" i="436" s="1"/>
  <c r="C734" i="436" s="1"/>
  <c r="C735" i="436" s="1"/>
  <c r="C736" i="436" s="1"/>
  <c r="C737" i="436" s="1"/>
  <c r="C738" i="436" s="1"/>
  <c r="C739" i="436" s="1"/>
  <c r="C740" i="436" s="1"/>
  <c r="C741" i="436" s="1"/>
  <c r="C742" i="436" s="1"/>
  <c r="C743" i="436" s="1"/>
  <c r="C744" i="436" s="1"/>
  <c r="C745" i="436" s="1"/>
  <c r="C746" i="436" s="1"/>
  <c r="C747" i="436" s="1"/>
  <c r="C748" i="436" s="1"/>
  <c r="C749" i="436" s="1"/>
  <c r="C750" i="436" s="1"/>
  <c r="C751" i="436" s="1"/>
  <c r="C752" i="436" s="1"/>
  <c r="C753" i="436" s="1"/>
  <c r="C754" i="436" s="1"/>
  <c r="C755" i="436" s="1"/>
  <c r="C756" i="436" s="1"/>
  <c r="C757" i="436" s="1"/>
  <c r="C758" i="436" s="1"/>
  <c r="C759" i="436" s="1"/>
  <c r="C760" i="436" s="1"/>
  <c r="C761" i="436" s="1"/>
  <c r="C762" i="436" s="1"/>
  <c r="C763" i="436" s="1"/>
  <c r="C764" i="436" s="1"/>
  <c r="C765" i="436" s="1"/>
  <c r="C766" i="436" s="1"/>
  <c r="C767" i="436" s="1"/>
  <c r="C768" i="436" s="1"/>
  <c r="C769" i="436" s="1"/>
  <c r="C770" i="436" s="1"/>
  <c r="C771" i="436" s="1"/>
  <c r="C772" i="436" s="1"/>
  <c r="C773" i="436" s="1"/>
  <c r="C774" i="436" s="1"/>
  <c r="C775" i="436" s="1"/>
  <c r="C776" i="436" s="1"/>
  <c r="C777" i="436" s="1"/>
  <c r="C778" i="436" s="1"/>
  <c r="C779" i="436" s="1"/>
  <c r="C780" i="436" s="1"/>
  <c r="C781" i="436" s="1"/>
  <c r="C782" i="436" s="1"/>
  <c r="C783" i="436" s="1"/>
  <c r="C784" i="436" s="1"/>
  <c r="C785" i="436" s="1"/>
  <c r="C786" i="436" s="1"/>
  <c r="C787" i="436" s="1"/>
  <c r="C788" i="436" s="1"/>
  <c r="C789" i="436" s="1"/>
  <c r="C790" i="436" s="1"/>
  <c r="C791" i="436" s="1"/>
  <c r="C792" i="436" s="1"/>
  <c r="C793" i="436" s="1"/>
  <c r="C794" i="436" s="1"/>
  <c r="C795" i="436" s="1"/>
  <c r="C796" i="436" s="1"/>
  <c r="C797" i="436" s="1"/>
  <c r="C798" i="436" s="1"/>
  <c r="C799" i="436" s="1"/>
  <c r="C800" i="436" s="1"/>
  <c r="C801" i="436" s="1"/>
  <c r="C802" i="436" s="1"/>
  <c r="C803" i="436" s="1"/>
  <c r="C804" i="436" s="1"/>
  <c r="C805" i="436" s="1"/>
  <c r="C806" i="436" s="1"/>
  <c r="C807" i="436" s="1"/>
  <c r="C808" i="436" s="1"/>
  <c r="C809" i="436" s="1"/>
  <c r="C810" i="436" s="1"/>
  <c r="C811" i="436" s="1"/>
  <c r="C812" i="436" s="1"/>
  <c r="C813" i="436" s="1"/>
  <c r="C814" i="436" s="1"/>
  <c r="C815" i="436" s="1"/>
  <c r="C816" i="436" s="1"/>
  <c r="C817" i="436" s="1"/>
  <c r="C818" i="436" s="1"/>
  <c r="C819" i="436" s="1"/>
  <c r="C820" i="436" s="1"/>
  <c r="C821" i="436" s="1"/>
  <c r="C822" i="436" s="1"/>
  <c r="C823" i="436" s="1"/>
  <c r="C824" i="436" s="1"/>
  <c r="C825" i="436" s="1"/>
  <c r="C826" i="436" s="1"/>
  <c r="C827" i="436" s="1"/>
  <c r="C828" i="436" s="1"/>
  <c r="C829" i="436" s="1"/>
  <c r="C830" i="436" s="1"/>
  <c r="C831" i="436" s="1"/>
  <c r="C832" i="436" s="1"/>
  <c r="C833" i="436" s="1"/>
  <c r="C834" i="436" s="1"/>
  <c r="C835" i="436" s="1"/>
  <c r="C836" i="436" s="1"/>
  <c r="C837" i="436" s="1"/>
  <c r="C838" i="436" s="1"/>
  <c r="C839" i="436" s="1"/>
  <c r="C840" i="436" s="1"/>
  <c r="C841" i="436" s="1"/>
  <c r="C842" i="436" s="1"/>
  <c r="C843" i="436" s="1"/>
  <c r="C844" i="436" s="1"/>
  <c r="C845" i="436" s="1"/>
  <c r="C846" i="436" s="1"/>
  <c r="C847" i="436" s="1"/>
  <c r="C848" i="436" s="1"/>
  <c r="C849" i="436" s="1"/>
  <c r="C850" i="436" s="1"/>
  <c r="C851" i="436" s="1"/>
  <c r="C852" i="436" s="1"/>
  <c r="C853" i="436" s="1"/>
  <c r="C854" i="436" s="1"/>
  <c r="C855" i="436" s="1"/>
  <c r="C856" i="436" s="1"/>
  <c r="C857" i="436" s="1"/>
  <c r="C858" i="436" s="1"/>
  <c r="C859" i="436" s="1"/>
  <c r="C860" i="436" s="1"/>
  <c r="C861" i="436" s="1"/>
  <c r="C862" i="436" s="1"/>
  <c r="C863" i="436" s="1"/>
  <c r="C864" i="436" s="1"/>
  <c r="C865" i="436" s="1"/>
  <c r="C866" i="436" s="1"/>
  <c r="C867" i="436" s="1"/>
  <c r="C868" i="436" s="1"/>
  <c r="C869" i="436" s="1"/>
  <c r="C870" i="436" s="1"/>
  <c r="C871" i="436" s="1"/>
  <c r="C872" i="436" s="1"/>
  <c r="C873" i="436" s="1"/>
  <c r="C874" i="436" s="1"/>
  <c r="C875" i="436" s="1"/>
  <c r="C876" i="436" s="1"/>
  <c r="C877" i="436" s="1"/>
  <c r="C878" i="436" s="1"/>
  <c r="C879" i="436" s="1"/>
  <c r="C880" i="436" s="1"/>
  <c r="C881" i="436" s="1"/>
  <c r="C882" i="436" s="1"/>
  <c r="C883" i="436" s="1"/>
  <c r="C884" i="436" s="1"/>
  <c r="C885" i="436" s="1"/>
  <c r="C886" i="436" s="1"/>
  <c r="C887" i="436" s="1"/>
  <c r="C888" i="436" s="1"/>
  <c r="C889" i="436" s="1"/>
  <c r="C890" i="436" s="1"/>
  <c r="C891" i="436" s="1"/>
  <c r="D265" i="436"/>
  <c r="D266" i="436" s="1"/>
  <c r="D267" i="436" s="1"/>
  <c r="D268" i="436" s="1"/>
  <c r="D269" i="436" s="1"/>
  <c r="D270" i="436" s="1"/>
  <c r="D271" i="436" s="1"/>
  <c r="D272" i="436" s="1"/>
  <c r="D273" i="436" s="1"/>
  <c r="D274" i="436" s="1"/>
  <c r="D275" i="436" s="1"/>
  <c r="D276" i="436" s="1"/>
  <c r="D277" i="436" s="1"/>
  <c r="D278" i="436" s="1"/>
  <c r="D279" i="436" s="1"/>
  <c r="D280" i="436" s="1"/>
  <c r="D281" i="436" s="1"/>
  <c r="D282" i="436" s="1"/>
  <c r="D283" i="436" s="1"/>
  <c r="D284" i="436" s="1"/>
  <c r="D285" i="436" s="1"/>
  <c r="D286" i="436" s="1"/>
  <c r="D287" i="436" s="1"/>
  <c r="D288" i="436" s="1"/>
  <c r="D289" i="436" s="1"/>
  <c r="D290" i="436" s="1"/>
  <c r="D291" i="436" s="1"/>
  <c r="D292" i="436" s="1"/>
  <c r="D293" i="436" s="1"/>
  <c r="D294" i="436" s="1"/>
  <c r="D295" i="436" s="1"/>
  <c r="D296" i="436" s="1"/>
  <c r="D297" i="436" s="1"/>
  <c r="D298" i="436" s="1"/>
  <c r="D299" i="436" s="1"/>
  <c r="D300" i="436" s="1"/>
  <c r="D301" i="436" s="1"/>
  <c r="D302" i="436" s="1"/>
  <c r="D303" i="436" s="1"/>
  <c r="D304" i="436" s="1"/>
  <c r="D305" i="436" s="1"/>
  <c r="D306" i="436" s="1"/>
  <c r="D307" i="436" s="1"/>
  <c r="D308" i="436" s="1"/>
  <c r="D309" i="436" s="1"/>
  <c r="D310" i="436" s="1"/>
  <c r="D311" i="436" s="1"/>
  <c r="D312" i="436" s="1"/>
  <c r="D313" i="436" s="1"/>
  <c r="D314" i="436" s="1"/>
  <c r="D315" i="436" s="1"/>
  <c r="D316" i="436" s="1"/>
  <c r="D317" i="436" s="1"/>
  <c r="D318" i="436" s="1"/>
  <c r="D319" i="436" s="1"/>
  <c r="D320" i="436" s="1"/>
  <c r="D321" i="436" s="1"/>
  <c r="D322" i="436" s="1"/>
  <c r="D323" i="436" s="1"/>
  <c r="D324" i="436" s="1"/>
  <c r="D325" i="436" s="1"/>
  <c r="D326" i="436" s="1"/>
  <c r="D327" i="436" s="1"/>
  <c r="D328" i="436" s="1"/>
  <c r="D329" i="436" s="1"/>
  <c r="D330" i="436" s="1"/>
  <c r="D331" i="436" s="1"/>
  <c r="D332" i="436" s="1"/>
  <c r="D333" i="436" s="1"/>
  <c r="D334" i="436" s="1"/>
  <c r="D335" i="436" s="1"/>
  <c r="D336" i="436" s="1"/>
  <c r="D337" i="436" s="1"/>
  <c r="D338" i="436" s="1"/>
  <c r="D339" i="436" s="1"/>
  <c r="D340" i="436" s="1"/>
  <c r="D341" i="436" s="1"/>
  <c r="D342" i="436" s="1"/>
  <c r="D343" i="436" s="1"/>
  <c r="D344" i="436" s="1"/>
  <c r="D345" i="436" s="1"/>
  <c r="D346" i="436" s="1"/>
  <c r="D347" i="436" s="1"/>
  <c r="D348" i="436" s="1"/>
  <c r="D349" i="436" s="1"/>
  <c r="D350" i="436" s="1"/>
  <c r="D351" i="436" s="1"/>
  <c r="D352" i="436" s="1"/>
  <c r="D353" i="436" s="1"/>
  <c r="D354" i="436" s="1"/>
  <c r="D355" i="436" s="1"/>
  <c r="D356" i="436" s="1"/>
  <c r="D357" i="436" s="1"/>
  <c r="D358" i="436" s="1"/>
  <c r="D359" i="436" s="1"/>
  <c r="D360" i="436" s="1"/>
  <c r="D361" i="436" s="1"/>
  <c r="D362" i="436" s="1"/>
  <c r="D363" i="436" s="1"/>
  <c r="D364" i="436" s="1"/>
  <c r="D365" i="436" s="1"/>
  <c r="D366" i="436" s="1"/>
  <c r="D367" i="436" s="1"/>
  <c r="D368" i="436" s="1"/>
  <c r="D369" i="436" s="1"/>
  <c r="D370" i="436" s="1"/>
  <c r="D371" i="436" s="1"/>
  <c r="D372" i="436" s="1"/>
  <c r="D373" i="436" s="1"/>
  <c r="D374" i="436" s="1"/>
  <c r="D375" i="436" s="1"/>
  <c r="D376" i="436" s="1"/>
  <c r="D377" i="436" s="1"/>
  <c r="D378" i="436" s="1"/>
  <c r="D379" i="436" s="1"/>
  <c r="D380" i="436" s="1"/>
  <c r="D381" i="436" s="1"/>
  <c r="D382" i="436" s="1"/>
  <c r="D383" i="436" s="1"/>
  <c r="D384" i="436" s="1"/>
  <c r="D385" i="436" s="1"/>
  <c r="D386" i="436" s="1"/>
  <c r="D387" i="436" s="1"/>
  <c r="D388" i="436" s="1"/>
  <c r="D389" i="436" s="1"/>
  <c r="D390" i="436" s="1"/>
  <c r="D391" i="436" s="1"/>
  <c r="D392" i="436" s="1"/>
  <c r="D393" i="436" s="1"/>
  <c r="D394" i="436" s="1"/>
  <c r="D395" i="436" s="1"/>
  <c r="D396" i="436" s="1"/>
  <c r="D397" i="436" s="1"/>
  <c r="D398" i="436" s="1"/>
  <c r="D399" i="436" s="1"/>
  <c r="D400" i="436" s="1"/>
  <c r="D401" i="436" s="1"/>
  <c r="D402" i="436" s="1"/>
  <c r="D403" i="436" s="1"/>
  <c r="D404" i="436" s="1"/>
  <c r="D405" i="436" s="1"/>
  <c r="D406" i="436" s="1"/>
  <c r="D407" i="436" s="1"/>
  <c r="D408" i="436" s="1"/>
  <c r="D409" i="436" s="1"/>
  <c r="D410" i="436" s="1"/>
  <c r="D411" i="436" s="1"/>
  <c r="D412" i="436" s="1"/>
  <c r="D413" i="436" s="1"/>
  <c r="D414" i="436" s="1"/>
  <c r="D415" i="436" s="1"/>
  <c r="D416" i="436" s="1"/>
  <c r="D417" i="436" s="1"/>
  <c r="D418" i="436" s="1"/>
  <c r="D419" i="436" s="1"/>
  <c r="D420" i="436" s="1"/>
  <c r="D421" i="436" s="1"/>
  <c r="D422" i="436" s="1"/>
  <c r="D423" i="436" s="1"/>
  <c r="D424" i="436" s="1"/>
  <c r="D425" i="436" s="1"/>
  <c r="D426" i="436" s="1"/>
  <c r="D427" i="436" s="1"/>
  <c r="D428" i="436" s="1"/>
  <c r="D429" i="436" s="1"/>
  <c r="D430" i="436" s="1"/>
  <c r="D431" i="436" s="1"/>
  <c r="D432" i="436" s="1"/>
  <c r="D433" i="436" s="1"/>
  <c r="D434" i="436" s="1"/>
  <c r="D435" i="436" s="1"/>
  <c r="D436" i="436" s="1"/>
  <c r="D437" i="436" s="1"/>
  <c r="D438" i="436" s="1"/>
  <c r="D439" i="436" s="1"/>
  <c r="D440" i="436" s="1"/>
  <c r="D441" i="436" s="1"/>
  <c r="D442" i="436" s="1"/>
  <c r="D443" i="436" s="1"/>
  <c r="D444" i="436" s="1"/>
  <c r="D445" i="436" s="1"/>
  <c r="D446" i="436" s="1"/>
  <c r="D447" i="436" s="1"/>
  <c r="D448" i="436" s="1"/>
  <c r="D449" i="436" s="1"/>
  <c r="D450" i="436" s="1"/>
  <c r="D451" i="436" s="1"/>
  <c r="D452" i="436" s="1"/>
  <c r="D453" i="436" s="1"/>
  <c r="D454" i="436" s="1"/>
  <c r="D455" i="436" s="1"/>
  <c r="D456" i="436" s="1"/>
  <c r="D457" i="436" s="1"/>
  <c r="D458" i="436" s="1"/>
  <c r="D459" i="436" s="1"/>
  <c r="D460" i="436" s="1"/>
  <c r="D461" i="436" s="1"/>
  <c r="D462" i="436" s="1"/>
  <c r="D463" i="436" s="1"/>
  <c r="D464" i="436" s="1"/>
  <c r="D465" i="436" s="1"/>
  <c r="D466" i="436" s="1"/>
  <c r="D467" i="436" s="1"/>
  <c r="D468" i="436" s="1"/>
  <c r="D469" i="436" s="1"/>
  <c r="D470" i="436" s="1"/>
  <c r="D471" i="436" s="1"/>
  <c r="D472" i="436" s="1"/>
  <c r="D473" i="436" s="1"/>
  <c r="D474" i="436" s="1"/>
  <c r="D475" i="436" s="1"/>
  <c r="D476" i="436" s="1"/>
  <c r="D477" i="436" s="1"/>
  <c r="D478" i="436" s="1"/>
  <c r="D479" i="436" s="1"/>
  <c r="D480" i="436" s="1"/>
  <c r="D481" i="436" s="1"/>
  <c r="D482" i="436" s="1"/>
  <c r="D483" i="436" s="1"/>
  <c r="D484" i="436" s="1"/>
  <c r="D485" i="436" s="1"/>
  <c r="D486" i="436" s="1"/>
  <c r="D487" i="436" s="1"/>
  <c r="D488" i="436" s="1"/>
  <c r="D489" i="436" s="1"/>
  <c r="D490" i="436" s="1"/>
  <c r="D491" i="436" s="1"/>
  <c r="D492" i="436" s="1"/>
  <c r="D493" i="436" s="1"/>
  <c r="D494" i="436" s="1"/>
  <c r="D495" i="436" s="1"/>
  <c r="D496" i="436" s="1"/>
  <c r="D497" i="436" s="1"/>
  <c r="D498" i="436" s="1"/>
  <c r="D499" i="436" s="1"/>
  <c r="D500" i="436" s="1"/>
  <c r="D501" i="436" s="1"/>
  <c r="D502" i="436" s="1"/>
  <c r="D503" i="436" s="1"/>
  <c r="D504" i="436" s="1"/>
  <c r="D505" i="436" s="1"/>
  <c r="D506" i="436" s="1"/>
  <c r="D507" i="436" s="1"/>
  <c r="D508" i="436" s="1"/>
  <c r="D509" i="436" s="1"/>
  <c r="D510" i="436" s="1"/>
  <c r="D511" i="436" s="1"/>
  <c r="D512" i="436" s="1"/>
  <c r="D513" i="436" s="1"/>
  <c r="D514" i="436" s="1"/>
  <c r="D515" i="436" s="1"/>
  <c r="D516" i="436" s="1"/>
  <c r="D517" i="436" s="1"/>
  <c r="D518" i="436" s="1"/>
  <c r="D519" i="436" s="1"/>
  <c r="D520" i="436" s="1"/>
  <c r="D521" i="436" s="1"/>
  <c r="D522" i="436" s="1"/>
  <c r="D523" i="436" s="1"/>
  <c r="D524" i="436" s="1"/>
  <c r="D525" i="436" s="1"/>
  <c r="D526" i="436" s="1"/>
  <c r="D527" i="436" s="1"/>
  <c r="D528" i="436" s="1"/>
  <c r="D529" i="436" s="1"/>
  <c r="D530" i="436" s="1"/>
  <c r="D531" i="436" s="1"/>
  <c r="D532" i="436" s="1"/>
  <c r="D533" i="436" s="1"/>
  <c r="D534" i="436" s="1"/>
  <c r="D535" i="436" s="1"/>
  <c r="D536" i="436" s="1"/>
  <c r="D537" i="436" s="1"/>
  <c r="D538" i="436" s="1"/>
  <c r="D539" i="436" s="1"/>
  <c r="D540" i="436" s="1"/>
  <c r="D541" i="436" s="1"/>
  <c r="D542" i="436" s="1"/>
  <c r="D543" i="436" s="1"/>
  <c r="D544" i="436" s="1"/>
  <c r="D545" i="436" s="1"/>
  <c r="D546" i="436" s="1"/>
  <c r="D547" i="436" s="1"/>
  <c r="D548" i="436" s="1"/>
  <c r="D549" i="436" s="1"/>
  <c r="D550" i="436" s="1"/>
  <c r="D551" i="436" s="1"/>
  <c r="D552" i="436" s="1"/>
  <c r="D553" i="436" s="1"/>
  <c r="D554" i="436" s="1"/>
  <c r="D555" i="436" s="1"/>
  <c r="D556" i="436" s="1"/>
  <c r="D557" i="436" s="1"/>
  <c r="D558" i="436" s="1"/>
  <c r="D559" i="436" s="1"/>
  <c r="D560" i="436" s="1"/>
  <c r="D561" i="436" s="1"/>
  <c r="D562" i="436" s="1"/>
  <c r="D563" i="436" s="1"/>
  <c r="D564" i="436" s="1"/>
  <c r="D565" i="436" s="1"/>
  <c r="D566" i="436" s="1"/>
  <c r="D567" i="436" s="1"/>
  <c r="D568" i="436" s="1"/>
  <c r="D569" i="436" s="1"/>
  <c r="D570" i="436" s="1"/>
  <c r="D571" i="436" s="1"/>
  <c r="D572" i="436" s="1"/>
  <c r="D573" i="436" s="1"/>
  <c r="D574" i="436" s="1"/>
  <c r="D575" i="436" s="1"/>
  <c r="D576" i="436" s="1"/>
  <c r="D577" i="436" s="1"/>
  <c r="D578" i="436" s="1"/>
  <c r="D579" i="436" s="1"/>
  <c r="D580" i="436" s="1"/>
  <c r="D581" i="436" s="1"/>
  <c r="D582" i="436" s="1"/>
  <c r="D583" i="436" s="1"/>
  <c r="D584" i="436" s="1"/>
  <c r="D585" i="436" s="1"/>
  <c r="D586" i="436" s="1"/>
  <c r="D587" i="436" s="1"/>
  <c r="D588" i="436" s="1"/>
  <c r="D589" i="436" s="1"/>
  <c r="D590" i="436" s="1"/>
  <c r="D591" i="436" s="1"/>
  <c r="D592" i="436" s="1"/>
  <c r="D593" i="436" s="1"/>
  <c r="D594" i="436" s="1"/>
  <c r="D595" i="436" s="1"/>
  <c r="D596" i="436" s="1"/>
  <c r="D597" i="436" s="1"/>
  <c r="D598" i="436" s="1"/>
  <c r="D599" i="436" s="1"/>
  <c r="D600" i="436" s="1"/>
  <c r="D601" i="436" s="1"/>
  <c r="D602" i="436" s="1"/>
  <c r="D603" i="436" s="1"/>
  <c r="D604" i="436" s="1"/>
  <c r="D605" i="436" s="1"/>
  <c r="D606" i="436" s="1"/>
  <c r="D607" i="436" s="1"/>
  <c r="D608" i="436" s="1"/>
  <c r="D609" i="436" s="1"/>
  <c r="D610" i="436" s="1"/>
  <c r="D611" i="436" s="1"/>
  <c r="D612" i="436" s="1"/>
  <c r="D613" i="436" s="1"/>
  <c r="D614" i="436" s="1"/>
  <c r="D615" i="436" s="1"/>
  <c r="D616" i="436" s="1"/>
  <c r="D617" i="436" s="1"/>
  <c r="D618" i="436" s="1"/>
  <c r="D619" i="436" s="1"/>
  <c r="D620" i="436" s="1"/>
  <c r="D621" i="436" s="1"/>
  <c r="D622" i="436" s="1"/>
  <c r="D623" i="436" s="1"/>
  <c r="D624" i="436" s="1"/>
  <c r="D625" i="436" s="1"/>
  <c r="D626" i="436" s="1"/>
  <c r="D627" i="436" s="1"/>
  <c r="D628" i="436" s="1"/>
  <c r="D629" i="436" s="1"/>
  <c r="D630" i="436" s="1"/>
  <c r="D631" i="436" s="1"/>
  <c r="D632" i="436" s="1"/>
  <c r="D633" i="436" s="1"/>
  <c r="D634" i="436" s="1"/>
  <c r="D635" i="436" s="1"/>
  <c r="D636" i="436" s="1"/>
  <c r="D637" i="436" s="1"/>
  <c r="D638" i="436" s="1"/>
  <c r="D639" i="436" s="1"/>
  <c r="D640" i="436" s="1"/>
  <c r="D641" i="436" s="1"/>
  <c r="D642" i="436" s="1"/>
  <c r="D643" i="436" s="1"/>
  <c r="D644" i="436" s="1"/>
  <c r="D645" i="436" s="1"/>
  <c r="D646" i="436" s="1"/>
  <c r="D647" i="436" s="1"/>
  <c r="D648" i="436" s="1"/>
  <c r="D649" i="436" s="1"/>
  <c r="D650" i="436" s="1"/>
  <c r="D651" i="436" s="1"/>
  <c r="D652" i="436" s="1"/>
  <c r="D653" i="436" s="1"/>
  <c r="D654" i="436" s="1"/>
  <c r="D655" i="436" s="1"/>
  <c r="D656" i="436" s="1"/>
  <c r="D657" i="436" s="1"/>
  <c r="D658" i="436" s="1"/>
  <c r="D659" i="436" s="1"/>
  <c r="D660" i="436" s="1"/>
  <c r="D661" i="436" s="1"/>
  <c r="D662" i="436" s="1"/>
  <c r="D663" i="436" s="1"/>
  <c r="D664" i="436" s="1"/>
  <c r="D665" i="436" s="1"/>
  <c r="D666" i="436" s="1"/>
  <c r="D667" i="436" s="1"/>
  <c r="D668" i="436" s="1"/>
  <c r="D669" i="436" s="1"/>
  <c r="D670" i="436" s="1"/>
  <c r="D671" i="436" s="1"/>
  <c r="D672" i="436" s="1"/>
  <c r="D673" i="436" s="1"/>
  <c r="D674" i="436" s="1"/>
  <c r="D675" i="436" s="1"/>
  <c r="D676" i="436" s="1"/>
  <c r="D677" i="436" s="1"/>
  <c r="D678" i="436" s="1"/>
  <c r="D679" i="436" s="1"/>
  <c r="D680" i="436" s="1"/>
  <c r="D681" i="436" s="1"/>
  <c r="D682" i="436" s="1"/>
  <c r="D683" i="436" s="1"/>
  <c r="D684" i="436" s="1"/>
  <c r="D685" i="436" s="1"/>
  <c r="D686" i="436" s="1"/>
  <c r="D687" i="436" s="1"/>
  <c r="D688" i="436" s="1"/>
  <c r="D689" i="436" s="1"/>
  <c r="D690" i="436" s="1"/>
  <c r="D691" i="436" s="1"/>
  <c r="D692" i="436" s="1"/>
  <c r="D693" i="436" s="1"/>
  <c r="D694" i="436" s="1"/>
  <c r="D695" i="436" s="1"/>
  <c r="D696" i="436" s="1"/>
  <c r="D697" i="436" s="1"/>
  <c r="D698" i="436" s="1"/>
  <c r="D699" i="436" s="1"/>
  <c r="D700" i="436" s="1"/>
  <c r="D701" i="436" s="1"/>
  <c r="D702" i="436" s="1"/>
  <c r="D703" i="436" s="1"/>
  <c r="D704" i="436" s="1"/>
  <c r="D705" i="436" s="1"/>
  <c r="D706" i="436" s="1"/>
  <c r="D707" i="436" s="1"/>
  <c r="D708" i="436" s="1"/>
  <c r="D709" i="436" s="1"/>
  <c r="D710" i="436" s="1"/>
  <c r="D711" i="436" s="1"/>
  <c r="D712" i="436" s="1"/>
  <c r="D713" i="436" s="1"/>
  <c r="D714" i="436" s="1"/>
  <c r="D715" i="436" s="1"/>
  <c r="D716" i="436" s="1"/>
  <c r="D717" i="436" s="1"/>
  <c r="D718" i="436" s="1"/>
  <c r="D719" i="436" s="1"/>
  <c r="D720" i="436" s="1"/>
  <c r="D721" i="436" s="1"/>
  <c r="D722" i="436" s="1"/>
  <c r="D723" i="436" s="1"/>
  <c r="D724" i="436" s="1"/>
  <c r="D725" i="436" s="1"/>
  <c r="D726" i="436" s="1"/>
  <c r="D727" i="436" s="1"/>
  <c r="D728" i="436" s="1"/>
  <c r="D729" i="436" s="1"/>
  <c r="D730" i="436" s="1"/>
  <c r="D731" i="436" s="1"/>
  <c r="D732" i="436" s="1"/>
  <c r="D733" i="436" s="1"/>
  <c r="D734" i="436" s="1"/>
  <c r="D735" i="436" s="1"/>
  <c r="D736" i="436" s="1"/>
  <c r="D737" i="436" s="1"/>
  <c r="D738" i="436" s="1"/>
  <c r="D739" i="436" s="1"/>
  <c r="D740" i="436" s="1"/>
  <c r="D741" i="436" s="1"/>
  <c r="D742" i="436" s="1"/>
  <c r="D743" i="436" s="1"/>
  <c r="D744" i="436" s="1"/>
  <c r="D745" i="436" s="1"/>
  <c r="D746" i="436" s="1"/>
  <c r="D747" i="436" s="1"/>
  <c r="D748" i="436" s="1"/>
  <c r="D749" i="436" s="1"/>
  <c r="D750" i="436" s="1"/>
  <c r="D751" i="436" s="1"/>
  <c r="D752" i="436" s="1"/>
  <c r="D753" i="436" s="1"/>
  <c r="D754" i="436" s="1"/>
  <c r="D755" i="436" s="1"/>
  <c r="D756" i="436" s="1"/>
  <c r="D757" i="436" s="1"/>
  <c r="D758" i="436" s="1"/>
  <c r="D759" i="436" s="1"/>
  <c r="D760" i="436" s="1"/>
  <c r="D761" i="436" s="1"/>
  <c r="D762" i="436" s="1"/>
  <c r="D763" i="436" s="1"/>
  <c r="D764" i="436" s="1"/>
  <c r="D765" i="436" s="1"/>
  <c r="D766" i="436" s="1"/>
  <c r="D767" i="436" s="1"/>
  <c r="D768" i="436" s="1"/>
  <c r="D769" i="436" s="1"/>
  <c r="D770" i="436" s="1"/>
  <c r="D771" i="436" s="1"/>
  <c r="D772" i="436" s="1"/>
  <c r="D773" i="436" s="1"/>
  <c r="D774" i="436" s="1"/>
  <c r="D775" i="436" s="1"/>
  <c r="D776" i="436" s="1"/>
  <c r="D777" i="436" s="1"/>
  <c r="D778" i="436" s="1"/>
  <c r="D779" i="436" s="1"/>
  <c r="D780" i="436" s="1"/>
  <c r="D781" i="436" s="1"/>
  <c r="D782" i="436" s="1"/>
  <c r="D783" i="436" s="1"/>
  <c r="D784" i="436" s="1"/>
  <c r="D785" i="436" s="1"/>
  <c r="D786" i="436" s="1"/>
  <c r="D787" i="436" s="1"/>
  <c r="D788" i="436" s="1"/>
  <c r="D789" i="436" s="1"/>
  <c r="D790" i="436" s="1"/>
  <c r="D791" i="436" s="1"/>
  <c r="D792" i="436" s="1"/>
  <c r="D793" i="436" s="1"/>
  <c r="D794" i="436" s="1"/>
  <c r="D795" i="436" s="1"/>
  <c r="D796" i="436" s="1"/>
  <c r="D797" i="436" s="1"/>
  <c r="D798" i="436" s="1"/>
  <c r="D799" i="436" s="1"/>
  <c r="D800" i="436" s="1"/>
  <c r="D801" i="436" s="1"/>
  <c r="D802" i="436" s="1"/>
  <c r="D803" i="436" s="1"/>
  <c r="D804" i="436" s="1"/>
  <c r="D805" i="436" s="1"/>
  <c r="D806" i="436" s="1"/>
  <c r="D807" i="436" s="1"/>
  <c r="D808" i="436" s="1"/>
  <c r="D809" i="436" s="1"/>
  <c r="D810" i="436" s="1"/>
  <c r="D811" i="436" s="1"/>
  <c r="D812" i="436" s="1"/>
  <c r="D813" i="436" s="1"/>
  <c r="D814" i="436" s="1"/>
  <c r="D815" i="436" s="1"/>
  <c r="D816" i="436" s="1"/>
  <c r="D817" i="436" s="1"/>
  <c r="D818" i="436" s="1"/>
  <c r="D819" i="436" s="1"/>
  <c r="D820" i="436" s="1"/>
  <c r="D821" i="436" s="1"/>
  <c r="D822" i="436" s="1"/>
  <c r="D823" i="436" s="1"/>
  <c r="D824" i="436" s="1"/>
  <c r="D825" i="436" s="1"/>
  <c r="D826" i="436" s="1"/>
  <c r="D827" i="436" s="1"/>
  <c r="D828" i="436" s="1"/>
  <c r="D829" i="436" s="1"/>
  <c r="D830" i="436" s="1"/>
  <c r="D831" i="436" s="1"/>
  <c r="D832" i="436" s="1"/>
  <c r="D833" i="436" s="1"/>
  <c r="D834" i="436" s="1"/>
  <c r="D835" i="436" s="1"/>
  <c r="D836" i="436" s="1"/>
  <c r="D837" i="436" s="1"/>
  <c r="D838" i="436" s="1"/>
  <c r="D839" i="436" s="1"/>
  <c r="D840" i="436" s="1"/>
  <c r="D841" i="436" s="1"/>
  <c r="D842" i="436" s="1"/>
  <c r="D843" i="436" s="1"/>
  <c r="D844" i="436" s="1"/>
  <c r="D845" i="436" s="1"/>
  <c r="D846" i="436" s="1"/>
  <c r="D847" i="436" s="1"/>
  <c r="D848" i="436" s="1"/>
  <c r="D849" i="436" s="1"/>
  <c r="D850" i="436" s="1"/>
  <c r="D851" i="436" s="1"/>
  <c r="D852" i="436" s="1"/>
  <c r="D853" i="436" s="1"/>
  <c r="D854" i="436" s="1"/>
  <c r="D855" i="436" s="1"/>
  <c r="D856" i="436" s="1"/>
  <c r="D857" i="436" s="1"/>
  <c r="D858" i="436" s="1"/>
  <c r="D859" i="436" s="1"/>
  <c r="D860" i="436" s="1"/>
  <c r="D861" i="436" s="1"/>
  <c r="D862" i="436" s="1"/>
  <c r="D863" i="436" s="1"/>
  <c r="D864" i="436" s="1"/>
  <c r="D865" i="436" s="1"/>
  <c r="D866" i="436" s="1"/>
  <c r="D867" i="436" s="1"/>
  <c r="D868" i="436" s="1"/>
  <c r="D869" i="436" s="1"/>
  <c r="D870" i="436" s="1"/>
  <c r="D871" i="436" s="1"/>
  <c r="D872" i="436" s="1"/>
  <c r="D873" i="436" s="1"/>
  <c r="D874" i="436" s="1"/>
  <c r="D875" i="436" s="1"/>
  <c r="D876" i="436" s="1"/>
  <c r="D877" i="436" s="1"/>
  <c r="D878" i="436" s="1"/>
  <c r="D879" i="436" s="1"/>
  <c r="D880" i="436" s="1"/>
  <c r="D881" i="436" s="1"/>
  <c r="D882" i="436" s="1"/>
  <c r="D883" i="436" s="1"/>
  <c r="D884" i="436" s="1"/>
  <c r="D885" i="436" s="1"/>
  <c r="D886" i="436" s="1"/>
  <c r="D887" i="436" s="1"/>
  <c r="D888" i="436" s="1"/>
  <c r="D889" i="436" s="1"/>
  <c r="D890" i="436" s="1"/>
  <c r="D891" i="436" s="1"/>
  <c r="E265" i="436"/>
  <c r="E266" i="436" s="1"/>
  <c r="E267" i="436" s="1"/>
  <c r="E268" i="436" s="1"/>
  <c r="E269" i="436" s="1"/>
  <c r="E270" i="436" s="1"/>
  <c r="E271" i="436" s="1"/>
  <c r="E272" i="436" s="1"/>
  <c r="E273" i="436" s="1"/>
  <c r="E274" i="436" s="1"/>
  <c r="E275" i="436" s="1"/>
  <c r="E276" i="436" s="1"/>
  <c r="E277" i="436" s="1"/>
  <c r="E278" i="436" s="1"/>
  <c r="E279" i="436" s="1"/>
  <c r="E280" i="436" s="1"/>
  <c r="E281" i="436" s="1"/>
  <c r="E282" i="436" s="1"/>
  <c r="E283" i="436" s="1"/>
  <c r="E284" i="436" s="1"/>
  <c r="E285" i="436" s="1"/>
  <c r="E286" i="436" s="1"/>
  <c r="E287" i="436" s="1"/>
  <c r="E288" i="436" s="1"/>
  <c r="E289" i="436" s="1"/>
  <c r="E290" i="436" s="1"/>
  <c r="E291" i="436" s="1"/>
  <c r="E292" i="436" s="1"/>
  <c r="E293" i="436" s="1"/>
  <c r="E294" i="436" s="1"/>
  <c r="E295" i="436" s="1"/>
  <c r="E296" i="436" s="1"/>
  <c r="E297" i="436" s="1"/>
  <c r="E298" i="436" s="1"/>
  <c r="E299" i="436" s="1"/>
  <c r="E300" i="436" s="1"/>
  <c r="E301" i="436" s="1"/>
  <c r="E302" i="436" s="1"/>
  <c r="E303" i="436" s="1"/>
  <c r="E304" i="436" s="1"/>
  <c r="E305" i="436" s="1"/>
  <c r="E306" i="436" s="1"/>
  <c r="E307" i="436" s="1"/>
  <c r="E308" i="436" s="1"/>
  <c r="E309" i="436" s="1"/>
  <c r="E310" i="436" s="1"/>
  <c r="E311" i="436" s="1"/>
  <c r="E312" i="436" s="1"/>
  <c r="E313" i="436" s="1"/>
  <c r="E314" i="436" s="1"/>
  <c r="E315" i="436" s="1"/>
  <c r="E316" i="436" s="1"/>
  <c r="E317" i="436" s="1"/>
  <c r="E318" i="436" s="1"/>
  <c r="E319" i="436" s="1"/>
  <c r="E320" i="436" s="1"/>
  <c r="E321" i="436" s="1"/>
  <c r="E322" i="436" s="1"/>
  <c r="E323" i="436" s="1"/>
  <c r="E324" i="436" s="1"/>
  <c r="E325" i="436" s="1"/>
  <c r="E326" i="436" s="1"/>
  <c r="E327" i="436" s="1"/>
  <c r="E328" i="436" s="1"/>
  <c r="E329" i="436" s="1"/>
  <c r="E330" i="436" s="1"/>
  <c r="E331" i="436" s="1"/>
  <c r="E332" i="436" s="1"/>
  <c r="E333" i="436" s="1"/>
  <c r="E334" i="436" s="1"/>
  <c r="E335" i="436" s="1"/>
  <c r="E336" i="436" s="1"/>
  <c r="E337" i="436" s="1"/>
  <c r="E338" i="436" s="1"/>
  <c r="E339" i="436" s="1"/>
  <c r="E340" i="436" s="1"/>
  <c r="E341" i="436" s="1"/>
  <c r="E342" i="436" s="1"/>
  <c r="E343" i="436" s="1"/>
  <c r="E344" i="436" s="1"/>
  <c r="E345" i="436" s="1"/>
  <c r="E346" i="436" s="1"/>
  <c r="E347" i="436" s="1"/>
  <c r="E348" i="436" s="1"/>
  <c r="E349" i="436" s="1"/>
  <c r="E350" i="436" s="1"/>
  <c r="E351" i="436" s="1"/>
  <c r="E352" i="436" s="1"/>
  <c r="E353" i="436" s="1"/>
  <c r="E354" i="436" s="1"/>
  <c r="E355" i="436" s="1"/>
  <c r="E356" i="436" s="1"/>
  <c r="E357" i="436" s="1"/>
  <c r="E358" i="436" s="1"/>
  <c r="E359" i="436" s="1"/>
  <c r="E360" i="436" s="1"/>
  <c r="E361" i="436" s="1"/>
  <c r="E362" i="436" s="1"/>
  <c r="E363" i="436" s="1"/>
  <c r="E364" i="436" s="1"/>
  <c r="E365" i="436" s="1"/>
  <c r="E366" i="436" s="1"/>
  <c r="E367" i="436" s="1"/>
  <c r="E368" i="436" s="1"/>
  <c r="E369" i="436" s="1"/>
  <c r="E370" i="436" s="1"/>
  <c r="E371" i="436" s="1"/>
  <c r="E372" i="436" s="1"/>
  <c r="E373" i="436" s="1"/>
  <c r="E374" i="436" s="1"/>
  <c r="E375" i="436" s="1"/>
  <c r="E376" i="436" s="1"/>
  <c r="E377" i="436" s="1"/>
  <c r="E378" i="436" s="1"/>
  <c r="E379" i="436" s="1"/>
  <c r="E380" i="436" s="1"/>
  <c r="E381" i="436" s="1"/>
  <c r="E382" i="436" s="1"/>
  <c r="E383" i="436" s="1"/>
  <c r="E384" i="436" s="1"/>
  <c r="E385" i="436" s="1"/>
  <c r="E386" i="436" s="1"/>
  <c r="E387" i="436" s="1"/>
  <c r="E388" i="436" s="1"/>
  <c r="E389" i="436" s="1"/>
  <c r="E390" i="436" s="1"/>
  <c r="E391" i="436" s="1"/>
  <c r="E392" i="436" s="1"/>
  <c r="E393" i="436" s="1"/>
  <c r="E394" i="436" s="1"/>
  <c r="E395" i="436" s="1"/>
  <c r="E396" i="436" s="1"/>
  <c r="E397" i="436" s="1"/>
  <c r="E398" i="436" s="1"/>
  <c r="E399" i="436" s="1"/>
  <c r="E400" i="436" s="1"/>
  <c r="E401" i="436" s="1"/>
  <c r="E402" i="436" s="1"/>
  <c r="E403" i="436" s="1"/>
  <c r="E404" i="436" s="1"/>
  <c r="E405" i="436" s="1"/>
  <c r="E406" i="436" s="1"/>
  <c r="E407" i="436" s="1"/>
  <c r="E408" i="436" s="1"/>
  <c r="E409" i="436" s="1"/>
  <c r="E410" i="436" s="1"/>
  <c r="E411" i="436" s="1"/>
  <c r="E412" i="436" s="1"/>
  <c r="E413" i="436" s="1"/>
  <c r="E414" i="436" s="1"/>
  <c r="E415" i="436" s="1"/>
  <c r="E416" i="436" s="1"/>
  <c r="E417" i="436" s="1"/>
  <c r="E418" i="436" s="1"/>
  <c r="E419" i="436" s="1"/>
  <c r="E420" i="436" s="1"/>
  <c r="E421" i="436" s="1"/>
  <c r="E422" i="436" s="1"/>
  <c r="E423" i="436" s="1"/>
  <c r="E424" i="436" s="1"/>
  <c r="E425" i="436" s="1"/>
  <c r="E426" i="436" s="1"/>
  <c r="E427" i="436" s="1"/>
  <c r="E428" i="436" s="1"/>
  <c r="E429" i="436" s="1"/>
  <c r="E430" i="436" s="1"/>
  <c r="E431" i="436" s="1"/>
  <c r="E432" i="436" s="1"/>
  <c r="E433" i="436" s="1"/>
  <c r="E434" i="436" s="1"/>
  <c r="E435" i="436" s="1"/>
  <c r="E436" i="436" s="1"/>
  <c r="E437" i="436" s="1"/>
  <c r="E438" i="436" s="1"/>
  <c r="E439" i="436" s="1"/>
  <c r="E440" i="436" s="1"/>
  <c r="E441" i="436" s="1"/>
  <c r="E442" i="436" s="1"/>
  <c r="E443" i="436" s="1"/>
  <c r="E444" i="436" s="1"/>
  <c r="E445" i="436" s="1"/>
  <c r="E446" i="436" s="1"/>
  <c r="E447" i="436" s="1"/>
  <c r="E448" i="436" s="1"/>
  <c r="E449" i="436" s="1"/>
  <c r="E450" i="436" s="1"/>
  <c r="E451" i="436" s="1"/>
  <c r="E452" i="436" s="1"/>
  <c r="E453" i="436" s="1"/>
  <c r="E454" i="436" s="1"/>
  <c r="E455" i="436" s="1"/>
  <c r="E456" i="436" s="1"/>
  <c r="E457" i="436" s="1"/>
  <c r="E458" i="436" s="1"/>
  <c r="E459" i="436" s="1"/>
  <c r="E460" i="436" s="1"/>
  <c r="E461" i="436" s="1"/>
  <c r="E462" i="436" s="1"/>
  <c r="E463" i="436" s="1"/>
  <c r="E464" i="436" s="1"/>
  <c r="E465" i="436" s="1"/>
  <c r="E466" i="436" s="1"/>
  <c r="E467" i="436" s="1"/>
  <c r="E468" i="436" s="1"/>
  <c r="E469" i="436" s="1"/>
  <c r="E470" i="436" s="1"/>
  <c r="E471" i="436" s="1"/>
  <c r="E472" i="436" s="1"/>
  <c r="E473" i="436" s="1"/>
  <c r="E474" i="436" s="1"/>
  <c r="E475" i="436" s="1"/>
  <c r="E476" i="436" s="1"/>
  <c r="E477" i="436" s="1"/>
  <c r="E478" i="436" s="1"/>
  <c r="E479" i="436" s="1"/>
  <c r="E480" i="436" s="1"/>
  <c r="E481" i="436" s="1"/>
  <c r="E482" i="436" s="1"/>
  <c r="E483" i="436" s="1"/>
  <c r="E484" i="436" s="1"/>
  <c r="E485" i="436" s="1"/>
  <c r="E486" i="436" s="1"/>
  <c r="E487" i="436" s="1"/>
  <c r="E488" i="436" s="1"/>
  <c r="E489" i="436" s="1"/>
  <c r="E490" i="436" s="1"/>
  <c r="E491" i="436" s="1"/>
  <c r="E492" i="436" s="1"/>
  <c r="E493" i="436" s="1"/>
  <c r="E494" i="436" s="1"/>
  <c r="E495" i="436" s="1"/>
  <c r="E496" i="436" s="1"/>
  <c r="E497" i="436" s="1"/>
  <c r="E498" i="436" s="1"/>
  <c r="E499" i="436" s="1"/>
  <c r="E500" i="436" s="1"/>
  <c r="E501" i="436" s="1"/>
  <c r="E502" i="436" s="1"/>
  <c r="E503" i="436" s="1"/>
  <c r="E504" i="436" s="1"/>
  <c r="E505" i="436" s="1"/>
  <c r="E506" i="436" s="1"/>
  <c r="E507" i="436" s="1"/>
  <c r="E508" i="436" s="1"/>
  <c r="E509" i="436" s="1"/>
  <c r="E510" i="436" s="1"/>
  <c r="E511" i="436" s="1"/>
  <c r="E512" i="436" s="1"/>
  <c r="E513" i="436" s="1"/>
  <c r="E514" i="436" s="1"/>
  <c r="E515" i="436" s="1"/>
  <c r="E516" i="436" s="1"/>
  <c r="E517" i="436" s="1"/>
  <c r="E518" i="436" s="1"/>
  <c r="E519" i="436" s="1"/>
  <c r="E520" i="436" s="1"/>
  <c r="E521" i="436" s="1"/>
  <c r="E522" i="436" s="1"/>
  <c r="E523" i="436" s="1"/>
  <c r="E524" i="436" s="1"/>
  <c r="E525" i="436" s="1"/>
  <c r="E526" i="436" s="1"/>
  <c r="E527" i="436" s="1"/>
  <c r="E528" i="436" s="1"/>
  <c r="E529" i="436" s="1"/>
  <c r="E530" i="436" s="1"/>
  <c r="E531" i="436" s="1"/>
  <c r="E532" i="436" s="1"/>
  <c r="E533" i="436" s="1"/>
  <c r="E534" i="436" s="1"/>
  <c r="E535" i="436" s="1"/>
  <c r="E536" i="436" s="1"/>
  <c r="E537" i="436" s="1"/>
  <c r="E538" i="436" s="1"/>
  <c r="E539" i="436" s="1"/>
  <c r="E540" i="436" s="1"/>
  <c r="E541" i="436" s="1"/>
  <c r="E542" i="436" s="1"/>
  <c r="E543" i="436" s="1"/>
  <c r="E544" i="436" s="1"/>
  <c r="E545" i="436" s="1"/>
  <c r="E546" i="436" s="1"/>
  <c r="E547" i="436" s="1"/>
  <c r="E548" i="436" s="1"/>
  <c r="E549" i="436" s="1"/>
  <c r="E550" i="436" s="1"/>
  <c r="E551" i="436" s="1"/>
  <c r="E552" i="436" s="1"/>
  <c r="E553" i="436" s="1"/>
  <c r="E554" i="436" s="1"/>
  <c r="E555" i="436" s="1"/>
  <c r="E556" i="436" s="1"/>
  <c r="E557" i="436" s="1"/>
  <c r="E558" i="436" s="1"/>
  <c r="E559" i="436" s="1"/>
  <c r="E560" i="436" s="1"/>
  <c r="E561" i="436" s="1"/>
  <c r="E562" i="436" s="1"/>
  <c r="E563" i="436" s="1"/>
  <c r="E564" i="436" s="1"/>
  <c r="E565" i="436" s="1"/>
  <c r="E566" i="436" s="1"/>
  <c r="E567" i="436" s="1"/>
  <c r="E568" i="436" s="1"/>
  <c r="E569" i="436" s="1"/>
  <c r="E570" i="436" s="1"/>
  <c r="E571" i="436" s="1"/>
  <c r="E572" i="436" s="1"/>
  <c r="E573" i="436" s="1"/>
  <c r="E574" i="436" s="1"/>
  <c r="E575" i="436" s="1"/>
  <c r="E576" i="436" s="1"/>
  <c r="E577" i="436" s="1"/>
  <c r="E578" i="436" s="1"/>
  <c r="E579" i="436" s="1"/>
  <c r="E580" i="436" s="1"/>
  <c r="E581" i="436" s="1"/>
  <c r="E582" i="436" s="1"/>
  <c r="E583" i="436" s="1"/>
  <c r="E584" i="436" s="1"/>
  <c r="E585" i="436" s="1"/>
  <c r="E586" i="436" s="1"/>
  <c r="E587" i="436" s="1"/>
  <c r="E588" i="436" s="1"/>
  <c r="E589" i="436" s="1"/>
  <c r="E590" i="436" s="1"/>
  <c r="E591" i="436" s="1"/>
  <c r="E592" i="436" s="1"/>
  <c r="E593" i="436" s="1"/>
  <c r="E594" i="436" s="1"/>
  <c r="E595" i="436" s="1"/>
  <c r="E596" i="436" s="1"/>
  <c r="E597" i="436" s="1"/>
  <c r="E598" i="436" s="1"/>
  <c r="E599" i="436" s="1"/>
  <c r="E600" i="436" s="1"/>
  <c r="E601" i="436" s="1"/>
  <c r="E602" i="436" s="1"/>
  <c r="E603" i="436" s="1"/>
  <c r="E604" i="436" s="1"/>
  <c r="E605" i="436" s="1"/>
  <c r="E606" i="436" s="1"/>
  <c r="E607" i="436" s="1"/>
  <c r="E608" i="436" s="1"/>
  <c r="E609" i="436" s="1"/>
  <c r="E610" i="436" s="1"/>
  <c r="E611" i="436" s="1"/>
  <c r="E612" i="436" s="1"/>
  <c r="E613" i="436" s="1"/>
  <c r="E614" i="436" s="1"/>
  <c r="E615" i="436" s="1"/>
  <c r="E616" i="436" s="1"/>
  <c r="E617" i="436" s="1"/>
  <c r="E618" i="436" s="1"/>
  <c r="E619" i="436" s="1"/>
  <c r="E620" i="436" s="1"/>
  <c r="E621" i="436" s="1"/>
  <c r="E622" i="436" s="1"/>
  <c r="E623" i="436" s="1"/>
  <c r="E624" i="436" s="1"/>
  <c r="E625" i="436" s="1"/>
  <c r="E626" i="436" s="1"/>
  <c r="E627" i="436" s="1"/>
  <c r="E628" i="436" s="1"/>
  <c r="E629" i="436" s="1"/>
  <c r="E630" i="436" s="1"/>
  <c r="E631" i="436" s="1"/>
  <c r="E632" i="436" s="1"/>
  <c r="E633" i="436" s="1"/>
  <c r="E634" i="436" s="1"/>
  <c r="E635" i="436" s="1"/>
  <c r="E636" i="436" s="1"/>
  <c r="E637" i="436" s="1"/>
  <c r="E638" i="436" s="1"/>
  <c r="E639" i="436" s="1"/>
  <c r="E640" i="436" s="1"/>
  <c r="E641" i="436" s="1"/>
  <c r="E642" i="436" s="1"/>
  <c r="E643" i="436" s="1"/>
  <c r="E644" i="436" s="1"/>
  <c r="E645" i="436" s="1"/>
  <c r="E646" i="436" s="1"/>
  <c r="E647" i="436" s="1"/>
  <c r="E648" i="436" s="1"/>
  <c r="E649" i="436" s="1"/>
  <c r="E650" i="436" s="1"/>
  <c r="E651" i="436" s="1"/>
  <c r="E652" i="436" s="1"/>
  <c r="E653" i="436" s="1"/>
  <c r="E654" i="436" s="1"/>
  <c r="E655" i="436" s="1"/>
  <c r="E656" i="436" s="1"/>
  <c r="E657" i="436" s="1"/>
  <c r="E658" i="436" s="1"/>
  <c r="E659" i="436" s="1"/>
  <c r="E660" i="436" s="1"/>
  <c r="E661" i="436" s="1"/>
  <c r="E662" i="436" s="1"/>
  <c r="E663" i="436" s="1"/>
  <c r="E664" i="436" s="1"/>
  <c r="E665" i="436" s="1"/>
  <c r="E666" i="436" s="1"/>
  <c r="E667" i="436" s="1"/>
  <c r="E668" i="436" s="1"/>
  <c r="E669" i="436" s="1"/>
  <c r="E670" i="436" s="1"/>
  <c r="E671" i="436" s="1"/>
  <c r="E672" i="436" s="1"/>
  <c r="E673" i="436" s="1"/>
  <c r="E674" i="436" s="1"/>
  <c r="E675" i="436" s="1"/>
  <c r="E676" i="436" s="1"/>
  <c r="E677" i="436" s="1"/>
  <c r="E678" i="436" s="1"/>
  <c r="E679" i="436" s="1"/>
  <c r="E680" i="436" s="1"/>
  <c r="E681" i="436" s="1"/>
  <c r="E682" i="436" s="1"/>
  <c r="E683" i="436" s="1"/>
  <c r="E684" i="436" s="1"/>
  <c r="E685" i="436" s="1"/>
  <c r="E686" i="436" s="1"/>
  <c r="E687" i="436" s="1"/>
  <c r="E688" i="436" s="1"/>
  <c r="E689" i="436" s="1"/>
  <c r="E690" i="436" s="1"/>
  <c r="E691" i="436" s="1"/>
  <c r="E692" i="436" s="1"/>
  <c r="E693" i="436" s="1"/>
  <c r="E694" i="436" s="1"/>
  <c r="E695" i="436" s="1"/>
  <c r="E696" i="436" s="1"/>
  <c r="E697" i="436" s="1"/>
  <c r="E698" i="436" s="1"/>
  <c r="E699" i="436" s="1"/>
  <c r="E700" i="436" s="1"/>
  <c r="E701" i="436" s="1"/>
  <c r="E702" i="436" s="1"/>
  <c r="E703" i="436" s="1"/>
  <c r="E704" i="436" s="1"/>
  <c r="E705" i="436" s="1"/>
  <c r="E706" i="436" s="1"/>
  <c r="E707" i="436" s="1"/>
  <c r="E708" i="436" s="1"/>
  <c r="E709" i="436" s="1"/>
  <c r="E710" i="436" s="1"/>
  <c r="E711" i="436" s="1"/>
  <c r="E712" i="436" s="1"/>
  <c r="E713" i="436" s="1"/>
  <c r="E714" i="436" s="1"/>
  <c r="E715" i="436" s="1"/>
  <c r="E716" i="436" s="1"/>
  <c r="E717" i="436" s="1"/>
  <c r="E718" i="436" s="1"/>
  <c r="E719" i="436" s="1"/>
  <c r="E720" i="436" s="1"/>
  <c r="E721" i="436" s="1"/>
  <c r="E722" i="436" s="1"/>
  <c r="E723" i="436" s="1"/>
  <c r="E724" i="436" s="1"/>
  <c r="E725" i="436" s="1"/>
  <c r="E726" i="436" s="1"/>
  <c r="E727" i="436" s="1"/>
  <c r="E728" i="436" s="1"/>
  <c r="E729" i="436" s="1"/>
  <c r="E730" i="436" s="1"/>
  <c r="E731" i="436" s="1"/>
  <c r="E732" i="436" s="1"/>
  <c r="E733" i="436" s="1"/>
  <c r="E734" i="436" s="1"/>
  <c r="E735" i="436" s="1"/>
  <c r="E736" i="436" s="1"/>
  <c r="E737" i="436" s="1"/>
  <c r="E738" i="436" s="1"/>
  <c r="E739" i="436" s="1"/>
  <c r="E740" i="436" s="1"/>
  <c r="E741" i="436" s="1"/>
  <c r="E742" i="436" s="1"/>
  <c r="E743" i="436" s="1"/>
  <c r="E744" i="436" s="1"/>
  <c r="E745" i="436" s="1"/>
  <c r="E746" i="436" s="1"/>
  <c r="E747" i="436" s="1"/>
  <c r="E748" i="436" s="1"/>
  <c r="E749" i="436" s="1"/>
  <c r="E750" i="436" s="1"/>
  <c r="E751" i="436" s="1"/>
  <c r="E752" i="436" s="1"/>
  <c r="E753" i="436" s="1"/>
  <c r="E754" i="436" s="1"/>
  <c r="E755" i="436" s="1"/>
  <c r="E756" i="436" s="1"/>
  <c r="E757" i="436" s="1"/>
  <c r="E758" i="436" s="1"/>
  <c r="E759" i="436" s="1"/>
  <c r="E760" i="436" s="1"/>
  <c r="E761" i="436" s="1"/>
  <c r="E762" i="436" s="1"/>
  <c r="E763" i="436" s="1"/>
  <c r="E764" i="436" s="1"/>
  <c r="E765" i="436" s="1"/>
  <c r="E766" i="436" s="1"/>
  <c r="E767" i="436" s="1"/>
  <c r="E768" i="436" s="1"/>
  <c r="E769" i="436" s="1"/>
  <c r="E770" i="436" s="1"/>
  <c r="E771" i="436" s="1"/>
  <c r="E772" i="436" s="1"/>
  <c r="E773" i="436" s="1"/>
  <c r="E774" i="436" s="1"/>
  <c r="E775" i="436" s="1"/>
  <c r="E776" i="436" s="1"/>
  <c r="E777" i="436" s="1"/>
  <c r="E778" i="436" s="1"/>
  <c r="E779" i="436" s="1"/>
  <c r="E780" i="436" s="1"/>
  <c r="E781" i="436" s="1"/>
  <c r="E782" i="436" s="1"/>
  <c r="E783" i="436" s="1"/>
  <c r="E784" i="436" s="1"/>
  <c r="E785" i="436" s="1"/>
  <c r="E786" i="436" s="1"/>
  <c r="E787" i="436" s="1"/>
  <c r="E788" i="436" s="1"/>
  <c r="E789" i="436" s="1"/>
  <c r="E790" i="436" s="1"/>
  <c r="E791" i="436" s="1"/>
  <c r="E792" i="436" s="1"/>
  <c r="E793" i="436" s="1"/>
  <c r="E794" i="436" s="1"/>
  <c r="E795" i="436" s="1"/>
  <c r="E796" i="436" s="1"/>
  <c r="E797" i="436" s="1"/>
  <c r="E798" i="436" s="1"/>
  <c r="E799" i="436" s="1"/>
  <c r="E800" i="436" s="1"/>
  <c r="E801" i="436" s="1"/>
  <c r="E802" i="436" s="1"/>
  <c r="E803" i="436" s="1"/>
  <c r="E804" i="436" s="1"/>
  <c r="E805" i="436" s="1"/>
  <c r="E806" i="436" s="1"/>
  <c r="E807" i="436" s="1"/>
  <c r="E808" i="436" s="1"/>
  <c r="E809" i="436" s="1"/>
  <c r="E810" i="436" s="1"/>
  <c r="E811" i="436" s="1"/>
  <c r="E812" i="436" s="1"/>
  <c r="E813" i="436" s="1"/>
  <c r="E814" i="436" s="1"/>
  <c r="E815" i="436" s="1"/>
  <c r="E816" i="436" s="1"/>
  <c r="E817" i="436" s="1"/>
  <c r="E818" i="436" s="1"/>
  <c r="E819" i="436" s="1"/>
  <c r="E820" i="436" s="1"/>
  <c r="E821" i="436" s="1"/>
  <c r="E822" i="436" s="1"/>
  <c r="E823" i="436" s="1"/>
  <c r="E824" i="436" s="1"/>
  <c r="E825" i="436" s="1"/>
  <c r="E826" i="436" s="1"/>
  <c r="E827" i="436" s="1"/>
  <c r="E828" i="436" s="1"/>
  <c r="E829" i="436" s="1"/>
  <c r="E830" i="436" s="1"/>
  <c r="E831" i="436" s="1"/>
  <c r="E832" i="436" s="1"/>
  <c r="E833" i="436" s="1"/>
  <c r="E834" i="436" s="1"/>
  <c r="E835" i="436" s="1"/>
  <c r="E836" i="436" s="1"/>
  <c r="E837" i="436" s="1"/>
  <c r="E838" i="436" s="1"/>
  <c r="E839" i="436" s="1"/>
  <c r="E840" i="436" s="1"/>
  <c r="E841" i="436" s="1"/>
  <c r="E842" i="436" s="1"/>
  <c r="E843" i="436" s="1"/>
  <c r="E844" i="436" s="1"/>
  <c r="E845" i="436" s="1"/>
  <c r="E846" i="436" s="1"/>
  <c r="E847" i="436" s="1"/>
  <c r="E848" i="436" s="1"/>
  <c r="E849" i="436" s="1"/>
  <c r="E850" i="436" s="1"/>
  <c r="E851" i="436" s="1"/>
  <c r="E852" i="436" s="1"/>
  <c r="E853" i="436" s="1"/>
  <c r="E854" i="436" s="1"/>
  <c r="E855" i="436" s="1"/>
  <c r="E856" i="436" s="1"/>
  <c r="E857" i="436" s="1"/>
  <c r="E858" i="436" s="1"/>
  <c r="E859" i="436" s="1"/>
  <c r="E860" i="436" s="1"/>
  <c r="E861" i="436" s="1"/>
  <c r="E862" i="436" s="1"/>
  <c r="E863" i="436" s="1"/>
  <c r="E864" i="436" s="1"/>
  <c r="E865" i="436" s="1"/>
  <c r="E866" i="436" s="1"/>
  <c r="E867" i="436" s="1"/>
  <c r="E868" i="436" s="1"/>
  <c r="E869" i="436" s="1"/>
  <c r="E870" i="436" s="1"/>
  <c r="E871" i="436" s="1"/>
  <c r="E872" i="436" s="1"/>
  <c r="E873" i="436" s="1"/>
  <c r="E874" i="436" s="1"/>
  <c r="E875" i="436" s="1"/>
  <c r="E876" i="436" s="1"/>
  <c r="E877" i="436" s="1"/>
  <c r="E878" i="436" s="1"/>
  <c r="E879" i="436" s="1"/>
  <c r="E880" i="436" s="1"/>
  <c r="E881" i="436" s="1"/>
  <c r="E882" i="436" s="1"/>
  <c r="E883" i="436" s="1"/>
  <c r="E884" i="436" s="1"/>
  <c r="E885" i="436" s="1"/>
  <c r="E886" i="436" s="1"/>
  <c r="E887" i="436" s="1"/>
  <c r="E888" i="436" s="1"/>
  <c r="E889" i="436" s="1"/>
  <c r="E890" i="436" s="1"/>
  <c r="E891" i="436" s="1"/>
  <c r="E2465" i="442"/>
  <c r="G2464" i="442"/>
  <c r="E2463" i="442"/>
  <c r="G2462" i="442"/>
  <c r="E2461" i="442"/>
  <c r="E2460" i="442"/>
  <c r="E2459" i="442"/>
  <c r="E2458" i="442"/>
  <c r="G2457" i="442"/>
  <c r="E2456" i="442"/>
  <c r="E2455" i="442"/>
  <c r="E2454" i="442"/>
  <c r="E2453" i="442"/>
  <c r="E2452" i="442"/>
  <c r="G2451" i="442"/>
  <c r="E2450" i="442"/>
  <c r="G2449" i="442"/>
  <c r="E2448" i="442"/>
  <c r="E2447" i="442"/>
  <c r="E2446" i="442"/>
  <c r="G2445" i="442"/>
  <c r="E2440" i="442"/>
  <c r="E2439" i="442"/>
  <c r="E2438" i="442"/>
  <c r="E2437" i="442"/>
  <c r="E2436" i="442"/>
  <c r="E2435" i="442"/>
  <c r="E2434" i="442"/>
  <c r="G2433" i="442"/>
  <c r="E2432" i="442"/>
  <c r="G2431" i="442"/>
  <c r="E2430" i="442"/>
  <c r="E2429" i="442"/>
  <c r="E2428" i="442"/>
  <c r="E2427" i="442"/>
  <c r="E2426" i="442"/>
  <c r="E2425" i="442"/>
  <c r="G2424" i="442"/>
  <c r="E2423" i="442"/>
  <c r="G2422" i="442"/>
  <c r="E2419" i="442"/>
  <c r="G2418" i="442"/>
  <c r="E2417" i="442"/>
  <c r="E2416" i="442"/>
  <c r="E2415" i="442"/>
  <c r="G2414" i="442"/>
  <c r="E2413" i="442"/>
  <c r="G2412" i="442"/>
  <c r="E2411" i="442"/>
  <c r="E2410" i="442"/>
  <c r="E2409" i="442"/>
  <c r="E2408" i="442"/>
  <c r="E2407" i="442"/>
  <c r="E2406" i="442"/>
  <c r="E2405" i="442"/>
  <c r="G2404" i="442"/>
  <c r="E2403" i="442"/>
  <c r="E2402" i="442"/>
  <c r="E2401" i="442"/>
  <c r="E2400" i="442"/>
  <c r="E2399" i="442"/>
  <c r="E2398" i="442"/>
  <c r="E2397" i="442"/>
  <c r="G2396" i="442"/>
  <c r="E2395" i="442"/>
  <c r="E2394" i="442"/>
  <c r="E2393" i="442"/>
  <c r="E2392" i="442"/>
  <c r="E2391" i="442"/>
  <c r="E2390" i="442"/>
  <c r="E2389" i="442"/>
  <c r="G2388" i="442"/>
  <c r="E2387" i="442"/>
  <c r="E2386" i="442"/>
  <c r="E2385" i="442"/>
  <c r="E2384" i="442"/>
  <c r="E2383" i="442"/>
  <c r="E2382" i="442"/>
  <c r="E2381" i="442"/>
  <c r="G2380" i="442"/>
  <c r="G2379" i="442"/>
  <c r="E2378" i="442"/>
  <c r="G2377" i="442"/>
  <c r="G2366" i="442"/>
  <c r="E2363" i="442"/>
  <c r="E2362" i="442"/>
  <c r="E2361" i="442"/>
  <c r="E2360" i="442"/>
  <c r="G2359" i="442"/>
  <c r="E2358" i="442"/>
  <c r="E2357" i="442"/>
  <c r="E2356" i="442"/>
  <c r="E2355" i="442"/>
  <c r="E2354" i="442"/>
  <c r="G2353" i="442"/>
  <c r="E2352" i="442"/>
  <c r="E2351" i="442"/>
  <c r="E2350" i="442"/>
  <c r="E2349" i="442"/>
  <c r="E2348" i="442"/>
  <c r="G2347" i="442"/>
  <c r="E2346" i="442"/>
  <c r="E2345" i="442"/>
  <c r="E2344" i="442"/>
  <c r="E2343" i="442"/>
  <c r="E2342" i="442"/>
  <c r="G2341" i="442"/>
  <c r="E2340" i="442"/>
  <c r="E2339" i="442"/>
  <c r="E2338" i="442"/>
  <c r="E2337" i="442"/>
  <c r="E2336" i="442"/>
  <c r="G2335" i="442"/>
  <c r="E2334" i="442"/>
  <c r="E2333" i="442"/>
  <c r="E2332" i="442"/>
  <c r="E2331" i="442"/>
  <c r="E2330" i="442"/>
  <c r="G2329" i="442"/>
  <c r="E2328" i="442"/>
  <c r="E2327" i="442"/>
  <c r="E2326" i="442"/>
  <c r="E2325" i="442"/>
  <c r="E2324" i="442"/>
  <c r="G2323" i="442"/>
  <c r="E2322" i="442"/>
  <c r="E2321" i="442"/>
  <c r="E2320" i="442"/>
  <c r="G2319" i="442"/>
  <c r="E2318" i="442"/>
  <c r="E2317" i="442"/>
  <c r="E2316" i="442"/>
  <c r="G2315" i="442"/>
  <c r="E2314" i="442"/>
  <c r="G2313" i="442"/>
  <c r="E2312" i="442"/>
  <c r="E2311" i="442"/>
  <c r="G2310" i="442"/>
  <c r="E2309" i="442"/>
  <c r="G2308" i="442"/>
  <c r="E2307" i="442"/>
  <c r="E2306" i="442"/>
  <c r="G2305" i="442"/>
  <c r="E2304" i="442"/>
  <c r="E2303" i="442"/>
  <c r="E2302" i="442"/>
  <c r="G2301" i="442"/>
  <c r="G2300" i="442"/>
  <c r="E2299" i="442"/>
  <c r="G2298" i="442"/>
  <c r="E2297" i="442"/>
  <c r="G2296" i="442"/>
  <c r="E2295" i="442"/>
  <c r="G2294" i="442"/>
  <c r="E2293" i="442"/>
  <c r="E2292" i="442"/>
  <c r="E2291" i="442"/>
  <c r="G2290" i="442"/>
  <c r="E2289" i="442"/>
  <c r="G2288" i="442"/>
  <c r="E2287" i="442"/>
  <c r="G2286" i="442"/>
  <c r="E2285" i="442"/>
  <c r="G2284" i="442"/>
  <c r="E2283" i="442"/>
  <c r="G2282" i="442"/>
  <c r="E2281" i="442"/>
  <c r="G2280" i="442"/>
  <c r="E2279" i="442"/>
  <c r="G2278" i="442"/>
  <c r="E2277" i="442"/>
  <c r="G2276" i="442"/>
  <c r="E2275" i="442"/>
  <c r="G2274" i="442"/>
  <c r="E2273" i="442"/>
  <c r="G2272" i="442"/>
  <c r="E2271" i="442"/>
  <c r="G2270" i="442"/>
  <c r="E2269" i="442"/>
  <c r="G2268" i="442"/>
  <c r="E2267" i="442"/>
  <c r="G2266" i="442"/>
  <c r="E2265" i="442"/>
  <c r="E2264" i="442"/>
  <c r="E2263" i="442"/>
  <c r="E2262" i="442"/>
  <c r="E2261" i="442"/>
  <c r="E2260" i="442"/>
  <c r="E2259" i="442"/>
  <c r="E2258" i="442"/>
  <c r="E2257" i="442"/>
  <c r="G2256" i="442"/>
  <c r="E2255" i="442"/>
  <c r="E2254" i="442"/>
  <c r="E2253" i="442"/>
  <c r="E2252" i="442"/>
  <c r="E2251" i="442"/>
  <c r="E2250" i="442"/>
  <c r="E2249" i="442"/>
  <c r="E2248" i="442"/>
  <c r="E2247" i="442"/>
  <c r="G2246" i="442"/>
  <c r="E2245" i="442"/>
  <c r="E2244" i="442"/>
  <c r="E2243" i="442"/>
  <c r="E2242" i="442"/>
  <c r="E2241" i="442"/>
  <c r="E2240" i="442"/>
  <c r="E2239" i="442"/>
  <c r="E2238" i="442"/>
  <c r="E2237" i="442"/>
  <c r="G2236" i="442"/>
  <c r="E2235" i="442"/>
  <c r="E2234" i="442"/>
  <c r="E2233" i="442"/>
  <c r="E2232" i="442"/>
  <c r="E2231" i="442"/>
  <c r="E2230" i="442"/>
  <c r="E2229" i="442"/>
  <c r="E2228" i="442"/>
  <c r="E2227" i="442"/>
  <c r="G2226" i="442"/>
  <c r="E2225" i="442"/>
  <c r="E2224" i="442"/>
  <c r="E2223" i="442"/>
  <c r="E2222" i="442"/>
  <c r="E2221" i="442"/>
  <c r="E2220" i="442"/>
  <c r="E2219" i="442"/>
  <c r="E2218" i="442"/>
  <c r="E2217" i="442"/>
  <c r="G2216" i="442"/>
  <c r="E2215" i="442"/>
  <c r="E2214" i="442"/>
  <c r="E2213" i="442"/>
  <c r="E2212" i="442"/>
  <c r="E2211" i="442"/>
  <c r="E2210" i="442"/>
  <c r="E2209" i="442"/>
  <c r="E2208" i="442"/>
  <c r="E2207" i="442"/>
  <c r="E2206" i="442"/>
  <c r="E2205" i="442"/>
  <c r="E2204" i="442"/>
  <c r="G2203" i="442"/>
  <c r="E2202" i="442"/>
  <c r="E2201" i="442"/>
  <c r="E2200" i="442"/>
  <c r="E2199" i="442"/>
  <c r="E2198" i="442"/>
  <c r="E2197" i="442"/>
  <c r="E2196" i="442"/>
  <c r="E2195" i="442"/>
  <c r="G2194" i="442"/>
  <c r="E2193" i="442"/>
  <c r="E2192" i="442"/>
  <c r="E2191" i="442"/>
  <c r="E2190" i="442"/>
  <c r="E2189" i="442"/>
  <c r="E2188" i="442"/>
  <c r="E2187" i="442"/>
  <c r="E2186" i="442"/>
  <c r="G2185" i="442"/>
  <c r="E2184" i="442"/>
  <c r="E2183" i="442"/>
  <c r="E2182" i="442"/>
  <c r="E2181" i="442"/>
  <c r="E2180" i="442"/>
  <c r="E2179" i="442"/>
  <c r="E2178" i="442"/>
  <c r="G2177" i="442"/>
  <c r="E2176" i="442"/>
  <c r="E2175" i="442"/>
  <c r="E2174" i="442"/>
  <c r="E2173" i="442"/>
  <c r="E2172" i="442"/>
  <c r="E2171" i="442"/>
  <c r="E2170" i="442"/>
  <c r="G2169" i="442"/>
  <c r="E2168" i="442"/>
  <c r="E2167" i="442"/>
  <c r="E2166" i="442"/>
  <c r="E2165" i="442"/>
  <c r="E2164" i="442"/>
  <c r="E2163" i="442"/>
  <c r="E2162" i="442"/>
  <c r="G2161" i="442"/>
  <c r="G2160" i="442"/>
  <c r="E2159" i="442"/>
  <c r="G2158" i="442"/>
  <c r="E2157" i="442"/>
  <c r="G2156" i="442"/>
  <c r="E2155" i="442"/>
  <c r="G2154" i="442"/>
  <c r="E2153" i="442"/>
  <c r="G2152" i="442"/>
  <c r="E2151" i="442"/>
  <c r="G2150" i="442"/>
  <c r="E2149" i="442"/>
  <c r="G2148" i="442"/>
  <c r="E2147" i="442"/>
  <c r="G2146" i="442"/>
  <c r="E2145" i="442"/>
  <c r="G2144" i="442"/>
  <c r="E2143" i="442"/>
  <c r="G2142" i="442"/>
  <c r="E2141" i="442"/>
  <c r="E2140" i="442"/>
  <c r="G2139" i="442"/>
  <c r="E2138" i="442"/>
  <c r="E2137" i="442"/>
  <c r="G2136" i="442"/>
  <c r="E2135" i="442"/>
  <c r="E2134" i="442"/>
  <c r="G2133" i="442"/>
  <c r="E2132" i="442"/>
  <c r="E2131" i="442"/>
  <c r="G2130" i="442"/>
  <c r="E2129" i="442"/>
  <c r="G2128" i="442"/>
  <c r="E2127" i="442"/>
  <c r="E2126" i="442"/>
  <c r="E2125" i="442"/>
  <c r="G2124" i="442"/>
  <c r="E2123" i="442"/>
  <c r="G2122" i="442"/>
  <c r="E2121" i="442"/>
  <c r="G2120" i="442"/>
  <c r="E2119" i="442"/>
  <c r="G2118" i="442"/>
  <c r="E2117" i="442"/>
  <c r="G2116" i="442"/>
  <c r="E2115" i="442"/>
  <c r="E2114" i="442"/>
  <c r="E2113" i="442"/>
  <c r="G2112" i="442"/>
  <c r="E2111" i="442"/>
  <c r="E2110" i="442"/>
  <c r="E2109" i="442"/>
  <c r="G2108" i="442"/>
  <c r="E2107" i="442"/>
  <c r="E2106" i="442"/>
  <c r="E2105" i="442"/>
  <c r="G2104" i="442"/>
  <c r="E2103" i="442"/>
  <c r="E2102" i="442"/>
  <c r="G2101" i="442"/>
  <c r="E2100" i="442"/>
  <c r="E2099" i="442"/>
  <c r="G2098" i="442"/>
  <c r="E2097" i="442"/>
  <c r="E2096" i="442"/>
  <c r="G2095" i="442"/>
  <c r="E2094" i="442"/>
  <c r="E2093" i="442"/>
  <c r="G2092" i="442"/>
  <c r="E2091" i="442"/>
  <c r="G2090" i="442"/>
  <c r="E2089" i="442"/>
  <c r="E2088" i="442"/>
  <c r="G2087" i="442"/>
  <c r="E2086" i="442"/>
  <c r="E2085" i="442"/>
  <c r="G2084" i="442"/>
  <c r="G2082" i="442"/>
  <c r="E2081" i="442"/>
  <c r="G2080" i="442"/>
  <c r="E2079" i="442"/>
  <c r="E2078" i="442"/>
  <c r="E2077" i="442"/>
  <c r="E2076" i="442"/>
  <c r="G2075" i="442"/>
  <c r="E2074" i="442"/>
  <c r="E2073" i="442"/>
  <c r="E2072" i="442"/>
  <c r="E2071" i="442"/>
  <c r="G2070" i="442"/>
  <c r="E2069" i="442"/>
  <c r="G2068" i="442"/>
  <c r="E2067" i="442"/>
  <c r="G2066" i="442"/>
  <c r="E2065" i="442"/>
  <c r="E2064" i="442"/>
  <c r="E2063" i="442"/>
  <c r="E2062" i="442"/>
  <c r="G2061" i="442"/>
  <c r="E2060" i="442"/>
  <c r="G2059" i="442"/>
  <c r="E2058" i="442"/>
  <c r="E2057" i="442"/>
  <c r="E2056" i="442"/>
  <c r="E2055" i="442"/>
  <c r="G2054" i="442"/>
  <c r="E2053" i="442"/>
  <c r="E2052" i="442"/>
  <c r="E2051" i="442"/>
  <c r="E2050" i="442"/>
  <c r="G2049" i="442"/>
  <c r="E2048" i="442"/>
  <c r="E2047" i="442"/>
  <c r="E2046" i="442"/>
  <c r="E2045" i="442"/>
  <c r="G2044" i="442"/>
  <c r="E2043" i="442"/>
  <c r="E2042" i="442"/>
  <c r="E2041" i="442"/>
  <c r="E2040" i="442"/>
  <c r="G2039" i="442"/>
  <c r="E2038" i="442"/>
  <c r="E2037" i="442"/>
  <c r="E2036" i="442"/>
  <c r="E2035" i="442"/>
  <c r="G2034" i="442"/>
  <c r="E2033" i="442"/>
  <c r="E2032" i="442"/>
  <c r="E2031" i="442"/>
  <c r="E2030" i="442"/>
  <c r="G2029" i="442"/>
  <c r="E2028" i="442"/>
  <c r="E2027" i="442"/>
  <c r="E2026" i="442"/>
  <c r="E2025" i="442"/>
  <c r="G2024" i="442"/>
  <c r="E2023" i="442"/>
  <c r="E2022" i="442"/>
  <c r="E2021" i="442"/>
  <c r="E2020" i="442"/>
  <c r="G2019" i="442"/>
  <c r="E2018" i="442"/>
  <c r="G2017" i="442"/>
  <c r="E2016" i="442"/>
  <c r="G2015" i="442"/>
  <c r="E2014" i="442"/>
  <c r="G2013" i="442"/>
  <c r="E2012" i="442"/>
  <c r="E2011" i="442"/>
  <c r="E2010" i="442"/>
  <c r="E2009" i="442"/>
  <c r="G2008" i="442"/>
  <c r="E2007" i="442"/>
  <c r="E2006" i="442"/>
  <c r="E2005" i="442"/>
  <c r="E2004" i="442"/>
  <c r="G2003" i="442"/>
  <c r="E2002" i="442"/>
  <c r="E2001" i="442"/>
  <c r="E2000" i="442"/>
  <c r="E1999" i="442"/>
  <c r="G1998" i="442"/>
  <c r="E1982" i="442"/>
  <c r="E1981" i="442"/>
  <c r="E1980" i="442"/>
  <c r="E1979" i="442"/>
  <c r="G1978" i="442"/>
  <c r="E1977" i="442"/>
  <c r="E1976" i="442"/>
  <c r="E1975" i="442"/>
  <c r="E1974" i="442"/>
  <c r="G1973" i="442"/>
  <c r="E1972" i="442"/>
  <c r="E1971" i="442"/>
  <c r="E1970" i="442"/>
  <c r="E1969" i="442"/>
  <c r="G1968" i="442"/>
  <c r="E1967" i="442"/>
  <c r="E1966" i="442"/>
  <c r="E1965" i="442"/>
  <c r="E1964" i="442"/>
  <c r="G1963" i="442"/>
  <c r="E1962" i="442"/>
  <c r="E1961" i="442"/>
  <c r="E1960" i="442"/>
  <c r="E1959" i="442"/>
  <c r="G1958" i="442"/>
  <c r="E1957" i="442"/>
  <c r="E1956" i="442"/>
  <c r="E1955" i="442"/>
  <c r="E1954" i="442"/>
  <c r="G1953" i="442"/>
  <c r="E1952" i="442"/>
  <c r="E1951" i="442"/>
  <c r="G1950" i="442"/>
  <c r="E1949" i="442"/>
  <c r="G1948" i="442"/>
  <c r="E1947" i="442"/>
  <c r="E1946" i="442"/>
  <c r="E1945" i="442"/>
  <c r="E1944" i="442"/>
  <c r="G1943" i="442"/>
  <c r="E1942" i="442"/>
  <c r="E1941" i="442"/>
  <c r="E1940" i="442"/>
  <c r="E1939" i="442"/>
  <c r="G1938" i="442"/>
  <c r="E1937" i="442"/>
  <c r="E1936" i="442"/>
  <c r="G1935" i="442"/>
  <c r="E1934" i="442"/>
  <c r="E1933" i="442"/>
  <c r="G1932" i="442"/>
  <c r="E1931" i="442"/>
  <c r="E1930" i="442"/>
  <c r="E1929" i="442"/>
  <c r="G1928" i="442"/>
  <c r="E1927" i="442"/>
  <c r="E1926" i="442"/>
  <c r="E1925" i="442"/>
  <c r="G1924" i="442"/>
  <c r="E1923" i="442"/>
  <c r="E1922" i="442"/>
  <c r="E1921" i="442"/>
  <c r="G1920" i="442"/>
  <c r="E1913" i="442"/>
  <c r="E1912" i="442"/>
  <c r="E1911" i="442"/>
  <c r="E1910" i="442"/>
  <c r="G1909" i="442"/>
  <c r="E1908" i="442"/>
  <c r="E1907" i="442"/>
  <c r="E1906" i="442"/>
  <c r="E1905" i="442"/>
  <c r="G1904" i="442"/>
  <c r="E1903" i="442"/>
  <c r="E1902" i="442"/>
  <c r="E1901" i="442"/>
  <c r="E1900" i="442"/>
  <c r="G1899" i="442"/>
  <c r="E1896" i="442"/>
  <c r="E1895" i="442"/>
  <c r="G1894" i="442"/>
  <c r="E1893" i="442"/>
  <c r="G1892" i="442"/>
  <c r="G1890" i="442"/>
  <c r="E1889" i="442"/>
  <c r="G1888" i="442"/>
  <c r="E1887" i="442"/>
  <c r="E1886" i="442"/>
  <c r="G1885" i="442"/>
  <c r="E1884" i="442"/>
  <c r="E1883" i="442"/>
  <c r="E1882" i="442"/>
  <c r="E1881" i="442"/>
  <c r="G1880" i="442"/>
  <c r="E1879" i="442"/>
  <c r="E1878" i="442"/>
  <c r="E1877" i="442"/>
  <c r="E1876" i="442"/>
  <c r="G1875" i="442"/>
  <c r="G1874" i="442"/>
  <c r="E1873" i="442"/>
  <c r="G1872" i="442"/>
  <c r="E1871" i="442"/>
  <c r="G1870" i="442"/>
  <c r="E1869" i="442"/>
  <c r="G1868" i="442"/>
  <c r="E1867" i="442"/>
  <c r="G1866" i="442"/>
  <c r="E1865" i="442"/>
  <c r="G1864" i="442"/>
  <c r="E1863" i="442"/>
  <c r="G1862" i="442"/>
  <c r="E1861" i="442"/>
  <c r="G1860" i="442"/>
  <c r="E1859" i="442"/>
  <c r="G1858" i="442"/>
  <c r="E1857" i="442"/>
  <c r="G1856" i="442"/>
  <c r="E1855" i="442"/>
  <c r="G1854" i="442"/>
  <c r="E1853" i="442"/>
  <c r="G1852" i="442"/>
  <c r="E1851" i="442"/>
  <c r="G1850" i="442"/>
  <c r="E1849" i="442"/>
  <c r="G1848" i="442"/>
  <c r="E1847" i="442"/>
  <c r="G1846" i="442"/>
  <c r="E1845" i="442"/>
  <c r="G1844" i="442"/>
  <c r="E1843" i="442"/>
  <c r="G1842" i="442"/>
  <c r="E1841" i="442"/>
  <c r="G1840" i="442"/>
  <c r="E1839" i="442"/>
  <c r="G1838" i="442"/>
  <c r="E1837" i="442"/>
  <c r="E1836" i="442"/>
  <c r="G1835" i="442"/>
  <c r="E1834" i="442"/>
  <c r="E1833" i="442"/>
  <c r="G1832" i="442"/>
  <c r="E1831" i="442"/>
  <c r="E1830" i="442"/>
  <c r="G1829" i="442"/>
  <c r="E1828" i="442"/>
  <c r="E1827" i="442"/>
  <c r="G1826" i="442"/>
  <c r="E1825" i="442"/>
  <c r="E1824" i="442"/>
  <c r="G1823" i="442"/>
  <c r="E1822" i="442"/>
  <c r="E1821" i="442"/>
  <c r="G1820" i="442"/>
  <c r="E1819" i="442"/>
  <c r="E1818" i="442"/>
  <c r="G1817" i="442"/>
  <c r="E1816" i="442"/>
  <c r="E1815" i="442"/>
  <c r="G1814" i="442"/>
  <c r="E1813" i="442"/>
  <c r="E1812" i="442"/>
  <c r="G1811" i="442"/>
  <c r="E1810" i="442"/>
  <c r="E1809" i="442"/>
  <c r="G1808" i="442"/>
  <c r="E1807" i="442"/>
  <c r="E1806" i="442"/>
  <c r="G1805" i="442"/>
  <c r="E1804" i="442"/>
  <c r="E1803" i="442"/>
  <c r="G1802" i="442"/>
  <c r="E1801" i="442"/>
  <c r="E1800" i="442"/>
  <c r="G1799" i="442"/>
  <c r="E1798" i="442"/>
  <c r="E1797" i="442"/>
  <c r="G1796" i="442"/>
  <c r="E1791" i="442"/>
  <c r="G1790" i="442"/>
  <c r="E1789" i="442"/>
  <c r="G1788" i="442"/>
  <c r="E1787" i="442"/>
  <c r="E1786" i="442"/>
  <c r="G1785" i="442"/>
  <c r="E1784" i="442"/>
  <c r="G1783" i="442"/>
  <c r="E1782" i="442"/>
  <c r="G1781" i="442"/>
  <c r="E1780" i="442"/>
  <c r="G1779" i="442"/>
  <c r="E1778" i="442"/>
  <c r="G1777" i="442"/>
  <c r="E1776" i="442"/>
  <c r="G1775" i="442"/>
  <c r="E1774" i="442"/>
  <c r="G1773" i="442"/>
  <c r="E1772" i="442"/>
  <c r="G1771" i="442"/>
  <c r="E1770" i="442"/>
  <c r="G1769" i="442"/>
  <c r="E1768" i="442"/>
  <c r="E1767" i="442"/>
  <c r="G1766" i="442"/>
  <c r="E1765" i="442"/>
  <c r="E1764" i="442"/>
  <c r="G1763" i="442"/>
  <c r="E1762" i="442"/>
  <c r="E1761" i="442"/>
  <c r="G1760" i="442"/>
  <c r="E1759" i="442"/>
  <c r="E1758" i="442"/>
  <c r="G1757" i="442"/>
  <c r="E1756" i="442"/>
  <c r="G1755" i="442"/>
  <c r="G1754" i="442"/>
  <c r="E1753" i="442"/>
  <c r="G1752" i="442"/>
  <c r="E1751" i="442"/>
  <c r="G1750" i="442"/>
  <c r="E1749" i="442"/>
  <c r="G1748" i="442"/>
  <c r="E1747" i="442"/>
  <c r="G1746" i="442"/>
  <c r="E1745" i="442"/>
  <c r="G1744" i="442"/>
  <c r="E1743" i="442"/>
  <c r="G1742" i="442"/>
  <c r="E1741" i="442"/>
  <c r="G1740" i="442"/>
  <c r="E1739" i="442"/>
  <c r="G1738" i="442"/>
  <c r="E1737" i="442"/>
  <c r="G1736" i="442"/>
  <c r="E1735" i="442"/>
  <c r="G1734" i="442"/>
  <c r="E1733" i="442"/>
  <c r="E1732" i="442"/>
  <c r="E1731" i="442"/>
  <c r="G1730" i="442"/>
  <c r="E1729" i="442"/>
  <c r="E1728" i="442"/>
  <c r="E1727" i="442"/>
  <c r="G1726" i="442"/>
  <c r="E1725" i="442"/>
  <c r="E1724" i="442"/>
  <c r="E1723" i="442"/>
  <c r="E1722" i="442"/>
  <c r="G1721" i="442"/>
  <c r="E1720" i="442"/>
  <c r="G1719" i="442"/>
  <c r="E1718" i="442"/>
  <c r="E1717" i="442"/>
  <c r="G1716" i="442"/>
  <c r="E1715" i="442"/>
  <c r="G1714" i="442"/>
  <c r="E1713" i="442"/>
  <c r="E1712" i="442"/>
  <c r="G1711" i="442"/>
  <c r="E1710" i="442"/>
  <c r="E1709" i="442"/>
  <c r="E1708" i="442"/>
  <c r="E1707" i="442"/>
  <c r="G1706" i="442"/>
  <c r="E1705" i="442"/>
  <c r="E1704" i="442"/>
  <c r="G1703" i="442"/>
  <c r="E1702" i="442"/>
  <c r="E1701" i="442"/>
  <c r="G1700" i="442"/>
  <c r="E1699" i="442"/>
  <c r="E1698" i="442"/>
  <c r="E1697" i="442"/>
  <c r="G1696" i="442"/>
  <c r="E1695" i="442"/>
  <c r="E1694" i="442"/>
  <c r="E1693" i="442"/>
  <c r="E1692" i="442"/>
  <c r="G1691" i="442"/>
  <c r="E1690" i="442"/>
  <c r="G1689" i="442"/>
  <c r="E1688" i="442"/>
  <c r="E1687" i="442"/>
  <c r="E1686" i="442"/>
  <c r="E1685" i="442"/>
  <c r="G1684" i="442"/>
  <c r="E1683" i="442"/>
  <c r="G1682" i="442"/>
  <c r="E1681" i="442"/>
  <c r="E1680" i="442"/>
  <c r="E1679" i="442"/>
  <c r="G1678" i="442"/>
  <c r="E1677" i="442"/>
  <c r="E1676" i="442"/>
  <c r="G1675" i="442"/>
  <c r="E1671" i="442"/>
  <c r="E1670" i="442"/>
  <c r="E1669" i="442"/>
  <c r="G1668" i="442"/>
  <c r="E1667" i="442"/>
  <c r="E1666" i="442"/>
  <c r="G1665" i="442"/>
  <c r="E1664" i="442"/>
  <c r="E1663" i="442"/>
  <c r="E1662" i="442"/>
  <c r="E1661" i="442"/>
  <c r="G1660" i="442"/>
  <c r="E1659" i="442"/>
  <c r="E1658" i="442"/>
  <c r="E1657" i="442"/>
  <c r="G1656" i="442"/>
  <c r="E1655" i="442"/>
  <c r="E1654" i="442"/>
  <c r="E1653" i="442"/>
  <c r="E1652" i="442"/>
  <c r="G1651" i="442"/>
  <c r="E1650" i="442"/>
  <c r="E1649" i="442"/>
  <c r="E1648" i="442"/>
  <c r="E1647" i="442"/>
  <c r="G1646" i="442"/>
  <c r="E1645" i="442"/>
  <c r="E1644" i="442"/>
  <c r="G1643" i="442"/>
  <c r="E1642" i="442"/>
  <c r="E1641" i="442"/>
  <c r="E1640" i="442"/>
  <c r="E1639" i="442"/>
  <c r="G1638" i="442"/>
  <c r="G1637" i="442"/>
  <c r="E1636" i="442"/>
  <c r="G1635" i="442"/>
  <c r="E1634" i="442"/>
  <c r="G1633" i="442"/>
  <c r="E1632" i="442"/>
  <c r="G1631" i="442"/>
  <c r="E1630" i="442"/>
  <c r="G1629" i="442"/>
  <c r="E1628" i="442"/>
  <c r="G1627" i="442"/>
  <c r="E1626" i="442"/>
  <c r="G1625" i="442"/>
  <c r="E1624" i="442"/>
  <c r="G1623" i="442"/>
  <c r="E1622" i="442"/>
  <c r="G1621" i="442"/>
  <c r="E1620" i="442"/>
  <c r="G1619" i="442"/>
  <c r="E1618" i="442"/>
  <c r="G1617" i="442"/>
  <c r="E1614" i="442"/>
  <c r="G1613" i="442"/>
  <c r="E1612" i="442"/>
  <c r="G1611" i="442"/>
  <c r="E1610" i="442"/>
  <c r="G1609" i="442"/>
  <c r="E1608" i="442"/>
  <c r="G1607" i="442"/>
  <c r="E1606" i="442"/>
  <c r="G1605" i="442"/>
  <c r="E1604" i="442"/>
  <c r="E1603" i="442"/>
  <c r="E1602" i="442"/>
  <c r="G1601" i="442"/>
  <c r="E1600" i="442"/>
  <c r="E1599" i="442"/>
  <c r="E1598" i="442"/>
  <c r="G1597" i="442"/>
  <c r="E1596" i="442"/>
  <c r="E1595" i="442"/>
  <c r="E1594" i="442"/>
  <c r="G1593" i="442"/>
  <c r="E1592" i="442"/>
  <c r="E1591" i="442"/>
  <c r="G1590" i="442"/>
  <c r="E1589" i="442"/>
  <c r="E1588" i="442"/>
  <c r="G1587" i="442"/>
  <c r="E1586" i="442"/>
  <c r="E1585" i="442"/>
  <c r="E1584" i="442"/>
  <c r="E1583" i="442"/>
  <c r="G1582" i="442"/>
  <c r="E1581" i="442"/>
  <c r="E1580" i="442"/>
  <c r="E1579" i="442"/>
  <c r="E1578" i="442"/>
  <c r="G1577" i="442"/>
  <c r="E1576" i="442"/>
  <c r="E1575" i="442"/>
  <c r="E1574" i="442"/>
  <c r="E1573" i="442"/>
  <c r="G1572" i="442"/>
  <c r="E1571" i="442"/>
  <c r="E1570" i="442"/>
  <c r="E1569" i="442"/>
  <c r="E1568" i="442"/>
  <c r="G1567" i="442"/>
  <c r="E1566" i="442"/>
  <c r="E1565" i="442"/>
  <c r="E1564" i="442"/>
  <c r="E1563" i="442"/>
  <c r="G1562" i="442"/>
  <c r="E1561" i="442"/>
  <c r="E1560" i="442"/>
  <c r="G1559" i="442"/>
  <c r="E1558" i="442"/>
  <c r="E1557" i="442"/>
  <c r="G1556" i="442"/>
  <c r="E1555" i="442"/>
  <c r="E1554" i="442"/>
  <c r="E1553" i="442"/>
  <c r="G1552" i="442"/>
  <c r="E1551" i="442"/>
  <c r="E1550" i="442"/>
  <c r="G1549" i="442"/>
  <c r="E1548" i="442"/>
  <c r="E1547" i="442"/>
  <c r="G1546" i="442"/>
  <c r="E1545" i="442"/>
  <c r="E1544" i="442"/>
  <c r="E1543" i="442"/>
  <c r="G1542" i="442"/>
  <c r="E1541" i="442"/>
  <c r="E1540" i="442"/>
  <c r="E1539" i="442"/>
  <c r="G1538" i="442"/>
  <c r="E1537" i="442"/>
  <c r="E1536" i="442"/>
  <c r="E1535" i="442"/>
  <c r="G1534" i="442"/>
  <c r="E1533" i="442"/>
  <c r="E1532" i="442"/>
  <c r="G1531" i="442"/>
  <c r="E1530" i="442"/>
  <c r="E1529" i="442"/>
  <c r="E1528" i="442"/>
  <c r="G1527" i="442"/>
  <c r="E1526" i="442"/>
  <c r="G1525" i="442"/>
  <c r="E1524" i="442"/>
  <c r="G1523" i="442"/>
  <c r="E1522" i="442"/>
  <c r="E1521" i="442"/>
  <c r="E1520" i="442"/>
  <c r="G1519" i="442"/>
  <c r="E1518" i="442"/>
  <c r="E1517" i="442"/>
  <c r="E1516" i="442"/>
  <c r="G1515" i="442"/>
  <c r="E1514" i="442"/>
  <c r="E1513" i="442"/>
  <c r="E1512" i="442"/>
  <c r="G1511" i="442"/>
  <c r="E1510" i="442"/>
  <c r="E1509" i="442"/>
  <c r="E1508" i="442"/>
  <c r="E1507" i="442"/>
  <c r="G1506" i="442"/>
  <c r="E1505" i="442"/>
  <c r="E1504" i="442"/>
  <c r="E1503" i="442"/>
  <c r="E1502" i="442"/>
  <c r="G1501" i="442"/>
  <c r="E1500" i="442"/>
  <c r="E1499" i="442"/>
  <c r="E1498" i="442"/>
  <c r="E1497" i="442"/>
  <c r="G1496" i="442"/>
  <c r="E1495" i="442"/>
  <c r="E1494" i="442"/>
  <c r="E1493" i="442"/>
  <c r="E1492" i="442"/>
  <c r="G1491" i="442"/>
  <c r="E1490" i="442"/>
  <c r="E1489" i="442"/>
  <c r="E1488" i="442"/>
  <c r="E1487" i="442"/>
  <c r="G1486" i="442"/>
  <c r="E1485" i="442"/>
  <c r="E1484" i="442"/>
  <c r="E1483" i="442"/>
  <c r="E1482" i="442"/>
  <c r="G1481" i="442"/>
  <c r="E1480" i="442"/>
  <c r="E1479" i="442"/>
  <c r="E1478" i="442"/>
  <c r="E1477" i="442"/>
  <c r="G1476" i="442"/>
  <c r="E1475" i="442"/>
  <c r="E1474" i="442"/>
  <c r="E1473" i="442"/>
  <c r="E1472" i="442"/>
  <c r="G1471" i="442"/>
  <c r="E1470" i="442"/>
  <c r="E1469" i="442"/>
  <c r="E1468" i="442"/>
  <c r="E1467" i="442"/>
  <c r="G1466" i="442"/>
  <c r="E1465" i="442"/>
  <c r="E1464" i="442"/>
  <c r="E1463" i="442"/>
  <c r="E1462" i="442"/>
  <c r="G1461" i="442"/>
  <c r="E1460" i="442"/>
  <c r="E1459" i="442"/>
  <c r="E1458" i="442"/>
  <c r="E1457" i="442"/>
  <c r="G1456" i="442"/>
  <c r="E1455" i="442"/>
  <c r="E1454" i="442"/>
  <c r="E1453" i="442"/>
  <c r="E1452" i="442"/>
  <c r="G1451" i="442"/>
  <c r="E1450" i="442"/>
  <c r="E1449" i="442"/>
  <c r="E1448" i="442"/>
  <c r="E1447" i="442"/>
  <c r="G1446" i="442"/>
  <c r="E1445" i="442"/>
  <c r="E1444" i="442"/>
  <c r="E1443" i="442"/>
  <c r="E1442" i="442"/>
  <c r="G1441" i="442"/>
  <c r="E1440" i="442"/>
  <c r="E1439" i="442"/>
  <c r="E1438" i="442"/>
  <c r="E1437" i="442"/>
  <c r="G1436" i="442"/>
  <c r="E1435" i="442"/>
  <c r="E1434" i="442"/>
  <c r="E1433" i="442"/>
  <c r="E1432" i="442"/>
  <c r="G1431" i="442"/>
  <c r="E1430" i="442"/>
  <c r="E1429" i="442"/>
  <c r="E1428" i="442"/>
  <c r="E1427" i="442"/>
  <c r="G1426" i="442"/>
  <c r="E1425" i="442"/>
  <c r="E1424" i="442"/>
  <c r="E1423" i="442"/>
  <c r="E1422" i="442"/>
  <c r="G1421" i="442"/>
  <c r="E1420" i="442"/>
  <c r="E1419" i="442"/>
  <c r="E1418" i="442"/>
  <c r="E1417" i="442"/>
  <c r="G1416" i="442"/>
  <c r="E1415" i="442"/>
  <c r="E1414" i="442"/>
  <c r="E1413" i="442"/>
  <c r="E1412" i="442"/>
  <c r="G1411" i="442"/>
  <c r="E1410" i="442"/>
  <c r="E1409" i="442"/>
  <c r="E1408" i="442"/>
  <c r="E1407" i="442"/>
  <c r="G1406" i="442"/>
  <c r="E1405" i="442"/>
  <c r="E1404" i="442"/>
  <c r="E1403" i="442"/>
  <c r="E1402" i="442"/>
  <c r="G1401" i="442"/>
  <c r="E1400" i="442"/>
  <c r="E1399" i="442"/>
  <c r="E1398" i="442"/>
  <c r="E1397" i="442"/>
  <c r="G1396" i="442"/>
  <c r="E1395" i="442"/>
  <c r="E1394" i="442"/>
  <c r="E1393" i="442"/>
  <c r="E1392" i="442"/>
  <c r="G1391" i="442"/>
  <c r="G1376" i="442"/>
  <c r="G1371" i="442"/>
  <c r="G1366" i="442"/>
  <c r="E1365" i="442"/>
  <c r="E1364" i="442"/>
  <c r="E1363" i="442"/>
  <c r="G1362" i="442"/>
  <c r="E1361" i="442"/>
  <c r="E1360" i="442"/>
  <c r="E1359" i="442"/>
  <c r="G1358" i="442"/>
  <c r="E1357" i="442"/>
  <c r="E1356" i="442"/>
  <c r="E1355" i="442"/>
  <c r="G1354" i="442"/>
  <c r="E1353" i="442"/>
  <c r="E1352" i="442"/>
  <c r="E1351" i="442"/>
  <c r="G1350" i="442"/>
  <c r="E1349" i="442"/>
  <c r="E1348" i="442"/>
  <c r="G1347" i="442"/>
  <c r="E1346" i="442"/>
  <c r="G1345" i="442"/>
  <c r="E1344" i="442"/>
  <c r="G1343" i="442"/>
  <c r="E1342" i="442"/>
  <c r="E1341" i="442"/>
  <c r="G1340" i="442"/>
  <c r="E1339" i="442"/>
  <c r="G1338" i="442"/>
  <c r="E1337" i="442"/>
  <c r="G1336" i="442"/>
  <c r="E1335" i="442"/>
  <c r="G1334" i="442"/>
  <c r="E1333" i="442"/>
  <c r="G1332" i="442"/>
  <c r="E1331" i="442"/>
  <c r="E1330" i="442"/>
  <c r="G1329" i="442"/>
  <c r="E1328" i="442"/>
  <c r="E1327" i="442"/>
  <c r="G1326" i="442"/>
  <c r="E1325" i="442"/>
  <c r="G1324" i="442"/>
  <c r="E1323" i="442"/>
  <c r="E1322" i="442"/>
  <c r="E1321" i="442"/>
  <c r="E1320" i="442"/>
  <c r="E1319" i="442"/>
  <c r="E1318" i="442"/>
  <c r="E1317" i="442"/>
  <c r="G1316" i="442"/>
  <c r="E1315" i="442"/>
  <c r="E1314" i="442"/>
  <c r="E1313" i="442"/>
  <c r="E1312" i="442"/>
  <c r="G1311" i="442"/>
  <c r="E1310" i="442"/>
  <c r="G1309" i="442"/>
  <c r="E1308" i="442"/>
  <c r="E1307" i="442"/>
  <c r="E1306" i="442"/>
  <c r="G1305" i="442"/>
  <c r="E1304" i="442"/>
  <c r="E1303" i="442"/>
  <c r="G1302" i="442"/>
  <c r="E1301" i="442"/>
  <c r="E1300" i="442"/>
  <c r="G1299" i="442"/>
  <c r="E1298" i="442"/>
  <c r="E1297" i="442"/>
  <c r="E1296" i="442"/>
  <c r="G1295" i="442"/>
  <c r="E1294" i="442"/>
  <c r="E1293" i="442"/>
  <c r="G1292" i="442"/>
  <c r="E1291" i="442"/>
  <c r="E1290" i="442"/>
  <c r="E1289" i="442"/>
  <c r="G1288" i="442"/>
  <c r="E1287" i="442"/>
  <c r="E1286" i="442"/>
  <c r="E1285" i="442"/>
  <c r="G1284" i="442"/>
  <c r="E1283" i="442"/>
  <c r="E1282" i="442"/>
  <c r="E1281" i="442"/>
  <c r="G1280" i="442"/>
  <c r="E1279" i="442"/>
  <c r="E1278" i="442"/>
  <c r="E1277" i="442"/>
  <c r="G1276" i="442"/>
  <c r="E1275" i="442"/>
  <c r="E1274" i="442"/>
  <c r="E1273" i="442"/>
  <c r="G1272" i="442"/>
  <c r="E1271" i="442"/>
  <c r="E1270" i="442"/>
  <c r="E1269" i="442"/>
  <c r="G1268" i="442"/>
  <c r="E1267" i="442"/>
  <c r="E1266" i="442"/>
  <c r="E1265" i="442"/>
  <c r="G1264" i="442"/>
  <c r="E1263" i="442"/>
  <c r="E1262" i="442"/>
  <c r="E1261" i="442"/>
  <c r="G1260" i="442"/>
  <c r="E1259" i="442"/>
  <c r="E1258" i="442"/>
  <c r="E1257" i="442"/>
  <c r="G1256" i="442"/>
  <c r="E1255" i="442"/>
  <c r="G1254" i="442"/>
  <c r="E1253" i="442"/>
  <c r="E1252" i="442"/>
  <c r="G1251" i="442"/>
  <c r="E1250" i="442"/>
  <c r="E1249" i="442"/>
  <c r="G1248" i="442"/>
  <c r="E1247" i="442"/>
  <c r="E1246" i="442"/>
  <c r="G1245" i="442"/>
  <c r="E1244" i="442"/>
  <c r="E1243" i="442"/>
  <c r="G1242" i="442"/>
  <c r="E1241" i="442"/>
  <c r="E1240" i="442"/>
  <c r="G1239" i="442"/>
  <c r="E1238" i="442"/>
  <c r="E1237" i="442"/>
  <c r="G1236" i="442"/>
  <c r="E1235" i="442"/>
  <c r="E1234" i="442"/>
  <c r="G1233" i="442"/>
  <c r="E1232" i="442"/>
  <c r="E1231" i="442"/>
  <c r="G1230" i="442"/>
  <c r="E1229" i="442"/>
  <c r="E1228" i="442"/>
  <c r="E1227" i="442"/>
  <c r="G1226" i="442"/>
  <c r="E1225" i="442"/>
  <c r="E1224" i="442"/>
  <c r="G1223" i="442"/>
  <c r="E1222" i="442"/>
  <c r="E1221" i="442"/>
  <c r="G1220" i="442"/>
  <c r="E1219" i="442"/>
  <c r="E1218" i="442"/>
  <c r="G1217" i="442"/>
  <c r="E1216" i="442"/>
  <c r="E1215" i="442"/>
  <c r="G1214" i="442"/>
  <c r="E1213" i="442"/>
  <c r="E1212" i="442"/>
  <c r="G1211" i="442"/>
  <c r="E1210" i="442"/>
  <c r="E1209" i="442"/>
  <c r="G1208" i="442"/>
  <c r="E1207" i="442"/>
  <c r="E1206" i="442"/>
  <c r="G1205" i="442"/>
  <c r="E1204" i="442"/>
  <c r="E1203" i="442"/>
  <c r="G1202" i="442"/>
  <c r="E1201" i="442"/>
  <c r="E1200" i="442"/>
  <c r="G1199" i="442"/>
  <c r="E1198" i="442"/>
  <c r="E1197" i="442"/>
  <c r="G1196" i="442"/>
  <c r="E1195" i="442"/>
  <c r="E1194" i="442"/>
  <c r="G1193" i="442"/>
  <c r="E1192" i="442"/>
  <c r="E1191" i="442"/>
  <c r="G1190" i="442"/>
  <c r="E1189" i="442"/>
  <c r="E1188" i="442"/>
  <c r="E1187" i="442"/>
  <c r="G1186" i="442"/>
  <c r="E1185" i="442"/>
  <c r="E1184" i="442"/>
  <c r="E1183" i="442"/>
  <c r="G1182" i="442"/>
  <c r="E1181" i="442"/>
  <c r="E1180" i="442"/>
  <c r="E1179" i="442"/>
  <c r="G1178" i="442"/>
  <c r="E1177" i="442"/>
  <c r="E1176" i="442"/>
  <c r="E1175" i="442"/>
  <c r="G1174" i="442"/>
  <c r="E1173" i="442"/>
  <c r="E1172" i="442"/>
  <c r="E1171" i="442"/>
  <c r="G1170" i="442"/>
  <c r="G1169" i="442"/>
  <c r="E1168" i="442"/>
  <c r="G1167" i="442"/>
  <c r="E1164" i="442"/>
  <c r="E1163" i="442"/>
  <c r="G1162" i="442"/>
  <c r="E1161" i="442"/>
  <c r="E1160" i="442"/>
  <c r="G1159" i="442"/>
  <c r="E1158" i="442"/>
  <c r="G1157" i="442"/>
  <c r="E1152" i="442"/>
  <c r="G1151" i="442"/>
  <c r="E1150" i="442"/>
  <c r="G1149" i="442"/>
  <c r="E1148" i="442"/>
  <c r="G1147" i="442"/>
  <c r="E1146" i="442"/>
  <c r="G1145" i="442"/>
  <c r="E1144" i="442"/>
  <c r="G1143" i="442"/>
  <c r="E1142" i="442"/>
  <c r="G1141" i="442"/>
  <c r="E1140" i="442"/>
  <c r="G1139" i="442"/>
  <c r="E1138" i="442"/>
  <c r="G1137" i="442"/>
  <c r="E1136" i="442"/>
  <c r="E1135" i="442"/>
  <c r="G1134" i="442"/>
  <c r="E1133" i="442"/>
  <c r="G1132" i="442"/>
  <c r="E1131" i="442"/>
  <c r="G1130" i="442"/>
  <c r="E1127" i="442"/>
  <c r="E1126" i="442"/>
  <c r="E1125" i="442"/>
  <c r="E1124" i="442"/>
  <c r="G1123" i="442"/>
  <c r="E1122" i="442"/>
  <c r="E1121" i="442"/>
  <c r="E1120" i="442"/>
  <c r="G1119" i="442"/>
  <c r="G1118" i="442"/>
  <c r="E1117" i="442"/>
  <c r="G1116" i="442"/>
  <c r="E1115" i="442"/>
  <c r="G1114" i="442"/>
  <c r="E1113" i="442"/>
  <c r="G1112" i="442"/>
  <c r="E1111" i="442"/>
  <c r="G1110" i="442"/>
  <c r="E1109" i="442"/>
  <c r="G1108" i="442"/>
  <c r="E1107" i="442"/>
  <c r="G1106" i="442"/>
  <c r="E1105" i="442"/>
  <c r="G1104" i="442"/>
  <c r="E1103" i="442"/>
  <c r="G1102" i="442"/>
  <c r="E1101" i="442"/>
  <c r="G1100" i="442"/>
  <c r="E1099" i="442"/>
  <c r="G1098" i="442"/>
  <c r="E1097" i="442"/>
  <c r="G1096" i="442"/>
  <c r="E1095" i="442"/>
  <c r="G1094" i="442"/>
  <c r="E1093" i="442"/>
  <c r="E1092" i="442"/>
  <c r="E1091" i="442"/>
  <c r="G1090" i="442"/>
  <c r="E1089" i="442"/>
  <c r="E1088" i="442"/>
  <c r="E1087" i="442"/>
  <c r="G1086" i="442"/>
  <c r="E1085" i="442"/>
  <c r="E1084" i="442"/>
  <c r="E1083" i="442"/>
  <c r="E1082" i="442"/>
  <c r="G1081" i="442"/>
  <c r="E1080" i="442"/>
  <c r="E1079" i="442"/>
  <c r="G1078" i="442"/>
  <c r="E1077" i="442"/>
  <c r="E1076" i="442"/>
  <c r="G1075" i="442"/>
  <c r="E1074" i="442"/>
  <c r="E1073" i="442"/>
  <c r="G1072" i="442"/>
  <c r="E1071" i="442"/>
  <c r="E1070" i="442"/>
  <c r="G1069" i="442"/>
  <c r="E1068" i="442"/>
  <c r="E1067" i="442"/>
  <c r="E1066" i="442"/>
  <c r="E1065" i="442"/>
  <c r="G1064" i="442"/>
  <c r="E1063" i="442"/>
  <c r="E1062" i="442"/>
  <c r="E1061" i="442"/>
  <c r="E1060" i="442"/>
  <c r="G1059" i="442"/>
  <c r="E1058" i="442"/>
  <c r="E1057" i="442"/>
  <c r="E1056" i="442"/>
  <c r="E1055" i="442"/>
  <c r="G1054" i="442"/>
  <c r="E1053" i="442"/>
  <c r="E1052" i="442"/>
  <c r="E1051" i="442"/>
  <c r="E1050" i="442"/>
  <c r="G1049" i="442"/>
  <c r="E1048" i="442"/>
  <c r="E1047" i="442"/>
  <c r="E1046" i="442"/>
  <c r="E1045" i="442"/>
  <c r="G1044" i="442"/>
  <c r="E1043" i="442"/>
  <c r="E1042" i="442"/>
  <c r="E1041" i="442"/>
  <c r="E1040" i="442"/>
  <c r="G1039" i="442"/>
  <c r="E1038" i="442"/>
  <c r="E1037" i="442"/>
  <c r="E1036" i="442"/>
  <c r="E1035" i="442"/>
  <c r="G1034" i="442"/>
  <c r="E1033" i="442"/>
  <c r="E1032" i="442"/>
  <c r="E1031" i="442"/>
  <c r="E1030" i="442"/>
  <c r="G1029" i="442"/>
  <c r="E1028" i="442"/>
  <c r="E1027" i="442"/>
  <c r="E1026" i="442"/>
  <c r="E1025" i="442"/>
  <c r="G1024" i="442"/>
  <c r="E1023" i="442"/>
  <c r="E1022" i="442"/>
  <c r="E1021" i="442"/>
  <c r="E1020" i="442"/>
  <c r="G1019" i="442"/>
  <c r="E1018" i="442"/>
  <c r="E1017" i="442"/>
  <c r="E1016" i="442"/>
  <c r="E1015" i="442"/>
  <c r="G1014" i="442"/>
  <c r="E1013" i="442"/>
  <c r="E1012" i="442"/>
  <c r="E1011" i="442"/>
  <c r="E1010" i="442"/>
  <c r="G1009" i="442"/>
  <c r="E1008" i="442"/>
  <c r="E1007" i="442"/>
  <c r="E1006" i="442"/>
  <c r="G1005" i="442"/>
  <c r="E1004" i="442"/>
  <c r="E1003" i="442"/>
  <c r="E1002" i="442"/>
  <c r="E1001" i="442"/>
  <c r="G1000" i="442"/>
  <c r="E999" i="442"/>
  <c r="G998" i="442"/>
  <c r="E997" i="442"/>
  <c r="G996" i="442"/>
  <c r="E995" i="442"/>
  <c r="G994" i="442"/>
  <c r="G992" i="442"/>
  <c r="E991" i="442"/>
  <c r="G990" i="442"/>
  <c r="E989" i="442"/>
  <c r="E988" i="442"/>
  <c r="G987" i="442"/>
  <c r="E986" i="442"/>
  <c r="G985" i="442"/>
  <c r="E984" i="442"/>
  <c r="G983" i="442"/>
  <c r="E982" i="442"/>
  <c r="G981" i="442"/>
  <c r="E980" i="442"/>
  <c r="E979" i="442"/>
  <c r="G978" i="442"/>
  <c r="E977" i="442"/>
  <c r="G976" i="442"/>
  <c r="G975" i="442"/>
  <c r="E974" i="442"/>
  <c r="G973" i="442"/>
  <c r="E972" i="442"/>
  <c r="G971" i="442"/>
  <c r="E970" i="442"/>
  <c r="G969" i="442"/>
  <c r="E968" i="442"/>
  <c r="G967" i="442"/>
  <c r="E966" i="442"/>
  <c r="G965" i="442"/>
  <c r="E964" i="442"/>
  <c r="G963" i="442"/>
  <c r="E962" i="442"/>
  <c r="G961" i="442"/>
  <c r="E960" i="442"/>
  <c r="G959" i="442"/>
  <c r="E958" i="442"/>
  <c r="G957" i="442"/>
  <c r="E956" i="442"/>
  <c r="E955" i="442"/>
  <c r="G954" i="442"/>
  <c r="E953" i="442"/>
  <c r="G952" i="442"/>
  <c r="E951" i="442"/>
  <c r="G950" i="442"/>
  <c r="E949" i="442"/>
  <c r="E948" i="442"/>
  <c r="G947" i="442"/>
  <c r="E946" i="442"/>
  <c r="G945" i="442"/>
  <c r="E944" i="442"/>
  <c r="G943" i="442"/>
  <c r="E942" i="442"/>
  <c r="E941" i="442"/>
  <c r="G940" i="442"/>
  <c r="E939" i="442"/>
  <c r="E938" i="442"/>
  <c r="G937" i="442"/>
  <c r="E936" i="442"/>
  <c r="E935" i="442"/>
  <c r="E934" i="442"/>
  <c r="G933" i="442"/>
  <c r="E932" i="442"/>
  <c r="E931" i="442"/>
  <c r="G930" i="442"/>
  <c r="E929" i="442"/>
  <c r="E928" i="442"/>
  <c r="G927" i="442"/>
  <c r="E926" i="442"/>
  <c r="E925" i="442"/>
  <c r="E923" i="442"/>
  <c r="G922" i="442"/>
  <c r="E921" i="442"/>
  <c r="E920" i="442"/>
  <c r="G919" i="442"/>
  <c r="E918" i="442"/>
  <c r="E917" i="442"/>
  <c r="G916" i="442"/>
  <c r="G915" i="442"/>
  <c r="E914" i="442"/>
  <c r="E913" i="442"/>
  <c r="G912" i="442"/>
  <c r="E911" i="442"/>
  <c r="E910" i="442"/>
  <c r="G909" i="442"/>
  <c r="G908" i="442"/>
  <c r="G907" i="442"/>
  <c r="G906" i="442"/>
  <c r="G905" i="442"/>
  <c r="E904" i="442"/>
  <c r="G903" i="442"/>
  <c r="E902" i="442"/>
  <c r="G901" i="442"/>
  <c r="E900" i="442"/>
  <c r="G899" i="442"/>
  <c r="E898" i="442"/>
  <c r="G897" i="442"/>
  <c r="E896" i="442"/>
  <c r="G895" i="442"/>
  <c r="E894" i="442"/>
  <c r="G893" i="442"/>
  <c r="E892" i="442"/>
  <c r="G891" i="442"/>
  <c r="E890" i="442"/>
  <c r="E889" i="442"/>
  <c r="E888" i="442"/>
  <c r="E887" i="442"/>
  <c r="E886" i="442"/>
  <c r="G885" i="442"/>
  <c r="E884" i="442"/>
  <c r="E883" i="442"/>
  <c r="E882" i="442"/>
  <c r="E881" i="442"/>
  <c r="E880" i="442"/>
  <c r="G879" i="442"/>
  <c r="E878" i="442"/>
  <c r="G877" i="442"/>
  <c r="E876" i="442"/>
  <c r="G875" i="442"/>
  <c r="E874" i="442"/>
  <c r="E873" i="442"/>
  <c r="E872" i="442"/>
  <c r="E871" i="442"/>
  <c r="E870" i="442"/>
  <c r="E869" i="442"/>
  <c r="E868" i="442"/>
  <c r="E867" i="442"/>
  <c r="E866" i="442"/>
  <c r="E865" i="442"/>
  <c r="E864" i="442"/>
  <c r="G863" i="442"/>
  <c r="E862" i="442"/>
  <c r="E861" i="442"/>
  <c r="E860" i="442"/>
  <c r="E859" i="442"/>
  <c r="E858" i="442"/>
  <c r="E857" i="442"/>
  <c r="E856" i="442"/>
  <c r="E855" i="442"/>
  <c r="E854" i="442"/>
  <c r="E853" i="442"/>
  <c r="E852" i="442"/>
  <c r="G851" i="442"/>
  <c r="E850" i="442"/>
  <c r="E849" i="442"/>
  <c r="E848" i="442"/>
  <c r="E847" i="442"/>
  <c r="E846" i="442"/>
  <c r="E845" i="442"/>
  <c r="E844" i="442"/>
  <c r="E843" i="442"/>
  <c r="E842" i="442"/>
  <c r="E841" i="442"/>
  <c r="E840" i="442"/>
  <c r="G839" i="442"/>
  <c r="E838" i="442"/>
  <c r="E837" i="442"/>
  <c r="E836" i="442"/>
  <c r="E835" i="442"/>
  <c r="E834" i="442"/>
  <c r="E833" i="442"/>
  <c r="E832" i="442"/>
  <c r="E831" i="442"/>
  <c r="E830" i="442"/>
  <c r="E829" i="442"/>
  <c r="G828" i="442"/>
  <c r="E827" i="442"/>
  <c r="E826" i="442"/>
  <c r="E825" i="442"/>
  <c r="E824" i="442"/>
  <c r="E823" i="442"/>
  <c r="E822" i="442"/>
  <c r="E821" i="442"/>
  <c r="E820" i="442"/>
  <c r="E819" i="442"/>
  <c r="E818" i="442"/>
  <c r="E817" i="442"/>
  <c r="G816" i="442"/>
  <c r="E815" i="442"/>
  <c r="E814" i="442"/>
  <c r="E813" i="442"/>
  <c r="E812" i="442"/>
  <c r="E811" i="442"/>
  <c r="E810" i="442"/>
  <c r="E809" i="442"/>
  <c r="E808" i="442"/>
  <c r="E807" i="442"/>
  <c r="E806" i="442"/>
  <c r="E805" i="442"/>
  <c r="G804" i="442"/>
  <c r="E803" i="442"/>
  <c r="E802" i="442"/>
  <c r="E801" i="442"/>
  <c r="E800" i="442"/>
  <c r="E799" i="442"/>
  <c r="E795" i="442"/>
  <c r="E794" i="442"/>
  <c r="E793" i="442"/>
  <c r="E791" i="442"/>
  <c r="E790" i="442"/>
  <c r="G789" i="442"/>
  <c r="E788" i="442"/>
  <c r="E787" i="442"/>
  <c r="E786" i="442"/>
  <c r="E785" i="442"/>
  <c r="E784" i="442"/>
  <c r="E780" i="442"/>
  <c r="E779" i="442"/>
  <c r="E778" i="442"/>
  <c r="E776" i="442"/>
  <c r="E775" i="442"/>
  <c r="E774" i="442"/>
  <c r="G773" i="442"/>
  <c r="E772" i="442"/>
  <c r="E771" i="442"/>
  <c r="E770" i="442"/>
  <c r="E769" i="442"/>
  <c r="E768" i="442"/>
  <c r="E767" i="442"/>
  <c r="E766" i="442"/>
  <c r="E765" i="442"/>
  <c r="E764" i="442"/>
  <c r="E763" i="442"/>
  <c r="G762" i="442"/>
  <c r="E761" i="442"/>
  <c r="E760" i="442"/>
  <c r="E759" i="442"/>
  <c r="E758" i="442"/>
  <c r="E757" i="442"/>
  <c r="E756" i="442"/>
  <c r="E755" i="442"/>
  <c r="E754" i="442"/>
  <c r="E753" i="442"/>
  <c r="E752" i="442"/>
  <c r="E751" i="442"/>
  <c r="G750" i="442"/>
  <c r="E749" i="442"/>
  <c r="E748" i="442"/>
  <c r="E747" i="442"/>
  <c r="G746" i="442"/>
  <c r="E739" i="442"/>
  <c r="E738" i="442"/>
  <c r="E737" i="442"/>
  <c r="E736" i="442"/>
  <c r="E735" i="442"/>
  <c r="E734" i="442"/>
  <c r="E733" i="442"/>
  <c r="E732" i="442"/>
  <c r="G731" i="442"/>
  <c r="E730" i="442"/>
  <c r="E729" i="442"/>
  <c r="E728" i="442"/>
  <c r="G727" i="442"/>
  <c r="E726" i="442"/>
  <c r="E725" i="442"/>
  <c r="G724" i="442"/>
  <c r="E723" i="442"/>
  <c r="E722" i="442"/>
  <c r="G721" i="442"/>
  <c r="E720" i="442"/>
  <c r="E719" i="442"/>
  <c r="G718" i="442"/>
  <c r="E717" i="442"/>
  <c r="E716" i="442"/>
  <c r="G715" i="442"/>
  <c r="E714" i="442"/>
  <c r="E713" i="442"/>
  <c r="G712" i="442"/>
  <c r="E711" i="442"/>
  <c r="E710" i="442"/>
  <c r="G709" i="442"/>
  <c r="E708" i="442"/>
  <c r="G707" i="442"/>
  <c r="E706" i="442"/>
  <c r="G705" i="442"/>
  <c r="E704" i="442"/>
  <c r="E703" i="442"/>
  <c r="E702" i="442"/>
  <c r="G701" i="442"/>
  <c r="E700" i="442"/>
  <c r="E699" i="442"/>
  <c r="E698" i="442"/>
  <c r="E697" i="442"/>
  <c r="E696" i="442"/>
  <c r="E695" i="442"/>
  <c r="E694" i="442"/>
  <c r="G693" i="442"/>
  <c r="E692" i="442"/>
  <c r="E691" i="442"/>
  <c r="E690" i="442"/>
  <c r="E689" i="442"/>
  <c r="E688" i="442"/>
  <c r="E687" i="442"/>
  <c r="G686" i="442"/>
  <c r="E685" i="442"/>
  <c r="E684" i="442"/>
  <c r="G683" i="442"/>
  <c r="G680" i="442"/>
  <c r="E679" i="442"/>
  <c r="E678" i="442"/>
  <c r="G677" i="442"/>
  <c r="E676" i="442"/>
  <c r="E675" i="442"/>
  <c r="G674" i="442"/>
  <c r="E673" i="442"/>
  <c r="E672" i="442"/>
  <c r="G671" i="442"/>
  <c r="E670" i="442"/>
  <c r="E669" i="442"/>
  <c r="G668" i="442"/>
  <c r="E667" i="442"/>
  <c r="E666" i="442"/>
  <c r="G665" i="442"/>
  <c r="E664" i="442"/>
  <c r="E663" i="442"/>
  <c r="G662" i="442"/>
  <c r="E661" i="442"/>
  <c r="E660" i="442"/>
  <c r="G659" i="442"/>
  <c r="E658" i="442"/>
  <c r="E657" i="442"/>
  <c r="G656" i="442"/>
  <c r="E655" i="442"/>
  <c r="E654" i="442"/>
  <c r="G653" i="442"/>
  <c r="E652" i="442"/>
  <c r="E651" i="442"/>
  <c r="G650" i="442"/>
  <c r="E649" i="442"/>
  <c r="G647" i="442"/>
  <c r="G644" i="442"/>
  <c r="G641" i="442"/>
  <c r="E640" i="442"/>
  <c r="E639" i="442"/>
  <c r="G638" i="442"/>
  <c r="G637" i="442"/>
  <c r="E636" i="442"/>
  <c r="G635" i="442"/>
  <c r="E634" i="442"/>
  <c r="G633" i="442"/>
  <c r="E632" i="442"/>
  <c r="E631" i="442"/>
  <c r="E630" i="442"/>
  <c r="G629" i="442"/>
  <c r="E628" i="442"/>
  <c r="G627" i="442"/>
  <c r="E626" i="442"/>
  <c r="G625" i="442"/>
  <c r="E624" i="442"/>
  <c r="G623" i="442"/>
  <c r="E622" i="442"/>
  <c r="G621" i="442"/>
  <c r="G619" i="442"/>
  <c r="E618" i="442"/>
  <c r="G617" i="442"/>
  <c r="E616" i="442"/>
  <c r="E615" i="442"/>
  <c r="E614" i="442"/>
  <c r="E613" i="442"/>
  <c r="E612" i="442"/>
  <c r="E611" i="442"/>
  <c r="E610" i="442"/>
  <c r="E609" i="442"/>
  <c r="G608" i="442"/>
  <c r="E607" i="442"/>
  <c r="E606" i="442"/>
  <c r="E605" i="442"/>
  <c r="E604" i="442"/>
  <c r="E603" i="442"/>
  <c r="G602" i="442"/>
  <c r="E601" i="442"/>
  <c r="G600" i="442"/>
  <c r="E599" i="442"/>
  <c r="E598" i="442"/>
  <c r="E597" i="442"/>
  <c r="E596" i="442"/>
  <c r="G595" i="442"/>
  <c r="E594" i="442"/>
  <c r="E593" i="442"/>
  <c r="E592" i="442"/>
  <c r="G591" i="442"/>
  <c r="E590" i="442"/>
  <c r="E589" i="442"/>
  <c r="E588" i="442"/>
  <c r="G587" i="442"/>
  <c r="E586" i="442"/>
  <c r="E585" i="442"/>
  <c r="E584" i="442"/>
  <c r="G583" i="442"/>
  <c r="E582" i="442"/>
  <c r="E581" i="442"/>
  <c r="E580" i="442"/>
  <c r="G579" i="442"/>
  <c r="E578" i="442"/>
  <c r="E577" i="442"/>
  <c r="E576" i="442"/>
  <c r="G575" i="442"/>
  <c r="E574" i="442"/>
  <c r="E573" i="442"/>
  <c r="E572" i="442"/>
  <c r="G571" i="442"/>
  <c r="E570" i="442"/>
  <c r="E569" i="442"/>
  <c r="E568" i="442"/>
  <c r="G567" i="442"/>
  <c r="E558" i="442"/>
  <c r="E557" i="442"/>
  <c r="E556" i="442"/>
  <c r="G555" i="442"/>
  <c r="E554" i="442"/>
  <c r="E553" i="442"/>
  <c r="E552" i="442"/>
  <c r="G551" i="442"/>
  <c r="E550" i="442"/>
  <c r="E549" i="442"/>
  <c r="E548" i="442"/>
  <c r="G547" i="442"/>
  <c r="E546" i="442"/>
  <c r="E545" i="442"/>
  <c r="E544" i="442"/>
  <c r="G543" i="442"/>
  <c r="E542" i="442"/>
  <c r="E541" i="442"/>
  <c r="E540" i="442"/>
  <c r="G539" i="442"/>
  <c r="E538" i="442"/>
  <c r="E537" i="442"/>
  <c r="E536" i="442"/>
  <c r="G535" i="442"/>
  <c r="E534" i="442"/>
  <c r="E533" i="442"/>
  <c r="E532" i="442"/>
  <c r="G531" i="442"/>
  <c r="E530" i="442"/>
  <c r="E529" i="442"/>
  <c r="E528" i="442"/>
  <c r="G527" i="442"/>
  <c r="E526" i="442"/>
  <c r="E525" i="442"/>
  <c r="E524" i="442"/>
  <c r="G523" i="442"/>
  <c r="E522" i="442"/>
  <c r="E521" i="442"/>
  <c r="E520" i="442"/>
  <c r="E519" i="442"/>
  <c r="E518" i="442"/>
  <c r="E517" i="442"/>
  <c r="E516" i="442"/>
  <c r="G515" i="442"/>
  <c r="E514" i="442"/>
  <c r="E513" i="442"/>
  <c r="E512" i="442"/>
  <c r="G511" i="442"/>
  <c r="E510" i="442"/>
  <c r="E509" i="442"/>
  <c r="G508" i="442"/>
  <c r="E507" i="442"/>
  <c r="E506" i="442"/>
  <c r="E505" i="442"/>
  <c r="E504" i="442"/>
  <c r="G503" i="442"/>
  <c r="E502" i="442"/>
  <c r="E501" i="442"/>
  <c r="G500" i="442"/>
  <c r="E499" i="442"/>
  <c r="E498" i="442"/>
  <c r="G497" i="442"/>
  <c r="E496" i="442"/>
  <c r="E495" i="442"/>
  <c r="E494" i="442"/>
  <c r="E493" i="442"/>
  <c r="G492" i="442"/>
  <c r="E491" i="442"/>
  <c r="E490" i="442"/>
  <c r="E489" i="442"/>
  <c r="E488" i="442"/>
  <c r="G487" i="442"/>
  <c r="E486" i="442"/>
  <c r="E485" i="442"/>
  <c r="E484" i="442"/>
  <c r="E483" i="442"/>
  <c r="E482" i="442"/>
  <c r="G481" i="442"/>
  <c r="E480" i="442"/>
  <c r="E479" i="442"/>
  <c r="G478" i="442"/>
  <c r="E477" i="442"/>
  <c r="E476" i="442"/>
  <c r="E475" i="442"/>
  <c r="E474" i="442"/>
  <c r="G473" i="442"/>
  <c r="E472" i="442"/>
  <c r="E471" i="442"/>
  <c r="E470" i="442"/>
  <c r="E469" i="442"/>
  <c r="G468" i="442"/>
  <c r="E467" i="442"/>
  <c r="E466" i="442"/>
  <c r="E465" i="442"/>
  <c r="E464" i="442"/>
  <c r="E463" i="442"/>
  <c r="G462" i="442"/>
  <c r="G461" i="442"/>
  <c r="E460" i="442"/>
  <c r="G459" i="442"/>
  <c r="E459" i="442"/>
  <c r="E458" i="442"/>
  <c r="E457" i="442"/>
  <c r="E456" i="442"/>
  <c r="G455" i="442"/>
  <c r="E454" i="442"/>
  <c r="E453" i="442"/>
  <c r="E452" i="442"/>
  <c r="G451" i="442"/>
  <c r="E450" i="442"/>
  <c r="E449" i="442"/>
  <c r="E448" i="442"/>
  <c r="G447" i="442"/>
  <c r="E446" i="442"/>
  <c r="E445" i="442"/>
  <c r="E444" i="442"/>
  <c r="G443" i="442"/>
  <c r="E442" i="442"/>
  <c r="E441" i="442"/>
  <c r="E440" i="442"/>
  <c r="G439" i="442"/>
  <c r="E438" i="442"/>
  <c r="E437" i="442"/>
  <c r="E436" i="442"/>
  <c r="G435" i="442"/>
  <c r="E434" i="442"/>
  <c r="E433" i="442"/>
  <c r="E432" i="442"/>
  <c r="G431" i="442"/>
  <c r="E430" i="442"/>
  <c r="E429" i="442"/>
  <c r="E428" i="442"/>
  <c r="G427" i="442"/>
  <c r="E426" i="442"/>
  <c r="E425" i="442"/>
  <c r="E424" i="442"/>
  <c r="G423" i="442"/>
  <c r="E422" i="442"/>
  <c r="E421" i="442"/>
  <c r="E420" i="442"/>
  <c r="G419" i="442"/>
  <c r="E418" i="442"/>
  <c r="E417" i="442"/>
  <c r="E416" i="442"/>
  <c r="E415" i="442"/>
  <c r="E414" i="442"/>
  <c r="E413" i="442"/>
  <c r="G412" i="442"/>
  <c r="E411" i="442"/>
  <c r="E410" i="442"/>
  <c r="E409" i="442"/>
  <c r="G408" i="442"/>
  <c r="E407" i="442"/>
  <c r="G406" i="442"/>
  <c r="G405" i="442"/>
  <c r="E404" i="442"/>
  <c r="G403" i="442"/>
  <c r="E402" i="442"/>
  <c r="E401" i="442"/>
  <c r="E400" i="442"/>
  <c r="G399" i="442"/>
  <c r="E398" i="442"/>
  <c r="E397" i="442"/>
  <c r="E396" i="442"/>
  <c r="G395" i="442"/>
  <c r="E394" i="442"/>
  <c r="E393" i="442"/>
  <c r="E392" i="442"/>
  <c r="G391" i="442"/>
  <c r="E390" i="442"/>
  <c r="E389" i="442"/>
  <c r="E388" i="442"/>
  <c r="G387" i="442"/>
  <c r="E386" i="442"/>
  <c r="E385" i="442"/>
  <c r="E384" i="442"/>
  <c r="G383" i="442"/>
  <c r="E382" i="442"/>
  <c r="E381" i="442"/>
  <c r="E380" i="442"/>
  <c r="G379" i="442"/>
  <c r="E378" i="442"/>
  <c r="E377" i="442"/>
  <c r="E376" i="442"/>
  <c r="G375" i="442"/>
  <c r="E374" i="442"/>
  <c r="E373" i="442"/>
  <c r="E372" i="442"/>
  <c r="G371" i="442"/>
  <c r="E370" i="442"/>
  <c r="E369" i="442"/>
  <c r="E368" i="442"/>
  <c r="G367" i="442"/>
  <c r="E366" i="442"/>
  <c r="E365" i="442"/>
  <c r="E364" i="442"/>
  <c r="G363" i="442"/>
  <c r="E362" i="442"/>
  <c r="E361" i="442"/>
  <c r="E360" i="442"/>
  <c r="G359" i="442"/>
  <c r="E358" i="442"/>
  <c r="E357" i="442"/>
  <c r="E356" i="442"/>
  <c r="G355" i="442"/>
  <c r="E354" i="442"/>
  <c r="E353" i="442"/>
  <c r="E352" i="442"/>
  <c r="G351" i="442"/>
  <c r="E350" i="442"/>
  <c r="E349" i="442"/>
  <c r="E348" i="442"/>
  <c r="G347" i="442"/>
  <c r="E346" i="442"/>
  <c r="E345" i="442"/>
  <c r="E344" i="442"/>
  <c r="G343" i="442"/>
  <c r="E342" i="442"/>
  <c r="E341" i="442"/>
  <c r="E340" i="442"/>
  <c r="E339" i="442"/>
  <c r="E338" i="442"/>
  <c r="E337" i="442"/>
  <c r="G336" i="442"/>
  <c r="E335" i="442"/>
  <c r="E334" i="442"/>
  <c r="E333" i="442"/>
  <c r="E332" i="442"/>
  <c r="E331" i="442"/>
  <c r="E330" i="442"/>
  <c r="G329" i="442"/>
  <c r="G328" i="442"/>
  <c r="E327" i="442"/>
  <c r="G326" i="442"/>
  <c r="E325" i="442"/>
  <c r="E324" i="442"/>
  <c r="E323" i="442"/>
  <c r="G322" i="442"/>
  <c r="E321" i="442"/>
  <c r="E320" i="442"/>
  <c r="E319" i="442"/>
  <c r="G318" i="442"/>
  <c r="E317" i="442"/>
  <c r="E316" i="442"/>
  <c r="E315" i="442"/>
  <c r="G314" i="442"/>
  <c r="E313" i="442"/>
  <c r="E312" i="442"/>
  <c r="E311" i="442"/>
  <c r="G310" i="442"/>
  <c r="E309" i="442"/>
  <c r="E308" i="442"/>
  <c r="E307" i="442"/>
  <c r="G306" i="442"/>
  <c r="E305" i="442"/>
  <c r="E304" i="442"/>
  <c r="E303" i="442"/>
  <c r="G302" i="442"/>
  <c r="E301" i="442"/>
  <c r="E300" i="442"/>
  <c r="E299" i="442"/>
  <c r="G298" i="442"/>
  <c r="E297" i="442"/>
  <c r="E296" i="442"/>
  <c r="E295" i="442"/>
  <c r="G294" i="442"/>
  <c r="E293" i="442"/>
  <c r="E292" i="442"/>
  <c r="E291" i="442"/>
  <c r="G290" i="442"/>
  <c r="E289" i="442"/>
  <c r="E288" i="442"/>
  <c r="E287" i="442"/>
  <c r="G286" i="442"/>
  <c r="G284" i="442"/>
  <c r="G282" i="442"/>
  <c r="G280" i="442"/>
  <c r="G278" i="442"/>
  <c r="E277" i="442"/>
  <c r="G276" i="442"/>
  <c r="E275" i="442"/>
  <c r="G274" i="442"/>
  <c r="E273" i="442"/>
  <c r="G272" i="442"/>
  <c r="E271" i="442"/>
  <c r="G270" i="442"/>
  <c r="E269" i="442"/>
  <c r="G268" i="442"/>
  <c r="E267" i="442"/>
  <c r="G266" i="442"/>
  <c r="E265" i="442"/>
  <c r="G264" i="442"/>
  <c r="E263" i="442"/>
  <c r="G262" i="442"/>
  <c r="E261" i="442"/>
  <c r="G260" i="442"/>
  <c r="E259" i="442"/>
  <c r="G258" i="442"/>
  <c r="E257" i="442"/>
  <c r="G256" i="442"/>
  <c r="E255" i="442"/>
  <c r="G254" i="442"/>
  <c r="E253" i="442"/>
  <c r="G252" i="442"/>
  <c r="E251" i="442"/>
  <c r="G250" i="442"/>
  <c r="E249" i="442"/>
  <c r="G248" i="442"/>
  <c r="G247" i="442"/>
  <c r="E246" i="442"/>
  <c r="G245" i="442"/>
  <c r="E244" i="442"/>
  <c r="G243" i="442"/>
  <c r="E242" i="442"/>
  <c r="G241" i="442"/>
  <c r="E240" i="442"/>
  <c r="E239" i="442"/>
  <c r="E238" i="442"/>
  <c r="E237" i="442"/>
  <c r="E236" i="442"/>
  <c r="G235" i="442"/>
  <c r="E234" i="442"/>
  <c r="G233" i="442"/>
  <c r="E232" i="442"/>
  <c r="G231" i="442"/>
  <c r="E230" i="442"/>
  <c r="G229" i="442"/>
  <c r="E228" i="442"/>
  <c r="G227" i="442"/>
  <c r="E226" i="442"/>
  <c r="G225" i="442"/>
  <c r="E224" i="442"/>
  <c r="E223" i="442"/>
  <c r="E222" i="442"/>
  <c r="G221" i="442"/>
  <c r="E216" i="442"/>
  <c r="G215" i="442"/>
  <c r="E214" i="442"/>
  <c r="G213" i="442"/>
  <c r="E212" i="442"/>
  <c r="G211" i="442"/>
  <c r="E210" i="442"/>
  <c r="G209" i="442"/>
  <c r="E208" i="442"/>
  <c r="G207" i="442"/>
  <c r="E206" i="442"/>
  <c r="E205" i="442"/>
  <c r="G204" i="442"/>
  <c r="G203" i="442"/>
  <c r="E202" i="442"/>
  <c r="G201" i="442"/>
  <c r="E200" i="442"/>
  <c r="E199" i="442"/>
  <c r="E198" i="442"/>
  <c r="G197" i="442"/>
  <c r="E196" i="442"/>
  <c r="E195" i="442"/>
  <c r="E194" i="442"/>
  <c r="E193" i="442"/>
  <c r="E192" i="442"/>
  <c r="G191" i="442"/>
  <c r="E190" i="442"/>
  <c r="G189" i="442"/>
  <c r="E188" i="442"/>
  <c r="E187" i="442"/>
  <c r="E186" i="442"/>
  <c r="G185" i="442"/>
  <c r="E184" i="442"/>
  <c r="E183" i="442"/>
  <c r="E182" i="442"/>
  <c r="E181" i="442"/>
  <c r="G180" i="442"/>
  <c r="E179" i="442"/>
  <c r="E178" i="442"/>
  <c r="E177" i="442"/>
  <c r="E176" i="442"/>
  <c r="G175" i="442"/>
  <c r="E174" i="442"/>
  <c r="E173" i="442"/>
  <c r="E172" i="442"/>
  <c r="E171" i="442"/>
  <c r="E170" i="442"/>
  <c r="G169" i="442"/>
  <c r="E168" i="442"/>
  <c r="E167" i="442"/>
  <c r="E166" i="442"/>
  <c r="E165" i="442"/>
  <c r="G164" i="442"/>
  <c r="E163" i="442"/>
  <c r="E162" i="442"/>
  <c r="E161" i="442"/>
  <c r="E160" i="442"/>
  <c r="E159" i="442"/>
  <c r="G158" i="442"/>
  <c r="E157" i="442"/>
  <c r="E156" i="442"/>
  <c r="E155" i="442"/>
  <c r="E154" i="442"/>
  <c r="E153" i="442"/>
  <c r="G152" i="442"/>
  <c r="G151" i="442"/>
  <c r="E149" i="442"/>
  <c r="E148" i="442"/>
  <c r="E147" i="442"/>
  <c r="E146" i="442"/>
  <c r="G145" i="442"/>
  <c r="E144" i="442"/>
  <c r="E143" i="442"/>
  <c r="E142" i="442"/>
  <c r="G141" i="442"/>
  <c r="E140" i="442"/>
  <c r="E139" i="442"/>
  <c r="E138" i="442"/>
  <c r="E137" i="442"/>
  <c r="E136" i="442"/>
  <c r="E135" i="442"/>
  <c r="E134" i="442"/>
  <c r="E133" i="442"/>
  <c r="E132" i="442"/>
  <c r="E131" i="442"/>
  <c r="E130" i="442"/>
  <c r="E129" i="442"/>
  <c r="E128" i="442"/>
  <c r="E127" i="442"/>
  <c r="E126" i="442"/>
  <c r="E125" i="442"/>
  <c r="G124" i="442"/>
  <c r="E123" i="442"/>
  <c r="E122" i="442"/>
  <c r="E121" i="442"/>
  <c r="E120" i="442"/>
  <c r="E119" i="442"/>
  <c r="E118" i="442"/>
  <c r="E117" i="442"/>
  <c r="E116" i="442"/>
  <c r="E115" i="442"/>
  <c r="E114" i="442"/>
  <c r="E113" i="442"/>
  <c r="E112" i="442"/>
  <c r="E111" i="442"/>
  <c r="E110" i="442"/>
  <c r="E109" i="442"/>
  <c r="E108" i="442"/>
  <c r="G107" i="442"/>
  <c r="E106" i="442"/>
  <c r="E105" i="442"/>
  <c r="E104" i="442"/>
  <c r="E103" i="442"/>
  <c r="E102" i="442"/>
  <c r="E101" i="442"/>
  <c r="E100" i="442"/>
  <c r="E99" i="442"/>
  <c r="E98" i="442"/>
  <c r="G97" i="442"/>
  <c r="E96" i="442"/>
  <c r="E95" i="442"/>
  <c r="E94" i="442"/>
  <c r="E93" i="442"/>
  <c r="E92" i="442"/>
  <c r="E91" i="442"/>
  <c r="E90" i="442"/>
  <c r="E89" i="442"/>
  <c r="E88" i="442"/>
  <c r="G87" i="442"/>
  <c r="E86" i="442"/>
  <c r="E85" i="442"/>
  <c r="E84" i="442"/>
  <c r="E83" i="442"/>
  <c r="E82" i="442"/>
  <c r="E81" i="442"/>
  <c r="E80" i="442"/>
  <c r="E79" i="442"/>
  <c r="E78" i="442"/>
  <c r="G77" i="442"/>
  <c r="E76" i="442"/>
  <c r="E75" i="442"/>
  <c r="E74" i="442"/>
  <c r="E73" i="442"/>
  <c r="E72" i="442"/>
  <c r="E71" i="442"/>
  <c r="E70" i="442"/>
  <c r="E69" i="442"/>
  <c r="E68" i="442"/>
  <c r="G67" i="442"/>
  <c r="E66" i="442"/>
  <c r="E65" i="442"/>
  <c r="E64" i="442"/>
  <c r="E63" i="442"/>
  <c r="E62" i="442"/>
  <c r="E61" i="442"/>
  <c r="E60" i="442"/>
  <c r="E59" i="442"/>
  <c r="E58" i="442"/>
  <c r="G57" i="442"/>
  <c r="E56" i="442"/>
  <c r="E55" i="442"/>
  <c r="E54" i="442"/>
  <c r="E53" i="442"/>
  <c r="E52" i="442"/>
  <c r="E51" i="442"/>
  <c r="E50" i="442"/>
  <c r="E49" i="442"/>
  <c r="E48" i="442"/>
  <c r="G47" i="442"/>
  <c r="E46" i="442"/>
  <c r="E45" i="442"/>
  <c r="E44" i="442"/>
  <c r="E43" i="442"/>
  <c r="E42" i="442"/>
  <c r="E41" i="442"/>
  <c r="E40" i="442"/>
  <c r="E39" i="442"/>
  <c r="E38" i="442"/>
  <c r="G37" i="442"/>
  <c r="E36" i="442"/>
  <c r="E35" i="442"/>
  <c r="E34" i="442"/>
  <c r="E33" i="442"/>
  <c r="E32" i="442"/>
  <c r="E31" i="442"/>
  <c r="E30" i="442"/>
  <c r="E29" i="442"/>
  <c r="E28" i="442"/>
  <c r="G27" i="442"/>
  <c r="E26" i="442"/>
  <c r="E25" i="442"/>
  <c r="E24" i="442"/>
  <c r="E23" i="442"/>
  <c r="E22" i="442"/>
  <c r="E21" i="442"/>
  <c r="E20" i="442"/>
  <c r="G19" i="442"/>
  <c r="E18" i="442"/>
  <c r="E17" i="442"/>
  <c r="E16" i="442"/>
  <c r="E15" i="442"/>
  <c r="E14" i="442"/>
  <c r="E13" i="442"/>
  <c r="E12" i="442"/>
  <c r="G11" i="442"/>
  <c r="E10" i="442"/>
  <c r="E9" i="442"/>
  <c r="E8" i="442"/>
  <c r="E7" i="442"/>
  <c r="E6" i="442"/>
  <c r="E5" i="442"/>
  <c r="E4" i="442"/>
  <c r="G3" i="442"/>
  <c r="G2" i="442"/>
  <c r="D670" i="443"/>
  <c r="G117" i="442" s="1"/>
  <c r="A670" i="443"/>
  <c r="D669" i="443"/>
  <c r="G118" i="442" s="1"/>
  <c r="A669" i="443"/>
  <c r="D668" i="443"/>
  <c r="A668" i="443"/>
  <c r="D667" i="443"/>
  <c r="G2460" i="442" s="1"/>
  <c r="A667" i="443"/>
  <c r="D666" i="443"/>
  <c r="G1671" i="442" s="1"/>
  <c r="A666" i="443"/>
  <c r="D665" i="443"/>
  <c r="A665" i="443"/>
  <c r="D664" i="443"/>
  <c r="G2023" i="442" s="1"/>
  <c r="A664" i="443"/>
  <c r="D663" i="443"/>
  <c r="A663" i="443"/>
  <c r="D662" i="443"/>
  <c r="G1659" i="442" s="1"/>
  <c r="A662" i="443"/>
  <c r="E661" i="443"/>
  <c r="D661" i="443" s="1"/>
  <c r="G2014" i="442" s="1"/>
  <c r="A661" i="443"/>
  <c r="E660" i="443"/>
  <c r="D660" i="443" s="1"/>
  <c r="A660" i="443"/>
  <c r="E659" i="443"/>
  <c r="D659" i="443" s="1"/>
  <c r="G2016" i="442" s="1"/>
  <c r="A659" i="443"/>
  <c r="E658" i="443"/>
  <c r="D658" i="443" s="1"/>
  <c r="G2007" i="442" s="1"/>
  <c r="A658" i="443"/>
  <c r="E657" i="443"/>
  <c r="D657" i="443" s="1"/>
  <c r="G1982" i="442" s="1"/>
  <c r="A657" i="443"/>
  <c r="E656" i="443"/>
  <c r="D656" i="443" s="1"/>
  <c r="G2002" i="442" s="1"/>
  <c r="A656" i="443"/>
  <c r="E655" i="443"/>
  <c r="D655" i="443" s="1"/>
  <c r="G1972" i="442" s="1"/>
  <c r="A655" i="443"/>
  <c r="E654" i="443"/>
  <c r="D654" i="443" s="1"/>
  <c r="G1962" i="442" s="1"/>
  <c r="A654" i="443"/>
  <c r="E653" i="443"/>
  <c r="D653" i="443" s="1"/>
  <c r="G1967" i="442" s="1"/>
  <c r="A653" i="443"/>
  <c r="D652" i="443"/>
  <c r="G2099" i="442" s="1"/>
  <c r="A652" i="443"/>
  <c r="D651" i="443"/>
  <c r="G2102" i="442" s="1"/>
  <c r="A651" i="443"/>
  <c r="D650" i="443"/>
  <c r="G2105" i="442" s="1"/>
  <c r="A650" i="443"/>
  <c r="E649" i="443"/>
  <c r="D649" i="443" s="1"/>
  <c r="G2093" i="442" s="1"/>
  <c r="A649" i="443"/>
  <c r="D648" i="443"/>
  <c r="A648" i="443"/>
  <c r="D647" i="443"/>
  <c r="G136" i="442" s="1"/>
  <c r="A647" i="443"/>
  <c r="D646" i="443"/>
  <c r="A646" i="443"/>
  <c r="D645" i="443"/>
  <c r="G2141" i="442" s="1"/>
  <c r="A645" i="443"/>
  <c r="D644" i="443"/>
  <c r="G2138" i="442" s="1"/>
  <c r="A644" i="443"/>
  <c r="E643" i="443"/>
  <c r="D643" i="443" s="1"/>
  <c r="A643" i="443"/>
  <c r="E642" i="443"/>
  <c r="D642" i="443" s="1"/>
  <c r="G1695" i="442" s="1"/>
  <c r="A642" i="443"/>
  <c r="D641" i="443"/>
  <c r="A641" i="443"/>
  <c r="D640" i="443"/>
  <c r="A640" i="443"/>
  <c r="D639" i="443"/>
  <c r="A639" i="443"/>
  <c r="D638" i="443"/>
  <c r="A638" i="443"/>
  <c r="D637" i="443"/>
  <c r="A637" i="443"/>
  <c r="D636" i="443"/>
  <c r="A636" i="443"/>
  <c r="D635" i="443"/>
  <c r="A635" i="443"/>
  <c r="D634" i="443"/>
  <c r="G2135" i="442" s="1"/>
  <c r="A634" i="443"/>
  <c r="D633" i="443"/>
  <c r="G2132" i="442" s="1"/>
  <c r="A633" i="443"/>
  <c r="D632" i="443"/>
  <c r="A632" i="443"/>
  <c r="D631" i="443"/>
  <c r="A631" i="443"/>
  <c r="D630" i="443"/>
  <c r="G1323" i="442" s="1"/>
  <c r="A630" i="443"/>
  <c r="D629" i="443"/>
  <c r="A629" i="443"/>
  <c r="D628" i="443"/>
  <c r="G2106" i="442" s="1"/>
  <c r="A628" i="443"/>
  <c r="D624" i="443"/>
  <c r="G2117" i="442" s="1"/>
  <c r="A624" i="443"/>
  <c r="D623" i="443"/>
  <c r="G1537" i="442" s="1"/>
  <c r="A623" i="443"/>
  <c r="D622" i="443"/>
  <c r="G1970" i="442" s="1"/>
  <c r="A622" i="443"/>
  <c r="D621" i="443"/>
  <c r="A621" i="443"/>
  <c r="D620" i="443"/>
  <c r="A620" i="443"/>
  <c r="E619" i="443"/>
  <c r="D619" i="443" s="1"/>
  <c r="G1677" i="442" s="1"/>
  <c r="A619" i="443"/>
  <c r="D618" i="443"/>
  <c r="G1669" i="442" s="1"/>
  <c r="A618" i="443"/>
  <c r="D617" i="443"/>
  <c r="G1667" i="442" s="1"/>
  <c r="A617" i="443"/>
  <c r="D616" i="443"/>
  <c r="A616" i="443"/>
  <c r="D615" i="443"/>
  <c r="G1976" i="442" s="1"/>
  <c r="A615" i="443"/>
  <c r="D614" i="443"/>
  <c r="G2114" i="442" s="1"/>
  <c r="A614" i="443"/>
  <c r="D613" i="443"/>
  <c r="G2110" i="442" s="1"/>
  <c r="A613" i="443"/>
  <c r="D612" i="443"/>
  <c r="G1871" i="442" s="1"/>
  <c r="A612" i="443"/>
  <c r="D611" i="443"/>
  <c r="G2450" i="442" s="1"/>
  <c r="A611" i="443"/>
  <c r="D610" i="443"/>
  <c r="G86" i="442" s="1"/>
  <c r="A610" i="443"/>
  <c r="D609" i="443"/>
  <c r="G1863" i="442" s="1"/>
  <c r="A609" i="443"/>
  <c r="D608" i="443"/>
  <c r="G1869" i="442" s="1"/>
  <c r="A608" i="443"/>
  <c r="E607" i="443"/>
  <c r="D607" i="443" s="1"/>
  <c r="G1867" i="442" s="1"/>
  <c r="A607" i="443"/>
  <c r="E606" i="443"/>
  <c r="D606" i="443" s="1"/>
  <c r="G1865" i="442" s="1"/>
  <c r="A606" i="443"/>
  <c r="D605" i="443"/>
  <c r="A605" i="443"/>
  <c r="D604" i="443"/>
  <c r="G599" i="442" s="1"/>
  <c r="A604" i="443"/>
  <c r="D603" i="443"/>
  <c r="G389" i="442" s="1"/>
  <c r="A603" i="443"/>
  <c r="D602" i="443"/>
  <c r="G327" i="442" s="1"/>
  <c r="A602" i="443"/>
  <c r="D601" i="443"/>
  <c r="G790" i="442" s="1"/>
  <c r="A601" i="443"/>
  <c r="D600" i="443"/>
  <c r="G216" i="442" s="1"/>
  <c r="A600" i="443"/>
  <c r="D599" i="443"/>
  <c r="G244" i="442" s="1"/>
  <c r="A599" i="443"/>
  <c r="D598" i="443"/>
  <c r="G242" i="442" s="1"/>
  <c r="A598" i="443"/>
  <c r="D597" i="443"/>
  <c r="A597" i="443"/>
  <c r="D596" i="443"/>
  <c r="G636" i="442" s="1"/>
  <c r="A596" i="443"/>
  <c r="D595" i="443"/>
  <c r="G634" i="442" s="1"/>
  <c r="A595" i="443"/>
  <c r="D594" i="443"/>
  <c r="G974" i="442" s="1"/>
  <c r="A594" i="443"/>
  <c r="D593" i="443"/>
  <c r="G1618" i="442" s="1"/>
  <c r="A593" i="443"/>
  <c r="D592" i="443"/>
  <c r="G2465" i="442" s="1"/>
  <c r="A592" i="443"/>
  <c r="D591" i="443"/>
  <c r="G2463" i="442" s="1"/>
  <c r="A591" i="443"/>
  <c r="D590" i="443"/>
  <c r="G958" i="442" s="1"/>
  <c r="A590" i="443"/>
  <c r="D589" i="443"/>
  <c r="G1747" i="442" s="1"/>
  <c r="A589" i="443"/>
  <c r="D588" i="443"/>
  <c r="G2143" i="442" s="1"/>
  <c r="A588" i="443"/>
  <c r="D587" i="443"/>
  <c r="G960" i="442" s="1"/>
  <c r="A587" i="443"/>
  <c r="D586" i="443"/>
  <c r="G1751" i="442" s="1"/>
  <c r="A586" i="443"/>
  <c r="D585" i="443"/>
  <c r="G1749" i="442" s="1"/>
  <c r="A585" i="443"/>
  <c r="D584" i="443"/>
  <c r="G1873" i="442" s="1"/>
  <c r="A584" i="443"/>
  <c r="D583" i="443"/>
  <c r="G1107" i="442" s="1"/>
  <c r="A583" i="443"/>
  <c r="D582" i="443"/>
  <c r="G1111" i="442" s="1"/>
  <c r="A582" i="443"/>
  <c r="D581" i="443"/>
  <c r="G1109" i="442" s="1"/>
  <c r="A581" i="443"/>
  <c r="D580" i="443"/>
  <c r="G1105" i="442" s="1"/>
  <c r="A580" i="443"/>
  <c r="D579" i="443"/>
  <c r="G1103" i="442" s="1"/>
  <c r="A579" i="443"/>
  <c r="D578" i="443"/>
  <c r="G1101" i="442" s="1"/>
  <c r="A578" i="443"/>
  <c r="D577" i="443"/>
  <c r="G898" i="442" s="1"/>
  <c r="A577" i="443"/>
  <c r="D576" i="443"/>
  <c r="G896" i="442" s="1"/>
  <c r="A576" i="443"/>
  <c r="D575" i="443"/>
  <c r="G902" i="442" s="1"/>
  <c r="A575" i="443"/>
  <c r="D574" i="443"/>
  <c r="G900" i="442" s="1"/>
  <c r="A574" i="443"/>
  <c r="D573" i="443"/>
  <c r="G894" i="442" s="1"/>
  <c r="A573" i="443"/>
  <c r="D572" i="443"/>
  <c r="G2151" i="442" s="1"/>
  <c r="A572" i="443"/>
  <c r="D571" i="443"/>
  <c r="G2159" i="442" s="1"/>
  <c r="A571" i="443"/>
  <c r="D570" i="443"/>
  <c r="A570" i="443"/>
  <c r="D569" i="443"/>
  <c r="G2149" i="442" s="1"/>
  <c r="A569" i="443"/>
  <c r="E568" i="443"/>
  <c r="D568" i="443" s="1"/>
  <c r="G2147" i="442" s="1"/>
  <c r="A568" i="443"/>
  <c r="E567" i="443"/>
  <c r="D567" i="443" s="1"/>
  <c r="G2145" i="442" s="1"/>
  <c r="A567" i="443"/>
  <c r="D566" i="443"/>
  <c r="G2157" i="442" s="1"/>
  <c r="A566" i="443"/>
  <c r="D565" i="443"/>
  <c r="G2421" i="442" s="1"/>
  <c r="A565" i="443"/>
  <c r="D563" i="443"/>
  <c r="G2153" i="442" s="1"/>
  <c r="A563" i="443"/>
  <c r="D562" i="443"/>
  <c r="G1164" i="442" s="1"/>
  <c r="A562" i="443"/>
  <c r="D561" i="443"/>
  <c r="G1161" i="442" s="1"/>
  <c r="A561" i="443"/>
  <c r="D560" i="443"/>
  <c r="G964" i="442" s="1"/>
  <c r="A560" i="443"/>
  <c r="D559" i="443"/>
  <c r="G962" i="442" s="1"/>
  <c r="A559" i="443"/>
  <c r="D558" i="443"/>
  <c r="A558" i="443"/>
  <c r="D557" i="443"/>
  <c r="G966" i="442" s="1"/>
  <c r="A557" i="443"/>
  <c r="D556" i="443"/>
  <c r="G972" i="442" s="1"/>
  <c r="A556" i="443"/>
  <c r="D555" i="443"/>
  <c r="G970" i="442" s="1"/>
  <c r="A555" i="443"/>
  <c r="D554" i="443"/>
  <c r="G1622" i="442" s="1"/>
  <c r="A554" i="443"/>
  <c r="D553" i="443"/>
  <c r="G1113" i="442" s="1"/>
  <c r="A553" i="443"/>
  <c r="D552" i="443"/>
  <c r="G1342" i="442" s="1"/>
  <c r="A552" i="443"/>
  <c r="D551" i="443"/>
  <c r="G1097" i="442" s="1"/>
  <c r="A551" i="443"/>
  <c r="D550" i="443"/>
  <c r="G1117" i="442" s="1"/>
  <c r="A550" i="443"/>
  <c r="D549" i="443"/>
  <c r="G1115" i="442" s="1"/>
  <c r="A549" i="443"/>
  <c r="D548" i="443"/>
  <c r="G1606" i="442" s="1"/>
  <c r="A548" i="443"/>
  <c r="D547" i="443"/>
  <c r="G1624" i="442" s="1"/>
  <c r="A547" i="443"/>
  <c r="D546" i="443"/>
  <c r="A546" i="443"/>
  <c r="D545" i="443"/>
  <c r="G1745" i="442" s="1"/>
  <c r="A545" i="443"/>
  <c r="D544" i="443"/>
  <c r="A544" i="443"/>
  <c r="D543" i="443"/>
  <c r="G1737" i="442" s="1"/>
  <c r="A543" i="443"/>
  <c r="D542" i="443"/>
  <c r="G1735" i="442" s="1"/>
  <c r="A542" i="443"/>
  <c r="D541" i="443"/>
  <c r="G1753" i="442" s="1"/>
  <c r="A541" i="443"/>
  <c r="D540" i="443"/>
  <c r="G1610" i="442" s="1"/>
  <c r="A540" i="443"/>
  <c r="D539" i="443"/>
  <c r="G1612" i="442" s="1"/>
  <c r="A539" i="443"/>
  <c r="D538" i="443"/>
  <c r="G892" i="442" s="1"/>
  <c r="A538" i="443"/>
  <c r="D537" i="443"/>
  <c r="G1608" i="442" s="1"/>
  <c r="A537" i="443"/>
  <c r="D536" i="443"/>
  <c r="G1099" i="442" s="1"/>
  <c r="A536" i="443"/>
  <c r="D535" i="443"/>
  <c r="G1630" i="442" s="1"/>
  <c r="A535" i="443"/>
  <c r="D534" i="443"/>
  <c r="G1293" i="442" s="1"/>
  <c r="A534" i="443"/>
  <c r="D533" i="443"/>
  <c r="G1614" i="442" s="1"/>
  <c r="A533" i="443"/>
  <c r="D532" i="443"/>
  <c r="G1628" i="442" s="1"/>
  <c r="A532" i="443"/>
  <c r="D531" i="443"/>
  <c r="G1331" i="442" s="1"/>
  <c r="A531" i="443"/>
  <c r="D530" i="443"/>
  <c r="G1327" i="442" s="1"/>
  <c r="A530" i="443"/>
  <c r="D529" i="443"/>
  <c r="G1634" i="442" s="1"/>
  <c r="A529" i="443"/>
  <c r="D528" i="443"/>
  <c r="G1636" i="442" s="1"/>
  <c r="A528" i="443"/>
  <c r="D527" i="443"/>
  <c r="G1632" i="442" s="1"/>
  <c r="A527" i="443"/>
  <c r="D526" i="443"/>
  <c r="G1626" i="442" s="1"/>
  <c r="A526" i="443"/>
  <c r="D525" i="443"/>
  <c r="G1620" i="442" s="1"/>
  <c r="A525" i="443"/>
  <c r="D524" i="443"/>
  <c r="G2378" i="442" s="1"/>
  <c r="A524" i="443"/>
  <c r="D523" i="443"/>
  <c r="G904" i="442" s="1"/>
  <c r="A523" i="443"/>
  <c r="D522" i="443"/>
  <c r="A522" i="443"/>
  <c r="D521" i="443"/>
  <c r="G910" i="442" s="1"/>
  <c r="A521" i="443"/>
  <c r="D520" i="443"/>
  <c r="A520" i="443"/>
  <c r="D519" i="443"/>
  <c r="G1514" i="442" s="1"/>
  <c r="A519" i="443"/>
  <c r="E518" i="443"/>
  <c r="D518" i="443"/>
  <c r="G1335" i="442" s="1"/>
  <c r="A518" i="443"/>
  <c r="D517" i="443"/>
  <c r="G1146" i="442" s="1"/>
  <c r="A517" i="443"/>
  <c r="D516" i="443"/>
  <c r="G1150" i="442" s="1"/>
  <c r="A516" i="443"/>
  <c r="D515" i="443"/>
  <c r="G1140" i="442" s="1"/>
  <c r="A515" i="443"/>
  <c r="D514" i="443"/>
  <c r="G1158" i="442" s="1"/>
  <c r="A514" i="443"/>
  <c r="D513" i="443"/>
  <c r="G1142" i="442" s="1"/>
  <c r="A513" i="443"/>
  <c r="D512" i="443"/>
  <c r="G1138" i="442" s="1"/>
  <c r="A512" i="443"/>
  <c r="D511" i="443"/>
  <c r="G1152" i="442" s="1"/>
  <c r="A511" i="443"/>
  <c r="E510" i="443"/>
  <c r="D510" i="443" s="1"/>
  <c r="G1148" i="442" s="1"/>
  <c r="A510" i="443"/>
  <c r="D509" i="443"/>
  <c r="G1144" i="442" s="1"/>
  <c r="A509" i="443"/>
  <c r="D506" i="443"/>
  <c r="G460" i="442" s="1"/>
  <c r="A506" i="443"/>
  <c r="D505" i="443"/>
  <c r="G404" i="442" s="1"/>
  <c r="A505" i="443"/>
  <c r="D504" i="443"/>
  <c r="G267" i="442" s="1"/>
  <c r="A504" i="443"/>
  <c r="D503" i="443"/>
  <c r="G265" i="442" s="1"/>
  <c r="A503" i="443"/>
  <c r="D502" i="443"/>
  <c r="G263" i="442" s="1"/>
  <c r="A502" i="443"/>
  <c r="D501" i="443"/>
  <c r="G261" i="442" s="1"/>
  <c r="A501" i="443"/>
  <c r="D500" i="443"/>
  <c r="G255" i="442" s="1"/>
  <c r="A500" i="443"/>
  <c r="D499" i="443"/>
  <c r="G253" i="442" s="1"/>
  <c r="A499" i="443"/>
  <c r="D498" i="443"/>
  <c r="G259" i="442" s="1"/>
  <c r="A498" i="443"/>
  <c r="D497" i="443"/>
  <c r="G257" i="442" s="1"/>
  <c r="A497" i="443"/>
  <c r="D496" i="443"/>
  <c r="G251" i="442" s="1"/>
  <c r="A496" i="443"/>
  <c r="D495" i="443"/>
  <c r="G249" i="442" s="1"/>
  <c r="A495" i="443"/>
  <c r="D494" i="443"/>
  <c r="G271" i="442" s="1"/>
  <c r="A494" i="443"/>
  <c r="D493" i="443"/>
  <c r="G269" i="442" s="1"/>
  <c r="A493" i="443"/>
  <c r="D492" i="443"/>
  <c r="G628" i="442" s="1"/>
  <c r="A492" i="443"/>
  <c r="D491" i="443"/>
  <c r="G624" i="442" s="1"/>
  <c r="A491" i="443"/>
  <c r="D490" i="443"/>
  <c r="G210" i="442" s="1"/>
  <c r="A490" i="443"/>
  <c r="D489" i="443"/>
  <c r="G214" i="442" s="1"/>
  <c r="A489" i="443"/>
  <c r="D488" i="443"/>
  <c r="G234" i="442" s="1"/>
  <c r="A488" i="443"/>
  <c r="D487" i="443"/>
  <c r="G232" i="442" s="1"/>
  <c r="A487" i="443"/>
  <c r="D486" i="443"/>
  <c r="G230" i="442" s="1"/>
  <c r="A486" i="443"/>
  <c r="D485" i="443"/>
  <c r="A485" i="443"/>
  <c r="D484" i="443"/>
  <c r="A484" i="443"/>
  <c r="D483" i="443"/>
  <c r="A483" i="443"/>
  <c r="D482" i="443"/>
  <c r="G1561" i="442" s="1"/>
  <c r="A482" i="443"/>
  <c r="D481" i="443"/>
  <c r="G1558" i="442" s="1"/>
  <c r="A481" i="443"/>
  <c r="D480" i="443"/>
  <c r="G1547" i="442" s="1"/>
  <c r="A480" i="443"/>
  <c r="D479" i="443"/>
  <c r="G1550" i="442" s="1"/>
  <c r="A479" i="443"/>
  <c r="D478" i="443"/>
  <c r="G1533" i="442" s="1"/>
  <c r="A478" i="443"/>
  <c r="D477" i="443"/>
  <c r="A477" i="443"/>
  <c r="D476" i="443"/>
  <c r="A476" i="443"/>
  <c r="D475" i="443"/>
  <c r="G1447" i="442" s="1"/>
  <c r="A475" i="443"/>
  <c r="D474" i="443"/>
  <c r="G1497" i="442" s="1"/>
  <c r="A474" i="443"/>
  <c r="D473" i="443"/>
  <c r="G1040" i="442" s="1"/>
  <c r="A473" i="443"/>
  <c r="D472" i="443"/>
  <c r="G2062" i="442" s="1"/>
  <c r="A472" i="443"/>
  <c r="D471" i="443"/>
  <c r="G1492" i="442" s="1"/>
  <c r="A471" i="443"/>
  <c r="D470" i="443"/>
  <c r="G1502" i="442" s="1"/>
  <c r="A470" i="443"/>
  <c r="D469" i="443"/>
  <c r="G1467" i="442" s="1"/>
  <c r="A469" i="443"/>
  <c r="D468" i="443"/>
  <c r="G1030" i="442" s="1"/>
  <c r="A468" i="443"/>
  <c r="D467" i="443"/>
  <c r="G1045" i="442" s="1"/>
  <c r="A467" i="443"/>
  <c r="D466" i="443"/>
  <c r="G1035" i="442" s="1"/>
  <c r="A466" i="443"/>
  <c r="D465" i="443"/>
  <c r="G1457" i="442" s="1"/>
  <c r="A465" i="443"/>
  <c r="D464" i="443"/>
  <c r="G1487" i="442" s="1"/>
  <c r="A464" i="443"/>
  <c r="D463" i="443"/>
  <c r="G1477" i="442" s="1"/>
  <c r="A463" i="443"/>
  <c r="D462" i="443"/>
  <c r="G1462" i="442" s="1"/>
  <c r="A462" i="443"/>
  <c r="D461" i="443"/>
  <c r="A461" i="443"/>
  <c r="D460" i="443"/>
  <c r="G1936" i="442" s="1"/>
  <c r="A460" i="443"/>
  <c r="D459" i="443"/>
  <c r="G1933" i="442" s="1"/>
  <c r="A459" i="443"/>
  <c r="D458" i="443"/>
  <c r="G1482" i="442" s="1"/>
  <c r="A458" i="443"/>
  <c r="D457" i="443"/>
  <c r="A457" i="443"/>
  <c r="D456" i="443"/>
  <c r="A456" i="443"/>
  <c r="D455" i="443"/>
  <c r="G2076" i="442" s="1"/>
  <c r="A455" i="443"/>
  <c r="D454" i="443"/>
  <c r="G1442" i="442" s="1"/>
  <c r="A454" i="443"/>
  <c r="D453" i="443"/>
  <c r="G1333" i="442" s="1"/>
  <c r="A453" i="443"/>
  <c r="D452" i="443"/>
  <c r="G1598" i="442" s="1"/>
  <c r="A452" i="443"/>
  <c r="D451" i="443"/>
  <c r="G1594" i="442" s="1"/>
  <c r="A451" i="443"/>
  <c r="D450" i="443"/>
  <c r="A450" i="443"/>
  <c r="D449" i="443"/>
  <c r="G1050" i="442" s="1"/>
  <c r="A449" i="443"/>
  <c r="D448" i="443"/>
  <c r="G1163" i="442" s="1"/>
  <c r="A448" i="443"/>
  <c r="D447" i="443"/>
  <c r="A447" i="443"/>
  <c r="D446" i="443"/>
  <c r="G1427" i="442" s="1"/>
  <c r="A446" i="443"/>
  <c r="D445" i="443"/>
  <c r="A445" i="443"/>
  <c r="D444" i="443"/>
  <c r="G1377" i="442" s="1"/>
  <c r="A444" i="443"/>
  <c r="D443" i="443"/>
  <c r="G1337" i="442" s="1"/>
  <c r="A443" i="443"/>
  <c r="D442" i="443"/>
  <c r="G2071" i="442" s="1"/>
  <c r="A442" i="443"/>
  <c r="D440" i="443"/>
  <c r="A440" i="443"/>
  <c r="D439" i="443"/>
  <c r="G2045" i="442" s="1"/>
  <c r="A439" i="443"/>
  <c r="D438" i="443"/>
  <c r="A438" i="443"/>
  <c r="D437" i="443"/>
  <c r="G1437" i="442" s="1"/>
  <c r="A437" i="443"/>
  <c r="D436" i="443"/>
  <c r="A436" i="443"/>
  <c r="D435" i="443"/>
  <c r="G2085" i="442" s="1"/>
  <c r="A435" i="443"/>
  <c r="D434" i="443"/>
  <c r="G1417" i="442" s="1"/>
  <c r="A434" i="443"/>
  <c r="D433" i="443"/>
  <c r="A433" i="443"/>
  <c r="D432" i="443"/>
  <c r="A432" i="443"/>
  <c r="D431" i="443"/>
  <c r="A431" i="443"/>
  <c r="D430" i="443"/>
  <c r="G1363" i="442" s="1"/>
  <c r="A430" i="443"/>
  <c r="D429" i="443"/>
  <c r="G1359" i="442" s="1"/>
  <c r="A429" i="443"/>
  <c r="D428" i="443"/>
  <c r="A428" i="443"/>
  <c r="D427" i="443"/>
  <c r="G1392" i="442" s="1"/>
  <c r="A427" i="443"/>
  <c r="D426" i="443"/>
  <c r="G1055" i="442" s="1"/>
  <c r="A426" i="443"/>
  <c r="D425" i="443"/>
  <c r="G1900" i="442" s="1"/>
  <c r="A425" i="443"/>
  <c r="D424" i="443"/>
  <c r="G1905" i="442" s="1"/>
  <c r="A424" i="443"/>
  <c r="E423" i="443"/>
  <c r="D423" i="443" s="1"/>
  <c r="G1910" i="442" s="1"/>
  <c r="A423" i="443"/>
  <c r="D422" i="443"/>
  <c r="G1568" i="442" s="1"/>
  <c r="A422" i="443"/>
  <c r="D421" i="443"/>
  <c r="A421" i="443"/>
  <c r="D420" i="443"/>
  <c r="G2050" i="442" s="1"/>
  <c r="A420" i="443"/>
  <c r="D419" i="443"/>
  <c r="A419" i="443"/>
  <c r="D418" i="443"/>
  <c r="A418" i="443"/>
  <c r="D417" i="443"/>
  <c r="G2040" i="442" s="1"/>
  <c r="A417" i="443"/>
  <c r="D416" i="443"/>
  <c r="A416" i="443"/>
  <c r="D415" i="443"/>
  <c r="G1341" i="442" s="1"/>
  <c r="A415" i="443"/>
  <c r="D414" i="443"/>
  <c r="G1513" i="442" s="1"/>
  <c r="A414" i="443"/>
  <c r="D413" i="443"/>
  <c r="G1010" i="442" s="1"/>
  <c r="A413" i="443"/>
  <c r="D412" i="443"/>
  <c r="G1060" i="442" s="1"/>
  <c r="A412" i="443"/>
  <c r="E411" i="443"/>
  <c r="D411" i="443" s="1"/>
  <c r="G2069" i="442" s="1"/>
  <c r="A411" i="443"/>
  <c r="E409" i="443"/>
  <c r="D409" i="443" s="1"/>
  <c r="G2067" i="442" s="1"/>
  <c r="A409" i="443"/>
  <c r="E408" i="443"/>
  <c r="D408" i="443" s="1"/>
  <c r="A408" i="443"/>
  <c r="D407" i="443"/>
  <c r="G2306" i="442" s="1"/>
  <c r="A407" i="443"/>
  <c r="D406" i="443"/>
  <c r="G2025" i="442" s="1"/>
  <c r="A406" i="443"/>
  <c r="D405" i="443"/>
  <c r="G1435" i="442" s="1"/>
  <c r="A405" i="443"/>
  <c r="D404" i="443"/>
  <c r="A404" i="443"/>
  <c r="D403" i="443"/>
  <c r="G2086" i="442" s="1"/>
  <c r="A403" i="443"/>
  <c r="E402" i="443"/>
  <c r="D402" i="443" s="1"/>
  <c r="G1344" i="442" s="1"/>
  <c r="A402" i="443"/>
  <c r="D401" i="443"/>
  <c r="G1346" i="442" s="1"/>
  <c r="A401" i="443"/>
  <c r="D400" i="443"/>
  <c r="G1449" i="442" s="1"/>
  <c r="A400" i="443"/>
  <c r="D399" i="443"/>
  <c r="A399" i="443"/>
  <c r="D398" i="443"/>
  <c r="G293" i="442" s="1"/>
  <c r="A398" i="443"/>
  <c r="D397" i="443"/>
  <c r="G522" i="442" s="1"/>
  <c r="A397" i="443"/>
  <c r="D396" i="443"/>
  <c r="G596" i="442" s="1"/>
  <c r="A396" i="443"/>
  <c r="D395" i="443"/>
  <c r="G2338" i="442" s="1"/>
  <c r="A395" i="443"/>
  <c r="D394" i="443"/>
  <c r="G23" i="442" s="1"/>
  <c r="A394" i="443"/>
  <c r="D393" i="443"/>
  <c r="A393" i="443"/>
  <c r="D392" i="443"/>
  <c r="A392" i="443"/>
  <c r="D391" i="443"/>
  <c r="A391" i="443"/>
  <c r="D390" i="443"/>
  <c r="G598" i="442" s="1"/>
  <c r="A390" i="443"/>
  <c r="D389" i="443"/>
  <c r="G514" i="442" s="1"/>
  <c r="A389" i="443"/>
  <c r="D388" i="443"/>
  <c r="G504" i="442" s="1"/>
  <c r="A388" i="443"/>
  <c r="D387" i="443"/>
  <c r="G153" i="442" s="1"/>
  <c r="A387" i="443"/>
  <c r="D386" i="443"/>
  <c r="A386" i="443"/>
  <c r="D385" i="443"/>
  <c r="G483" i="442" s="1"/>
  <c r="A385" i="443"/>
  <c r="D384" i="443"/>
  <c r="G2321" i="442" s="1"/>
  <c r="A384" i="443"/>
  <c r="D383" i="443"/>
  <c r="A383" i="443"/>
  <c r="D382" i="443"/>
  <c r="G2198" i="442" s="1"/>
  <c r="A382" i="443"/>
  <c r="D381" i="443"/>
  <c r="G2211" i="442" s="1"/>
  <c r="A381" i="443"/>
  <c r="D380" i="443"/>
  <c r="A380" i="443"/>
  <c r="D379" i="443"/>
  <c r="A379" i="443"/>
  <c r="D378" i="443"/>
  <c r="A378" i="443"/>
  <c r="D377" i="443"/>
  <c r="A377" i="443"/>
  <c r="D376" i="443"/>
  <c r="G2035" i="442" s="1"/>
  <c r="A376" i="443"/>
  <c r="D375" i="443"/>
  <c r="G1520" i="442" s="1"/>
  <c r="A375" i="443"/>
  <c r="D374" i="443"/>
  <c r="G1929" i="442" s="1"/>
  <c r="A374" i="443"/>
  <c r="D373" i="443"/>
  <c r="A373" i="443"/>
  <c r="D372" i="443"/>
  <c r="G1079" i="442" s="1"/>
  <c r="A372" i="443"/>
  <c r="D371" i="443"/>
  <c r="G1087" i="442" s="1"/>
  <c r="A371" i="443"/>
  <c r="D370" i="443"/>
  <c r="A370" i="443"/>
  <c r="D369" i="443"/>
  <c r="G1082" i="442" s="1"/>
  <c r="A369" i="443"/>
  <c r="D368" i="443"/>
  <c r="G1348" i="442" s="1"/>
  <c r="A368" i="443"/>
  <c r="D367" i="443"/>
  <c r="G1349" i="442" s="1"/>
  <c r="A367" i="443"/>
  <c r="D366" i="443"/>
  <c r="G2304" i="442" s="1"/>
  <c r="A366" i="443"/>
  <c r="D365" i="443"/>
  <c r="G991" i="442" s="1"/>
  <c r="A365" i="443"/>
  <c r="D364" i="443"/>
  <c r="G995" i="442" s="1"/>
  <c r="A364" i="443"/>
  <c r="D363" i="443"/>
  <c r="G1761" i="442" s="1"/>
  <c r="A363" i="443"/>
  <c r="E362" i="443"/>
  <c r="D362" i="443" s="1"/>
  <c r="G1767" i="442" s="1"/>
  <c r="A362" i="443"/>
  <c r="E361" i="443"/>
  <c r="D361" i="443" s="1"/>
  <c r="G1764" i="442" s="1"/>
  <c r="A361" i="443"/>
  <c r="D360" i="443"/>
  <c r="G1758" i="442" s="1"/>
  <c r="A360" i="443"/>
  <c r="D359" i="443"/>
  <c r="G1133" i="442" s="1"/>
  <c r="A359" i="443"/>
  <c r="D358" i="443"/>
  <c r="G1135" i="442" s="1"/>
  <c r="A358" i="443"/>
  <c r="D357" i="443"/>
  <c r="A357" i="443"/>
  <c r="D356" i="443"/>
  <c r="G1325" i="442" s="1"/>
  <c r="A356" i="443"/>
  <c r="D355" i="443"/>
  <c r="G2096" i="442" s="1"/>
  <c r="A355" i="443"/>
  <c r="D354" i="443"/>
  <c r="G578" i="442" s="1"/>
  <c r="A354" i="443"/>
  <c r="D353" i="443"/>
  <c r="G1126" i="442" s="1"/>
  <c r="A353" i="443"/>
  <c r="D352" i="443"/>
  <c r="G1181" i="442" s="1"/>
  <c r="A352" i="443"/>
  <c r="D351" i="443"/>
  <c r="A351" i="443"/>
  <c r="D350" i="443"/>
  <c r="G1732" i="442" s="1"/>
  <c r="A350" i="443"/>
  <c r="D349" i="443"/>
  <c r="A349" i="443"/>
  <c r="D348" i="443"/>
  <c r="G2432" i="442" s="1"/>
  <c r="A348" i="443"/>
  <c r="D347" i="443"/>
  <c r="G1604" i="442" s="1"/>
  <c r="A347" i="443"/>
  <c r="D346" i="443"/>
  <c r="A346" i="443"/>
  <c r="E345" i="443"/>
  <c r="D345" i="443" s="1"/>
  <c r="G1886" i="442" s="1"/>
  <c r="A345" i="443"/>
  <c r="D344" i="443"/>
  <c r="G95" i="442" s="1"/>
  <c r="A344" i="443"/>
  <c r="D343" i="443"/>
  <c r="G2340" i="442" s="1"/>
  <c r="A343" i="443"/>
  <c r="D342" i="443"/>
  <c r="G2233" i="442" s="1"/>
  <c r="A342" i="443"/>
  <c r="E341" i="443"/>
  <c r="D341" i="443" s="1"/>
  <c r="G1095" i="442" s="1"/>
  <c r="A341" i="443"/>
  <c r="E340" i="443"/>
  <c r="D340" i="443" s="1"/>
  <c r="G1921" i="442" s="1"/>
  <c r="A340" i="443"/>
  <c r="D339" i="443"/>
  <c r="A339" i="443"/>
  <c r="D338" i="443"/>
  <c r="G4" i="442" s="1"/>
  <c r="A338" i="443"/>
  <c r="D337" i="443"/>
  <c r="G1002" i="442" s="1"/>
  <c r="A337" i="443"/>
  <c r="D336" i="443"/>
  <c r="G2140" i="442" s="1"/>
  <c r="A336" i="443"/>
  <c r="D335" i="443"/>
  <c r="A335" i="443"/>
  <c r="D334" i="443"/>
  <c r="A334" i="443"/>
  <c r="D333" i="443"/>
  <c r="G2244" i="442" s="1"/>
  <c r="A333" i="443"/>
  <c r="D332" i="443"/>
  <c r="A332" i="443"/>
  <c r="D331" i="443"/>
  <c r="G1532" i="442" s="1"/>
  <c r="A331" i="443"/>
  <c r="D330" i="443"/>
  <c r="G199" i="442" s="1"/>
  <c r="A330" i="443"/>
  <c r="D329" i="443"/>
  <c r="G155" i="442" s="1"/>
  <c r="A329" i="443"/>
  <c r="D328" i="443"/>
  <c r="G730" i="442" s="1"/>
  <c r="A328" i="443"/>
  <c r="D327" i="443"/>
  <c r="G142" i="442" s="1"/>
  <c r="A327" i="443"/>
  <c r="D326" i="443"/>
  <c r="A326" i="443"/>
  <c r="D325" i="443"/>
  <c r="G980" i="442" s="1"/>
  <c r="A325" i="443"/>
  <c r="D324" i="443"/>
  <c r="G1213" i="442" s="1"/>
  <c r="A324" i="443"/>
  <c r="D323" i="443"/>
  <c r="A323" i="443"/>
  <c r="D322" i="443"/>
  <c r="G1127" i="442" s="1"/>
  <c r="A322" i="443"/>
  <c r="D321" i="443"/>
  <c r="G1548" i="442" s="1"/>
  <c r="A321" i="443"/>
  <c r="D320" i="443"/>
  <c r="G2430" i="442" s="1"/>
  <c r="A320" i="443"/>
  <c r="D319" i="443"/>
  <c r="G2439" i="442" s="1"/>
  <c r="A319" i="443"/>
  <c r="D318" i="443"/>
  <c r="G2438" i="442" s="1"/>
  <c r="A318" i="443"/>
  <c r="D317" i="443"/>
  <c r="G2400" i="442" s="1"/>
  <c r="A317" i="443"/>
  <c r="D316" i="443"/>
  <c r="A316" i="443"/>
  <c r="D315" i="443"/>
  <c r="G240" i="442" s="1"/>
  <c r="A315" i="443"/>
  <c r="D314" i="443"/>
  <c r="G2429" i="442" s="1"/>
  <c r="A314" i="443"/>
  <c r="D313" i="443"/>
  <c r="G2386" i="442" s="1"/>
  <c r="A313" i="443"/>
  <c r="D312" i="443"/>
  <c r="G2440" i="442" s="1"/>
  <c r="A312" i="443"/>
  <c r="D311" i="443"/>
  <c r="A311" i="443"/>
  <c r="D310" i="443"/>
  <c r="A310" i="443"/>
  <c r="D309" i="443"/>
  <c r="A309" i="443"/>
  <c r="D308" i="443"/>
  <c r="G2303" i="442" s="1"/>
  <c r="A308" i="443"/>
  <c r="D307" i="443"/>
  <c r="A307" i="443"/>
  <c r="D306" i="443"/>
  <c r="G739" i="442" s="1"/>
  <c r="A306" i="443"/>
  <c r="D305" i="443"/>
  <c r="G171" i="442" s="1"/>
  <c r="A305" i="443"/>
  <c r="D304" i="443"/>
  <c r="G1314" i="442" s="1"/>
  <c r="A304" i="443"/>
  <c r="D303" i="443"/>
  <c r="G417" i="442" s="1"/>
  <c r="A303" i="443"/>
  <c r="D302" i="443"/>
  <c r="A302" i="443"/>
  <c r="D301" i="443"/>
  <c r="G174" i="442" s="1"/>
  <c r="A301" i="443"/>
  <c r="D300" i="443"/>
  <c r="G520" i="442" s="1"/>
  <c r="A300" i="443"/>
  <c r="D299" i="443"/>
  <c r="G147" i="442" s="1"/>
  <c r="A299" i="443"/>
  <c r="D298" i="443"/>
  <c r="G91" i="442" s="1"/>
  <c r="A298" i="443"/>
  <c r="D297" i="443"/>
  <c r="G112" i="442" s="1"/>
  <c r="A297" i="443"/>
  <c r="D296" i="443"/>
  <c r="G40" i="442" s="1"/>
  <c r="A296" i="443"/>
  <c r="D295" i="443"/>
  <c r="G1160" i="442" s="1"/>
  <c r="A295" i="443"/>
  <c r="D294" i="443"/>
  <c r="G2314" i="442" s="1"/>
  <c r="A294" i="443"/>
  <c r="E293" i="443"/>
  <c r="D293" i="443" s="1"/>
  <c r="G1322" i="442" s="1"/>
  <c r="A293" i="443"/>
  <c r="E292" i="443"/>
  <c r="D292" i="443" s="1"/>
  <c r="G1320" i="442" s="1"/>
  <c r="A292" i="443"/>
  <c r="E291" i="443"/>
  <c r="D291" i="443" s="1"/>
  <c r="G1319" i="442" s="1"/>
  <c r="A291" i="443"/>
  <c r="D290" i="443"/>
  <c r="G464" i="442" s="1"/>
  <c r="A290" i="443"/>
  <c r="D289" i="443"/>
  <c r="G1330" i="442" s="1"/>
  <c r="A289" i="443"/>
  <c r="D288" i="443"/>
  <c r="G109" i="442" s="1"/>
  <c r="A288" i="443"/>
  <c r="D287" i="443"/>
  <c r="A287" i="443"/>
  <c r="D286" i="443"/>
  <c r="G187" i="442" s="1"/>
  <c r="A286" i="443"/>
  <c r="D285" i="443"/>
  <c r="A285" i="443"/>
  <c r="D284" i="443"/>
  <c r="A284" i="443"/>
  <c r="D283" i="443"/>
  <c r="G150" i="442" s="1"/>
  <c r="A283" i="443"/>
  <c r="D282" i="443"/>
  <c r="G914" i="442" s="1"/>
  <c r="A282" i="443"/>
  <c r="D281" i="443"/>
  <c r="G911" i="442" s="1"/>
  <c r="A281" i="443"/>
  <c r="D280" i="443"/>
  <c r="G2273" i="442" s="1"/>
  <c r="A280" i="443"/>
  <c r="D279" i="443"/>
  <c r="A279" i="443"/>
  <c r="D278" i="443"/>
  <c r="A278" i="443"/>
  <c r="D277" i="443"/>
  <c r="A277" i="443"/>
  <c r="D276" i="443"/>
  <c r="G2293" i="442" s="1"/>
  <c r="A276" i="443"/>
  <c r="D275" i="443"/>
  <c r="G2258" i="442" s="1"/>
  <c r="A275" i="443"/>
  <c r="D274" i="443"/>
  <c r="G2192" i="442" s="1"/>
  <c r="A274" i="443"/>
  <c r="D273" i="443"/>
  <c r="G2238" i="442" s="1"/>
  <c r="A273" i="443"/>
  <c r="D272" i="443"/>
  <c r="G2291" i="442" s="1"/>
  <c r="A272" i="443"/>
  <c r="D271" i="443"/>
  <c r="G2206" i="442" s="1"/>
  <c r="A271" i="443"/>
  <c r="D270" i="443"/>
  <c r="G2205" i="442" s="1"/>
  <c r="A270" i="443"/>
  <c r="D269" i="443"/>
  <c r="G2292" i="442" s="1"/>
  <c r="A269" i="443"/>
  <c r="D268" i="443"/>
  <c r="A268" i="443"/>
  <c r="D267" i="443"/>
  <c r="G2283" i="442" s="1"/>
  <c r="A267" i="443"/>
  <c r="D266" i="443"/>
  <c r="A266" i="443"/>
  <c r="D265" i="443"/>
  <c r="G2279" i="442" s="1"/>
  <c r="A265" i="443"/>
  <c r="D264" i="443"/>
  <c r="G2247" i="442" s="1"/>
  <c r="A264" i="443"/>
  <c r="D263" i="443"/>
  <c r="G2257" i="442" s="1"/>
  <c r="A263" i="443"/>
  <c r="D262" i="443"/>
  <c r="G2170" i="442" s="1"/>
  <c r="A262" i="443"/>
  <c r="D261" i="443"/>
  <c r="G2227" i="442" s="1"/>
  <c r="A261" i="443"/>
  <c r="D260" i="443"/>
  <c r="G2237" i="442" s="1"/>
  <c r="A260" i="443"/>
  <c r="D259" i="443"/>
  <c r="A259" i="443"/>
  <c r="D258" i="443"/>
  <c r="G2217" i="442" s="1"/>
  <c r="A258" i="443"/>
  <c r="D257" i="443"/>
  <c r="G2186" i="442" s="1"/>
  <c r="A257" i="443"/>
  <c r="D256" i="443"/>
  <c r="G2204" i="442" s="1"/>
  <c r="A256" i="443"/>
  <c r="D255" i="443"/>
  <c r="A255" i="443"/>
  <c r="D254" i="443"/>
  <c r="A254" i="443"/>
  <c r="D253" i="443"/>
  <c r="A253" i="443"/>
  <c r="D252" i="443"/>
  <c r="A252" i="443"/>
  <c r="D251" i="443"/>
  <c r="G2281" i="442" s="1"/>
  <c r="A251" i="443"/>
  <c r="D250" i="443"/>
  <c r="G2259" i="442" s="1"/>
  <c r="A250" i="443"/>
  <c r="D249" i="443"/>
  <c r="G2187" i="442" s="1"/>
  <c r="A249" i="443"/>
  <c r="D248" i="443"/>
  <c r="G2249" i="442" s="1"/>
  <c r="A248" i="443"/>
  <c r="D247" i="443"/>
  <c r="G2184" i="442" s="1"/>
  <c r="A247" i="443"/>
  <c r="D246" i="443"/>
  <c r="G2275" i="442" s="1"/>
  <c r="A246" i="443"/>
  <c r="D245" i="443"/>
  <c r="G2289" i="442" s="1"/>
  <c r="A245" i="443"/>
  <c r="D244" i="443"/>
  <c r="G2285" i="442" s="1"/>
  <c r="A244" i="443"/>
  <c r="D243" i="443"/>
  <c r="G2207" i="442" s="1"/>
  <c r="A243" i="443"/>
  <c r="D242" i="443"/>
  <c r="G2287" i="442" s="1"/>
  <c r="A242" i="443"/>
  <c r="D241" i="443"/>
  <c r="G64" i="442" s="1"/>
  <c r="A241" i="443"/>
  <c r="D240" i="443"/>
  <c r="G2222" i="442" s="1"/>
  <c r="A240" i="443"/>
  <c r="D239" i="443"/>
  <c r="A239" i="443"/>
  <c r="D238" i="443"/>
  <c r="G956" i="442" s="1"/>
  <c r="A238" i="443"/>
  <c r="D237" i="443"/>
  <c r="G931" i="442" s="1"/>
  <c r="A237" i="443"/>
  <c r="D236" i="443"/>
  <c r="G1255" i="442" s="1"/>
  <c r="A236" i="443"/>
  <c r="D235" i="443"/>
  <c r="G1249" i="442" s="1"/>
  <c r="A235" i="443"/>
  <c r="E234" i="443"/>
  <c r="D234" i="443" s="1"/>
  <c r="G1252" i="442" s="1"/>
  <c r="A234" i="443"/>
  <c r="D233" i="443"/>
  <c r="A233" i="443"/>
  <c r="D232" i="443"/>
  <c r="G935" i="442" s="1"/>
  <c r="A232" i="443"/>
  <c r="D231" i="443"/>
  <c r="G929" i="442" s="1"/>
  <c r="A231" i="443"/>
  <c r="D230" i="443"/>
  <c r="A230" i="443"/>
  <c r="D229" i="443"/>
  <c r="G953" i="442" s="1"/>
  <c r="A229" i="443"/>
  <c r="D228" i="443"/>
  <c r="G951" i="442" s="1"/>
  <c r="A228" i="443"/>
  <c r="D227" i="443"/>
  <c r="G925" i="442" s="1"/>
  <c r="A227" i="443"/>
  <c r="D226" i="443"/>
  <c r="G944" i="442" s="1"/>
  <c r="A226" i="443"/>
  <c r="D225" i="443"/>
  <c r="A225" i="443"/>
  <c r="D224" i="443"/>
  <c r="A224" i="443"/>
  <c r="D223" i="443"/>
  <c r="G1839" i="442" s="1"/>
  <c r="A223" i="443"/>
  <c r="D222" i="443"/>
  <c r="G1841" i="442" s="1"/>
  <c r="A222" i="443"/>
  <c r="D221" i="443"/>
  <c r="G878" i="442" s="1"/>
  <c r="A221" i="443"/>
  <c r="D220" i="443"/>
  <c r="G1855" i="442" s="1"/>
  <c r="A220" i="443"/>
  <c r="D219" i="443"/>
  <c r="G1853" i="442" s="1"/>
  <c r="A219" i="443"/>
  <c r="D218" i="443"/>
  <c r="G1859" i="442" s="1"/>
  <c r="A218" i="443"/>
  <c r="D217" i="443"/>
  <c r="G1861" i="442" s="1"/>
  <c r="A217" i="443"/>
  <c r="D216" i="443"/>
  <c r="G1857" i="442" s="1"/>
  <c r="A216" i="443"/>
  <c r="D215" i="443"/>
  <c r="G1851" i="442" s="1"/>
  <c r="A215" i="443"/>
  <c r="E214" i="443"/>
  <c r="D214" i="443" s="1"/>
  <c r="G1849" i="442" s="1"/>
  <c r="A214" i="443"/>
  <c r="D213" i="443"/>
  <c r="G1847" i="442" s="1"/>
  <c r="A213" i="443"/>
  <c r="D212" i="443"/>
  <c r="G1845" i="442" s="1"/>
  <c r="A212" i="443"/>
  <c r="D211" i="443"/>
  <c r="G1843" i="442" s="1"/>
  <c r="A211" i="443"/>
  <c r="D210" i="443"/>
  <c r="G1339" i="442" s="1"/>
  <c r="A210" i="443"/>
  <c r="D209" i="443"/>
  <c r="G1782" i="442" s="1"/>
  <c r="A209" i="443"/>
  <c r="D208" i="443"/>
  <c r="G1778" i="442" s="1"/>
  <c r="A208" i="443"/>
  <c r="D207" i="443"/>
  <c r="G2309" i="442" s="1"/>
  <c r="A207" i="443"/>
  <c r="D206" i="443"/>
  <c r="G1821" i="442" s="1"/>
  <c r="A206" i="443"/>
  <c r="D205" i="443"/>
  <c r="G1836" i="442" s="1"/>
  <c r="A205" i="443"/>
  <c r="D204" i="443"/>
  <c r="G1809" i="442" s="1"/>
  <c r="A204" i="443"/>
  <c r="D203" i="443"/>
  <c r="G1815" i="442" s="1"/>
  <c r="A203" i="443"/>
  <c r="D202" i="443"/>
  <c r="G1806" i="442" s="1"/>
  <c r="A202" i="443"/>
  <c r="D201" i="443"/>
  <c r="A201" i="443"/>
  <c r="D200" i="443"/>
  <c r="G1803" i="442" s="1"/>
  <c r="A200" i="443"/>
  <c r="D199" i="443"/>
  <c r="G1800" i="442" s="1"/>
  <c r="A199" i="443"/>
  <c r="D198" i="443"/>
  <c r="G1812" i="442" s="1"/>
  <c r="A198" i="443"/>
  <c r="D197" i="443"/>
  <c r="G1797" i="442" s="1"/>
  <c r="A197" i="443"/>
  <c r="D196" i="443"/>
  <c r="G1833" i="442" s="1"/>
  <c r="A196" i="443"/>
  <c r="D195" i="443"/>
  <c r="G1824" i="442" s="1"/>
  <c r="A195" i="443"/>
  <c r="D194" i="443"/>
  <c r="G1827" i="442" s="1"/>
  <c r="A194" i="443"/>
  <c r="D193" i="443"/>
  <c r="G1830" i="442" s="1"/>
  <c r="A193" i="443"/>
  <c r="D192" i="443"/>
  <c r="G1772" i="442" s="1"/>
  <c r="A192" i="443"/>
  <c r="D191" i="443"/>
  <c r="G1789" i="442" s="1"/>
  <c r="A191" i="443"/>
  <c r="D190" i="443"/>
  <c r="G1791" i="442" s="1"/>
  <c r="A190" i="443"/>
  <c r="D189" i="443"/>
  <c r="A189" i="443"/>
  <c r="D188" i="443"/>
  <c r="G1780" i="442" s="1"/>
  <c r="A188" i="443"/>
  <c r="D187" i="443"/>
  <c r="G1784" i="442" s="1"/>
  <c r="A187" i="443"/>
  <c r="D186" i="443"/>
  <c r="G1774" i="442" s="1"/>
  <c r="A186" i="443"/>
  <c r="D185" i="443"/>
  <c r="G1776" i="442" s="1"/>
  <c r="A185" i="443"/>
  <c r="D184" i="443"/>
  <c r="G1756" i="442" s="1"/>
  <c r="A184" i="443"/>
  <c r="D183" i="443"/>
  <c r="G237" i="442" s="1"/>
  <c r="A183" i="443"/>
  <c r="D182" i="443"/>
  <c r="G239" i="442" s="1"/>
  <c r="A182" i="443"/>
  <c r="D181" i="443"/>
  <c r="G2436" i="442" s="1"/>
  <c r="A181" i="443"/>
  <c r="D180" i="443"/>
  <c r="G2426" i="442" s="1"/>
  <c r="A180" i="443"/>
  <c r="D179" i="443"/>
  <c r="G2389" i="442" s="1"/>
  <c r="A179" i="443"/>
  <c r="D178" i="443"/>
  <c r="G2434" i="442" s="1"/>
  <c r="A178" i="443"/>
  <c r="D177" i="443"/>
  <c r="G2425" i="442" s="1"/>
  <c r="A177" i="443"/>
  <c r="D176" i="443"/>
  <c r="A176" i="443"/>
  <c r="D175" i="443"/>
  <c r="G618" i="442" s="1"/>
  <c r="A175" i="443"/>
  <c r="D174" i="443"/>
  <c r="G622" i="442" s="1"/>
  <c r="A174" i="443"/>
  <c r="D173" i="443"/>
  <c r="G172" i="442" s="1"/>
  <c r="A173" i="443"/>
  <c r="D172" i="443"/>
  <c r="G626" i="442" s="1"/>
  <c r="A172" i="443"/>
  <c r="D171" i="443"/>
  <c r="G238" i="442" s="1"/>
  <c r="A171" i="443"/>
  <c r="D170" i="443"/>
  <c r="G236" i="442" s="1"/>
  <c r="A170" i="443"/>
  <c r="D169" i="443"/>
  <c r="A169" i="443"/>
  <c r="D168" i="443"/>
  <c r="G2435" i="442" s="1"/>
  <c r="A168" i="443"/>
  <c r="D167" i="443"/>
  <c r="G275" i="442" s="1"/>
  <c r="A167" i="443"/>
  <c r="D166" i="443"/>
  <c r="G273" i="442" s="1"/>
  <c r="A166" i="443"/>
  <c r="D165" i="443"/>
  <c r="G277" i="442" s="1"/>
  <c r="A165" i="443"/>
  <c r="D164" i="443"/>
  <c r="G208" i="442" s="1"/>
  <c r="A164" i="443"/>
  <c r="D163" i="443"/>
  <c r="G206" i="442" s="1"/>
  <c r="A163" i="443"/>
  <c r="D162" i="443"/>
  <c r="G205" i="442" s="1"/>
  <c r="A162" i="443"/>
  <c r="D161" i="443"/>
  <c r="G173" i="442" s="1"/>
  <c r="A161" i="443"/>
  <c r="D160" i="443"/>
  <c r="G177" i="442" s="1"/>
  <c r="A160" i="443"/>
  <c r="E159" i="443"/>
  <c r="D159" i="443" s="1"/>
  <c r="A159" i="443"/>
  <c r="D158" i="443"/>
  <c r="G198" i="442" s="1"/>
  <c r="A158" i="443"/>
  <c r="D157" i="443"/>
  <c r="G200" i="442" s="1"/>
  <c r="A157" i="443"/>
  <c r="D156" i="443"/>
  <c r="G144" i="442" s="1"/>
  <c r="A156" i="443"/>
  <c r="D155" i="443"/>
  <c r="G143" i="442" s="1"/>
  <c r="A155" i="443"/>
  <c r="D154" i="443"/>
  <c r="G162" i="442" s="1"/>
  <c r="A154" i="443"/>
  <c r="D153" i="443"/>
  <c r="G156" i="442" s="1"/>
  <c r="A153" i="443"/>
  <c r="D152" i="443"/>
  <c r="G190" i="442" s="1"/>
  <c r="A152" i="443"/>
  <c r="D151" i="443"/>
  <c r="G202" i="442" s="1"/>
  <c r="A151" i="443"/>
  <c r="D150" i="443"/>
  <c r="G1923" i="442" s="1"/>
  <c r="A150" i="443"/>
  <c r="D149" i="443"/>
  <c r="G745" i="442" s="1"/>
  <c r="A149" i="443"/>
  <c r="D148" i="443"/>
  <c r="G741" i="442" s="1"/>
  <c r="A148" i="443"/>
  <c r="D147" i="443"/>
  <c r="G2125" i="442" s="1"/>
  <c r="A147" i="443"/>
  <c r="D146" i="443"/>
  <c r="G881" i="442" s="1"/>
  <c r="A146" i="443"/>
  <c r="D145" i="443"/>
  <c r="G795" i="442" s="1"/>
  <c r="A145" i="443"/>
  <c r="D144" i="443"/>
  <c r="G833" i="442" s="1"/>
  <c r="A144" i="443"/>
  <c r="D143" i="443"/>
  <c r="G767" i="442" s="1"/>
  <c r="A143" i="443"/>
  <c r="D142" i="443"/>
  <c r="A142" i="443"/>
  <c r="D141" i="443"/>
  <c r="G843" i="442" s="1"/>
  <c r="A141" i="443"/>
  <c r="D140" i="443"/>
  <c r="A140" i="443"/>
  <c r="D139" i="443"/>
  <c r="G873" i="442" s="1"/>
  <c r="A139" i="443"/>
  <c r="D138" i="443"/>
  <c r="G771" i="442" s="1"/>
  <c r="A138" i="443"/>
  <c r="D137" i="443"/>
  <c r="G815" i="442" s="1"/>
  <c r="A137" i="443"/>
  <c r="E136" i="443"/>
  <c r="D136" i="443" s="1"/>
  <c r="A136" i="443"/>
  <c r="E135" i="443"/>
  <c r="D135" i="443" s="1"/>
  <c r="A135" i="443"/>
  <c r="D134" i="443"/>
  <c r="A134" i="443"/>
  <c r="D133" i="443"/>
  <c r="G880" i="442" s="1"/>
  <c r="A133" i="443"/>
  <c r="D132" i="443"/>
  <c r="G768" i="442" s="1"/>
  <c r="A132" i="443"/>
  <c r="D131" i="443"/>
  <c r="G836" i="442" s="1"/>
  <c r="A131" i="443"/>
  <c r="D130" i="443"/>
  <c r="G846" i="442" s="1"/>
  <c r="A130" i="443"/>
  <c r="D129" i="443"/>
  <c r="G616" i="442" s="1"/>
  <c r="A129" i="443"/>
  <c r="D128" i="443"/>
  <c r="G615" i="442" s="1"/>
  <c r="A128" i="443"/>
  <c r="D127" i="443"/>
  <c r="G614" i="442" s="1"/>
  <c r="A127" i="443"/>
  <c r="D126" i="443"/>
  <c r="G613" i="442" s="1"/>
  <c r="A126" i="443"/>
  <c r="D125" i="443"/>
  <c r="G612" i="442" s="1"/>
  <c r="A125" i="443"/>
  <c r="D124" i="443"/>
  <c r="G611" i="442" s="1"/>
  <c r="A124" i="443"/>
  <c r="D123" i="443"/>
  <c r="G610" i="442" s="1"/>
  <c r="A123" i="443"/>
  <c r="D122" i="443"/>
  <c r="G609" i="442" s="1"/>
  <c r="A122" i="443"/>
  <c r="D121" i="443"/>
  <c r="G607" i="442" s="1"/>
  <c r="A121" i="443"/>
  <c r="D120" i="443"/>
  <c r="G606" i="442" s="1"/>
  <c r="A120" i="443"/>
  <c r="D119" i="443"/>
  <c r="G605" i="442" s="1"/>
  <c r="A119" i="443"/>
  <c r="D118" i="443"/>
  <c r="G604" i="442" s="1"/>
  <c r="A118" i="443"/>
  <c r="D117" i="443"/>
  <c r="G603" i="442" s="1"/>
  <c r="A117" i="443"/>
  <c r="D116" i="443"/>
  <c r="G708" i="442" s="1"/>
  <c r="A116" i="443"/>
  <c r="D115" i="443"/>
  <c r="G706" i="442" s="1"/>
  <c r="A115" i="443"/>
  <c r="D114" i="443"/>
  <c r="G400" i="442" s="1"/>
  <c r="A114" i="443"/>
  <c r="D113" i="443"/>
  <c r="A113" i="443"/>
  <c r="D112" i="443"/>
  <c r="G392" i="442" s="1"/>
  <c r="A112" i="443"/>
  <c r="D111" i="443"/>
  <c r="A111" i="443"/>
  <c r="D110" i="443"/>
  <c r="G323" i="442" s="1"/>
  <c r="A110" i="443"/>
  <c r="D109" i="443"/>
  <c r="G319" i="442" s="1"/>
  <c r="A109" i="443"/>
  <c r="D108" i="443"/>
  <c r="G1303" i="442" s="1"/>
  <c r="A108" i="443"/>
  <c r="D107" i="443"/>
  <c r="G315" i="442" s="1"/>
  <c r="A107" i="443"/>
  <c r="D106" i="443"/>
  <c r="G380" i="442" s="1"/>
  <c r="A106" i="443"/>
  <c r="D105" i="443"/>
  <c r="G409" i="442" s="1"/>
  <c r="A105" i="443"/>
  <c r="D104" i="443"/>
  <c r="G114" i="442" s="1"/>
  <c r="A104" i="443"/>
  <c r="D103" i="443"/>
  <c r="A103" i="443"/>
  <c r="D102" i="443"/>
  <c r="G196" i="442" s="1"/>
  <c r="A102" i="443"/>
  <c r="D101" i="443"/>
  <c r="G218" i="442" s="1"/>
  <c r="A101" i="443"/>
  <c r="D100" i="443"/>
  <c r="G195" i="442" s="1"/>
  <c r="A100" i="443"/>
  <c r="D99" i="443"/>
  <c r="G13" i="442" s="1"/>
  <c r="A99" i="443"/>
  <c r="D98" i="443"/>
  <c r="G133" i="442" s="1"/>
  <c r="A98" i="443"/>
  <c r="D97" i="443"/>
  <c r="G2318" i="442" s="1"/>
  <c r="A97" i="443"/>
  <c r="D96" i="443"/>
  <c r="G2302" i="442" s="1"/>
  <c r="A96" i="443"/>
  <c r="D95" i="443"/>
  <c r="G2322" i="442" s="1"/>
  <c r="A95" i="443"/>
  <c r="D94" i="443"/>
  <c r="G2361" i="442" s="1"/>
  <c r="A94" i="443"/>
  <c r="D93" i="443"/>
  <c r="A93" i="443"/>
  <c r="D92" i="443"/>
  <c r="G2354" i="442" s="1"/>
  <c r="A92" i="443"/>
  <c r="D91" i="443"/>
  <c r="G2348" i="442" s="1"/>
  <c r="A91" i="443"/>
  <c r="D90" i="443"/>
  <c r="G2342" i="442" s="1"/>
  <c r="A90" i="443"/>
  <c r="D89" i="443"/>
  <c r="G2336" i="442" s="1"/>
  <c r="A89" i="443"/>
  <c r="D88" i="443"/>
  <c r="G2330" i="442" s="1"/>
  <c r="A88" i="443"/>
  <c r="D87" i="443"/>
  <c r="G2324" i="442" s="1"/>
  <c r="A87" i="443"/>
  <c r="D86" i="443"/>
  <c r="G2299" i="442" s="1"/>
  <c r="A86" i="443"/>
  <c r="D85" i="443"/>
  <c r="G2297" i="442" s="1"/>
  <c r="A85" i="443"/>
  <c r="D84" i="443"/>
  <c r="G2295" i="442" s="1"/>
  <c r="A84" i="443"/>
  <c r="D83" i="443"/>
  <c r="G1731" i="442" s="1"/>
  <c r="A83" i="443"/>
  <c r="D82" i="443"/>
  <c r="A82" i="443"/>
  <c r="D81" i="443"/>
  <c r="G2446" i="442" s="1"/>
  <c r="A81" i="443"/>
  <c r="D79" i="443"/>
  <c r="A79" i="443"/>
  <c r="D78" i="443"/>
  <c r="A78" i="443"/>
  <c r="D77" i="443"/>
  <c r="G722" i="442" s="1"/>
  <c r="A77" i="443"/>
  <c r="D76" i="443"/>
  <c r="G1290" i="442" s="1"/>
  <c r="A76" i="443"/>
  <c r="D75" i="443"/>
  <c r="G1194" i="442" s="1"/>
  <c r="A75" i="443"/>
  <c r="D74" i="443"/>
  <c r="A74" i="443"/>
  <c r="D73" i="443"/>
  <c r="G720" i="442" s="1"/>
  <c r="A73" i="443"/>
  <c r="D72" i="443"/>
  <c r="G643" i="442" s="1"/>
  <c r="A72" i="443"/>
  <c r="D71" i="443"/>
  <c r="G988" i="442" s="1"/>
  <c r="A71" i="443"/>
  <c r="D70" i="443"/>
  <c r="A70" i="443"/>
  <c r="D69" i="443"/>
  <c r="G1916" i="442" s="1"/>
  <c r="A69" i="443"/>
  <c r="D68" i="443"/>
  <c r="G1231" i="442" s="1"/>
  <c r="A68" i="443"/>
  <c r="D67" i="443"/>
  <c r="G1438" i="442" s="1"/>
  <c r="A67" i="443"/>
  <c r="D66" i="443"/>
  <c r="G725" i="442" s="1"/>
  <c r="A66" i="443"/>
  <c r="D65" i="443"/>
  <c r="G25" i="442" s="1"/>
  <c r="A65" i="443"/>
  <c r="D64" i="443"/>
  <c r="A64" i="443"/>
  <c r="D63" i="443"/>
  <c r="G1891" i="442" s="1"/>
  <c r="A63" i="443"/>
  <c r="D62" i="443"/>
  <c r="G678" i="442" s="1"/>
  <c r="A62" i="443"/>
  <c r="D61" i="443"/>
  <c r="G681" i="442" s="1"/>
  <c r="A61" i="443"/>
  <c r="D60" i="443"/>
  <c r="G684" i="442" s="1"/>
  <c r="A60" i="443"/>
  <c r="D59" i="443"/>
  <c r="G669" i="442" s="1"/>
  <c r="A59" i="443"/>
  <c r="D58" i="443"/>
  <c r="A58" i="443"/>
  <c r="D57" i="443"/>
  <c r="A57" i="443"/>
  <c r="D56" i="443"/>
  <c r="G660" i="442" s="1"/>
  <c r="A56" i="443"/>
  <c r="D55" i="443"/>
  <c r="G657" i="442" s="1"/>
  <c r="A55" i="443"/>
  <c r="D54" i="443"/>
  <c r="G711" i="442" s="1"/>
  <c r="A54" i="443"/>
  <c r="D53" i="443"/>
  <c r="G714" i="442" s="1"/>
  <c r="A53" i="443"/>
  <c r="D52" i="443"/>
  <c r="G654" i="442" s="1"/>
  <c r="A52" i="443"/>
  <c r="D51" i="443"/>
  <c r="A51" i="443"/>
  <c r="D50" i="443"/>
  <c r="A50" i="443"/>
  <c r="D49" i="443"/>
  <c r="G747" i="442" s="1"/>
  <c r="A49" i="443"/>
  <c r="D48" i="443"/>
  <c r="A48" i="443"/>
  <c r="D47" i="443"/>
  <c r="G651" i="442" s="1"/>
  <c r="A47" i="443"/>
  <c r="D46" i="443"/>
  <c r="G675" i="442" s="1"/>
  <c r="A46" i="443"/>
  <c r="D45" i="443"/>
  <c r="G672" i="442" s="1"/>
  <c r="A45" i="443"/>
  <c r="D44" i="443"/>
  <c r="G703" i="442" s="1"/>
  <c r="A44" i="443"/>
  <c r="D43" i="443"/>
  <c r="G699" i="442" s="1"/>
  <c r="A43" i="443"/>
  <c r="D42" i="443"/>
  <c r="G702" i="442" s="1"/>
  <c r="A42" i="443"/>
  <c r="D41" i="443"/>
  <c r="G694" i="442" s="1"/>
  <c r="A41" i="443"/>
  <c r="D40" i="443"/>
  <c r="G695" i="442" s="1"/>
  <c r="A40" i="443"/>
  <c r="D39" i="443"/>
  <c r="G696" i="442" s="1"/>
  <c r="A39" i="443"/>
  <c r="D38" i="443"/>
  <c r="G697" i="442" s="1"/>
  <c r="A38" i="443"/>
  <c r="D37" i="443"/>
  <c r="G698" i="442" s="1"/>
  <c r="A37" i="443"/>
  <c r="D36" i="443"/>
  <c r="G687" i="442" s="1"/>
  <c r="A36" i="443"/>
  <c r="D35" i="443"/>
  <c r="G688" i="442" s="1"/>
  <c r="A35" i="443"/>
  <c r="D34" i="443"/>
  <c r="A34" i="443"/>
  <c r="D33" i="443"/>
  <c r="G689" i="442" s="1"/>
  <c r="A33" i="443"/>
  <c r="D32" i="443"/>
  <c r="G690" i="442" s="1"/>
  <c r="A32" i="443"/>
  <c r="D31" i="443"/>
  <c r="G691" i="442" s="1"/>
  <c r="A31" i="443"/>
  <c r="D30" i="443"/>
  <c r="G16" i="442" s="1"/>
  <c r="A30" i="443"/>
  <c r="D29" i="443"/>
  <c r="G719" i="442" s="1"/>
  <c r="A29" i="443"/>
  <c r="D28" i="443"/>
  <c r="G716" i="442" s="1"/>
  <c r="A28" i="443"/>
  <c r="D27" i="443"/>
  <c r="A27" i="443"/>
  <c r="D26" i="443"/>
  <c r="G729" i="442" s="1"/>
  <c r="A26" i="443"/>
  <c r="D25" i="443"/>
  <c r="A25" i="443"/>
  <c r="D24" i="443"/>
  <c r="A24" i="443"/>
  <c r="D23" i="443"/>
  <c r="A23" i="443"/>
  <c r="D22" i="443"/>
  <c r="G734" i="442" s="1"/>
  <c r="A22" i="443"/>
  <c r="D21" i="443"/>
  <c r="G2083" i="442" s="1"/>
  <c r="A21" i="443"/>
  <c r="D20" i="443"/>
  <c r="G376" i="442" s="1"/>
  <c r="A20" i="443"/>
  <c r="D19" i="443"/>
  <c r="G372" i="442" s="1"/>
  <c r="A19" i="443"/>
  <c r="D18" i="443"/>
  <c r="G732" i="442" s="1"/>
  <c r="A18" i="443"/>
  <c r="D17" i="443"/>
  <c r="A17" i="443"/>
  <c r="D16" i="443"/>
  <c r="A16" i="443"/>
  <c r="D15" i="443"/>
  <c r="A15" i="443"/>
  <c r="D14" i="443"/>
  <c r="G436" i="442" s="1"/>
  <c r="A14" i="443"/>
  <c r="D13" i="443"/>
  <c r="G356" i="442" s="1"/>
  <c r="A13" i="443"/>
  <c r="D12" i="443"/>
  <c r="G428" i="442" s="1"/>
  <c r="A12" i="443"/>
  <c r="D11" i="443"/>
  <c r="G285" i="442" s="1"/>
  <c r="A11" i="443"/>
  <c r="D10" i="443"/>
  <c r="G283" i="442" s="1"/>
  <c r="A10" i="443"/>
  <c r="D9" i="443"/>
  <c r="G281" i="442" s="1"/>
  <c r="A9" i="443"/>
  <c r="D8" i="443"/>
  <c r="G279" i="442" s="1"/>
  <c r="A8" i="443"/>
  <c r="D7" i="443"/>
  <c r="A7" i="443"/>
  <c r="D6" i="443"/>
  <c r="A6" i="443"/>
  <c r="D4" i="443"/>
  <c r="G518" i="442" s="1"/>
  <c r="A4" i="443"/>
  <c r="D3" i="443"/>
  <c r="G557" i="442" s="1"/>
  <c r="A3" i="443"/>
  <c r="D2" i="443"/>
  <c r="G433" i="442" s="1"/>
  <c r="A2" i="443"/>
  <c r="C2464" i="442"/>
  <c r="C2465" i="442" s="1"/>
  <c r="C2462" i="442"/>
  <c r="C2463" i="442" s="1"/>
  <c r="C2457" i="442"/>
  <c r="C2458" i="442" s="1"/>
  <c r="C2452" i="442"/>
  <c r="C2453" i="442" s="1"/>
  <c r="C2454" i="442" s="1"/>
  <c r="C2431" i="442"/>
  <c r="C2432" i="442" s="1"/>
  <c r="C2424" i="442"/>
  <c r="C2425" i="442" s="1"/>
  <c r="C2422" i="442"/>
  <c r="C2418" i="442"/>
  <c r="C2419" i="442" s="1"/>
  <c r="C2414" i="442"/>
  <c r="C2415" i="442" s="1"/>
  <c r="C2412" i="442"/>
  <c r="C2404" i="442"/>
  <c r="C2405" i="442" s="1"/>
  <c r="C2406" i="442" s="1"/>
  <c r="C2396" i="442"/>
  <c r="C2397" i="442" s="1"/>
  <c r="C2388" i="442"/>
  <c r="C2389" i="442" s="1"/>
  <c r="C2380" i="442"/>
  <c r="C2377" i="442"/>
  <c r="C2378" i="442" s="1"/>
  <c r="G2376" i="442"/>
  <c r="G2375" i="442"/>
  <c r="C2375" i="442"/>
  <c r="G2372" i="442"/>
  <c r="G2371" i="442"/>
  <c r="G2368" i="442"/>
  <c r="G2367" i="442"/>
  <c r="C2359" i="442"/>
  <c r="C2360" i="442" s="1"/>
  <c r="C2361" i="442" s="1"/>
  <c r="C2362" i="442" s="1"/>
  <c r="C2363" i="442" s="1"/>
  <c r="C2353" i="442"/>
  <c r="C2354" i="442" s="1"/>
  <c r="C2355" i="442" s="1"/>
  <c r="C2347" i="442"/>
  <c r="C2348" i="442" s="1"/>
  <c r="C2341" i="442"/>
  <c r="C2342" i="442" s="1"/>
  <c r="C2335" i="442"/>
  <c r="C2336" i="442" s="1"/>
  <c r="C2337" i="442" s="1"/>
  <c r="C2338" i="442" s="1"/>
  <c r="C2339" i="442" s="1"/>
  <c r="C2340" i="442" s="1"/>
  <c r="C2329" i="442"/>
  <c r="C2330" i="442" s="1"/>
  <c r="C2331" i="442" s="1"/>
  <c r="C2332" i="442" s="1"/>
  <c r="C2323" i="442"/>
  <c r="C2324" i="442" s="1"/>
  <c r="C2325" i="442" s="1"/>
  <c r="C2326" i="442" s="1"/>
  <c r="C2327" i="442" s="1"/>
  <c r="C2328" i="442" s="1"/>
  <c r="C2319" i="442"/>
  <c r="C2320" i="442" s="1"/>
  <c r="C2321" i="442" s="1"/>
  <c r="C2322" i="442" s="1"/>
  <c r="C2315" i="442"/>
  <c r="C2316" i="442" s="1"/>
  <c r="C2313" i="442"/>
  <c r="C2314" i="442" s="1"/>
  <c r="F2312" i="442"/>
  <c r="F2311" i="442"/>
  <c r="C2310" i="442"/>
  <c r="C2308" i="442"/>
  <c r="C2309" i="442" s="1"/>
  <c r="F2307" i="442"/>
  <c r="C2305" i="442"/>
  <c r="C2301" i="442"/>
  <c r="C2298" i="442"/>
  <c r="C2299" i="442" s="1"/>
  <c r="C2296" i="442"/>
  <c r="C2297" i="442" s="1"/>
  <c r="C2294" i="442"/>
  <c r="C2295" i="442" s="1"/>
  <c r="C2290" i="442"/>
  <c r="C2291" i="442" s="1"/>
  <c r="C2292" i="442" s="1"/>
  <c r="C2288" i="442"/>
  <c r="C2289" i="442" s="1"/>
  <c r="C2286" i="442"/>
  <c r="C2284" i="442"/>
  <c r="C2285" i="442" s="1"/>
  <c r="C2282" i="442"/>
  <c r="C2283" i="442" s="1"/>
  <c r="C2280" i="442"/>
  <c r="C2281" i="442" s="1"/>
  <c r="C2278" i="442"/>
  <c r="C2276" i="442"/>
  <c r="C2277" i="442" s="1"/>
  <c r="C2274" i="442"/>
  <c r="C2272" i="442"/>
  <c r="C2270" i="442"/>
  <c r="C2271" i="442" s="1"/>
  <c r="C2268" i="442"/>
  <c r="C2266" i="442"/>
  <c r="C2267" i="442" s="1"/>
  <c r="C2256" i="442"/>
  <c r="C2257" i="442" s="1"/>
  <c r="C2246" i="442"/>
  <c r="C2236" i="442"/>
  <c r="C2237" i="442" s="1"/>
  <c r="C2238" i="442" s="1"/>
  <c r="C2239" i="442" s="1"/>
  <c r="C2240" i="442" s="1"/>
  <c r="C2226" i="442"/>
  <c r="C2216" i="442"/>
  <c r="C2217" i="442" s="1"/>
  <c r="C2218" i="442" s="1"/>
  <c r="C2203" i="442"/>
  <c r="C2194" i="442"/>
  <c r="C2185" i="442"/>
  <c r="C2186" i="442" s="1"/>
  <c r="C2177" i="442"/>
  <c r="C2169" i="442"/>
  <c r="C2170" i="442" s="1"/>
  <c r="C2171" i="442" s="1"/>
  <c r="C2172" i="442" s="1"/>
  <c r="C2161" i="442"/>
  <c r="C2162" i="442" s="1"/>
  <c r="C2158" i="442"/>
  <c r="C2156" i="442"/>
  <c r="C2157" i="442" s="1"/>
  <c r="C2154" i="442"/>
  <c r="C2155" i="442" s="1"/>
  <c r="C2152" i="442"/>
  <c r="C2153" i="442" s="1"/>
  <c r="C2150" i="442"/>
  <c r="C2151" i="442" s="1"/>
  <c r="C2148" i="442"/>
  <c r="C2149" i="442" s="1"/>
  <c r="C2146" i="442"/>
  <c r="C2147" i="442" s="1"/>
  <c r="C2144" i="442"/>
  <c r="C2145" i="442" s="1"/>
  <c r="C2142" i="442"/>
  <c r="C2143" i="442" s="1"/>
  <c r="C2139" i="442"/>
  <c r="C2136" i="442"/>
  <c r="C2137" i="442" s="1"/>
  <c r="C2133" i="442"/>
  <c r="C2134" i="442" s="1"/>
  <c r="C2130" i="442"/>
  <c r="C2131" i="442" s="1"/>
  <c r="C2132" i="442" s="1"/>
  <c r="C2128" i="442"/>
  <c r="C2129" i="442" s="1"/>
  <c r="C2124" i="442"/>
  <c r="C2125" i="442" s="1"/>
  <c r="C2122" i="442"/>
  <c r="C2120" i="442"/>
  <c r="C2121" i="442" s="1"/>
  <c r="C2118" i="442"/>
  <c r="C2119" i="442" s="1"/>
  <c r="C2116" i="442"/>
  <c r="C2117" i="442" s="1"/>
  <c r="C2112" i="442"/>
  <c r="C2108" i="442"/>
  <c r="C2109" i="442" s="1"/>
  <c r="C2110" i="442" s="1"/>
  <c r="C2104" i="442"/>
  <c r="C2105" i="442" s="1"/>
  <c r="C2101" i="442"/>
  <c r="C2102" i="442" s="1"/>
  <c r="C2103" i="442" s="1"/>
  <c r="C2098" i="442"/>
  <c r="C2099" i="442" s="1"/>
  <c r="C2095" i="442"/>
  <c r="C2092" i="442"/>
  <c r="F2091" i="442"/>
  <c r="C2090" i="442"/>
  <c r="C2087" i="442"/>
  <c r="C2088" i="442" s="1"/>
  <c r="C2084" i="442"/>
  <c r="C2085" i="442" s="1"/>
  <c r="C2082" i="442"/>
  <c r="C2080" i="442"/>
  <c r="C2075" i="442"/>
  <c r="C2070" i="442"/>
  <c r="C2071" i="442" s="1"/>
  <c r="C2068" i="442"/>
  <c r="C2066" i="442"/>
  <c r="C2061" i="442"/>
  <c r="C2059" i="442"/>
  <c r="C2054" i="442"/>
  <c r="C2049" i="442"/>
  <c r="C2050" i="442" s="1"/>
  <c r="C2044" i="442"/>
  <c r="C2045" i="442" s="1"/>
  <c r="C2039" i="442"/>
  <c r="C2034" i="442"/>
  <c r="C2029" i="442"/>
  <c r="C2030" i="442" s="1"/>
  <c r="C2024" i="442"/>
  <c r="C2025" i="442" s="1"/>
  <c r="C2019" i="442"/>
  <c r="F2018" i="442"/>
  <c r="C2017" i="442"/>
  <c r="F2016" i="442"/>
  <c r="C2015" i="442"/>
  <c r="F2014" i="442"/>
  <c r="C2013" i="442"/>
  <c r="F2012" i="442"/>
  <c r="C2008" i="442"/>
  <c r="C2009" i="442" s="1"/>
  <c r="F2007" i="442"/>
  <c r="F2002" i="442"/>
  <c r="F1982" i="442"/>
  <c r="F1977" i="442"/>
  <c r="C1973" i="442"/>
  <c r="C1974" i="442" s="1"/>
  <c r="C1975" i="442" s="1"/>
  <c r="C1976" i="442" s="1"/>
  <c r="C1977" i="442" s="1"/>
  <c r="F1972" i="442"/>
  <c r="C1968" i="442"/>
  <c r="F1967" i="442"/>
  <c r="C1963" i="442"/>
  <c r="C1964" i="442" s="1"/>
  <c r="F1962" i="442"/>
  <c r="C1958" i="442"/>
  <c r="C1953" i="442"/>
  <c r="C1954" i="442" s="1"/>
  <c r="C1950" i="442"/>
  <c r="C1951" i="442" s="1"/>
  <c r="C1948" i="442"/>
  <c r="C1943" i="442"/>
  <c r="C1938" i="442"/>
  <c r="C1939" i="442" s="1"/>
  <c r="C1935" i="442"/>
  <c r="C1936" i="442" s="1"/>
  <c r="C1937" i="442" s="1"/>
  <c r="C1932" i="442"/>
  <c r="C1929" i="442"/>
  <c r="C1909" i="442"/>
  <c r="C1910" i="442" s="1"/>
  <c r="C1911" i="442" s="1"/>
  <c r="C1912" i="442" s="1"/>
  <c r="C1913" i="442" s="1"/>
  <c r="C1904" i="442"/>
  <c r="C1905" i="442" s="1"/>
  <c r="C1906" i="442" s="1"/>
  <c r="C1907" i="442" s="1"/>
  <c r="C1908" i="442" s="1"/>
  <c r="C1899" i="442"/>
  <c r="C1894" i="442"/>
  <c r="C1892" i="442"/>
  <c r="C1890" i="442"/>
  <c r="C1891" i="442" s="1"/>
  <c r="C1888" i="442"/>
  <c r="C1885" i="442"/>
  <c r="C1886" i="442" s="1"/>
  <c r="C1880" i="442"/>
  <c r="C1881" i="442" s="1"/>
  <c r="C1882" i="442" s="1"/>
  <c r="C1875" i="442"/>
  <c r="C1872" i="442"/>
  <c r="C1873" i="442" s="1"/>
  <c r="C1870" i="442"/>
  <c r="C1871" i="442" s="1"/>
  <c r="C1868" i="442"/>
  <c r="C1869" i="442" s="1"/>
  <c r="C1866" i="442"/>
  <c r="C1867" i="442" s="1"/>
  <c r="C1864" i="442"/>
  <c r="C1865" i="442" s="1"/>
  <c r="C1862" i="442"/>
  <c r="C1863" i="442" s="1"/>
  <c r="C1860" i="442"/>
  <c r="C1861" i="442" s="1"/>
  <c r="C1858" i="442"/>
  <c r="C1859" i="442" s="1"/>
  <c r="C1856" i="442"/>
  <c r="C1857" i="442" s="1"/>
  <c r="C1854" i="442"/>
  <c r="C1855" i="442" s="1"/>
  <c r="C1852" i="442"/>
  <c r="C1853" i="442" s="1"/>
  <c r="C1850" i="442"/>
  <c r="C1851" i="442" s="1"/>
  <c r="C1848" i="442"/>
  <c r="C1849" i="442" s="1"/>
  <c r="C1846" i="442"/>
  <c r="C1847" i="442" s="1"/>
  <c r="C1844" i="442"/>
  <c r="C1845" i="442" s="1"/>
  <c r="C1842" i="442"/>
  <c r="C1843" i="442" s="1"/>
  <c r="C1840" i="442"/>
  <c r="C1841" i="442" s="1"/>
  <c r="C1838" i="442"/>
  <c r="C1839" i="442" s="1"/>
  <c r="C1835" i="442"/>
  <c r="C1836" i="442" s="1"/>
  <c r="C1832" i="442"/>
  <c r="C1833" i="442" s="1"/>
  <c r="C1834" i="442" s="1"/>
  <c r="C1829" i="442"/>
  <c r="C1830" i="442" s="1"/>
  <c r="C1826" i="442"/>
  <c r="C1827" i="442" s="1"/>
  <c r="C1828" i="442" s="1"/>
  <c r="C1823" i="442"/>
  <c r="C1820" i="442"/>
  <c r="C1817" i="442"/>
  <c r="C1818" i="442" s="1"/>
  <c r="C1819" i="442" s="1"/>
  <c r="C1814" i="442"/>
  <c r="C1815" i="442" s="1"/>
  <c r="C1816" i="442" s="1"/>
  <c r="C1811" i="442"/>
  <c r="C1808" i="442"/>
  <c r="C1809" i="442" s="1"/>
  <c r="C1805" i="442"/>
  <c r="C1806" i="442" s="1"/>
  <c r="C1807" i="442" s="1"/>
  <c r="C1802" i="442"/>
  <c r="C1788" i="442"/>
  <c r="C1789" i="442" s="1"/>
  <c r="C1785" i="442"/>
  <c r="C1783" i="442"/>
  <c r="C1781" i="442"/>
  <c r="C1782" i="442" s="1"/>
  <c r="C1779" i="442"/>
  <c r="C1780" i="442" s="1"/>
  <c r="C1777" i="442"/>
  <c r="C1775" i="442"/>
  <c r="C1773" i="442"/>
  <c r="C1774" i="442" s="1"/>
  <c r="C1771" i="442"/>
  <c r="C1772" i="442" s="1"/>
  <c r="C1769" i="442"/>
  <c r="F1768" i="442"/>
  <c r="C1766" i="442"/>
  <c r="C1767" i="442" s="1"/>
  <c r="C1768" i="442" s="1"/>
  <c r="F1765" i="442"/>
  <c r="C1763" i="442"/>
  <c r="C1760" i="442"/>
  <c r="C1761" i="442" s="1"/>
  <c r="C1757" i="442"/>
  <c r="C1758" i="442" s="1"/>
  <c r="C1759" i="442" s="1"/>
  <c r="C1755" i="442"/>
  <c r="C1756" i="442" s="1"/>
  <c r="C1752" i="442"/>
  <c r="C1750" i="442"/>
  <c r="C1748" i="442"/>
  <c r="C1749" i="442" s="1"/>
  <c r="C1746" i="442"/>
  <c r="C1747" i="442" s="1"/>
  <c r="C1744" i="442"/>
  <c r="C1742" i="442"/>
  <c r="C1740" i="442"/>
  <c r="C1741" i="442" s="1"/>
  <c r="C1738" i="442"/>
  <c r="C1739" i="442" s="1"/>
  <c r="C1736" i="442"/>
  <c r="C1734" i="442"/>
  <c r="C1730" i="442"/>
  <c r="C1731" i="442" s="1"/>
  <c r="C1732" i="442" s="1"/>
  <c r="C1733" i="442" s="1"/>
  <c r="C1726" i="442"/>
  <c r="C1727" i="442" s="1"/>
  <c r="C1721" i="442"/>
  <c r="C1722" i="442" s="1"/>
  <c r="C1723" i="442" s="1"/>
  <c r="C1724" i="442" s="1"/>
  <c r="C1719" i="442"/>
  <c r="C1720" i="442" s="1"/>
  <c r="C1716" i="442"/>
  <c r="C1717" i="442" s="1"/>
  <c r="C1718" i="442" s="1"/>
  <c r="C1714" i="442"/>
  <c r="C1715" i="442" s="1"/>
  <c r="C1711" i="442"/>
  <c r="C1712" i="442" s="1"/>
  <c r="C1713" i="442" s="1"/>
  <c r="C1706" i="442"/>
  <c r="C1703" i="442"/>
  <c r="C1704" i="442" s="1"/>
  <c r="C1705" i="442" s="1"/>
  <c r="C1700" i="442"/>
  <c r="C1701" i="442" s="1"/>
  <c r="C1696" i="442"/>
  <c r="C1697" i="442" s="1"/>
  <c r="F1695" i="442"/>
  <c r="F1694" i="442"/>
  <c r="C1691" i="442"/>
  <c r="C1689" i="442"/>
  <c r="C1690" i="442" s="1"/>
  <c r="C1684" i="442"/>
  <c r="C1682" i="442"/>
  <c r="C1683" i="442" s="1"/>
  <c r="C1679" i="442"/>
  <c r="C1665" i="442"/>
  <c r="C1666" i="442" s="1"/>
  <c r="C1667" i="442" s="1"/>
  <c r="C1660" i="442"/>
  <c r="C1656" i="442"/>
  <c r="C1657" i="442" s="1"/>
  <c r="C1651" i="442"/>
  <c r="F1650" i="442"/>
  <c r="F1649" i="442"/>
  <c r="F1648" i="442"/>
  <c r="F1647" i="442"/>
  <c r="C1646" i="442"/>
  <c r="C1647" i="442" s="1"/>
  <c r="C1648" i="442" s="1"/>
  <c r="F1645" i="442"/>
  <c r="F1644" i="442"/>
  <c r="C1643" i="442"/>
  <c r="C1638" i="442"/>
  <c r="C1635" i="442"/>
  <c r="C1633" i="442"/>
  <c r="C1634" i="442" s="1"/>
  <c r="C1631" i="442"/>
  <c r="C1632" i="442" s="1"/>
  <c r="C1629" i="442"/>
  <c r="C1630" i="442" s="1"/>
  <c r="C1627" i="442"/>
  <c r="C1625" i="442"/>
  <c r="C1626" i="442" s="1"/>
  <c r="C1623" i="442"/>
  <c r="C1624" i="442" s="1"/>
  <c r="C1621" i="442"/>
  <c r="C1622" i="442" s="1"/>
  <c r="C1619" i="442"/>
  <c r="C1617" i="442"/>
  <c r="C1613" i="442"/>
  <c r="C1614" i="442" s="1"/>
  <c r="C1611" i="442"/>
  <c r="C1612" i="442" s="1"/>
  <c r="C1609" i="442"/>
  <c r="C1607" i="442"/>
  <c r="C1608" i="442" s="1"/>
  <c r="C1605" i="442"/>
  <c r="C1606" i="442" s="1"/>
  <c r="C1601" i="442"/>
  <c r="C1602" i="442" s="1"/>
  <c r="C1597" i="442"/>
  <c r="C1593" i="442"/>
  <c r="C1594" i="442" s="1"/>
  <c r="C1595" i="442" s="1"/>
  <c r="C1596" i="442" s="1"/>
  <c r="F1591" i="442"/>
  <c r="C1590" i="442"/>
  <c r="C1591" i="442" s="1"/>
  <c r="C1592" i="442" s="1"/>
  <c r="F1588" i="442"/>
  <c r="C1587" i="442"/>
  <c r="C1588" i="442" s="1"/>
  <c r="C1582" i="442"/>
  <c r="C1577" i="442"/>
  <c r="C1578" i="442" s="1"/>
  <c r="F1573" i="442"/>
  <c r="C1572" i="442"/>
  <c r="C1573" i="442" s="1"/>
  <c r="C1567" i="442"/>
  <c r="C1562" i="442"/>
  <c r="C1563" i="442" s="1"/>
  <c r="C1559" i="442"/>
  <c r="C1560" i="442" s="1"/>
  <c r="C1556" i="442"/>
  <c r="C1557" i="442" s="1"/>
  <c r="C1552" i="442"/>
  <c r="C1553" i="442" s="1"/>
  <c r="C1549" i="442"/>
  <c r="C1550" i="442" s="1"/>
  <c r="C1551" i="442" s="1"/>
  <c r="C1546" i="442"/>
  <c r="F1544" i="442"/>
  <c r="F1543" i="442"/>
  <c r="C1542" i="442"/>
  <c r="C1543" i="442" s="1"/>
  <c r="C1538" i="442"/>
  <c r="C1534" i="442"/>
  <c r="C1535" i="442" s="1"/>
  <c r="C1536" i="442" s="1"/>
  <c r="C1537" i="442" s="1"/>
  <c r="C1531" i="442"/>
  <c r="C1527" i="442"/>
  <c r="C1528" i="442" s="1"/>
  <c r="C1529" i="442" s="1"/>
  <c r="C1530" i="442" s="1"/>
  <c r="C1525" i="442"/>
  <c r="C1526" i="442" s="1"/>
  <c r="C1523" i="442"/>
  <c r="C1524" i="442" s="1"/>
  <c r="C1519" i="442"/>
  <c r="C1515" i="442"/>
  <c r="C1516" i="442" s="1"/>
  <c r="C1517" i="442" s="1"/>
  <c r="C1518" i="442" s="1"/>
  <c r="C1511" i="442"/>
  <c r="C1512" i="442" s="1"/>
  <c r="C1506" i="442"/>
  <c r="C1507" i="442" s="1"/>
  <c r="C1508" i="442" s="1"/>
  <c r="C1509" i="442" s="1"/>
  <c r="C1501" i="442"/>
  <c r="C1496" i="442"/>
  <c r="C1491" i="442"/>
  <c r="C1492" i="442" s="1"/>
  <c r="C1486" i="442"/>
  <c r="C1487" i="442" s="1"/>
  <c r="C1488" i="442" s="1"/>
  <c r="C1489" i="442" s="1"/>
  <c r="C1481" i="442"/>
  <c r="C1476" i="442"/>
  <c r="C1471" i="442"/>
  <c r="C1472" i="442" s="1"/>
  <c r="C1466" i="442"/>
  <c r="C1467" i="442" s="1"/>
  <c r="C1468" i="442" s="1"/>
  <c r="C1461" i="442"/>
  <c r="C1456" i="442"/>
  <c r="C1457" i="442" s="1"/>
  <c r="C1451" i="442"/>
  <c r="C1452" i="442" s="1"/>
  <c r="C1446" i="442"/>
  <c r="C1447" i="442" s="1"/>
  <c r="C1448" i="442" s="1"/>
  <c r="C1449" i="442" s="1"/>
  <c r="C1441" i="442"/>
  <c r="C1436" i="442"/>
  <c r="C1437" i="442" s="1"/>
  <c r="C1438" i="442" s="1"/>
  <c r="C1431" i="442"/>
  <c r="C1432" i="442" s="1"/>
  <c r="C1426" i="442"/>
  <c r="C1427" i="442" s="1"/>
  <c r="C1428" i="442" s="1"/>
  <c r="C1429" i="442" s="1"/>
  <c r="C1421" i="442"/>
  <c r="C1416" i="442"/>
  <c r="C1417" i="442" s="1"/>
  <c r="C1418" i="442" s="1"/>
  <c r="C1411" i="442"/>
  <c r="C1412" i="442" s="1"/>
  <c r="C1406" i="442"/>
  <c r="C1407" i="442" s="1"/>
  <c r="C1408" i="442" s="1"/>
  <c r="C1409" i="442" s="1"/>
  <c r="C1401" i="442"/>
  <c r="C1396" i="442"/>
  <c r="C1397" i="442" s="1"/>
  <c r="C1391" i="442"/>
  <c r="C1392" i="442" s="1"/>
  <c r="C1393" i="442" s="1"/>
  <c r="C1394" i="442" s="1"/>
  <c r="C1386" i="442"/>
  <c r="C1387" i="442" s="1"/>
  <c r="C1388" i="442" s="1"/>
  <c r="C1389" i="442" s="1"/>
  <c r="C1390" i="442" s="1"/>
  <c r="C1381" i="442"/>
  <c r="C1382" i="442" s="1"/>
  <c r="C1383" i="442" s="1"/>
  <c r="C1384" i="442" s="1"/>
  <c r="C1385" i="442" s="1"/>
  <c r="C1376" i="442"/>
  <c r="C1377" i="442" s="1"/>
  <c r="C1371" i="442"/>
  <c r="C1372" i="442" s="1"/>
  <c r="C1366" i="442"/>
  <c r="C1367" i="442" s="1"/>
  <c r="C1368" i="442" s="1"/>
  <c r="C1362" i="442"/>
  <c r="C1363" i="442" s="1"/>
  <c r="C1358" i="442"/>
  <c r="C1354" i="442"/>
  <c r="C1350" i="442"/>
  <c r="C1351" i="442" s="1"/>
  <c r="C1352" i="442" s="1"/>
  <c r="C1353" i="442" s="1"/>
  <c r="C1347" i="442"/>
  <c r="F1346" i="442"/>
  <c r="C1345" i="442"/>
  <c r="C1343" i="442"/>
  <c r="C1344" i="442" s="1"/>
  <c r="C1340" i="442"/>
  <c r="C1338" i="442"/>
  <c r="C1339" i="442" s="1"/>
  <c r="C1336" i="442"/>
  <c r="C1337" i="442" s="1"/>
  <c r="C1334" i="442"/>
  <c r="C1332" i="442"/>
  <c r="C1329" i="442"/>
  <c r="C1326" i="442"/>
  <c r="C1327" i="442" s="1"/>
  <c r="C1324" i="442"/>
  <c r="C1316" i="442"/>
  <c r="C1311" i="442"/>
  <c r="C1309" i="442"/>
  <c r="C1305" i="442"/>
  <c r="C1306" i="442" s="1"/>
  <c r="C1307" i="442" s="1"/>
  <c r="C1308" i="442" s="1"/>
  <c r="F1304" i="442"/>
  <c r="F1303" i="442"/>
  <c r="C1302" i="442"/>
  <c r="C1303" i="442" s="1"/>
  <c r="C1299" i="442"/>
  <c r="C1300" i="442" s="1"/>
  <c r="C1301" i="442" s="1"/>
  <c r="F1296" i="442"/>
  <c r="C1295" i="442"/>
  <c r="C1296" i="442" s="1"/>
  <c r="C1292" i="442"/>
  <c r="C1288" i="442"/>
  <c r="C1289" i="442" s="1"/>
  <c r="C1290" i="442" s="1"/>
  <c r="C1291" i="442" s="1"/>
  <c r="F1287" i="442"/>
  <c r="F1286" i="442"/>
  <c r="F1285" i="442"/>
  <c r="C1284" i="442"/>
  <c r="F1283" i="442"/>
  <c r="F1282" i="442"/>
  <c r="F1281" i="442"/>
  <c r="C1280" i="442"/>
  <c r="C1281" i="442" s="1"/>
  <c r="F1279" i="442"/>
  <c r="F1278" i="442"/>
  <c r="C1276" i="442"/>
  <c r="C1272" i="442"/>
  <c r="C1273" i="442" s="1"/>
  <c r="C1274" i="442" s="1"/>
  <c r="C1275" i="442" s="1"/>
  <c r="C1268" i="442"/>
  <c r="C1269" i="442" s="1"/>
  <c r="C1264" i="442"/>
  <c r="C1260" i="442"/>
  <c r="C1256" i="442"/>
  <c r="C1257" i="442" s="1"/>
  <c r="C1258" i="442" s="1"/>
  <c r="C1259" i="442" s="1"/>
  <c r="C1254" i="442"/>
  <c r="C1255" i="442" s="1"/>
  <c r="C1251" i="442"/>
  <c r="C1252" i="442" s="1"/>
  <c r="C1253" i="442" s="1"/>
  <c r="C1248" i="442"/>
  <c r="F1247" i="442"/>
  <c r="F1246" i="442"/>
  <c r="C1245" i="442"/>
  <c r="C1246" i="442" s="1"/>
  <c r="F1244" i="442"/>
  <c r="F1243" i="442"/>
  <c r="C1242" i="442"/>
  <c r="C1243" i="442" s="1"/>
  <c r="F1241" i="442"/>
  <c r="F1240" i="442"/>
  <c r="C1239" i="442"/>
  <c r="F1238" i="442"/>
  <c r="F1237" i="442"/>
  <c r="C1236" i="442"/>
  <c r="F1234" i="442"/>
  <c r="C1233" i="442"/>
  <c r="C1234" i="442" s="1"/>
  <c r="F1231" i="442"/>
  <c r="C1230" i="442"/>
  <c r="F1229" i="442"/>
  <c r="F1228" i="442"/>
  <c r="F1227" i="442"/>
  <c r="C1226" i="442"/>
  <c r="C1227" i="442" s="1"/>
  <c r="F1225" i="442"/>
  <c r="F1224" i="442"/>
  <c r="C1223" i="442"/>
  <c r="F1222" i="442"/>
  <c r="F1221" i="442"/>
  <c r="C1220" i="442"/>
  <c r="F1219" i="442"/>
  <c r="F1218" i="442"/>
  <c r="C1217" i="442"/>
  <c r="C1218" i="442" s="1"/>
  <c r="F1216" i="442"/>
  <c r="F1215" i="442"/>
  <c r="C1214" i="442"/>
  <c r="C1215" i="442" s="1"/>
  <c r="F1213" i="442"/>
  <c r="F1212" i="442"/>
  <c r="C1211" i="442"/>
  <c r="C1208" i="442"/>
  <c r="C1209" i="442" s="1"/>
  <c r="C1205" i="442"/>
  <c r="C1206" i="442" s="1"/>
  <c r="C1207" i="442" s="1"/>
  <c r="C1202" i="442"/>
  <c r="F1201" i="442"/>
  <c r="C1199" i="442"/>
  <c r="C1200" i="442" s="1"/>
  <c r="F1198" i="442"/>
  <c r="C1196" i="442"/>
  <c r="F1195" i="442"/>
  <c r="C1193" i="442"/>
  <c r="C1194" i="442" s="1"/>
  <c r="C1190" i="442"/>
  <c r="C1191" i="442" s="1"/>
  <c r="C1192" i="442" s="1"/>
  <c r="F1187" i="442"/>
  <c r="C1186" i="442"/>
  <c r="C1187" i="442" s="1"/>
  <c r="C1182" i="442"/>
  <c r="C1183" i="442" s="1"/>
  <c r="C1178" i="442"/>
  <c r="C1179" i="442" s="1"/>
  <c r="C1174" i="442"/>
  <c r="C1170" i="442"/>
  <c r="C1171" i="442" s="1"/>
  <c r="C1172" i="442" s="1"/>
  <c r="C1167" i="442"/>
  <c r="C1162" i="442"/>
  <c r="C1163" i="442" s="1"/>
  <c r="C1164" i="442" s="1"/>
  <c r="C1159" i="442"/>
  <c r="C1157" i="442"/>
  <c r="C1151" i="442"/>
  <c r="C1152" i="442" s="1"/>
  <c r="C1149" i="442"/>
  <c r="C1150" i="442" s="1"/>
  <c r="C1147" i="442"/>
  <c r="C1145" i="442"/>
  <c r="C1146" i="442" s="1"/>
  <c r="C1143" i="442"/>
  <c r="C1144" i="442" s="1"/>
  <c r="C1141" i="442"/>
  <c r="C1142" i="442" s="1"/>
  <c r="C1139" i="442"/>
  <c r="C1138" i="442"/>
  <c r="C1123" i="442"/>
  <c r="C1124" i="442" s="1"/>
  <c r="C1125" i="442" s="1"/>
  <c r="C1126" i="442" s="1"/>
  <c r="C1127" i="442" s="1"/>
  <c r="C1119" i="442"/>
  <c r="C1120" i="442" s="1"/>
  <c r="C1116" i="442"/>
  <c r="C1117" i="442" s="1"/>
  <c r="C1114" i="442"/>
  <c r="C1112" i="442"/>
  <c r="C1113" i="442" s="1"/>
  <c r="C1110" i="442"/>
  <c r="C1111" i="442" s="1"/>
  <c r="C1108" i="442"/>
  <c r="C1109" i="442" s="1"/>
  <c r="C1106" i="442"/>
  <c r="C1104" i="442"/>
  <c r="C1105" i="442" s="1"/>
  <c r="C1102" i="442"/>
  <c r="C1103" i="442" s="1"/>
  <c r="C1100" i="442"/>
  <c r="C1101" i="442" s="1"/>
  <c r="C1098" i="442"/>
  <c r="C1096" i="442"/>
  <c r="C1097" i="442" s="1"/>
  <c r="C1094" i="442"/>
  <c r="C1095" i="442" s="1"/>
  <c r="C1090" i="442"/>
  <c r="C1091" i="442" s="1"/>
  <c r="C1092" i="442" s="1"/>
  <c r="C1093" i="442" s="1"/>
  <c r="C1086" i="442"/>
  <c r="C1081" i="442"/>
  <c r="C1082" i="442" s="1"/>
  <c r="F1080" i="442"/>
  <c r="F1079" i="442"/>
  <c r="C1078" i="442"/>
  <c r="C1075" i="442"/>
  <c r="C1076" i="442" s="1"/>
  <c r="C1077" i="442" s="1"/>
  <c r="F1074" i="442"/>
  <c r="F1073" i="442"/>
  <c r="C1072" i="442"/>
  <c r="C1069" i="442"/>
  <c r="C1070" i="442" s="1"/>
  <c r="C1064" i="442"/>
  <c r="C1065" i="442" s="1"/>
  <c r="C1059" i="442"/>
  <c r="C1060" i="442" s="1"/>
  <c r="C1061" i="442" s="1"/>
  <c r="C1062" i="442" s="1"/>
  <c r="C1054" i="442"/>
  <c r="C1049" i="442"/>
  <c r="C1050" i="442" s="1"/>
  <c r="C1044" i="442"/>
  <c r="C1045" i="442" s="1"/>
  <c r="C1039" i="442"/>
  <c r="C1040" i="442" s="1"/>
  <c r="C1041" i="442" s="1"/>
  <c r="C1042" i="442" s="1"/>
  <c r="C1043" i="442" s="1"/>
  <c r="C1034" i="442"/>
  <c r="C1035" i="442" s="1"/>
  <c r="C1036" i="442" s="1"/>
  <c r="C1029" i="442"/>
  <c r="C1024" i="442"/>
  <c r="C1025" i="442" s="1"/>
  <c r="C1019" i="442"/>
  <c r="C1020" i="442" s="1"/>
  <c r="C1014" i="442"/>
  <c r="C1015" i="442" s="1"/>
  <c r="C1016" i="442" s="1"/>
  <c r="C1017" i="442" s="1"/>
  <c r="C1009" i="442"/>
  <c r="C1010" i="442" s="1"/>
  <c r="C1005" i="442"/>
  <c r="C1006" i="442" s="1"/>
  <c r="C1000" i="442"/>
  <c r="C1001" i="442" s="1"/>
  <c r="C998" i="442"/>
  <c r="C999" i="442" s="1"/>
  <c r="C996" i="442"/>
  <c r="C994" i="442"/>
  <c r="C995" i="442" s="1"/>
  <c r="C992" i="442"/>
  <c r="C993" i="442" s="1"/>
  <c r="C990" i="442"/>
  <c r="C987" i="442"/>
  <c r="C988" i="442" s="1"/>
  <c r="C985" i="442"/>
  <c r="C983" i="442"/>
  <c r="C984" i="442" s="1"/>
  <c r="C981" i="442"/>
  <c r="C982" i="442" s="1"/>
  <c r="C978" i="442"/>
  <c r="C979" i="442" s="1"/>
  <c r="C980" i="442" s="1"/>
  <c r="C976" i="442"/>
  <c r="C977" i="442" s="1"/>
  <c r="C973" i="442"/>
  <c r="C974" i="442" s="1"/>
  <c r="C971" i="442"/>
  <c r="C969" i="442"/>
  <c r="C970" i="442" s="1"/>
  <c r="C967" i="442"/>
  <c r="C968" i="442" s="1"/>
  <c r="C965" i="442"/>
  <c r="C966" i="442" s="1"/>
  <c r="C963" i="442"/>
  <c r="C961" i="442"/>
  <c r="C962" i="442" s="1"/>
  <c r="C959" i="442"/>
  <c r="C960" i="442" s="1"/>
  <c r="C957" i="442"/>
  <c r="C958" i="442" s="1"/>
  <c r="C954" i="442"/>
  <c r="C955" i="442" s="1"/>
  <c r="C952" i="442"/>
  <c r="C953" i="442" s="1"/>
  <c r="C950" i="442"/>
  <c r="C947" i="442"/>
  <c r="C948" i="442" s="1"/>
  <c r="C945" i="442"/>
  <c r="F944" i="442"/>
  <c r="C943" i="442"/>
  <c r="C940" i="442"/>
  <c r="C941" i="442" s="1"/>
  <c r="C937" i="442"/>
  <c r="C938" i="442" s="1"/>
  <c r="C933" i="442"/>
  <c r="C934" i="442" s="1"/>
  <c r="C930" i="442"/>
  <c r="C931" i="442" s="1"/>
  <c r="C927" i="442"/>
  <c r="C928" i="442" s="1"/>
  <c r="C924" i="442"/>
  <c r="C922" i="442"/>
  <c r="C923" i="442" s="1"/>
  <c r="C919" i="442"/>
  <c r="C920" i="442" s="1"/>
  <c r="C916" i="442"/>
  <c r="C912" i="442"/>
  <c r="C913" i="442" s="1"/>
  <c r="C909" i="442"/>
  <c r="C910" i="442" s="1"/>
  <c r="C903" i="442"/>
  <c r="C904" i="442" s="1"/>
  <c r="C901" i="442"/>
  <c r="C899" i="442"/>
  <c r="C900" i="442" s="1"/>
  <c r="C897" i="442"/>
  <c r="C898" i="442" s="1"/>
  <c r="C895" i="442"/>
  <c r="C896" i="442" s="1"/>
  <c r="C893" i="442"/>
  <c r="C891" i="442"/>
  <c r="C892" i="442" s="1"/>
  <c r="C885" i="442"/>
  <c r="C886" i="442" s="1"/>
  <c r="C879" i="442"/>
  <c r="C880" i="442" s="1"/>
  <c r="C877" i="442"/>
  <c r="C875" i="442"/>
  <c r="C876" i="442" s="1"/>
  <c r="C863" i="442"/>
  <c r="C864" i="442" s="1"/>
  <c r="C851" i="442"/>
  <c r="C852" i="442" s="1"/>
  <c r="C839" i="442"/>
  <c r="C828" i="442"/>
  <c r="C829" i="442" s="1"/>
  <c r="C816" i="442"/>
  <c r="C804" i="442"/>
  <c r="F798" i="442"/>
  <c r="C789" i="442"/>
  <c r="C790" i="442" s="1"/>
  <c r="F783" i="442"/>
  <c r="C773" i="442"/>
  <c r="C774" i="442" s="1"/>
  <c r="C762" i="442"/>
  <c r="C763" i="442" s="1"/>
  <c r="C764" i="442" s="1"/>
  <c r="C765" i="442" s="1"/>
  <c r="C750" i="442"/>
  <c r="C751" i="442" s="1"/>
  <c r="F747" i="442"/>
  <c r="C746" i="442"/>
  <c r="C747" i="442" s="1"/>
  <c r="C744" i="442"/>
  <c r="C745" i="442" s="1"/>
  <c r="C742" i="442"/>
  <c r="C740" i="442"/>
  <c r="C741" i="442" s="1"/>
  <c r="C731" i="442"/>
  <c r="C732" i="442" s="1"/>
  <c r="C727" i="442"/>
  <c r="C724" i="442"/>
  <c r="C725" i="442" s="1"/>
  <c r="C721" i="442"/>
  <c r="C722" i="442" s="1"/>
  <c r="C718" i="442"/>
  <c r="C715" i="442"/>
  <c r="C712" i="442"/>
  <c r="C713" i="442" s="1"/>
  <c r="C709" i="442"/>
  <c r="C710" i="442" s="1"/>
  <c r="C707" i="442"/>
  <c r="C708" i="442" s="1"/>
  <c r="C705" i="442"/>
  <c r="C701" i="442"/>
  <c r="C702" i="442" s="1"/>
  <c r="C693" i="442"/>
  <c r="C694" i="442" s="1"/>
  <c r="C686" i="442"/>
  <c r="C687" i="442" s="1"/>
  <c r="C688" i="442" s="1"/>
  <c r="C689" i="442" s="1"/>
  <c r="C690" i="442" s="1"/>
  <c r="C691" i="442" s="1"/>
  <c r="C692" i="442" s="1"/>
  <c r="F684" i="442"/>
  <c r="C683" i="442"/>
  <c r="C684" i="442" s="1"/>
  <c r="F681" i="442"/>
  <c r="C680" i="442"/>
  <c r="F678" i="442"/>
  <c r="C677" i="442"/>
  <c r="C678" i="442" s="1"/>
  <c r="F675" i="442"/>
  <c r="C674" i="442"/>
  <c r="C675" i="442" s="1"/>
  <c r="F672" i="442"/>
  <c r="C671" i="442"/>
  <c r="C672" i="442" s="1"/>
  <c r="C673" i="442" s="1"/>
  <c r="F669" i="442"/>
  <c r="C668" i="442"/>
  <c r="C669" i="442" s="1"/>
  <c r="F666" i="442"/>
  <c r="C665" i="442"/>
  <c r="C666" i="442" s="1"/>
  <c r="C667" i="442" s="1"/>
  <c r="F663" i="442"/>
  <c r="C662" i="442"/>
  <c r="C663" i="442" s="1"/>
  <c r="F660" i="442"/>
  <c r="C659" i="442"/>
  <c r="C660" i="442" s="1"/>
  <c r="F657" i="442"/>
  <c r="C656" i="442"/>
  <c r="F654" i="442"/>
  <c r="C653" i="442"/>
  <c r="C654" i="442" s="1"/>
  <c r="F651" i="442"/>
  <c r="C650" i="442"/>
  <c r="C651" i="442" s="1"/>
  <c r="C652" i="442" s="1"/>
  <c r="F648" i="442"/>
  <c r="C647" i="442"/>
  <c r="C648" i="442" s="1"/>
  <c r="F645" i="442"/>
  <c r="C644" i="442"/>
  <c r="C645" i="442" s="1"/>
  <c r="F642" i="442"/>
  <c r="C641" i="442"/>
  <c r="C642" i="442" s="1"/>
  <c r="F639" i="442"/>
  <c r="C638" i="442"/>
  <c r="C635" i="442"/>
  <c r="C636" i="442" s="1"/>
  <c r="C633" i="442"/>
  <c r="C634" i="442" s="1"/>
  <c r="C629" i="442"/>
  <c r="C627" i="442"/>
  <c r="C625" i="442"/>
  <c r="C626" i="442" s="1"/>
  <c r="C623" i="442"/>
  <c r="C624" i="442" s="1"/>
  <c r="C621" i="442"/>
  <c r="D620" i="442"/>
  <c r="A264" i="442" s="1"/>
  <c r="C619" i="442"/>
  <c r="F618" i="442"/>
  <c r="C617" i="442"/>
  <c r="C608" i="442"/>
  <c r="C609" i="442" s="1"/>
  <c r="C602" i="442"/>
  <c r="C600" i="442"/>
  <c r="C595" i="442"/>
  <c r="C591" i="442"/>
  <c r="C587" i="442"/>
  <c r="C588" i="442" s="1"/>
  <c r="C583" i="442"/>
  <c r="C584" i="442" s="1"/>
  <c r="C579" i="442"/>
  <c r="C575" i="442"/>
  <c r="C571" i="442"/>
  <c r="C572" i="442" s="1"/>
  <c r="C567" i="442"/>
  <c r="C555" i="442"/>
  <c r="C551" i="442"/>
  <c r="C547" i="442"/>
  <c r="C548" i="442" s="1"/>
  <c r="C543" i="442"/>
  <c r="C544" i="442" s="1"/>
  <c r="C539" i="442"/>
  <c r="C535" i="442"/>
  <c r="C531" i="442"/>
  <c r="C532" i="442" s="1"/>
  <c r="C527" i="442"/>
  <c r="C528" i="442" s="1"/>
  <c r="C523" i="442"/>
  <c r="C515" i="442"/>
  <c r="C511" i="442"/>
  <c r="C512" i="442" s="1"/>
  <c r="C508" i="442"/>
  <c r="C503" i="442"/>
  <c r="C500" i="442"/>
  <c r="C501" i="442" s="1"/>
  <c r="C497" i="442"/>
  <c r="C498" i="442" s="1"/>
  <c r="C492" i="442"/>
  <c r="C493" i="442" s="1"/>
  <c r="C494" i="442" s="1"/>
  <c r="C487" i="442"/>
  <c r="C481" i="442"/>
  <c r="C482" i="442" s="1"/>
  <c r="C483" i="442" s="1"/>
  <c r="C478" i="442"/>
  <c r="C473" i="442"/>
  <c r="C474" i="442" s="1"/>
  <c r="C468" i="442"/>
  <c r="C469" i="442" s="1"/>
  <c r="C462" i="442"/>
  <c r="C463" i="442" s="1"/>
  <c r="C459" i="442"/>
  <c r="C460" i="442" s="1"/>
  <c r="C455" i="442"/>
  <c r="C451" i="442"/>
  <c r="C447" i="442"/>
  <c r="C448" i="442" s="1"/>
  <c r="C449" i="442" s="1"/>
  <c r="C450" i="442" s="1"/>
  <c r="C443" i="442"/>
  <c r="C444" i="442" s="1"/>
  <c r="C439" i="442"/>
  <c r="C435" i="442"/>
  <c r="C431" i="442"/>
  <c r="C432" i="442" s="1"/>
  <c r="C433" i="442" s="1"/>
  <c r="C434" i="442" s="1"/>
  <c r="C427" i="442"/>
  <c r="C428" i="442" s="1"/>
  <c r="C423" i="442"/>
  <c r="C419" i="442"/>
  <c r="C412" i="442"/>
  <c r="C408" i="442"/>
  <c r="C406" i="442"/>
  <c r="C407" i="442" s="1"/>
  <c r="C403" i="442"/>
  <c r="C404" i="442" s="1"/>
  <c r="C399" i="442"/>
  <c r="C395" i="442"/>
  <c r="C391" i="442"/>
  <c r="C392" i="442" s="1"/>
  <c r="C387" i="442"/>
  <c r="C388" i="442" s="1"/>
  <c r="C383" i="442"/>
  <c r="C379" i="442"/>
  <c r="C375" i="442"/>
  <c r="C376" i="442" s="1"/>
  <c r="C371" i="442"/>
  <c r="C372" i="442" s="1"/>
  <c r="C367" i="442"/>
  <c r="C368" i="442" s="1"/>
  <c r="C363" i="442"/>
  <c r="C359" i="442"/>
  <c r="C355" i="442"/>
  <c r="C356" i="442" s="1"/>
  <c r="C351" i="442"/>
  <c r="C352" i="442" s="1"/>
  <c r="C347" i="442"/>
  <c r="C343" i="442"/>
  <c r="C336" i="442"/>
  <c r="C329" i="442"/>
  <c r="C330" i="442" s="1"/>
  <c r="C326" i="442"/>
  <c r="C322" i="442"/>
  <c r="C318" i="442"/>
  <c r="C319" i="442" s="1"/>
  <c r="C320" i="442" s="1"/>
  <c r="C321" i="442" s="1"/>
  <c r="C314" i="442"/>
  <c r="C315" i="442" s="1"/>
  <c r="C310" i="442"/>
  <c r="C306" i="442"/>
  <c r="C302" i="442"/>
  <c r="C303" i="442" s="1"/>
  <c r="C304" i="442" s="1"/>
  <c r="C305" i="442" s="1"/>
  <c r="C298" i="442"/>
  <c r="C299" i="442" s="1"/>
  <c r="C294" i="442"/>
  <c r="C290" i="442"/>
  <c r="C286" i="442"/>
  <c r="C287" i="442" s="1"/>
  <c r="C288" i="442" s="1"/>
  <c r="C289" i="442" s="1"/>
  <c r="C284" i="442"/>
  <c r="C282" i="442"/>
  <c r="C283" i="442" s="1"/>
  <c r="C280" i="442"/>
  <c r="C278" i="442"/>
  <c r="C279" i="442" s="1"/>
  <c r="C276" i="442"/>
  <c r="C277" i="442" s="1"/>
  <c r="C274" i="442"/>
  <c r="C272" i="442"/>
  <c r="C270" i="442"/>
  <c r="C271" i="442" s="1"/>
  <c r="C268" i="442"/>
  <c r="C269" i="442" s="1"/>
  <c r="C266" i="442"/>
  <c r="C264" i="442"/>
  <c r="C262" i="442"/>
  <c r="C263" i="442" s="1"/>
  <c r="C260" i="442"/>
  <c r="C261" i="442" s="1"/>
  <c r="C258" i="442"/>
  <c r="C256" i="442"/>
  <c r="C254" i="442"/>
  <c r="C255" i="442" s="1"/>
  <c r="C252" i="442"/>
  <c r="C253" i="442" s="1"/>
  <c r="C250" i="442"/>
  <c r="C248" i="442"/>
  <c r="C245" i="442"/>
  <c r="C246" i="442" s="1"/>
  <c r="C243" i="442"/>
  <c r="C244" i="442" s="1"/>
  <c r="C241" i="442"/>
  <c r="C235" i="442"/>
  <c r="C233" i="442"/>
  <c r="C234" i="442" s="1"/>
  <c r="C231" i="442"/>
  <c r="C232" i="442" s="1"/>
  <c r="C229" i="442"/>
  <c r="C213" i="442"/>
  <c r="C214" i="442" s="1"/>
  <c r="C211" i="442"/>
  <c r="C212" i="442" s="1"/>
  <c r="C209" i="442"/>
  <c r="C210" i="442" s="1"/>
  <c r="C207" i="442"/>
  <c r="F206" i="442"/>
  <c r="F205" i="442"/>
  <c r="C204" i="442"/>
  <c r="C201" i="442"/>
  <c r="C202" i="442" s="1"/>
  <c r="C197" i="442"/>
  <c r="C198" i="442" s="1"/>
  <c r="C191" i="442"/>
  <c r="C189" i="442"/>
  <c r="C185" i="442"/>
  <c r="C186" i="442" s="1"/>
  <c r="C180" i="442"/>
  <c r="C181" i="442" s="1"/>
  <c r="C182" i="442" s="1"/>
  <c r="C175" i="442"/>
  <c r="C169" i="442"/>
  <c r="C170" i="442" s="1"/>
  <c r="C164" i="442"/>
  <c r="C165" i="442" s="1"/>
  <c r="F162" i="442"/>
  <c r="C158" i="442"/>
  <c r="C159" i="442" s="1"/>
  <c r="F156" i="442"/>
  <c r="C152" i="442"/>
  <c r="C153" i="442" s="1"/>
  <c r="C145" i="442"/>
  <c r="C141" i="442"/>
  <c r="C142" i="442" s="1"/>
  <c r="C143" i="442" s="1"/>
  <c r="C144" i="442" s="1"/>
  <c r="C124" i="442"/>
  <c r="C107" i="442"/>
  <c r="C108" i="442" s="1"/>
  <c r="C97" i="442"/>
  <c r="C87" i="442"/>
  <c r="C88" i="442" s="1"/>
  <c r="C77" i="442"/>
  <c r="C78" i="442" s="1"/>
  <c r="C67" i="442"/>
  <c r="C68" i="442" s="1"/>
  <c r="C57" i="442"/>
  <c r="C47" i="442"/>
  <c r="C48" i="442" s="1"/>
  <c r="C37" i="442"/>
  <c r="C38" i="442" s="1"/>
  <c r="C27" i="442"/>
  <c r="C19" i="442"/>
  <c r="C11" i="442"/>
  <c r="C12" i="442" s="1"/>
  <c r="C3" i="442"/>
  <c r="C4" i="442" s="1"/>
  <c r="A363" i="442" l="1"/>
  <c r="A213" i="442"/>
  <c r="A185" i="442"/>
  <c r="A481" i="442"/>
  <c r="A619" i="442"/>
  <c r="A712" i="442"/>
  <c r="A383" i="442"/>
  <c r="C1618" i="442"/>
  <c r="A1186" i="442"/>
  <c r="A1616" i="442"/>
  <c r="A1615" i="442"/>
  <c r="A124" i="442"/>
  <c r="A508" i="442"/>
  <c r="A77" i="442"/>
  <c r="A816" i="442"/>
  <c r="A241" i="442"/>
  <c r="A933" i="442"/>
  <c r="A1044" i="442"/>
  <c r="A2280" i="442"/>
  <c r="A965" i="442"/>
  <c r="A351" i="442"/>
  <c r="A1983" i="442"/>
  <c r="A1986" i="442"/>
  <c r="A1985" i="442"/>
  <c r="A1987" i="442"/>
  <c r="A1984" i="442"/>
  <c r="A2039" i="442"/>
  <c r="A2136" i="442"/>
  <c r="A1874" i="442"/>
  <c r="A587" i="442"/>
  <c r="A19" i="442"/>
  <c r="A151" i="442"/>
  <c r="A343" i="442"/>
  <c r="A284" i="442"/>
  <c r="A215" i="442"/>
  <c r="A539" i="442"/>
  <c r="A1990" i="442"/>
  <c r="A1988" i="442"/>
  <c r="A1991" i="442"/>
  <c r="A1992" i="442"/>
  <c r="A1989" i="442"/>
  <c r="A523" i="442"/>
  <c r="A180" i="442"/>
  <c r="A260" i="442"/>
  <c r="A468" i="442"/>
  <c r="A221" i="442"/>
  <c r="A245" i="442"/>
  <c r="A1656" i="442"/>
  <c r="A243" i="442"/>
  <c r="A1995" i="442"/>
  <c r="A1993" i="442"/>
  <c r="A1997" i="442"/>
  <c r="A1994" i="442"/>
  <c r="A1996" i="442"/>
  <c r="A423" i="442"/>
  <c r="A209" i="442"/>
  <c r="A322" i="442"/>
  <c r="A427" i="442"/>
  <c r="A930" i="442"/>
  <c r="A957" i="442"/>
  <c r="A247" i="442"/>
  <c r="A375" i="442"/>
  <c r="A211" i="442"/>
  <c r="A668" i="442"/>
  <c r="G2155" i="442"/>
  <c r="G1919" i="442"/>
  <c r="G2032" i="442"/>
  <c r="G1917" i="442"/>
  <c r="G1370" i="442"/>
  <c r="G1918" i="442"/>
  <c r="A47" i="442"/>
  <c r="A1081" i="442"/>
  <c r="A1919" i="442"/>
  <c r="A575" i="442"/>
  <c r="A207" i="442"/>
  <c r="A266" i="442"/>
  <c r="A57" i="442"/>
  <c r="A306" i="442"/>
  <c r="A408" i="442"/>
  <c r="A462" i="442"/>
  <c r="A625" i="442"/>
  <c r="A718" i="442"/>
  <c r="A1260" i="442"/>
  <c r="A145" i="442"/>
  <c r="A189" i="442"/>
  <c r="A248" i="442"/>
  <c r="A302" i="442"/>
  <c r="A347" i="442"/>
  <c r="A431" i="442"/>
  <c r="A591" i="442"/>
  <c r="A152" i="442"/>
  <c r="A197" i="442"/>
  <c r="A276" i="442"/>
  <c r="A487" i="442"/>
  <c r="A903" i="442"/>
  <c r="A1223" i="442"/>
  <c r="A443" i="442"/>
  <c r="A1205" i="442"/>
  <c r="A608" i="442"/>
  <c r="A310" i="442"/>
  <c r="A1170" i="442"/>
  <c r="A233" i="442"/>
  <c r="A67" i="442"/>
  <c r="A314" i="442"/>
  <c r="A406" i="442"/>
  <c r="A693" i="442"/>
  <c r="A742" i="442"/>
  <c r="A1811" i="442"/>
  <c r="A1916" i="442"/>
  <c r="A1918" i="442"/>
  <c r="A1915" i="442"/>
  <c r="A1917" i="442"/>
  <c r="A1914" i="442"/>
  <c r="A355" i="442"/>
  <c r="A828" i="442"/>
  <c r="A256" i="442"/>
  <c r="A278" i="442"/>
  <c r="A158" i="442"/>
  <c r="A359" i="442"/>
  <c r="A447" i="442"/>
  <c r="A235" i="442"/>
  <c r="A280" i="442"/>
  <c r="G472" i="442"/>
  <c r="G1397" i="442"/>
  <c r="G102" i="442"/>
  <c r="G42" i="442"/>
  <c r="G463" i="442"/>
  <c r="G728" i="442"/>
  <c r="A653" i="442"/>
  <c r="A709" i="442"/>
  <c r="A985" i="442"/>
  <c r="A1239" i="442"/>
  <c r="A1875" i="442"/>
  <c r="A773" i="442"/>
  <c r="A990" i="442"/>
  <c r="A1137" i="442"/>
  <c r="A1208" i="442"/>
  <c r="A1635" i="442"/>
  <c r="A1643" i="442"/>
  <c r="A1154" i="442"/>
  <c r="A1153" i="442"/>
  <c r="A683" i="442"/>
  <c r="A662" i="442"/>
  <c r="A1143" i="442"/>
  <c r="A11" i="442"/>
  <c r="A107" i="442"/>
  <c r="A175" i="442"/>
  <c r="A262" i="442"/>
  <c r="A282" i="442"/>
  <c r="A318" i="442"/>
  <c r="A500" i="442"/>
  <c r="A899" i="442"/>
  <c r="A1069" i="442"/>
  <c r="A909" i="442"/>
  <c r="A1156" i="442"/>
  <c r="A1155" i="442"/>
  <c r="A583" i="442"/>
  <c r="A906" i="442"/>
  <c r="A746" i="442"/>
  <c r="A2161" i="442"/>
  <c r="A2424" i="442"/>
  <c r="A981" i="442"/>
  <c r="C1158" i="442"/>
  <c r="A2310" i="442"/>
  <c r="A2370" i="442"/>
  <c r="G1168" i="442"/>
  <c r="G1166" i="442"/>
  <c r="G1648" i="442"/>
  <c r="G1673" i="442"/>
  <c r="G421" i="442"/>
  <c r="G296" i="442"/>
  <c r="G1191" i="442"/>
  <c r="G1945" i="442"/>
  <c r="G110" i="442"/>
  <c r="G246" i="442"/>
  <c r="G1901" i="442"/>
  <c r="G1129" i="442"/>
  <c r="A535" i="442"/>
  <c r="A744" i="442"/>
  <c r="A937" i="442"/>
  <c r="A1211" i="442"/>
  <c r="A543" i="442"/>
  <c r="A875" i="442"/>
  <c r="A954" i="442"/>
  <c r="A1672" i="442"/>
  <c r="A1674" i="442"/>
  <c r="A1673" i="442"/>
  <c r="A2" i="442"/>
  <c r="A225" i="442"/>
  <c r="A268" i="442"/>
  <c r="A370" i="442"/>
  <c r="A451" i="442"/>
  <c r="A3" i="442"/>
  <c r="A227" i="442"/>
  <c r="A250" i="442"/>
  <c r="A336" i="442"/>
  <c r="A371" i="442"/>
  <c r="A715" i="442"/>
  <c r="A201" i="442"/>
  <c r="A97" i="442"/>
  <c r="A164" i="442"/>
  <c r="A203" i="442"/>
  <c r="A419" i="442"/>
  <c r="A503" i="442"/>
  <c r="A547" i="442"/>
  <c r="A877" i="442"/>
  <c r="A1108" i="442"/>
  <c r="C1168" i="442"/>
  <c r="A644" i="442"/>
  <c r="A952" i="442"/>
  <c r="A1145" i="442"/>
  <c r="A579" i="442"/>
  <c r="A686" i="442"/>
  <c r="A1611" i="442"/>
  <c r="A1166" i="442"/>
  <c r="A1165" i="442"/>
  <c r="A647" i="442"/>
  <c r="A983" i="442"/>
  <c r="A1110" i="442"/>
  <c r="A27" i="442"/>
  <c r="A169" i="442"/>
  <c r="A204" i="442"/>
  <c r="A229" i="442"/>
  <c r="A399" i="442"/>
  <c r="A473" i="442"/>
  <c r="A511" i="442"/>
  <c r="A551" i="442"/>
  <c r="A595" i="442"/>
  <c r="A727" i="442"/>
  <c r="A1817" i="442"/>
  <c r="A1129" i="442"/>
  <c r="A1128" i="442"/>
  <c r="A879" i="442"/>
  <c r="A945" i="442"/>
  <c r="A969" i="442"/>
  <c r="A1054" i="442"/>
  <c r="A1090" i="442"/>
  <c r="A1251" i="442"/>
  <c r="A2108" i="442"/>
  <c r="A671" i="442"/>
  <c r="A912" i="442"/>
  <c r="A37" i="442"/>
  <c r="A231" i="442"/>
  <c r="A328" i="442"/>
  <c r="A403" i="442"/>
  <c r="A439" i="442"/>
  <c r="A478" i="442"/>
  <c r="A515" i="442"/>
  <c r="A555" i="442"/>
  <c r="A635" i="442"/>
  <c r="A705" i="442"/>
  <c r="A731" i="442"/>
  <c r="A789" i="442"/>
  <c r="A1451" i="442"/>
  <c r="A141" i="442"/>
  <c r="A252" i="442"/>
  <c r="A298" i="442"/>
  <c r="A329" i="442"/>
  <c r="A367" i="442"/>
  <c r="A885" i="442"/>
  <c r="A971" i="442"/>
  <c r="A1094" i="442"/>
  <c r="A637" i="442"/>
  <c r="A656" i="442"/>
  <c r="A707" i="442"/>
  <c r="A740" i="442"/>
  <c r="G157" i="442"/>
  <c r="G807" i="442"/>
  <c r="G194" i="442"/>
  <c r="G1125" i="442"/>
  <c r="G167" i="442"/>
  <c r="G2201" i="442"/>
  <c r="G17" i="442"/>
  <c r="G32" i="442"/>
  <c r="G76" i="442"/>
  <c r="G805" i="442"/>
  <c r="G1818" i="442"/>
  <c r="G1793" i="442"/>
  <c r="G168" i="442"/>
  <c r="G377" i="442"/>
  <c r="G1003" i="442"/>
  <c r="G1712" i="442"/>
  <c r="G1571" i="442"/>
  <c r="G1770" i="442"/>
  <c r="G1794" i="442"/>
  <c r="G123" i="442"/>
  <c r="G485" i="442"/>
  <c r="G1395" i="442"/>
  <c r="G1816" i="442"/>
  <c r="G1795" i="442"/>
  <c r="G1027" i="442"/>
  <c r="G179" i="442"/>
  <c r="G75" i="442"/>
  <c r="G513" i="442"/>
  <c r="G5" i="442"/>
  <c r="G65" i="442"/>
  <c r="A312" i="442"/>
  <c r="A1696" i="442"/>
  <c r="A1775" i="442"/>
  <c r="A1814" i="442"/>
  <c r="A2139" i="442"/>
  <c r="A254" i="442"/>
  <c r="A270" i="442"/>
  <c r="A286" i="442"/>
  <c r="A455" i="442"/>
  <c r="A641" i="442"/>
  <c r="A677" i="442"/>
  <c r="A891" i="442"/>
  <c r="A1114" i="442"/>
  <c r="A1777" i="442"/>
  <c r="A1254" i="442"/>
  <c r="A1897" i="442"/>
  <c r="A1898" i="442"/>
  <c r="A272" i="442"/>
  <c r="A290" i="442"/>
  <c r="A391" i="442"/>
  <c r="A621" i="442"/>
  <c r="A924" i="442"/>
  <c r="A1362" i="442"/>
  <c r="A1431" i="442"/>
  <c r="A1501" i="442"/>
  <c r="A1779" i="442"/>
  <c r="A1858" i="442"/>
  <c r="A153" i="442"/>
  <c r="A87" i="442"/>
  <c r="A191" i="442"/>
  <c r="A258" i="442"/>
  <c r="A274" i="442"/>
  <c r="A294" i="442"/>
  <c r="A395" i="442"/>
  <c r="A623" i="442"/>
  <c r="A927" i="442"/>
  <c r="A976" i="442"/>
  <c r="A1000" i="442"/>
  <c r="A1159" i="442"/>
  <c r="A1366" i="442"/>
  <c r="A1781" i="442"/>
  <c r="A1609" i="442"/>
  <c r="A1638" i="442"/>
  <c r="A470" i="442"/>
  <c r="A440" i="442"/>
  <c r="A116" i="442"/>
  <c r="A196" i="442"/>
  <c r="A326" i="442"/>
  <c r="A387" i="442"/>
  <c r="A412" i="442"/>
  <c r="A627" i="442"/>
  <c r="A680" i="442"/>
  <c r="A893" i="442"/>
  <c r="A916" i="442"/>
  <c r="A940" i="442"/>
  <c r="A959" i="442"/>
  <c r="A1005" i="442"/>
  <c r="A1059" i="442"/>
  <c r="A1116" i="442"/>
  <c r="A1665" i="442"/>
  <c r="A1890" i="442"/>
  <c r="A154" i="442"/>
  <c r="A441" i="442"/>
  <c r="A119" i="442"/>
  <c r="A60" i="442"/>
  <c r="A629" i="442"/>
  <c r="A665" i="442"/>
  <c r="A895" i="442"/>
  <c r="A919" i="442"/>
  <c r="A943" i="442"/>
  <c r="A961" i="442"/>
  <c r="A1009" i="442"/>
  <c r="A1118" i="442"/>
  <c r="A1345" i="442"/>
  <c r="A606" i="442"/>
  <c r="A66" i="442"/>
  <c r="A617" i="442"/>
  <c r="A633" i="442"/>
  <c r="A650" i="442"/>
  <c r="A922" i="442"/>
  <c r="A963" i="442"/>
  <c r="A1014" i="442"/>
  <c r="A1157" i="442"/>
  <c r="A1309" i="442"/>
  <c r="A1582" i="442"/>
  <c r="A1617" i="442"/>
  <c r="A1721" i="442"/>
  <c r="A1760" i="442"/>
  <c r="A111" i="442"/>
  <c r="A332" i="442"/>
  <c r="A397" i="442"/>
  <c r="A1284" i="442"/>
  <c r="A1311" i="442"/>
  <c r="A1416" i="442"/>
  <c r="A1542" i="442"/>
  <c r="A1619" i="442"/>
  <c r="A41" i="442"/>
  <c r="A115" i="442"/>
  <c r="A411" i="442"/>
  <c r="A58" i="442"/>
  <c r="A330" i="442"/>
  <c r="A22" i="442"/>
  <c r="A178" i="442"/>
  <c r="A369" i="442"/>
  <c r="A901" i="442"/>
  <c r="A947" i="442"/>
  <c r="A1134" i="442"/>
  <c r="A1651" i="442"/>
  <c r="A2364" i="442"/>
  <c r="A2365" i="442"/>
  <c r="A287" i="442"/>
  <c r="A170" i="442"/>
  <c r="A244" i="442"/>
  <c r="A259" i="442"/>
  <c r="A372" i="442"/>
  <c r="A967" i="442"/>
  <c r="A987" i="442"/>
  <c r="A1119" i="442"/>
  <c r="A1245" i="442"/>
  <c r="A1338" i="442"/>
  <c r="A1371" i="442"/>
  <c r="A1546" i="442"/>
  <c r="A1689" i="442"/>
  <c r="A1763" i="442"/>
  <c r="A1832" i="442"/>
  <c r="A70" i="442"/>
  <c r="A172" i="442"/>
  <c r="A291" i="442"/>
  <c r="A459" i="442"/>
  <c r="A492" i="442"/>
  <c r="A527" i="442"/>
  <c r="A567" i="442"/>
  <c r="A600" i="442"/>
  <c r="A659" i="442"/>
  <c r="A905" i="442"/>
  <c r="A1024" i="442"/>
  <c r="A1100" i="442"/>
  <c r="A1230" i="442"/>
  <c r="A1506" i="442"/>
  <c r="A313" i="442"/>
  <c r="A398" i="442"/>
  <c r="A31" i="442"/>
  <c r="A292" i="442"/>
  <c r="A1340" i="442"/>
  <c r="A1446" i="442"/>
  <c r="A1549" i="442"/>
  <c r="A38" i="442"/>
  <c r="A147" i="442"/>
  <c r="A226" i="442"/>
  <c r="A39" i="442"/>
  <c r="A96" i="442"/>
  <c r="A277" i="442"/>
  <c r="A379" i="442"/>
  <c r="A405" i="442"/>
  <c r="A435" i="442"/>
  <c r="A461" i="442"/>
  <c r="A497" i="442"/>
  <c r="A531" i="442"/>
  <c r="A571" i="442"/>
  <c r="A602" i="442"/>
  <c r="A804" i="442"/>
  <c r="A907" i="442"/>
  <c r="A1029" i="442"/>
  <c r="A1305" i="442"/>
  <c r="A1597" i="442"/>
  <c r="A1242" i="442"/>
  <c r="A1264" i="442"/>
  <c r="A1350" i="442"/>
  <c r="A1691" i="442"/>
  <c r="A2075" i="442"/>
  <c r="A1075" i="442"/>
  <c r="A1102" i="442"/>
  <c r="A1288" i="442"/>
  <c r="A1406" i="442"/>
  <c r="A1461" i="442"/>
  <c r="A1629" i="442"/>
  <c r="A998" i="442"/>
  <c r="A1039" i="442"/>
  <c r="A1123" i="442"/>
  <c r="A1151" i="442"/>
  <c r="A1190" i="442"/>
  <c r="A1268" i="442"/>
  <c r="A1354" i="442"/>
  <c r="A1607" i="442"/>
  <c r="A2396" i="442"/>
  <c r="A1794" i="442"/>
  <c r="A638" i="442"/>
  <c r="A721" i="442"/>
  <c r="A750" i="442"/>
  <c r="A851" i="442"/>
  <c r="A978" i="442"/>
  <c r="A1104" i="442"/>
  <c r="A2120" i="442"/>
  <c r="A2087" i="442"/>
  <c r="A1637" i="442"/>
  <c r="A1660" i="442"/>
  <c r="A1738" i="442"/>
  <c r="A1943" i="442"/>
  <c r="A2118" i="442"/>
  <c r="A1112" i="442"/>
  <c r="A1217" i="442"/>
  <c r="A1411" i="442"/>
  <c r="A1519" i="442"/>
  <c r="A1552" i="442"/>
  <c r="A1593" i="442"/>
  <c r="A1802" i="442"/>
  <c r="A1894" i="442"/>
  <c r="A2008" i="442"/>
  <c r="A2044" i="442"/>
  <c r="A2122" i="442"/>
  <c r="A2084" i="442"/>
  <c r="A1792" i="442"/>
  <c r="A1793" i="442"/>
  <c r="A1795" i="442"/>
  <c r="A975" i="442"/>
  <c r="A994" i="442"/>
  <c r="A1072" i="442"/>
  <c r="A1096" i="442"/>
  <c r="A1139" i="442"/>
  <c r="A1162" i="442"/>
  <c r="A1299" i="442"/>
  <c r="A1334" i="442"/>
  <c r="A1466" i="442"/>
  <c r="A1716" i="442"/>
  <c r="A1748" i="442"/>
  <c r="A1838" i="442"/>
  <c r="A863" i="442"/>
  <c r="A897" i="442"/>
  <c r="A996" i="442"/>
  <c r="A1098" i="442"/>
  <c r="A1141" i="442"/>
  <c r="A1471" i="442"/>
  <c r="A1559" i="442"/>
  <c r="A1719" i="442"/>
  <c r="A1750" i="442"/>
  <c r="A1840" i="442"/>
  <c r="A1868" i="442"/>
  <c r="A1904" i="442"/>
  <c r="A1963" i="442"/>
  <c r="A2013" i="442"/>
  <c r="A2054" i="442"/>
  <c r="A2160" i="442"/>
  <c r="G31" i="442"/>
  <c r="G159" i="442"/>
  <c r="G1966" i="442"/>
  <c r="G882" i="442"/>
  <c r="G1084" i="442"/>
  <c r="G1131" i="442"/>
  <c r="G1277" i="442"/>
  <c r="G1952" i="442"/>
  <c r="G743" i="442"/>
  <c r="G1004" i="442"/>
  <c r="G1263" i="442"/>
  <c r="G1883" i="442"/>
  <c r="G2126" i="442"/>
  <c r="G365" i="442"/>
  <c r="G870" i="442"/>
  <c r="G1453" i="442"/>
  <c r="G1902" i="442"/>
  <c r="G111" i="442"/>
  <c r="G146" i="442"/>
  <c r="G8" i="442"/>
  <c r="G149" i="442"/>
  <c r="G517" i="442"/>
  <c r="G101" i="442"/>
  <c r="G541" i="442"/>
  <c r="G941" i="442"/>
  <c r="G122" i="442"/>
  <c r="G871" i="442"/>
  <c r="G1394" i="442"/>
  <c r="G41" i="442"/>
  <c r="G342" i="442"/>
  <c r="G43" i="442"/>
  <c r="G1686" i="442"/>
  <c r="G7" i="442"/>
  <c r="G66" i="442"/>
  <c r="G1189" i="442"/>
  <c r="A117" i="442"/>
  <c r="A426" i="442"/>
  <c r="A2374" i="442"/>
  <c r="A2420" i="442"/>
  <c r="A2421" i="442"/>
  <c r="A353" i="442"/>
  <c r="A13" i="442"/>
  <c r="A85" i="442"/>
  <c r="A232" i="442"/>
  <c r="A44" i="442"/>
  <c r="A973" i="442"/>
  <c r="A1086" i="442"/>
  <c r="A1106" i="442"/>
  <c r="A1174" i="442"/>
  <c r="A1202" i="442"/>
  <c r="A1233" i="442"/>
  <c r="A1272" i="442"/>
  <c r="A1316" i="442"/>
  <c r="A1381" i="442"/>
  <c r="A1621" i="442"/>
  <c r="A1932" i="442"/>
  <c r="A2015" i="442"/>
  <c r="A2154" i="442"/>
  <c r="C2423" i="442"/>
  <c r="A12" i="442"/>
  <c r="A42" i="442"/>
  <c r="A43" i="442"/>
  <c r="A14" i="442"/>
  <c r="A86" i="442"/>
  <c r="A125" i="442"/>
  <c r="A15" i="442"/>
  <c r="A126" i="442"/>
  <c r="A304" i="442"/>
  <c r="A356" i="442"/>
  <c r="A674" i="442"/>
  <c r="A701" i="442"/>
  <c r="A762" i="442"/>
  <c r="A915" i="442"/>
  <c r="A992" i="442"/>
  <c r="A1019" i="442"/>
  <c r="A1064" i="442"/>
  <c r="A1130" i="442"/>
  <c r="A1147" i="442"/>
  <c r="A1220" i="442"/>
  <c r="A1436" i="442"/>
  <c r="A1534" i="442"/>
  <c r="A1601" i="442"/>
  <c r="A1706" i="442"/>
  <c r="A1854" i="442"/>
  <c r="A1973" i="442"/>
  <c r="A2059" i="442"/>
  <c r="A82" i="442"/>
  <c r="A165" i="442"/>
  <c r="A305" i="442"/>
  <c r="A357" i="442"/>
  <c r="A528" i="442"/>
  <c r="A1276" i="442"/>
  <c r="A1295" i="442"/>
  <c r="A1347" i="442"/>
  <c r="A1386" i="442"/>
  <c r="A1491" i="442"/>
  <c r="A1567" i="442"/>
  <c r="A1623" i="442"/>
  <c r="A1675" i="442"/>
  <c r="A1829" i="442"/>
  <c r="A1935" i="442"/>
  <c r="A2156" i="442"/>
  <c r="A2296" i="442"/>
  <c r="A17" i="442"/>
  <c r="A56" i="442"/>
  <c r="A89" i="442"/>
  <c r="A195" i="442"/>
  <c r="A499" i="442"/>
  <c r="A1132" i="442"/>
  <c r="A1149" i="442"/>
  <c r="A1182" i="442"/>
  <c r="A1236" i="442"/>
  <c r="A1248" i="442"/>
  <c r="A1326" i="442"/>
  <c r="A1605" i="442"/>
  <c r="A1646" i="442"/>
  <c r="A1744" i="442"/>
  <c r="A2017" i="442"/>
  <c r="A2061" i="442"/>
  <c r="A2130" i="442"/>
  <c r="A2268" i="442"/>
  <c r="G865" i="442"/>
  <c r="G752" i="442"/>
  <c r="G774" i="442"/>
  <c r="G476" i="442"/>
  <c r="G1306" i="442"/>
  <c r="G69" i="442"/>
  <c r="G80" i="442"/>
  <c r="G104" i="442"/>
  <c r="G161" i="442"/>
  <c r="G452" i="442"/>
  <c r="G505" i="442"/>
  <c r="G778" i="442"/>
  <c r="G835" i="442"/>
  <c r="G861" i="442"/>
  <c r="G1221" i="442"/>
  <c r="G1676" i="442"/>
  <c r="G553" i="442"/>
  <c r="G565" i="442"/>
  <c r="G2448" i="442"/>
  <c r="G2444" i="442"/>
  <c r="G9" i="442"/>
  <c r="G139" i="442"/>
  <c r="G291" i="442"/>
  <c r="G357" i="442"/>
  <c r="G1047" i="442"/>
  <c r="G1294" i="442"/>
  <c r="G1365" i="442"/>
  <c r="G1645" i="442"/>
  <c r="G1690" i="442"/>
  <c r="G2221" i="442"/>
  <c r="G2235" i="442"/>
  <c r="G56" i="442"/>
  <c r="G1688" i="442"/>
  <c r="G2073" i="442"/>
  <c r="G60" i="442"/>
  <c r="G71" i="442"/>
  <c r="G140" i="442"/>
  <c r="G188" i="442"/>
  <c r="G292" i="442"/>
  <c r="G358" i="442"/>
  <c r="G441" i="442"/>
  <c r="G534" i="442"/>
  <c r="G569" i="442"/>
  <c r="G735" i="442"/>
  <c r="G753" i="442"/>
  <c r="G889" i="442"/>
  <c r="G1237" i="442"/>
  <c r="G1429" i="442"/>
  <c r="G1557" i="442"/>
  <c r="G1831" i="442"/>
  <c r="G2209" i="442"/>
  <c r="G129" i="442"/>
  <c r="G332" i="442"/>
  <c r="G426" i="442"/>
  <c r="G506" i="442"/>
  <c r="G49" i="442"/>
  <c r="G83" i="442"/>
  <c r="G106" i="442"/>
  <c r="G119" i="442"/>
  <c r="G130" i="442"/>
  <c r="G304" i="442"/>
  <c r="G333" i="442"/>
  <c r="G346" i="442"/>
  <c r="G416" i="442"/>
  <c r="G495" i="442"/>
  <c r="G813" i="442"/>
  <c r="G826" i="442"/>
  <c r="G837" i="442"/>
  <c r="G1224" i="442"/>
  <c r="G1296" i="442"/>
  <c r="G1720" i="442"/>
  <c r="G2077" i="442"/>
  <c r="G2053" i="442"/>
  <c r="G883" i="442"/>
  <c r="G1578" i="442"/>
  <c r="G1699" i="442"/>
  <c r="G1028" i="442"/>
  <c r="G2352" i="442"/>
  <c r="G884" i="442"/>
  <c r="G1015" i="442"/>
  <c r="G1085" i="442"/>
  <c r="G1495" i="442"/>
  <c r="G92" i="442"/>
  <c r="G812" i="442"/>
  <c r="G1006" i="442"/>
  <c r="G1485" i="442"/>
  <c r="G39" i="442"/>
  <c r="G96" i="442"/>
  <c r="G165" i="442"/>
  <c r="G176" i="442"/>
  <c r="G469" i="442"/>
  <c r="G482" i="442"/>
  <c r="G676" i="442"/>
  <c r="G1092" i="442"/>
  <c r="G1372" i="442"/>
  <c r="G1474" i="442"/>
  <c r="G1708" i="442"/>
  <c r="G1975" i="442"/>
  <c r="G2137" i="442"/>
  <c r="G568" i="442"/>
  <c r="G564" i="442"/>
  <c r="G301" i="442"/>
  <c r="G566" i="442"/>
  <c r="G1013" i="442"/>
  <c r="G2042" i="442"/>
  <c r="G793" i="442"/>
  <c r="G860" i="442"/>
  <c r="G1454" i="442"/>
  <c r="G34" i="442"/>
  <c r="G580" i="442"/>
  <c r="G1510" i="442"/>
  <c r="G1942" i="442"/>
  <c r="G50" i="442"/>
  <c r="G62" i="442"/>
  <c r="G131" i="442"/>
  <c r="G334" i="442"/>
  <c r="G496" i="442"/>
  <c r="G536" i="442"/>
  <c r="G550" i="442"/>
  <c r="G786" i="442"/>
  <c r="G803" i="442"/>
  <c r="G814" i="442"/>
  <c r="G827" i="442"/>
  <c r="G920" i="442"/>
  <c r="G1051" i="442"/>
  <c r="G1356" i="442"/>
  <c r="G1912" i="442"/>
  <c r="G1947" i="442"/>
  <c r="G2005" i="442"/>
  <c r="G2065" i="442"/>
  <c r="G1420" i="442"/>
  <c r="G526" i="442"/>
  <c r="G366" i="442"/>
  <c r="G422" i="442"/>
  <c r="G2189" i="442"/>
  <c r="G1057" i="442"/>
  <c r="G2219" i="442"/>
  <c r="G138" i="442"/>
  <c r="G94" i="442"/>
  <c r="G74" i="442"/>
  <c r="G85" i="442"/>
  <c r="G121" i="442"/>
  <c r="G166" i="442"/>
  <c r="G222" i="442"/>
  <c r="G418" i="442"/>
  <c r="G430" i="442"/>
  <c r="G738" i="442"/>
  <c r="G854" i="442"/>
  <c r="G1038" i="442"/>
  <c r="G1285" i="442"/>
  <c r="G1475" i="442"/>
  <c r="G2052" i="442"/>
  <c r="G1405" i="442"/>
  <c r="G1505" i="442"/>
  <c r="G2447" i="442"/>
  <c r="G2443" i="442"/>
  <c r="G2173" i="442"/>
  <c r="G378" i="442"/>
  <c r="G761" i="442"/>
  <c r="G137" i="442"/>
  <c r="G450" i="442"/>
  <c r="G300" i="442"/>
  <c r="G105" i="442"/>
  <c r="G642" i="442"/>
  <c r="G1472" i="442"/>
  <c r="G51" i="442"/>
  <c r="G295" i="442"/>
  <c r="G525" i="442"/>
  <c r="G1052" i="442"/>
  <c r="G1227" i="442"/>
  <c r="G1357" i="442"/>
  <c r="G1518" i="442"/>
  <c r="G1710" i="442"/>
  <c r="A1421" i="442"/>
  <c r="A1577" i="442"/>
  <c r="A1625" i="442"/>
  <c r="A1668" i="442"/>
  <c r="A1755" i="442"/>
  <c r="A1892" i="442"/>
  <c r="A1938" i="442"/>
  <c r="A2216" i="442"/>
  <c r="A1193" i="442"/>
  <c r="A1391" i="442"/>
  <c r="A1481" i="442"/>
  <c r="A1523" i="442"/>
  <c r="A1587" i="442"/>
  <c r="A1711" i="442"/>
  <c r="A1740" i="442"/>
  <c r="A1848" i="442"/>
  <c r="A1870" i="442"/>
  <c r="A1948" i="442"/>
  <c r="A2019" i="442"/>
  <c r="A2256" i="442"/>
  <c r="A557" i="442"/>
  <c r="A2444" i="442"/>
  <c r="A2442" i="442"/>
  <c r="A2443" i="442"/>
  <c r="A2441" i="442"/>
  <c r="A1214" i="442"/>
  <c r="A1226" i="442"/>
  <c r="A1396" i="442"/>
  <c r="A1486" i="442"/>
  <c r="A1684" i="442"/>
  <c r="A1714" i="442"/>
  <c r="A1742" i="442"/>
  <c r="A1872" i="442"/>
  <c r="A2101" i="442"/>
  <c r="A2323" i="442"/>
  <c r="A496" i="442"/>
  <c r="A525" i="442"/>
  <c r="A593" i="442"/>
  <c r="A1169" i="442"/>
  <c r="A1196" i="442"/>
  <c r="A1336" i="442"/>
  <c r="A1358" i="442"/>
  <c r="A1527" i="442"/>
  <c r="A1556" i="442"/>
  <c r="A1633" i="442"/>
  <c r="A1852" i="442"/>
  <c r="A1909" i="442"/>
  <c r="A2029" i="442"/>
  <c r="A2070" i="442"/>
  <c r="A2133" i="442"/>
  <c r="A564" i="442"/>
  <c r="A563" i="442"/>
  <c r="A565" i="442"/>
  <c r="A566" i="442"/>
  <c r="A71" i="442"/>
  <c r="A130" i="442"/>
  <c r="A358" i="442"/>
  <c r="A46" i="442"/>
  <c r="A198" i="442"/>
  <c r="A454" i="442"/>
  <c r="A429" i="442"/>
  <c r="A25" i="442"/>
  <c r="A73" i="442"/>
  <c r="A102" i="442"/>
  <c r="A132" i="442"/>
  <c r="A236" i="442"/>
  <c r="A299" i="442"/>
  <c r="A339" i="442"/>
  <c r="A384" i="442"/>
  <c r="A482" i="442"/>
  <c r="A509" i="442"/>
  <c r="A1167" i="442"/>
  <c r="A1343" i="442"/>
  <c r="A1525" i="442"/>
  <c r="A1627" i="442"/>
  <c r="A1700" i="442"/>
  <c r="A1730" i="442"/>
  <c r="A1769" i="442"/>
  <c r="A1788" i="442"/>
  <c r="A1842" i="442"/>
  <c r="A1860" i="442"/>
  <c r="A1880" i="442"/>
  <c r="A1920" i="442"/>
  <c r="A2144" i="442"/>
  <c r="A2298" i="442"/>
  <c r="A100" i="442"/>
  <c r="A101" i="442"/>
  <c r="A338" i="442"/>
  <c r="A51" i="442"/>
  <c r="A160" i="442"/>
  <c r="A222" i="442"/>
  <c r="A300" i="442"/>
  <c r="A386" i="442"/>
  <c r="A456" i="442"/>
  <c r="A484" i="442"/>
  <c r="A510" i="442"/>
  <c r="A2177" i="442"/>
  <c r="A2335" i="442"/>
  <c r="A23" i="442"/>
  <c r="A24" i="442"/>
  <c r="A8" i="442"/>
  <c r="A104" i="442"/>
  <c r="A255" i="442"/>
  <c r="A269" i="442"/>
  <c r="A1734" i="442"/>
  <c r="A1771" i="442"/>
  <c r="A1790" i="442"/>
  <c r="A1820" i="442"/>
  <c r="A1844" i="442"/>
  <c r="A1862" i="442"/>
  <c r="A1885" i="442"/>
  <c r="A2003" i="442"/>
  <c r="A2092" i="442"/>
  <c r="A2146" i="442"/>
  <c r="A179" i="442"/>
  <c r="A131" i="442"/>
  <c r="A134" i="442"/>
  <c r="A10" i="442"/>
  <c r="A53" i="442"/>
  <c r="A224" i="442"/>
  <c r="A344" i="442"/>
  <c r="A541" i="442"/>
  <c r="A576" i="442"/>
  <c r="A1752" i="442"/>
  <c r="A1928" i="442"/>
  <c r="A2024" i="442"/>
  <c r="A2066" i="442"/>
  <c r="A2124" i="442"/>
  <c r="A2305" i="442"/>
  <c r="A2341" i="442"/>
  <c r="A157" i="442"/>
  <c r="A214" i="442"/>
  <c r="A279" i="442"/>
  <c r="A72" i="442"/>
  <c r="A317" i="442"/>
  <c r="A75" i="442"/>
  <c r="A182" i="442"/>
  <c r="A238" i="442"/>
  <c r="A9" i="442"/>
  <c r="A52" i="442"/>
  <c r="A183" i="442"/>
  <c r="A223" i="442"/>
  <c r="A540" i="442"/>
  <c r="A28" i="442"/>
  <c r="A184" i="442"/>
  <c r="A29" i="442"/>
  <c r="A54" i="442"/>
  <c r="A81" i="442"/>
  <c r="A110" i="442"/>
  <c r="A144" i="442"/>
  <c r="A303" i="442"/>
  <c r="A325" i="442"/>
  <c r="A345" i="442"/>
  <c r="A410" i="442"/>
  <c r="A577" i="442"/>
  <c r="A605" i="442"/>
  <c r="A724" i="442"/>
  <c r="A839" i="442"/>
  <c r="A908" i="442"/>
  <c r="A950" i="442"/>
  <c r="A1034" i="442"/>
  <c r="A1256" i="442"/>
  <c r="A1302" i="442"/>
  <c r="A1329" i="442"/>
  <c r="A1376" i="442"/>
  <c r="A1456" i="442"/>
  <c r="A1496" i="442"/>
  <c r="A1531" i="442"/>
  <c r="A1590" i="442"/>
  <c r="A1682" i="442"/>
  <c r="A1736" i="442"/>
  <c r="A1773" i="442"/>
  <c r="A1796" i="442"/>
  <c r="A1823" i="442"/>
  <c r="A2380" i="442"/>
  <c r="G1694" i="442"/>
  <c r="G1957" i="442"/>
  <c r="G312" i="442"/>
  <c r="G1298" i="442"/>
  <c r="G1642" i="442"/>
  <c r="G1650" i="442"/>
  <c r="G1681" i="442"/>
  <c r="G1655" i="442"/>
  <c r="G1664" i="442"/>
  <c r="G673" i="442"/>
  <c r="G1036" i="442"/>
  <c r="G1569" i="442"/>
  <c r="G1262" i="442"/>
  <c r="G1275" i="442"/>
  <c r="G1287" i="442"/>
  <c r="G1762" i="442"/>
  <c r="G219" i="442"/>
  <c r="G573" i="442"/>
  <c r="G577" i="442"/>
  <c r="G457" i="442"/>
  <c r="G401" i="442"/>
  <c r="G585" i="442"/>
  <c r="G410" i="442"/>
  <c r="G316" i="442"/>
  <c r="G453" i="442"/>
  <c r="G320" i="442"/>
  <c r="G1172" i="442"/>
  <c r="G393" i="442"/>
  <c r="G593" i="442"/>
  <c r="G381" i="442"/>
  <c r="G581" i="442"/>
  <c r="G324" i="442"/>
  <c r="G2220" i="442"/>
  <c r="G2210" i="442"/>
  <c r="G2240" i="442"/>
  <c r="G2250" i="442"/>
  <c r="G2260" i="442"/>
  <c r="G1507" i="442"/>
  <c r="G1065" i="442"/>
  <c r="G1876" i="442"/>
  <c r="G2461" i="442"/>
  <c r="G2456" i="442"/>
  <c r="G1122" i="442"/>
  <c r="G1198" i="442"/>
  <c r="G2094" i="442"/>
  <c r="G1941" i="442"/>
  <c r="G2103" i="442"/>
  <c r="G2111" i="442"/>
  <c r="G1946" i="442"/>
  <c r="G2100" i="442"/>
  <c r="G1704" i="442"/>
  <c r="G2097" i="442"/>
  <c r="G2115" i="442"/>
  <c r="G1687" i="442"/>
  <c r="G2129" i="442"/>
  <c r="G2107" i="442"/>
  <c r="G1709" i="442"/>
  <c r="G2193" i="442"/>
  <c r="G2202" i="442"/>
  <c r="G154" i="442"/>
  <c r="G160" i="442"/>
  <c r="G1516" i="442"/>
  <c r="G1070" i="442"/>
  <c r="G1553" i="442"/>
  <c r="G337" i="442"/>
  <c r="G330" i="442"/>
  <c r="G413" i="442"/>
  <c r="G540" i="442"/>
  <c r="G432" i="442"/>
  <c r="G1877" i="442"/>
  <c r="G1473" i="442"/>
  <c r="G1393" i="442"/>
  <c r="G1071" i="442"/>
  <c r="G2046" i="442"/>
  <c r="G1922" i="442"/>
  <c r="G1564" i="442"/>
  <c r="G1536" i="442"/>
  <c r="G1517" i="442"/>
  <c r="G1508" i="442"/>
  <c r="G1428" i="442"/>
  <c r="G1368" i="442"/>
  <c r="G1080" i="442"/>
  <c r="G1026" i="442"/>
  <c r="G2063" i="442"/>
  <c r="G2036" i="442"/>
  <c r="G1930" i="442"/>
  <c r="G1906" i="442"/>
  <c r="G1895" i="442"/>
  <c r="G1544" i="442"/>
  <c r="G1498" i="442"/>
  <c r="G1418" i="442"/>
  <c r="G1088" i="442"/>
  <c r="G1016" i="442"/>
  <c r="G1882" i="442"/>
  <c r="G1478" i="442"/>
  <c r="G1398" i="442"/>
  <c r="G1378" i="442"/>
  <c r="G2416" i="442"/>
  <c r="G1554" i="442"/>
  <c r="G1041" i="442"/>
  <c r="G1574" i="442"/>
  <c r="G1031" i="442"/>
  <c r="G1021" i="442"/>
  <c r="G1011" i="442"/>
  <c r="G977" i="442"/>
  <c r="G1893" i="442"/>
  <c r="G1592" i="442"/>
  <c r="G1521" i="442"/>
  <c r="G2056" i="442"/>
  <c r="G1589" i="442"/>
  <c r="G1529" i="442"/>
  <c r="G1488" i="442"/>
  <c r="G1373" i="442"/>
  <c r="G1046" i="442"/>
  <c r="G2072" i="442"/>
  <c r="G1540" i="442"/>
  <c r="G1458" i="442"/>
  <c r="G1352" i="442"/>
  <c r="G1056" i="442"/>
  <c r="G1493" i="442"/>
  <c r="G1468" i="442"/>
  <c r="G1403" i="442"/>
  <c r="G1066" i="442"/>
  <c r="G1503" i="442"/>
  <c r="G1413" i="442"/>
  <c r="G1360" i="442"/>
  <c r="G1077" i="442"/>
  <c r="G1423" i="442"/>
  <c r="G1584" i="442"/>
  <c r="G1463" i="442"/>
  <c r="G1408" i="442"/>
  <c r="G1061" i="442"/>
  <c r="G2051" i="442"/>
  <c r="G1579" i="442"/>
  <c r="G2026" i="442"/>
  <c r="G710" i="442"/>
  <c r="G700" i="442"/>
  <c r="G682" i="442"/>
  <c r="G1768" i="442"/>
  <c r="G713" i="442"/>
  <c r="G692" i="442"/>
  <c r="G1759" i="442"/>
  <c r="G685" i="442"/>
  <c r="G704" i="442"/>
  <c r="G679" i="442"/>
  <c r="G1765" i="442"/>
  <c r="G867" i="442"/>
  <c r="G855" i="442"/>
  <c r="G832" i="442"/>
  <c r="G808" i="442"/>
  <c r="G78" i="442"/>
  <c r="G38" i="442"/>
  <c r="G108" i="442"/>
  <c r="G98" i="442"/>
  <c r="G125" i="442"/>
  <c r="G28" i="442"/>
  <c r="G88" i="442"/>
  <c r="G68" i="442"/>
  <c r="G597" i="442"/>
  <c r="G467" i="442"/>
  <c r="G631" i="442"/>
  <c r="G926" i="442"/>
  <c r="G949" i="442"/>
  <c r="G601" i="442"/>
  <c r="G516" i="442"/>
  <c r="G2423" i="442"/>
  <c r="G2419" i="442"/>
  <c r="G10" i="442"/>
  <c r="G26" i="442"/>
  <c r="G18" i="442"/>
  <c r="G1661" i="442"/>
  <c r="G1639" i="442"/>
  <c r="G1647" i="442"/>
  <c r="G1679" i="442"/>
  <c r="G1652" i="442"/>
  <c r="G22" i="442"/>
  <c r="G590" i="442"/>
  <c r="G1083" i="442"/>
  <c r="G1801" i="442"/>
  <c r="G2455" i="442"/>
  <c r="G2171" i="442"/>
  <c r="G2163" i="442"/>
  <c r="G2344" i="442"/>
  <c r="G2360" i="442"/>
  <c r="G2332" i="442"/>
  <c r="G2356" i="442"/>
  <c r="G2326" i="442"/>
  <c r="G2350" i="442"/>
  <c r="G223" i="442"/>
  <c r="G397" i="442"/>
  <c r="G1452" i="442"/>
  <c r="G1926" i="442"/>
  <c r="G2041" i="442"/>
  <c r="G220" i="442"/>
  <c r="G582" i="442"/>
  <c r="G1291" i="442"/>
  <c r="G1008" i="442"/>
  <c r="G1229" i="442"/>
  <c r="G1279" i="442"/>
  <c r="G1124" i="442"/>
  <c r="G1001" i="442"/>
  <c r="G586" i="442"/>
  <c r="G411" i="442"/>
  <c r="G317" i="442"/>
  <c r="G382" i="442"/>
  <c r="G224" i="442"/>
  <c r="G594" i="442"/>
  <c r="G325" i="442"/>
  <c r="G918" i="442"/>
  <c r="G574" i="442"/>
  <c r="G458" i="442"/>
  <c r="G394" i="442"/>
  <c r="G1267" i="442"/>
  <c r="G454" i="442"/>
  <c r="G402" i="442"/>
  <c r="G390" i="442"/>
  <c r="G313" i="442"/>
  <c r="G386" i="442"/>
  <c r="G24" i="442"/>
  <c r="G321" i="442"/>
  <c r="G385" i="442"/>
  <c r="G398" i="442"/>
  <c r="G1207" i="442"/>
  <c r="G1188" i="442"/>
  <c r="G1121" i="442"/>
  <c r="G1282" i="442"/>
  <c r="G1235" i="442"/>
  <c r="G1216" i="442"/>
  <c r="G1007" i="442"/>
  <c r="G1297" i="442"/>
  <c r="G1241" i="442"/>
  <c r="G1222" i="442"/>
  <c r="G1184" i="442"/>
  <c r="G1270" i="442"/>
  <c r="G1219" i="442"/>
  <c r="G1176" i="442"/>
  <c r="G1228" i="442"/>
  <c r="G1278" i="442"/>
  <c r="G1238" i="442"/>
  <c r="G1195" i="442"/>
  <c r="G1307" i="442"/>
  <c r="G1286" i="442"/>
  <c r="G1266" i="442"/>
  <c r="G1225" i="442"/>
  <c r="G1258" i="442"/>
  <c r="G1232" i="442"/>
  <c r="G1244" i="442"/>
  <c r="G1204" i="442"/>
  <c r="G1180" i="442"/>
  <c r="G1192" i="442"/>
  <c r="G1274" i="442"/>
  <c r="G1247" i="442"/>
  <c r="G1210" i="442"/>
  <c r="G548" i="442"/>
  <c r="G440" i="442"/>
  <c r="G303" i="442"/>
  <c r="G132" i="442"/>
  <c r="G115" i="442"/>
  <c r="G640" i="442"/>
  <c r="G652" i="442"/>
  <c r="G670" i="442"/>
  <c r="G748" i="442"/>
  <c r="G661" i="442"/>
  <c r="G649" i="442"/>
  <c r="G1786" i="442"/>
  <c r="G667" i="442"/>
  <c r="G646" i="442"/>
  <c r="G658" i="442"/>
  <c r="G655" i="442"/>
  <c r="G664" i="442"/>
  <c r="G1318" i="442"/>
  <c r="G2413" i="442"/>
  <c r="G572" i="442"/>
  <c r="G1313" i="442"/>
  <c r="G6" i="442"/>
  <c r="G228" i="442"/>
  <c r="G226" i="442"/>
  <c r="G1301" i="442"/>
  <c r="G2312" i="442"/>
  <c r="G1315" i="442"/>
  <c r="G1304" i="442"/>
  <c r="G1058" i="442"/>
  <c r="G1913" i="442"/>
  <c r="G1903" i="442"/>
  <c r="G1576" i="442"/>
  <c r="G1908" i="442"/>
  <c r="G1566" i="442"/>
  <c r="G1018" i="442"/>
  <c r="G1063" i="442"/>
  <c r="G2043" i="442"/>
  <c r="G58" i="442"/>
  <c r="G1201" i="442"/>
  <c r="G1283" i="442"/>
  <c r="G1308" i="442"/>
  <c r="G1364" i="442"/>
  <c r="G2345" i="442"/>
  <c r="G2362" i="442"/>
  <c r="G2327" i="442"/>
  <c r="G2351" i="442"/>
  <c r="G2333" i="442"/>
  <c r="G2339" i="442"/>
  <c r="G2357" i="442"/>
  <c r="G1887" i="442"/>
  <c r="G584" i="442"/>
  <c r="G388" i="442"/>
  <c r="G2012" i="442"/>
  <c r="G2030" i="442"/>
  <c r="G1355" i="442"/>
  <c r="G2241" i="442"/>
  <c r="G2231" i="442"/>
  <c r="G2251" i="442"/>
  <c r="G2261" i="442"/>
  <c r="G1422" i="442"/>
  <c r="G1412" i="442"/>
  <c r="G1881" i="442"/>
  <c r="G1351" i="442"/>
  <c r="G1367" i="442"/>
  <c r="G1407" i="442"/>
  <c r="G1588" i="442"/>
  <c r="G1937" i="442"/>
  <c r="G1934" i="442"/>
  <c r="G14" i="442"/>
  <c r="G48" i="442"/>
  <c r="G979" i="442"/>
  <c r="G993" i="442"/>
  <c r="G1074" i="442"/>
  <c r="G1271" i="442"/>
  <c r="G1977" i="442"/>
  <c r="G2018" i="442"/>
  <c r="G299" i="442"/>
  <c r="G544" i="442"/>
  <c r="G360" i="442"/>
  <c r="G776" i="442"/>
  <c r="G841" i="442"/>
  <c r="G830" i="442"/>
  <c r="G853" i="442"/>
  <c r="G886" i="442"/>
  <c r="G818" i="442"/>
  <c r="G764" i="442"/>
  <c r="G820" i="442"/>
  <c r="G779" i="442"/>
  <c r="G794" i="442"/>
  <c r="G2391" i="442"/>
  <c r="G2437" i="442"/>
  <c r="G2428" i="442"/>
  <c r="G2399" i="442"/>
  <c r="G2407" i="442"/>
  <c r="G2383" i="442"/>
  <c r="G2427" i="442"/>
  <c r="G1649" i="442"/>
  <c r="G1654" i="442"/>
  <c r="G1641" i="442"/>
  <c r="G1663" i="442"/>
  <c r="G1173" i="442"/>
  <c r="G942" i="442"/>
  <c r="G939" i="442"/>
  <c r="G775" i="442"/>
  <c r="G791" i="442"/>
  <c r="G806" i="442"/>
  <c r="G2166" i="442"/>
  <c r="G2180" i="442"/>
  <c r="G2174" i="442"/>
  <c r="G2215" i="442"/>
  <c r="G2265" i="442"/>
  <c r="G2255" i="442"/>
  <c r="G2245" i="442"/>
  <c r="G2168" i="442"/>
  <c r="G2200" i="442"/>
  <c r="G2191" i="442"/>
  <c r="G2225" i="442"/>
  <c r="G2176" i="442"/>
  <c r="G484" i="442"/>
  <c r="G489" i="442"/>
  <c r="G499" i="442"/>
  <c r="G444" i="442"/>
  <c r="G552" i="442"/>
  <c r="G2081" i="442"/>
  <c r="G982" i="442"/>
  <c r="G592" i="442"/>
  <c r="G588" i="442"/>
  <c r="G396" i="442"/>
  <c r="G809" i="442"/>
  <c r="G868" i="442"/>
  <c r="G844" i="442"/>
  <c r="G2411" i="442"/>
  <c r="G2387" i="442"/>
  <c r="G2395" i="442"/>
  <c r="G2403" i="442"/>
  <c r="G723" i="442"/>
  <c r="G1787" i="442"/>
  <c r="G1825" i="442"/>
  <c r="G1834" i="442"/>
  <c r="G1804" i="442"/>
  <c r="G1837" i="442"/>
  <c r="G1813" i="442"/>
  <c r="G1822" i="442"/>
  <c r="G1828" i="442"/>
  <c r="G1807" i="442"/>
  <c r="G1798" i="442"/>
  <c r="G1810" i="442"/>
  <c r="G1819" i="442"/>
  <c r="G311" i="442"/>
  <c r="G494" i="442"/>
  <c r="G1911" i="442"/>
  <c r="G2031" i="442"/>
  <c r="G2088" i="442"/>
  <c r="G2230" i="442"/>
  <c r="G589" i="442"/>
  <c r="G984" i="442"/>
  <c r="G986" i="442"/>
  <c r="G2060" i="442"/>
  <c r="G1526" i="442"/>
  <c r="G1524" i="442"/>
  <c r="G946" i="442"/>
  <c r="G955" i="442"/>
  <c r="G948" i="442"/>
  <c r="G15" i="442"/>
  <c r="G364" i="442"/>
  <c r="G856" i="442"/>
  <c r="G1443" i="442"/>
  <c r="G1483" i="442"/>
  <c r="G2242" i="442"/>
  <c r="G475" i="442"/>
  <c r="G480" i="442"/>
  <c r="G917" i="442"/>
  <c r="G1600" i="442"/>
  <c r="G1328" i="442"/>
  <c r="G1733" i="442"/>
  <c r="G84" i="442"/>
  <c r="G93" i="442"/>
  <c r="G186" i="442"/>
  <c r="G407" i="442"/>
  <c r="G449" i="442"/>
  <c r="G470" i="442"/>
  <c r="G524" i="442"/>
  <c r="G823" i="442"/>
  <c r="G928" i="442"/>
  <c r="G1093" i="442"/>
  <c r="G1439" i="442"/>
  <c r="G1484" i="442"/>
  <c r="G1530" i="442"/>
  <c r="G1927" i="442"/>
  <c r="G1965" i="442"/>
  <c r="G2196" i="442"/>
  <c r="G737" i="442"/>
  <c r="G163" i="442"/>
  <c r="G178" i="442"/>
  <c r="G2384" i="442"/>
  <c r="G2392" i="442"/>
  <c r="G2408" i="442"/>
  <c r="G1896" i="442"/>
  <c r="G989" i="442"/>
  <c r="G2089" i="442"/>
  <c r="G2224" i="442"/>
  <c r="G2199" i="442"/>
  <c r="G2190" i="442"/>
  <c r="G2214" i="442"/>
  <c r="G2254" i="442"/>
  <c r="G2264" i="442"/>
  <c r="G2234" i="442"/>
  <c r="G2175" i="442"/>
  <c r="G2320" i="442"/>
  <c r="G2316" i="442"/>
  <c r="G630" i="442"/>
  <c r="G493" i="442"/>
  <c r="G1321" i="442"/>
  <c r="G53" i="442"/>
  <c r="G733" i="442"/>
  <c r="G501" i="442"/>
  <c r="G474" i="442"/>
  <c r="G181" i="442"/>
  <c r="G103" i="442"/>
  <c r="G498" i="442"/>
  <c r="G33" i="442"/>
  <c r="G59" i="442"/>
  <c r="G113" i="442"/>
  <c r="G148" i="442"/>
  <c r="G968" i="442"/>
  <c r="G1073" i="442"/>
  <c r="G1430" i="442"/>
  <c r="G1581" i="442"/>
  <c r="G1723" i="442"/>
  <c r="G1955" i="442"/>
  <c r="G2127" i="442"/>
  <c r="G2165" i="442"/>
  <c r="G2181" i="442"/>
  <c r="G2253" i="442"/>
  <c r="G2243" i="442"/>
  <c r="G2223" i="442"/>
  <c r="G528" i="442"/>
  <c r="G420" i="442"/>
  <c r="G344" i="442"/>
  <c r="G556" i="442"/>
  <c r="G519" i="442"/>
  <c r="G1602" i="442"/>
  <c r="G1727" i="442"/>
  <c r="G576" i="442"/>
  <c r="G456" i="442"/>
  <c r="G800" i="442"/>
  <c r="G858" i="442"/>
  <c r="G811" i="442"/>
  <c r="G757" i="442"/>
  <c r="G785" i="442"/>
  <c r="G876" i="442"/>
  <c r="G850" i="442"/>
  <c r="G874" i="442"/>
  <c r="G1136" i="442"/>
  <c r="G2382" i="442"/>
  <c r="G2390" i="442"/>
  <c r="G2406" i="442"/>
  <c r="G1312" i="442"/>
  <c r="G466" i="442"/>
  <c r="G491" i="442"/>
  <c r="G1317" i="442"/>
  <c r="G341" i="442"/>
  <c r="G2385" i="442"/>
  <c r="G2393" i="442"/>
  <c r="G2401" i="442"/>
  <c r="G2409" i="442"/>
  <c r="G2454" i="442"/>
  <c r="G1662" i="442"/>
  <c r="G1653" i="442"/>
  <c r="G1644" i="442"/>
  <c r="G1658" i="442"/>
  <c r="G1640" i="442"/>
  <c r="G1670" i="442"/>
  <c r="G1697" i="442"/>
  <c r="G562" i="442"/>
  <c r="G546" i="442"/>
  <c r="G530" i="442"/>
  <c r="G374" i="442"/>
  <c r="G354" i="442"/>
  <c r="G438" i="442"/>
  <c r="G558" i="442"/>
  <c r="G362" i="442"/>
  <c r="G289" i="442"/>
  <c r="G538" i="442"/>
  <c r="G446" i="442"/>
  <c r="G350" i="442"/>
  <c r="G2001" i="442"/>
  <c r="G2006" i="442"/>
  <c r="G1715" i="442"/>
  <c r="G1981" i="442"/>
  <c r="G1724" i="442"/>
  <c r="G1971" i="442"/>
  <c r="G1701" i="442"/>
  <c r="G1956" i="442"/>
  <c r="G35" i="442"/>
  <c r="G52" i="442"/>
  <c r="G170" i="442"/>
  <c r="G305" i="442"/>
  <c r="G348" i="442"/>
  <c r="G442" i="442"/>
  <c r="G486" i="442"/>
  <c r="G570" i="442"/>
  <c r="G1042" i="442"/>
  <c r="G1265" i="442"/>
  <c r="G1374" i="442"/>
  <c r="G1433" i="442"/>
  <c r="G1444" i="442"/>
  <c r="G1596" i="442"/>
  <c r="G2213" i="442"/>
  <c r="G2232" i="442"/>
  <c r="G2212" i="442"/>
  <c r="G2262" i="442"/>
  <c r="G2252" i="442"/>
  <c r="G1599" i="442"/>
  <c r="G1603" i="442"/>
  <c r="G1595" i="442"/>
  <c r="G79" i="442"/>
  <c r="G1465" i="442"/>
  <c r="G1500" i="442"/>
  <c r="G936" i="442"/>
  <c r="G932" i="442"/>
  <c r="G2346" i="442"/>
  <c r="G2363" i="442"/>
  <c r="G2328" i="442"/>
  <c r="G2334" i="442"/>
  <c r="G2358" i="442"/>
  <c r="G509" i="442"/>
  <c r="G934" i="442"/>
  <c r="G1375" i="442"/>
  <c r="G999" i="442"/>
  <c r="G2091" i="442"/>
  <c r="G1889" i="442"/>
  <c r="G859" i="442"/>
  <c r="G824" i="442"/>
  <c r="G890" i="442"/>
  <c r="G847" i="442"/>
  <c r="G801" i="442"/>
  <c r="G759" i="442"/>
  <c r="G825" i="442"/>
  <c r="G872" i="442"/>
  <c r="G802" i="442"/>
  <c r="G848" i="442"/>
  <c r="G787" i="442"/>
  <c r="G842" i="442"/>
  <c r="G866" i="442"/>
  <c r="G887" i="442"/>
  <c r="G819" i="442"/>
  <c r="G765" i="442"/>
  <c r="G70" i="442"/>
  <c r="G465" i="442"/>
  <c r="G471" i="442"/>
  <c r="G2020" i="442"/>
  <c r="G1959" i="442"/>
  <c r="G2131" i="442"/>
  <c r="G1964" i="442"/>
  <c r="G1954" i="442"/>
  <c r="G1944" i="442"/>
  <c r="G1685" i="442"/>
  <c r="G120" i="442"/>
  <c r="G2134" i="442"/>
  <c r="G2004" i="442"/>
  <c r="G1979" i="442"/>
  <c r="G1722" i="442"/>
  <c r="G1969" i="442"/>
  <c r="G1591" i="442"/>
  <c r="G1535" i="442"/>
  <c r="G1543" i="442"/>
  <c r="G1091" i="442"/>
  <c r="G2415" i="442"/>
  <c r="G1539" i="442"/>
  <c r="G1076" i="442"/>
  <c r="G2164" i="442"/>
  <c r="G2172" i="442"/>
  <c r="G2179" i="442"/>
  <c r="G2355" i="442"/>
  <c r="G2337" i="442"/>
  <c r="G2343" i="442"/>
  <c r="G2325" i="442"/>
  <c r="G2349" i="442"/>
  <c r="G1464" i="442"/>
  <c r="G1369" i="442"/>
  <c r="G1062" i="442"/>
  <c r="G2064" i="442"/>
  <c r="G2037" i="442"/>
  <c r="G1907" i="442"/>
  <c r="G1499" i="442"/>
  <c r="G1419" i="442"/>
  <c r="G1017" i="442"/>
  <c r="G2027" i="442"/>
  <c r="G1489" i="442"/>
  <c r="G1409" i="442"/>
  <c r="G1469" i="442"/>
  <c r="G1067" i="442"/>
  <c r="G1565" i="442"/>
  <c r="G1459" i="442"/>
  <c r="G1379" i="442"/>
  <c r="G1353" i="442"/>
  <c r="G2078" i="442"/>
  <c r="G1479" i="442"/>
  <c r="G1399" i="442"/>
  <c r="G1580" i="442"/>
  <c r="G1509" i="442"/>
  <c r="G1878" i="442"/>
  <c r="G1570" i="442"/>
  <c r="G1037" i="442"/>
  <c r="G1585" i="442"/>
  <c r="G1573" i="442"/>
  <c r="G1563" i="442"/>
  <c r="G1432" i="442"/>
  <c r="G1743" i="442"/>
  <c r="G1741" i="442"/>
  <c r="G2113" i="442"/>
  <c r="G2109" i="442"/>
  <c r="G36" i="442"/>
  <c r="G116" i="442"/>
  <c r="G212" i="442"/>
  <c r="G287" i="442"/>
  <c r="G349" i="442"/>
  <c r="G717" i="442"/>
  <c r="G923" i="442"/>
  <c r="G997" i="442"/>
  <c r="G1032" i="442"/>
  <c r="G1043" i="442"/>
  <c r="G1434" i="442"/>
  <c r="G1445" i="442"/>
  <c r="G1728" i="442"/>
  <c r="G1739" i="442"/>
  <c r="G2009" i="442"/>
  <c r="G2022" i="442"/>
  <c r="G2033" i="442"/>
  <c r="G2057" i="442"/>
  <c r="G2010" i="442"/>
  <c r="G1960" i="442"/>
  <c r="G1940" i="442"/>
  <c r="G2021" i="442"/>
  <c r="G2248" i="442"/>
  <c r="G2218" i="442"/>
  <c r="G2208" i="442"/>
  <c r="G1555" i="442"/>
  <c r="G1931" i="442"/>
  <c r="G1545" i="442"/>
  <c r="G1089" i="442"/>
  <c r="G2417" i="442"/>
  <c r="G1522" i="442"/>
  <c r="G1541" i="442"/>
  <c r="G44" i="442"/>
  <c r="G338" i="442"/>
  <c r="G2229" i="442"/>
  <c r="G2239" i="442"/>
  <c r="G736" i="442"/>
  <c r="G502" i="442"/>
  <c r="G510" i="442"/>
  <c r="G1177" i="442"/>
  <c r="G1259" i="442"/>
  <c r="G1185" i="442"/>
  <c r="G751" i="442"/>
  <c r="G817" i="442"/>
  <c r="G864" i="442"/>
  <c r="G829" i="442"/>
  <c r="G763" i="442"/>
  <c r="G1702" i="442"/>
  <c r="G1713" i="442"/>
  <c r="G2453" i="442"/>
  <c r="G2459" i="442"/>
  <c r="G20" i="442"/>
  <c r="G45" i="442"/>
  <c r="G54" i="442"/>
  <c r="G63" i="442"/>
  <c r="G72" i="442"/>
  <c r="G81" i="442"/>
  <c r="G90" i="442"/>
  <c r="G99" i="442"/>
  <c r="G134" i="442"/>
  <c r="G192" i="442"/>
  <c r="G297" i="442"/>
  <c r="G339" i="442"/>
  <c r="G414" i="442"/>
  <c r="G477" i="442"/>
  <c r="G488" i="442"/>
  <c r="G542" i="442"/>
  <c r="G758" i="442"/>
  <c r="G769" i="442"/>
  <c r="G780" i="442"/>
  <c r="G840" i="442"/>
  <c r="G852" i="442"/>
  <c r="G862" i="442"/>
  <c r="G1171" i="442"/>
  <c r="G1243" i="442"/>
  <c r="G1424" i="442"/>
  <c r="G1575" i="442"/>
  <c r="G1586" i="442"/>
  <c r="G1980" i="442"/>
  <c r="G1402" i="442"/>
  <c r="G2055" i="442"/>
  <c r="G1583" i="442"/>
  <c r="G89" i="442"/>
  <c r="G345" i="442"/>
  <c r="G429" i="442"/>
  <c r="G308" i="442"/>
  <c r="G373" i="442"/>
  <c r="G353" i="442"/>
  <c r="G437" i="442"/>
  <c r="G448" i="442"/>
  <c r="G307" i="442"/>
  <c r="G1253" i="442"/>
  <c r="G1250" i="442"/>
  <c r="G921" i="442"/>
  <c r="G1179" i="442"/>
  <c r="G1310" i="442"/>
  <c r="G1273" i="442"/>
  <c r="G1281" i="442"/>
  <c r="G1175" i="442"/>
  <c r="G1261" i="442"/>
  <c r="G1187" i="442"/>
  <c r="G1289" i="442"/>
  <c r="G1269" i="442"/>
  <c r="G1218" i="442"/>
  <c r="G1206" i="442"/>
  <c r="G1257" i="442"/>
  <c r="G1120" i="442"/>
  <c r="G2311" i="442"/>
  <c r="G1300" i="442"/>
  <c r="G834" i="442"/>
  <c r="G799" i="442"/>
  <c r="G749" i="442"/>
  <c r="G822" i="442"/>
  <c r="G869" i="442"/>
  <c r="G888" i="442"/>
  <c r="G857" i="442"/>
  <c r="G810" i="442"/>
  <c r="G756" i="442"/>
  <c r="G845" i="442"/>
  <c r="G788" i="442"/>
  <c r="G849" i="442"/>
  <c r="G838" i="442"/>
  <c r="G772" i="442"/>
  <c r="G2405" i="442"/>
  <c r="G2381" i="442"/>
  <c r="G2397" i="442"/>
  <c r="G2394" i="442"/>
  <c r="G2402" i="442"/>
  <c r="G2410" i="442"/>
  <c r="G1551" i="442"/>
  <c r="G1512" i="442"/>
  <c r="G1560" i="442"/>
  <c r="G12" i="442"/>
  <c r="G29" i="442"/>
  <c r="G126" i="442"/>
  <c r="G183" i="442"/>
  <c r="G288" i="442"/>
  <c r="G361" i="442"/>
  <c r="G424" i="442"/>
  <c r="G434" i="442"/>
  <c r="G445" i="442"/>
  <c r="G521" i="442"/>
  <c r="G532" i="442"/>
  <c r="G554" i="442"/>
  <c r="G831" i="442"/>
  <c r="G1022" i="442"/>
  <c r="G1033" i="442"/>
  <c r="G1183" i="442"/>
  <c r="G1361" i="442"/>
  <c r="G1414" i="442"/>
  <c r="G1680" i="442"/>
  <c r="G1692" i="442"/>
  <c r="G1729" i="442"/>
  <c r="G1949" i="442"/>
  <c r="G1961" i="442"/>
  <c r="G1999" i="442"/>
  <c r="G2047" i="442"/>
  <c r="G2182" i="442"/>
  <c r="G2228" i="442"/>
  <c r="G2074" i="442"/>
  <c r="G1455" i="442"/>
  <c r="G1053" i="442"/>
  <c r="G2028" i="442"/>
  <c r="G1490" i="442"/>
  <c r="G1410" i="442"/>
  <c r="G1884" i="442"/>
  <c r="G1480" i="442"/>
  <c r="G1400" i="442"/>
  <c r="G2079" i="442"/>
  <c r="G1460" i="442"/>
  <c r="G1470" i="442"/>
  <c r="G1450" i="442"/>
  <c r="G1380" i="442"/>
  <c r="G2058" i="442"/>
  <c r="G2048" i="442"/>
  <c r="G2038" i="442"/>
  <c r="G1440" i="442"/>
  <c r="G1068" i="442"/>
  <c r="G1048" i="442"/>
  <c r="G1025" i="442"/>
  <c r="G1020" i="442"/>
  <c r="G2167" i="442"/>
  <c r="G1683" i="442"/>
  <c r="G1717" i="442"/>
  <c r="G1725" i="442"/>
  <c r="G1705" i="442"/>
  <c r="G1951" i="442"/>
  <c r="G21" i="442"/>
  <c r="G46" i="442"/>
  <c r="G55" i="442"/>
  <c r="G73" i="442"/>
  <c r="G82" i="442"/>
  <c r="G100" i="442"/>
  <c r="G135" i="442"/>
  <c r="G193" i="442"/>
  <c r="G309" i="442"/>
  <c r="G331" i="442"/>
  <c r="G340" i="442"/>
  <c r="G384" i="442"/>
  <c r="G415" i="442"/>
  <c r="G512" i="442"/>
  <c r="G632" i="442"/>
  <c r="G770" i="442"/>
  <c r="G784" i="442"/>
  <c r="G913" i="442"/>
  <c r="G1425" i="442"/>
  <c r="G1504" i="442"/>
  <c r="G1666" i="442"/>
  <c r="G1707" i="442"/>
  <c r="G1718" i="442"/>
  <c r="G1879" i="442"/>
  <c r="G1925" i="442"/>
  <c r="G2011" i="442"/>
  <c r="G755" i="442"/>
  <c r="G2123" i="442"/>
  <c r="G2121" i="442"/>
  <c r="G2307" i="442"/>
  <c r="G2119" i="442"/>
  <c r="G561" i="442"/>
  <c r="G537" i="442"/>
  <c r="G549" i="442"/>
  <c r="G529" i="442"/>
  <c r="G545" i="442"/>
  <c r="G1234" i="442"/>
  <c r="G1240" i="442"/>
  <c r="G1246" i="442"/>
  <c r="G766" i="442"/>
  <c r="G754" i="442"/>
  <c r="G128" i="442"/>
  <c r="G61" i="442"/>
  <c r="G335" i="442"/>
  <c r="G507" i="442"/>
  <c r="G2188" i="442"/>
  <c r="G2197" i="442"/>
  <c r="G2178" i="442"/>
  <c r="G1693" i="442"/>
  <c r="G2452" i="442"/>
  <c r="G1698" i="442"/>
  <c r="G2458" i="442"/>
  <c r="G1657" i="442"/>
  <c r="G30" i="442"/>
  <c r="G127" i="442"/>
  <c r="G184" i="442"/>
  <c r="G352" i="442"/>
  <c r="G425" i="442"/>
  <c r="G479" i="442"/>
  <c r="G490" i="442"/>
  <c r="G533" i="442"/>
  <c r="G760" i="442"/>
  <c r="G821" i="442"/>
  <c r="G938" i="442"/>
  <c r="G1012" i="442"/>
  <c r="G1023" i="442"/>
  <c r="G1404" i="442"/>
  <c r="G1415" i="442"/>
  <c r="G1448" i="442"/>
  <c r="G1494" i="442"/>
  <c r="G1528" i="442"/>
  <c r="G1939" i="442"/>
  <c r="G1974" i="442"/>
  <c r="G2263" i="442"/>
  <c r="G2317" i="442"/>
  <c r="G2331" i="442"/>
  <c r="G2398" i="442"/>
  <c r="A2288" i="442"/>
  <c r="A560" i="442"/>
  <c r="A562" i="442"/>
  <c r="A559" i="442"/>
  <c r="A561" i="442"/>
  <c r="A16" i="442"/>
  <c r="A30" i="442"/>
  <c r="A45" i="442"/>
  <c r="A59" i="442"/>
  <c r="A74" i="442"/>
  <c r="A88" i="442"/>
  <c r="A103" i="442"/>
  <c r="A118" i="442"/>
  <c r="A133" i="442"/>
  <c r="A146" i="442"/>
  <c r="A159" i="442"/>
  <c r="A171" i="442"/>
  <c r="A208" i="442"/>
  <c r="A237" i="442"/>
  <c r="A249" i="442"/>
  <c r="A271" i="442"/>
  <c r="A281" i="442"/>
  <c r="A293" i="442"/>
  <c r="A319" i="442"/>
  <c r="A331" i="442"/>
  <c r="A346" i="442"/>
  <c r="A385" i="442"/>
  <c r="A442" i="442"/>
  <c r="A469" i="442"/>
  <c r="A483" i="442"/>
  <c r="A542" i="442"/>
  <c r="A556" i="442"/>
  <c r="A578" i="442"/>
  <c r="A592" i="442"/>
  <c r="A607" i="442"/>
  <c r="A1968" i="442"/>
  <c r="A2034" i="442"/>
  <c r="A2095" i="442"/>
  <c r="A2142" i="442"/>
  <c r="A2226" i="442"/>
  <c r="A2278" i="442"/>
  <c r="A76" i="442"/>
  <c r="A135" i="442"/>
  <c r="A199" i="442"/>
  <c r="A320" i="442"/>
  <c r="A400" i="442"/>
  <c r="A457" i="442"/>
  <c r="A471" i="442"/>
  <c r="A558" i="442"/>
  <c r="A61" i="442"/>
  <c r="A148" i="442"/>
  <c r="A333" i="442"/>
  <c r="A594" i="442"/>
  <c r="A649" i="442"/>
  <c r="A4" i="442"/>
  <c r="A33" i="442"/>
  <c r="A106" i="442"/>
  <c r="A149" i="442"/>
  <c r="A200" i="442"/>
  <c r="A240" i="442"/>
  <c r="A334" i="442"/>
  <c r="A361" i="442"/>
  <c r="A401" i="442"/>
  <c r="A472" i="442"/>
  <c r="A544" i="442"/>
  <c r="A611" i="442"/>
  <c r="A32" i="442"/>
  <c r="A105" i="442"/>
  <c r="A186" i="442"/>
  <c r="A307" i="442"/>
  <c r="A373" i="442"/>
  <c r="A486" i="442"/>
  <c r="A514" i="442"/>
  <c r="A91" i="442"/>
  <c r="A136" i="442"/>
  <c r="A187" i="442"/>
  <c r="A228" i="442"/>
  <c r="A251" i="442"/>
  <c r="A283" i="442"/>
  <c r="A321" i="442"/>
  <c r="A417" i="442"/>
  <c r="A444" i="442"/>
  <c r="A458" i="442"/>
  <c r="A92" i="442"/>
  <c r="A122" i="442"/>
  <c r="A188" i="442"/>
  <c r="A296" i="442"/>
  <c r="A309" i="442"/>
  <c r="A349" i="442"/>
  <c r="A418" i="442"/>
  <c r="A581" i="442"/>
  <c r="A639" i="442"/>
  <c r="A120" i="442"/>
  <c r="A173" i="442"/>
  <c r="A261" i="442"/>
  <c r="A430" i="442"/>
  <c r="A622" i="442"/>
  <c r="A121" i="442"/>
  <c r="A162" i="442"/>
  <c r="A210" i="442"/>
  <c r="A295" i="442"/>
  <c r="A348" i="442"/>
  <c r="A374" i="442"/>
  <c r="A530" i="442"/>
  <c r="A580" i="442"/>
  <c r="A34" i="442"/>
  <c r="A63" i="442"/>
  <c r="A137" i="442"/>
  <c r="A388" i="442"/>
  <c r="A501" i="442"/>
  <c r="A545" i="442"/>
  <c r="C568" i="442"/>
  <c r="C569" i="442" s="1"/>
  <c r="A612" i="442"/>
  <c r="A6" i="442"/>
  <c r="A20" i="442"/>
  <c r="A35" i="442"/>
  <c r="A49" i="442"/>
  <c r="A64" i="442"/>
  <c r="A78" i="442"/>
  <c r="A93" i="442"/>
  <c r="A123" i="442"/>
  <c r="A138" i="442"/>
  <c r="A163" i="442"/>
  <c r="A263" i="442"/>
  <c r="A297" i="442"/>
  <c r="A350" i="442"/>
  <c r="A390" i="442"/>
  <c r="A432" i="442"/>
  <c r="A446" i="442"/>
  <c r="A488" i="442"/>
  <c r="A502" i="442"/>
  <c r="A516" i="442"/>
  <c r="A546" i="442"/>
  <c r="A568" i="442"/>
  <c r="A598" i="442"/>
  <c r="A613" i="442"/>
  <c r="A1049" i="442"/>
  <c r="A1078" i="442"/>
  <c r="A1178" i="442"/>
  <c r="A1199" i="442"/>
  <c r="A1280" i="442"/>
  <c r="A1324" i="442"/>
  <c r="A1401" i="442"/>
  <c r="A1631" i="442"/>
  <c r="A1726" i="442"/>
  <c r="A1746" i="442"/>
  <c r="A1846" i="442"/>
  <c r="A1864" i="442"/>
  <c r="A2104" i="442"/>
  <c r="A2128" i="442"/>
  <c r="A2169" i="442"/>
  <c r="A2308" i="442"/>
  <c r="A2377" i="442"/>
  <c r="A18" i="442"/>
  <c r="A90" i="442"/>
  <c r="A161" i="442"/>
  <c r="A239" i="442"/>
  <c r="A360" i="442"/>
  <c r="A414" i="442"/>
  <c r="A529" i="442"/>
  <c r="A62" i="442"/>
  <c r="A174" i="442"/>
  <c r="A273" i="442"/>
  <c r="A308" i="442"/>
  <c r="A5" i="442"/>
  <c r="A48" i="442"/>
  <c r="A150" i="442"/>
  <c r="A335" i="442"/>
  <c r="A362" i="442"/>
  <c r="A445" i="442"/>
  <c r="A7" i="442"/>
  <c r="A21" i="442"/>
  <c r="A36" i="442"/>
  <c r="A50" i="442"/>
  <c r="A65" i="442"/>
  <c r="A79" i="442"/>
  <c r="A94" i="442"/>
  <c r="A108" i="442"/>
  <c r="A139" i="442"/>
  <c r="A176" i="442"/>
  <c r="A202" i="442"/>
  <c r="A212" i="442"/>
  <c r="A230" i="442"/>
  <c r="A242" i="442"/>
  <c r="A253" i="442"/>
  <c r="A275" i="442"/>
  <c r="A285" i="442"/>
  <c r="A323" i="442"/>
  <c r="A376" i="442"/>
  <c r="A433" i="442"/>
  <c r="A475" i="442"/>
  <c r="A489" i="442"/>
  <c r="A517" i="442"/>
  <c r="A532" i="442"/>
  <c r="A570" i="442"/>
  <c r="A599" i="442"/>
  <c r="A614" i="442"/>
  <c r="A1441" i="442"/>
  <c r="A1476" i="442"/>
  <c r="A1515" i="442"/>
  <c r="A1538" i="442"/>
  <c r="A1562" i="442"/>
  <c r="A1678" i="442"/>
  <c r="A1703" i="442"/>
  <c r="A1766" i="442"/>
  <c r="A1808" i="442"/>
  <c r="A1924" i="442"/>
  <c r="A1950" i="442"/>
  <c r="A1978" i="442"/>
  <c r="A2049" i="442"/>
  <c r="A2082" i="442"/>
  <c r="A2148" i="442"/>
  <c r="A2286" i="442"/>
  <c r="A80" i="442"/>
  <c r="A95" i="442"/>
  <c r="A109" i="442"/>
  <c r="A140" i="442"/>
  <c r="A177" i="442"/>
  <c r="A190" i="442"/>
  <c r="A311" i="442"/>
  <c r="A324" i="442"/>
  <c r="A337" i="442"/>
  <c r="A364" i="442"/>
  <c r="A378" i="442"/>
  <c r="A420" i="442"/>
  <c r="A434" i="442"/>
  <c r="A476" i="442"/>
  <c r="A490" i="442"/>
  <c r="A518" i="442"/>
  <c r="A533" i="442"/>
  <c r="A585" i="442"/>
  <c r="A615" i="442"/>
  <c r="A352" i="442"/>
  <c r="A366" i="442"/>
  <c r="A392" i="442"/>
  <c r="A421" i="442"/>
  <c r="A448" i="442"/>
  <c r="A477" i="442"/>
  <c r="A491" i="442"/>
  <c r="A504" i="442"/>
  <c r="A519" i="442"/>
  <c r="A534" i="442"/>
  <c r="A549" i="442"/>
  <c r="A586" i="442"/>
  <c r="A616" i="442"/>
  <c r="A393" i="442"/>
  <c r="A422" i="442"/>
  <c r="A449" i="442"/>
  <c r="A463" i="442"/>
  <c r="A505" i="442"/>
  <c r="A520" i="442"/>
  <c r="A572" i="442"/>
  <c r="A601" i="442"/>
  <c r="A628" i="442"/>
  <c r="A1783" i="442"/>
  <c r="A1835" i="442"/>
  <c r="A1958" i="442"/>
  <c r="A2112" i="442"/>
  <c r="A2150" i="442"/>
  <c r="A2185" i="442"/>
  <c r="A2270" i="442"/>
  <c r="A2366" i="442"/>
  <c r="A83" i="442"/>
  <c r="A127" i="442"/>
  <c r="A142" i="442"/>
  <c r="A155" i="442"/>
  <c r="A205" i="442"/>
  <c r="A288" i="442"/>
  <c r="A354" i="442"/>
  <c r="A394" i="442"/>
  <c r="A407" i="442"/>
  <c r="A436" i="442"/>
  <c r="A464" i="442"/>
  <c r="A506" i="442"/>
  <c r="A521" i="442"/>
  <c r="A573" i="442"/>
  <c r="A68" i="442"/>
  <c r="A112" i="442"/>
  <c r="A166" i="442"/>
  <c r="A192" i="442"/>
  <c r="A267" i="442"/>
  <c r="A301" i="442"/>
  <c r="A341" i="442"/>
  <c r="A380" i="442"/>
  <c r="A643" i="442"/>
  <c r="A26" i="442"/>
  <c r="A40" i="442"/>
  <c r="A55" i="442"/>
  <c r="A69" i="442"/>
  <c r="A84" i="442"/>
  <c r="A98" i="442"/>
  <c r="A113" i="442"/>
  <c r="A128" i="442"/>
  <c r="A156" i="442"/>
  <c r="A167" i="442"/>
  <c r="A193" i="442"/>
  <c r="A216" i="442"/>
  <c r="A289" i="442"/>
  <c r="A342" i="442"/>
  <c r="A368" i="442"/>
  <c r="A381" i="442"/>
  <c r="A438" i="442"/>
  <c r="A465" i="442"/>
  <c r="A479" i="442"/>
  <c r="A493" i="442"/>
  <c r="A507" i="442"/>
  <c r="A522" i="442"/>
  <c r="A537" i="442"/>
  <c r="A552" i="442"/>
  <c r="A574" i="442"/>
  <c r="A588" i="442"/>
  <c r="A618" i="442"/>
  <c r="A2116" i="442"/>
  <c r="A2152" i="442"/>
  <c r="A2194" i="442"/>
  <c r="A2313" i="442"/>
  <c r="A99" i="442"/>
  <c r="A114" i="442"/>
  <c r="A129" i="442"/>
  <c r="A143" i="442"/>
  <c r="A168" i="442"/>
  <c r="A181" i="442"/>
  <c r="A194" i="442"/>
  <c r="A206" i="442"/>
  <c r="A234" i="442"/>
  <c r="A246" i="442"/>
  <c r="A257" i="442"/>
  <c r="A315" i="442"/>
  <c r="A382" i="442"/>
  <c r="A424" i="442"/>
  <c r="A452" i="442"/>
  <c r="A466" i="442"/>
  <c r="A480" i="442"/>
  <c r="A494" i="442"/>
  <c r="A553" i="442"/>
  <c r="A589" i="442"/>
  <c r="A603" i="442"/>
  <c r="A630" i="442"/>
  <c r="A2274" i="442"/>
  <c r="A2404" i="442"/>
  <c r="A396" i="442"/>
  <c r="A409" i="442"/>
  <c r="A425" i="442"/>
  <c r="A453" i="442"/>
  <c r="A467" i="442"/>
  <c r="A495" i="442"/>
  <c r="A554" i="442"/>
  <c r="A590" i="442"/>
  <c r="A604" i="442"/>
  <c r="A1754" i="442"/>
  <c r="A1799" i="442"/>
  <c r="A1850" i="442"/>
  <c r="A1899" i="442"/>
  <c r="A1953" i="442"/>
  <c r="A2068" i="442"/>
  <c r="A2090" i="442"/>
  <c r="A2158" i="442"/>
  <c r="A2203" i="442"/>
  <c r="A2284" i="442"/>
  <c r="A2301" i="442"/>
  <c r="A2319" i="442"/>
  <c r="A2347" i="442"/>
  <c r="A2414" i="442"/>
  <c r="A265" i="442"/>
  <c r="A316" i="442"/>
  <c r="A327" i="442"/>
  <c r="A340" i="442"/>
  <c r="A365" i="442"/>
  <c r="A377" i="442"/>
  <c r="A389" i="442"/>
  <c r="A402" i="442"/>
  <c r="A413" i="442"/>
  <c r="A437" i="442"/>
  <c r="A460" i="442"/>
  <c r="A485" i="442"/>
  <c r="A498" i="442"/>
  <c r="A524" i="442"/>
  <c r="A536" i="442"/>
  <c r="A548" i="442"/>
  <c r="A569" i="442"/>
  <c r="A582" i="442"/>
  <c r="A620" i="442"/>
  <c r="A632" i="442"/>
  <c r="A1292" i="442"/>
  <c r="A1332" i="442"/>
  <c r="A1426" i="442"/>
  <c r="A1511" i="442"/>
  <c r="A1572" i="442"/>
  <c r="A1613" i="442"/>
  <c r="A1757" i="442"/>
  <c r="A1805" i="442"/>
  <c r="A1866" i="442"/>
  <c r="A1998" i="442"/>
  <c r="A699" i="442"/>
  <c r="A218" i="442"/>
  <c r="A217" i="442"/>
  <c r="A220" i="442"/>
  <c r="A219" i="442"/>
  <c r="A2379" i="442"/>
  <c r="A2422" i="442"/>
  <c r="A415" i="442"/>
  <c r="A428" i="442"/>
  <c r="A474" i="442"/>
  <c r="A512" i="442"/>
  <c r="A526" i="442"/>
  <c r="A538" i="442"/>
  <c r="A550" i="442"/>
  <c r="A596" i="442"/>
  <c r="A609" i="442"/>
  <c r="A404" i="442"/>
  <c r="A416" i="442"/>
  <c r="A450" i="442"/>
  <c r="A513" i="442"/>
  <c r="A584" i="442"/>
  <c r="A597" i="442"/>
  <c r="A610" i="442"/>
  <c r="A1785" i="442"/>
  <c r="A1826" i="442"/>
  <c r="A1856" i="442"/>
  <c r="A1888" i="442"/>
  <c r="A2080" i="442"/>
  <c r="A2098" i="442"/>
  <c r="A2236" i="442"/>
  <c r="A2290" i="442"/>
  <c r="A2329" i="442"/>
  <c r="E620" i="442"/>
  <c r="A646" i="442"/>
  <c r="A2246" i="442"/>
  <c r="A2266" i="442"/>
  <c r="A2272" i="442"/>
  <c r="A2276" i="442"/>
  <c r="A2282" i="442"/>
  <c r="A2294" i="442"/>
  <c r="A2300" i="442"/>
  <c r="A2315" i="442"/>
  <c r="A2353" i="442"/>
  <c r="A2359" i="442"/>
  <c r="A2388" i="442"/>
  <c r="A2412" i="442"/>
  <c r="G620" i="442"/>
  <c r="C49" i="442"/>
  <c r="C69" i="442"/>
  <c r="C171" i="442"/>
  <c r="C89" i="442"/>
  <c r="C109" i="442"/>
  <c r="C187" i="442"/>
  <c r="C13" i="442"/>
  <c r="C28" i="442"/>
  <c r="C5" i="442"/>
  <c r="C20" i="442"/>
  <c r="C39" i="442"/>
  <c r="C58" i="442"/>
  <c r="C79" i="442"/>
  <c r="C98" i="442"/>
  <c r="C125" i="442"/>
  <c r="C146" i="442"/>
  <c r="C154" i="442"/>
  <c r="C160" i="442"/>
  <c r="C166" i="442"/>
  <c r="C192" i="442"/>
  <c r="C199" i="442"/>
  <c r="C285" i="442"/>
  <c r="C331" i="442"/>
  <c r="C337" i="442"/>
  <c r="C353" i="442"/>
  <c r="C377" i="442"/>
  <c r="C573" i="442"/>
  <c r="C205" i="442"/>
  <c r="C208" i="442"/>
  <c r="C230" i="442"/>
  <c r="C259" i="442"/>
  <c r="C275" i="442"/>
  <c r="C295" i="442"/>
  <c r="C357" i="442"/>
  <c r="C513" i="442"/>
  <c r="C589" i="442"/>
  <c r="C655" i="442"/>
  <c r="C661" i="442"/>
  <c r="C664" i="442"/>
  <c r="C685" i="442"/>
  <c r="C176" i="442"/>
  <c r="C183" i="442"/>
  <c r="C190" i="442"/>
  <c r="C300" i="442"/>
  <c r="C311" i="442"/>
  <c r="C364" i="442"/>
  <c r="C470" i="442"/>
  <c r="C499" i="442"/>
  <c r="C533" i="442"/>
  <c r="C670" i="442"/>
  <c r="C242" i="442"/>
  <c r="C251" i="442"/>
  <c r="C267" i="442"/>
  <c r="C281" i="442"/>
  <c r="C316" i="442"/>
  <c r="C327" i="442"/>
  <c r="C348" i="442"/>
  <c r="C369" i="442"/>
  <c r="C373" i="442"/>
  <c r="C393" i="442"/>
  <c r="C549" i="442"/>
  <c r="C676" i="442"/>
  <c r="C384" i="442"/>
  <c r="C400" i="442"/>
  <c r="C413" i="442"/>
  <c r="C424" i="442"/>
  <c r="C440" i="442"/>
  <c r="C456" i="442"/>
  <c r="C479" i="442"/>
  <c r="C488" i="442"/>
  <c r="C504" i="442"/>
  <c r="C524" i="442"/>
  <c r="C540" i="442"/>
  <c r="C556" i="442"/>
  <c r="C580" i="442"/>
  <c r="C596" i="442"/>
  <c r="C603" i="442"/>
  <c r="C618" i="442"/>
  <c r="C620" i="442"/>
  <c r="C622" i="442"/>
  <c r="C630" i="442"/>
  <c r="A655" i="442"/>
  <c r="C657" i="442"/>
  <c r="A661" i="442"/>
  <c r="A675" i="442"/>
  <c r="A678" i="442"/>
  <c r="C681" i="442"/>
  <c r="A695" i="442"/>
  <c r="C703" i="442"/>
  <c r="C714" i="442"/>
  <c r="C853" i="442"/>
  <c r="C921" i="442"/>
  <c r="C1002" i="442"/>
  <c r="C1026" i="442"/>
  <c r="C228" i="442"/>
  <c r="C236" i="442"/>
  <c r="C249" i="442"/>
  <c r="C257" i="442"/>
  <c r="C265" i="442"/>
  <c r="C273" i="442"/>
  <c r="C291" i="442"/>
  <c r="C307" i="442"/>
  <c r="C323" i="442"/>
  <c r="C344" i="442"/>
  <c r="C360" i="442"/>
  <c r="C380" i="442"/>
  <c r="C389" i="442"/>
  <c r="C396" i="442"/>
  <c r="C409" i="442"/>
  <c r="C420" i="442"/>
  <c r="C429" i="442"/>
  <c r="C436" i="442"/>
  <c r="C445" i="442"/>
  <c r="C452" i="442"/>
  <c r="C464" i="442"/>
  <c r="C475" i="442"/>
  <c r="C484" i="442"/>
  <c r="C495" i="442"/>
  <c r="C502" i="442"/>
  <c r="C509" i="442"/>
  <c r="C516" i="442"/>
  <c r="C529" i="442"/>
  <c r="C536" i="442"/>
  <c r="C545" i="442"/>
  <c r="C552" i="442"/>
  <c r="C576" i="442"/>
  <c r="C585" i="442"/>
  <c r="C592" i="442"/>
  <c r="C601" i="442"/>
  <c r="C610" i="442"/>
  <c r="A2463" i="442"/>
  <c r="A2456" i="442"/>
  <c r="A2454" i="442"/>
  <c r="A2452" i="442"/>
  <c r="A2449" i="442"/>
  <c r="A2447" i="442"/>
  <c r="A2432" i="442"/>
  <c r="A2423" i="442"/>
  <c r="A2418" i="442"/>
  <c r="A2416" i="442"/>
  <c r="A2411" i="442"/>
  <c r="A2409" i="442"/>
  <c r="A2407" i="442"/>
  <c r="A2405" i="442"/>
  <c r="A2394" i="442"/>
  <c r="A2392" i="442"/>
  <c r="A2390" i="442"/>
  <c r="A2378" i="442"/>
  <c r="A2372" i="442"/>
  <c r="A2465" i="442"/>
  <c r="A2462" i="442"/>
  <c r="A2460" i="442"/>
  <c r="A2458" i="442"/>
  <c r="A2451" i="442"/>
  <c r="A2440" i="442"/>
  <c r="A2438" i="442"/>
  <c r="A2436" i="442"/>
  <c r="A2434" i="442"/>
  <c r="A2431" i="442"/>
  <c r="A2429" i="442"/>
  <c r="A2427" i="442"/>
  <c r="A2425" i="442"/>
  <c r="A2464" i="442"/>
  <c r="A2457" i="442"/>
  <c r="A2455" i="442"/>
  <c r="A2453" i="442"/>
  <c r="A2448" i="442"/>
  <c r="A2446" i="442"/>
  <c r="A2433" i="442"/>
  <c r="A2417" i="442"/>
  <c r="A2415" i="442"/>
  <c r="A2410" i="442"/>
  <c r="A2408" i="442"/>
  <c r="A2406" i="442"/>
  <c r="A2395" i="442"/>
  <c r="A2393" i="442"/>
  <c r="A2391" i="442"/>
  <c r="A2389" i="442"/>
  <c r="A2376" i="442"/>
  <c r="A2368" i="442"/>
  <c r="A2363" i="442"/>
  <c r="A2461" i="442"/>
  <c r="A2459" i="442"/>
  <c r="A2450" i="442"/>
  <c r="A2445" i="442"/>
  <c r="A2439" i="442"/>
  <c r="A2437" i="442"/>
  <c r="A2435" i="442"/>
  <c r="A2430" i="442"/>
  <c r="A2428" i="442"/>
  <c r="A2426" i="442"/>
  <c r="A2419" i="442"/>
  <c r="A2403" i="442"/>
  <c r="A2401" i="442"/>
  <c r="A2399" i="442"/>
  <c r="A2397" i="442"/>
  <c r="A2386" i="442"/>
  <c r="A2413" i="442"/>
  <c r="A2387" i="442"/>
  <c r="A2373" i="442"/>
  <c r="A2367" i="442"/>
  <c r="A2357" i="442"/>
  <c r="A2355" i="442"/>
  <c r="A2346" i="442"/>
  <c r="A2344" i="442"/>
  <c r="A2342" i="442"/>
  <c r="A2333" i="442"/>
  <c r="A2331" i="442"/>
  <c r="A2322" i="442"/>
  <c r="A2320" i="442"/>
  <c r="A2309" i="442"/>
  <c r="A2307" i="442"/>
  <c r="A2299" i="442"/>
  <c r="A2402" i="442"/>
  <c r="A2398" i="442"/>
  <c r="A2369" i="442"/>
  <c r="A2361" i="442"/>
  <c r="A2352" i="442"/>
  <c r="A2350" i="442"/>
  <c r="A2348" i="442"/>
  <c r="A2385" i="442"/>
  <c r="A2384" i="442"/>
  <c r="A2383" i="442"/>
  <c r="A2382" i="442"/>
  <c r="A2381" i="442"/>
  <c r="A2358" i="442"/>
  <c r="A2356" i="442"/>
  <c r="A2354" i="442"/>
  <c r="A2345" i="442"/>
  <c r="A2343" i="442"/>
  <c r="A2334" i="442"/>
  <c r="A2332" i="442"/>
  <c r="A2330" i="442"/>
  <c r="A2371" i="442"/>
  <c r="A2360" i="442"/>
  <c r="A2351" i="442"/>
  <c r="A2318" i="442"/>
  <c r="A2317" i="442"/>
  <c r="A2314" i="442"/>
  <c r="A2295" i="442"/>
  <c r="A2293" i="442"/>
  <c r="A2289" i="442"/>
  <c r="A2400" i="442"/>
  <c r="A2375" i="442"/>
  <c r="A2321" i="442"/>
  <c r="A2306" i="442"/>
  <c r="A2304" i="442"/>
  <c r="A2283" i="442"/>
  <c r="A2277" i="442"/>
  <c r="A2271" i="442"/>
  <c r="A2267" i="442"/>
  <c r="A2254" i="442"/>
  <c r="A2252" i="442"/>
  <c r="A2250" i="442"/>
  <c r="A2248" i="442"/>
  <c r="A2235" i="442"/>
  <c r="A2233" i="442"/>
  <c r="A2362" i="442"/>
  <c r="A2349" i="442"/>
  <c r="A2316" i="442"/>
  <c r="A2312" i="442"/>
  <c r="A2297" i="442"/>
  <c r="A2292" i="442"/>
  <c r="A2291" i="442"/>
  <c r="A2285" i="442"/>
  <c r="A2264" i="442"/>
  <c r="A2262" i="442"/>
  <c r="A2338" i="442"/>
  <c r="A2326" i="442"/>
  <c r="A2273" i="442"/>
  <c r="A2259" i="442"/>
  <c r="A2258" i="442"/>
  <c r="A2255" i="442"/>
  <c r="A2251" i="442"/>
  <c r="A2247" i="442"/>
  <c r="A2245" i="442"/>
  <c r="A2242" i="442"/>
  <c r="A2241" i="442"/>
  <c r="A2238" i="442"/>
  <c r="A2237" i="442"/>
  <c r="A2224" i="442"/>
  <c r="A2222" i="442"/>
  <c r="A2220" i="442"/>
  <c r="A2218" i="442"/>
  <c r="A2201" i="442"/>
  <c r="A2199" i="442"/>
  <c r="A2197" i="442"/>
  <c r="A2192" i="442"/>
  <c r="A2190" i="442"/>
  <c r="A2188" i="442"/>
  <c r="A2186" i="442"/>
  <c r="A2183" i="442"/>
  <c r="A2181" i="442"/>
  <c r="A2179" i="442"/>
  <c r="A2168" i="442"/>
  <c r="A2166" i="442"/>
  <c r="A2164" i="442"/>
  <c r="A2155" i="442"/>
  <c r="A2339" i="442"/>
  <c r="A2327" i="442"/>
  <c r="A2311" i="442"/>
  <c r="A2302" i="442"/>
  <c r="A2279" i="442"/>
  <c r="A2275" i="442"/>
  <c r="A2232" i="442"/>
  <c r="A2230" i="442"/>
  <c r="A2228" i="442"/>
  <c r="A2215" i="442"/>
  <c r="A2213" i="442"/>
  <c r="A2211" i="442"/>
  <c r="A2209" i="442"/>
  <c r="A2207" i="442"/>
  <c r="A2205" i="442"/>
  <c r="A2176" i="442"/>
  <c r="A2174" i="442"/>
  <c r="A2172" i="442"/>
  <c r="A2170" i="442"/>
  <c r="A2157" i="442"/>
  <c r="A2149" i="442"/>
  <c r="A2141" i="442"/>
  <c r="A2134" i="442"/>
  <c r="A2129" i="442"/>
  <c r="A2119" i="442"/>
  <c r="A2114" i="442"/>
  <c r="A2107" i="442"/>
  <c r="A2105" i="442"/>
  <c r="A2100" i="442"/>
  <c r="A2340" i="442"/>
  <c r="A2336" i="442"/>
  <c r="A2328" i="442"/>
  <c r="A2324" i="442"/>
  <c r="A2303" i="442"/>
  <c r="A2287" i="442"/>
  <c r="A2281" i="442"/>
  <c r="A2269" i="442"/>
  <c r="A2265" i="442"/>
  <c r="A2263" i="442"/>
  <c r="A2261" i="442"/>
  <c r="A2260" i="442"/>
  <c r="A2257" i="442"/>
  <c r="A2253" i="442"/>
  <c r="A2249" i="442"/>
  <c r="A2244" i="442"/>
  <c r="A2243" i="442"/>
  <c r="A2240" i="442"/>
  <c r="A2239" i="442"/>
  <c r="A2225" i="442"/>
  <c r="A2223" i="442"/>
  <c r="A2221" i="442"/>
  <c r="A2219" i="442"/>
  <c r="A2217" i="442"/>
  <c r="A2202" i="442"/>
  <c r="A2200" i="442"/>
  <c r="A2198" i="442"/>
  <c r="A2196" i="442"/>
  <c r="A2193" i="442"/>
  <c r="A2191" i="442"/>
  <c r="A2189" i="442"/>
  <c r="A2187" i="442"/>
  <c r="A2182" i="442"/>
  <c r="A2180" i="442"/>
  <c r="A2337" i="442"/>
  <c r="A2325" i="442"/>
  <c r="A2234" i="442"/>
  <c r="A2231" i="442"/>
  <c r="A2227" i="442"/>
  <c r="A2145" i="442"/>
  <c r="A2143" i="442"/>
  <c r="A2125" i="442"/>
  <c r="A2115" i="442"/>
  <c r="A2110" i="442"/>
  <c r="A2109" i="442"/>
  <c r="A2097" i="442"/>
  <c r="A2088" i="442"/>
  <c r="A2073" i="442"/>
  <c r="A2071" i="442"/>
  <c r="A2052" i="442"/>
  <c r="A2050" i="442"/>
  <c r="A2043" i="442"/>
  <c r="A2041" i="442"/>
  <c r="A2032" i="442"/>
  <c r="A2030" i="442"/>
  <c r="A2023" i="442"/>
  <c r="A2021" i="442"/>
  <c r="A2011" i="442"/>
  <c r="A2009" i="442"/>
  <c r="A2007" i="442"/>
  <c r="A2005" i="442"/>
  <c r="A2001" i="442"/>
  <c r="A1999" i="442"/>
  <c r="A1982" i="442"/>
  <c r="A1980" i="442"/>
  <c r="A1976" i="442"/>
  <c r="A1974" i="442"/>
  <c r="A1972" i="442"/>
  <c r="A1970" i="442"/>
  <c r="A1966" i="442"/>
  <c r="A1964" i="442"/>
  <c r="A1962" i="442"/>
  <c r="A1960" i="442"/>
  <c r="A1951" i="442"/>
  <c r="A2212" i="442"/>
  <c r="A2208" i="442"/>
  <c r="A2204" i="442"/>
  <c r="A2184" i="442"/>
  <c r="A2159" i="442"/>
  <c r="A2137" i="442"/>
  <c r="A2099" i="442"/>
  <c r="A2094" i="442"/>
  <c r="A2085" i="442"/>
  <c r="A2079" i="442"/>
  <c r="A2077" i="442"/>
  <c r="A2065" i="442"/>
  <c r="A2063" i="442"/>
  <c r="A2058" i="442"/>
  <c r="A2056" i="442"/>
  <c r="A2047" i="442"/>
  <c r="A2045" i="442"/>
  <c r="A2038" i="442"/>
  <c r="A2036" i="442"/>
  <c r="A2027" i="442"/>
  <c r="A2025" i="442"/>
  <c r="A1957" i="442"/>
  <c r="A1955" i="442"/>
  <c r="A1941" i="442"/>
  <c r="A1939" i="442"/>
  <c r="A1934" i="442"/>
  <c r="A1927" i="442"/>
  <c r="A1925" i="442"/>
  <c r="A1912" i="442"/>
  <c r="A1910" i="442"/>
  <c r="A1903" i="442"/>
  <c r="A1901" i="442"/>
  <c r="A1891" i="442"/>
  <c r="A2229" i="442"/>
  <c r="A2151" i="442"/>
  <c r="A2147" i="442"/>
  <c r="A2132" i="442"/>
  <c r="A2131" i="442"/>
  <c r="A2127" i="442"/>
  <c r="A2126" i="442"/>
  <c r="A2123" i="442"/>
  <c r="A2121" i="442"/>
  <c r="A2117" i="442"/>
  <c r="A2113" i="442"/>
  <c r="A2111" i="442"/>
  <c r="A2103" i="442"/>
  <c r="A2102" i="442"/>
  <c r="A2096" i="442"/>
  <c r="A2089" i="442"/>
  <c r="A2081" i="442"/>
  <c r="A2074" i="442"/>
  <c r="A2072" i="442"/>
  <c r="A2067" i="442"/>
  <c r="A2060" i="442"/>
  <c r="A2053" i="442"/>
  <c r="A2051" i="442"/>
  <c r="A2042" i="442"/>
  <c r="A2040" i="442"/>
  <c r="A2033" i="442"/>
  <c r="A2031" i="442"/>
  <c r="A2022" i="442"/>
  <c r="A2020" i="442"/>
  <c r="A2018" i="442"/>
  <c r="A2016" i="442"/>
  <c r="A2014" i="442"/>
  <c r="A2012" i="442"/>
  <c r="A2010" i="442"/>
  <c r="A2006" i="442"/>
  <c r="A2004" i="442"/>
  <c r="A2002" i="442"/>
  <c r="A2000" i="442"/>
  <c r="A1981" i="442"/>
  <c r="A1979" i="442"/>
  <c r="A1977" i="442"/>
  <c r="A1975" i="442"/>
  <c r="A1971" i="442"/>
  <c r="A1969" i="442"/>
  <c r="A1967" i="442"/>
  <c r="A1965" i="442"/>
  <c r="A1961" i="442"/>
  <c r="A1959" i="442"/>
  <c r="A2214" i="442"/>
  <c r="A2178" i="442"/>
  <c r="A2153" i="442"/>
  <c r="A2140" i="442"/>
  <c r="A2106" i="442"/>
  <c r="A2093" i="442"/>
  <c r="A2083" i="442"/>
  <c r="A2062" i="442"/>
  <c r="A1906" i="442"/>
  <c r="A1905" i="442"/>
  <c r="A1883" i="442"/>
  <c r="A1881" i="442"/>
  <c r="A1873" i="442"/>
  <c r="A1865" i="442"/>
  <c r="A1857" i="442"/>
  <c r="A1849" i="442"/>
  <c r="A1841" i="442"/>
  <c r="A1836" i="442"/>
  <c r="A1831" i="442"/>
  <c r="A2210" i="442"/>
  <c r="A2175" i="442"/>
  <c r="A2165" i="442"/>
  <c r="A2162" i="442"/>
  <c r="A2206" i="442"/>
  <c r="A2171" i="442"/>
  <c r="A2138" i="442"/>
  <c r="A2064" i="442"/>
  <c r="A1956" i="442"/>
  <c r="A1954" i="442"/>
  <c r="A1937" i="442"/>
  <c r="A1936" i="442"/>
  <c r="A1926" i="442"/>
  <c r="A1908" i="442"/>
  <c r="A1907" i="442"/>
  <c r="A1884" i="442"/>
  <c r="A1882" i="442"/>
  <c r="A1869" i="442"/>
  <c r="A1861" i="442"/>
  <c r="A1853" i="442"/>
  <c r="A1845" i="442"/>
  <c r="A1837" i="442"/>
  <c r="A1830" i="442"/>
  <c r="A1825" i="442"/>
  <c r="A1818" i="442"/>
  <c r="A1813" i="442"/>
  <c r="A2195" i="442"/>
  <c r="A2173" i="442"/>
  <c r="A2167" i="442"/>
  <c r="A2163" i="442"/>
  <c r="A2135" i="442"/>
  <c r="A2091" i="442"/>
  <c r="A2086" i="442"/>
  <c r="A2078" i="442"/>
  <c r="A2069" i="442"/>
  <c r="A2057" i="442"/>
  <c r="A2048" i="442"/>
  <c r="A2035" i="442"/>
  <c r="A2026" i="442"/>
  <c r="A1949" i="442"/>
  <c r="A1947" i="442"/>
  <c r="A1944" i="442"/>
  <c r="A1940" i="442"/>
  <c r="A1930" i="442"/>
  <c r="A1929" i="442"/>
  <c r="A1921" i="442"/>
  <c r="A1911" i="442"/>
  <c r="A1902" i="442"/>
  <c r="A1895" i="442"/>
  <c r="A1889" i="442"/>
  <c r="A1886" i="442"/>
  <c r="A1879" i="442"/>
  <c r="A1877" i="442"/>
  <c r="A2076" i="442"/>
  <c r="A2046" i="442"/>
  <c r="A1946" i="442"/>
  <c r="A1942" i="442"/>
  <c r="A1893" i="442"/>
  <c r="A1816" i="442"/>
  <c r="A1815" i="442"/>
  <c r="A1804" i="442"/>
  <c r="A1797" i="442"/>
  <c r="A1780" i="442"/>
  <c r="A1772" i="442"/>
  <c r="A1761" i="442"/>
  <c r="A1756" i="442"/>
  <c r="A1747" i="442"/>
  <c r="A1739" i="442"/>
  <c r="A1729" i="442"/>
  <c r="A1727" i="442"/>
  <c r="A1720" i="442"/>
  <c r="A1715" i="442"/>
  <c r="A1710" i="442"/>
  <c r="A1708" i="442"/>
  <c r="A1701" i="442"/>
  <c r="A1693" i="442"/>
  <c r="A1688" i="442"/>
  <c r="A1686" i="442"/>
  <c r="A1681" i="442"/>
  <c r="A1679" i="442"/>
  <c r="A1671" i="442"/>
  <c r="A1669" i="442"/>
  <c r="A1664" i="442"/>
  <c r="A1662" i="442"/>
  <c r="A1655" i="442"/>
  <c r="A1653" i="442"/>
  <c r="A1648" i="442"/>
  <c r="A1632" i="442"/>
  <c r="A1624" i="442"/>
  <c r="A1614" i="442"/>
  <c r="A1606" i="442"/>
  <c r="A1599" i="442"/>
  <c r="A1592" i="442"/>
  <c r="A1586" i="442"/>
  <c r="A1584" i="442"/>
  <c r="A1575" i="442"/>
  <c r="A1571" i="442"/>
  <c r="A1569" i="442"/>
  <c r="A1560" i="442"/>
  <c r="A1555" i="442"/>
  <c r="A1553" i="442"/>
  <c r="A1548" i="442"/>
  <c r="A1544" i="442"/>
  <c r="A1540" i="442"/>
  <c r="A1533" i="442"/>
  <c r="A1526" i="442"/>
  <c r="A1521" i="442"/>
  <c r="A1514" i="442"/>
  <c r="A1512" i="442"/>
  <c r="A1505" i="442"/>
  <c r="A1503" i="442"/>
  <c r="A1494" i="442"/>
  <c r="A1492" i="442"/>
  <c r="A1485" i="442"/>
  <c r="A1483" i="442"/>
  <c r="A2055" i="442"/>
  <c r="A2028" i="442"/>
  <c r="A1931" i="442"/>
  <c r="A1922" i="442"/>
  <c r="A1900" i="442"/>
  <c r="A1876" i="442"/>
  <c r="A1824" i="442"/>
  <c r="A1822" i="442"/>
  <c r="A1819" i="442"/>
  <c r="A1809" i="442"/>
  <c r="A1806" i="442"/>
  <c r="A1801" i="442"/>
  <c r="A1787" i="442"/>
  <c r="A1782" i="442"/>
  <c r="A1774" i="442"/>
  <c r="A1767" i="442"/>
  <c r="A1765" i="442"/>
  <c r="A1758" i="442"/>
  <c r="A1749" i="442"/>
  <c r="A1741" i="442"/>
  <c r="A1733" i="442"/>
  <c r="A1731" i="442"/>
  <c r="A1724" i="442"/>
  <c r="A1722" i="442"/>
  <c r="A1717" i="442"/>
  <c r="A1712" i="442"/>
  <c r="A1705" i="442"/>
  <c r="A1698" i="442"/>
  <c r="A1690" i="442"/>
  <c r="A1683" i="442"/>
  <c r="A1676" i="442"/>
  <c r="A1666" i="442"/>
  <c r="A1659" i="442"/>
  <c r="A1657" i="442"/>
  <c r="A1649" i="442"/>
  <c r="A1642" i="442"/>
  <c r="A1640" i="442"/>
  <c r="A1634" i="442"/>
  <c r="A1626" i="442"/>
  <c r="A1618" i="442"/>
  <c r="A1608" i="442"/>
  <c r="A1603" i="442"/>
  <c r="A1596" i="442"/>
  <c r="A1594" i="442"/>
  <c r="A1588" i="442"/>
  <c r="A1581" i="442"/>
  <c r="A1579" i="442"/>
  <c r="A1573" i="442"/>
  <c r="A1566" i="442"/>
  <c r="A1564" i="442"/>
  <c r="A1557" i="442"/>
  <c r="A1550" i="442"/>
  <c r="A1545" i="442"/>
  <c r="A1537" i="442"/>
  <c r="A1535" i="442"/>
  <c r="A1530" i="442"/>
  <c r="A1528" i="442"/>
  <c r="A1518" i="442"/>
  <c r="A1516" i="442"/>
  <c r="A1509" i="442"/>
  <c r="A1507" i="442"/>
  <c r="A1500" i="442"/>
  <c r="A1498" i="442"/>
  <c r="A1489" i="442"/>
  <c r="A1487" i="442"/>
  <c r="A1480" i="442"/>
  <c r="A1478" i="442"/>
  <c r="A1469" i="442"/>
  <c r="A2037" i="442"/>
  <c r="A1923" i="442"/>
  <c r="A1913" i="442"/>
  <c r="A1887" i="442"/>
  <c r="A1828" i="442"/>
  <c r="A1827" i="442"/>
  <c r="A1803" i="442"/>
  <c r="A1798" i="442"/>
  <c r="A1789" i="442"/>
  <c r="A1784" i="442"/>
  <c r="A1776" i="442"/>
  <c r="A1762" i="442"/>
  <c r="A1751" i="442"/>
  <c r="A1743" i="442"/>
  <c r="A1735" i="442"/>
  <c r="A1952" i="442"/>
  <c r="A1945" i="442"/>
  <c r="A1933" i="442"/>
  <c r="A1896" i="442"/>
  <c r="A1878" i="442"/>
  <c r="A1871" i="442"/>
  <c r="A1867" i="442"/>
  <c r="A1863" i="442"/>
  <c r="A1859" i="442"/>
  <c r="A1855" i="442"/>
  <c r="A1851" i="442"/>
  <c r="A1847" i="442"/>
  <c r="A1843" i="442"/>
  <c r="A1839" i="442"/>
  <c r="A1834" i="442"/>
  <c r="A1833" i="442"/>
  <c r="A1821" i="442"/>
  <c r="A1812" i="442"/>
  <c r="A1810" i="442"/>
  <c r="A1807" i="442"/>
  <c r="A1800" i="442"/>
  <c r="A1791" i="442"/>
  <c r="A1786" i="442"/>
  <c r="A1778" i="442"/>
  <c r="A1770" i="442"/>
  <c r="A1764" i="442"/>
  <c r="A1768" i="442"/>
  <c r="A1759" i="442"/>
  <c r="A1713" i="442"/>
  <c r="A1699" i="442"/>
  <c r="A1697" i="442"/>
  <c r="A1687" i="442"/>
  <c r="A1685" i="442"/>
  <c r="A1670" i="442"/>
  <c r="A1654" i="442"/>
  <c r="A1652" i="442"/>
  <c r="A1650" i="442"/>
  <c r="A1647" i="442"/>
  <c r="A1630" i="442"/>
  <c r="A1622" i="442"/>
  <c r="A1612" i="442"/>
  <c r="A1604" i="442"/>
  <c r="A1602" i="442"/>
  <c r="A1591" i="442"/>
  <c r="A1585" i="442"/>
  <c r="A1583" i="442"/>
  <c r="A1580" i="442"/>
  <c r="A1578" i="442"/>
  <c r="A1570" i="442"/>
  <c r="A1568" i="442"/>
  <c r="A1565" i="442"/>
  <c r="A1563" i="442"/>
  <c r="A1554" i="442"/>
  <c r="A1524" i="442"/>
  <c r="A1495" i="442"/>
  <c r="A1493" i="442"/>
  <c r="A1477" i="442"/>
  <c r="A1475" i="442"/>
  <c r="A1472" i="442"/>
  <c r="A1468" i="442"/>
  <c r="A1753" i="442"/>
  <c r="A1725" i="442"/>
  <c r="A1723" i="442"/>
  <c r="A1695" i="442"/>
  <c r="A1694" i="442"/>
  <c r="A1692" i="442"/>
  <c r="A1677" i="442"/>
  <c r="A1663" i="442"/>
  <c r="A1661" i="442"/>
  <c r="A1658" i="442"/>
  <c r="A1645" i="442"/>
  <c r="A1644" i="442"/>
  <c r="A1641" i="442"/>
  <c r="A1639" i="442"/>
  <c r="A1558" i="442"/>
  <c r="A1547" i="442"/>
  <c r="A1510" i="442"/>
  <c r="A1508" i="442"/>
  <c r="A1504" i="442"/>
  <c r="A1502" i="442"/>
  <c r="A1499" i="442"/>
  <c r="A1497" i="442"/>
  <c r="A1465" i="442"/>
  <c r="A1463" i="442"/>
  <c r="A1454" i="442"/>
  <c r="A1452" i="442"/>
  <c r="A1445" i="442"/>
  <c r="A1443" i="442"/>
  <c r="A1434" i="442"/>
  <c r="A1432" i="442"/>
  <c r="A1425" i="442"/>
  <c r="A1423" i="442"/>
  <c r="A1414" i="442"/>
  <c r="A1412" i="442"/>
  <c r="A1405" i="442"/>
  <c r="A1403" i="442"/>
  <c r="A1394" i="442"/>
  <c r="A1392" i="442"/>
  <c r="A1378" i="442"/>
  <c r="A1374" i="442"/>
  <c r="A1737" i="442"/>
  <c r="A1702" i="442"/>
  <c r="A1667" i="442"/>
  <c r="A1551" i="442"/>
  <c r="A1541" i="442"/>
  <c r="A1539" i="442"/>
  <c r="A1536" i="442"/>
  <c r="A1532" i="442"/>
  <c r="A1529" i="442"/>
  <c r="A1490" i="442"/>
  <c r="A1488" i="442"/>
  <c r="A1484" i="442"/>
  <c r="A1482" i="442"/>
  <c r="A1479" i="442"/>
  <c r="A1474" i="442"/>
  <c r="A1473" i="442"/>
  <c r="A1470" i="442"/>
  <c r="A1467" i="442"/>
  <c r="A1460" i="442"/>
  <c r="A1458" i="442"/>
  <c r="A1449" i="442"/>
  <c r="A1447" i="442"/>
  <c r="A1440" i="442"/>
  <c r="A1438" i="442"/>
  <c r="A1429" i="442"/>
  <c r="A1427" i="442"/>
  <c r="A1420" i="442"/>
  <c r="A1418" i="442"/>
  <c r="A1409" i="442"/>
  <c r="A1407" i="442"/>
  <c r="A1400" i="442"/>
  <c r="A1728" i="442"/>
  <c r="A1709" i="442"/>
  <c r="A1704" i="442"/>
  <c r="A1680" i="442"/>
  <c r="A1610" i="442"/>
  <c r="A1595" i="442"/>
  <c r="A1589" i="442"/>
  <c r="A1561" i="442"/>
  <c r="A1520" i="442"/>
  <c r="A1450" i="442"/>
  <c r="A1448" i="442"/>
  <c r="A1444" i="442"/>
  <c r="A1442" i="442"/>
  <c r="A1439" i="442"/>
  <c r="A1437" i="442"/>
  <c r="A1424" i="442"/>
  <c r="A1422" i="442"/>
  <c r="A1419" i="442"/>
  <c r="A1417" i="442"/>
  <c r="A1404" i="442"/>
  <c r="A1402" i="442"/>
  <c r="A1399" i="442"/>
  <c r="A1398" i="442"/>
  <c r="A1395" i="442"/>
  <c r="A1388" i="442"/>
  <c r="A1383" i="442"/>
  <c r="A1380" i="442"/>
  <c r="A1379" i="442"/>
  <c r="A1375" i="442"/>
  <c r="A1373" i="442"/>
  <c r="A1369" i="442"/>
  <c r="A1361" i="442"/>
  <c r="A1359" i="442"/>
  <c r="A1352" i="442"/>
  <c r="A1335" i="442"/>
  <c r="A1330" i="442"/>
  <c r="A1325" i="442"/>
  <c r="A1314" i="442"/>
  <c r="A1312" i="442"/>
  <c r="A1307" i="442"/>
  <c r="A1301" i="442"/>
  <c r="A1290" i="442"/>
  <c r="A1285" i="442"/>
  <c r="A1283" i="442"/>
  <c r="A1274" i="442"/>
  <c r="A1267" i="442"/>
  <c r="A1265" i="442"/>
  <c r="A1258" i="442"/>
  <c r="A1253" i="442"/>
  <c r="A1240" i="442"/>
  <c r="A1238" i="442"/>
  <c r="A1232" i="442"/>
  <c r="A1224" i="442"/>
  <c r="A1222" i="442"/>
  <c r="A1212" i="442"/>
  <c r="A1207" i="442"/>
  <c r="A1192" i="442"/>
  <c r="A1181" i="442"/>
  <c r="A1179" i="442"/>
  <c r="A1172" i="442"/>
  <c r="A1164" i="442"/>
  <c r="A1150" i="442"/>
  <c r="A1142" i="442"/>
  <c r="A1127" i="442"/>
  <c r="A1125" i="442"/>
  <c r="A1117" i="442"/>
  <c r="A1109" i="442"/>
  <c r="A1101" i="442"/>
  <c r="A1093" i="442"/>
  <c r="A1745" i="442"/>
  <c r="A1620" i="442"/>
  <c r="A1600" i="442"/>
  <c r="A1574" i="442"/>
  <c r="A1430" i="442"/>
  <c r="A1428" i="442"/>
  <c r="A1410" i="442"/>
  <c r="A1408" i="442"/>
  <c r="A1389" i="442"/>
  <c r="A1384" i="442"/>
  <c r="A1372" i="442"/>
  <c r="A1368" i="442"/>
  <c r="A1365" i="442"/>
  <c r="A1363" i="442"/>
  <c r="A1356" i="442"/>
  <c r="A1349" i="442"/>
  <c r="A1342" i="442"/>
  <c r="A1337" i="442"/>
  <c r="A1327" i="442"/>
  <c r="A1322" i="442"/>
  <c r="A1320" i="442"/>
  <c r="A1318" i="442"/>
  <c r="A1303" i="442"/>
  <c r="A1298" i="442"/>
  <c r="A1294" i="442"/>
  <c r="A1286" i="442"/>
  <c r="A1278" i="442"/>
  <c r="A1271" i="442"/>
  <c r="A1269" i="442"/>
  <c r="A1262" i="442"/>
  <c r="A1255" i="442"/>
  <c r="A1250" i="442"/>
  <c r="A1243" i="442"/>
  <c r="A1241" i="442"/>
  <c r="A1234" i="442"/>
  <c r="A1227" i="442"/>
  <c r="A1225" i="442"/>
  <c r="A1215" i="442"/>
  <c r="A1213" i="442"/>
  <c r="A1209" i="442"/>
  <c r="A1204" i="442"/>
  <c r="A1200" i="442"/>
  <c r="A1198" i="442"/>
  <c r="A1194" i="442"/>
  <c r="A1189" i="442"/>
  <c r="A1185" i="442"/>
  <c r="A1183" i="442"/>
  <c r="A1176" i="442"/>
  <c r="A1168" i="442"/>
  <c r="A1161" i="442"/>
  <c r="A1152" i="442"/>
  <c r="A1144" i="442"/>
  <c r="A1136" i="442"/>
  <c r="A1131" i="442"/>
  <c r="A1122" i="442"/>
  <c r="A1120" i="442"/>
  <c r="A1111" i="442"/>
  <c r="A1103" i="442"/>
  <c r="A1095" i="442"/>
  <c r="A1088" i="442"/>
  <c r="A1067" i="442"/>
  <c r="A1065" i="442"/>
  <c r="A1058" i="442"/>
  <c r="A1056" i="442"/>
  <c r="A1718" i="442"/>
  <c r="A1707" i="442"/>
  <c r="A1628" i="442"/>
  <c r="A1543" i="442"/>
  <c r="A1522" i="442"/>
  <c r="A1517" i="442"/>
  <c r="A1455" i="442"/>
  <c r="A1453" i="442"/>
  <c r="A1397" i="442"/>
  <c r="A1393" i="442"/>
  <c r="A1390" i="442"/>
  <c r="A1385" i="442"/>
  <c r="A1367" i="442"/>
  <c r="A1360" i="442"/>
  <c r="A1353" i="442"/>
  <c r="A1351" i="442"/>
  <c r="A1344" i="442"/>
  <c r="A1339" i="442"/>
  <c r="A1331" i="442"/>
  <c r="A1315" i="442"/>
  <c r="A1313" i="442"/>
  <c r="A1308" i="442"/>
  <c r="A1306" i="442"/>
  <c r="A1304" i="442"/>
  <c r="A1300" i="442"/>
  <c r="A1296" i="442"/>
  <c r="A1291" i="442"/>
  <c r="A1289" i="442"/>
  <c r="A1287" i="442"/>
  <c r="A1281" i="442"/>
  <c r="A1279" i="442"/>
  <c r="A1275" i="442"/>
  <c r="A1273" i="442"/>
  <c r="A1266" i="442"/>
  <c r="A1259" i="442"/>
  <c r="A1257" i="442"/>
  <c r="A1252" i="442"/>
  <c r="A1246" i="442"/>
  <c r="A1244" i="442"/>
  <c r="A1235" i="442"/>
  <c r="A1228" i="442"/>
  <c r="A1218" i="442"/>
  <c r="A1216" i="442"/>
  <c r="A1206" i="442"/>
  <c r="A1191" i="442"/>
  <c r="A1187" i="442"/>
  <c r="A1180" i="442"/>
  <c r="A1173" i="442"/>
  <c r="A1171" i="442"/>
  <c r="A1163" i="442"/>
  <c r="A1158" i="442"/>
  <c r="A1146" i="442"/>
  <c r="A1138" i="442"/>
  <c r="A1133" i="442"/>
  <c r="A1126" i="442"/>
  <c r="A1124" i="442"/>
  <c r="A1113" i="442"/>
  <c r="A1105" i="442"/>
  <c r="A1097" i="442"/>
  <c r="A1092" i="442"/>
  <c r="A1085" i="442"/>
  <c r="A1083" i="442"/>
  <c r="A1077" i="442"/>
  <c r="A1071" i="442"/>
  <c r="A1062" i="442"/>
  <c r="A1060" i="442"/>
  <c r="A1053" i="442"/>
  <c r="A1051" i="442"/>
  <c r="A1042" i="442"/>
  <c r="A1040" i="442"/>
  <c r="A1033" i="442"/>
  <c r="A1031" i="442"/>
  <c r="A1022" i="442"/>
  <c r="A1020" i="442"/>
  <c r="A1732" i="442"/>
  <c r="A1636" i="442"/>
  <c r="A1598" i="442"/>
  <c r="A1576" i="442"/>
  <c r="A1513" i="442"/>
  <c r="A1464" i="442"/>
  <c r="A1462" i="442"/>
  <c r="A1459" i="442"/>
  <c r="A1457" i="442"/>
  <c r="A1435" i="442"/>
  <c r="A1433" i="442"/>
  <c r="A1415" i="442"/>
  <c r="A1413" i="442"/>
  <c r="A1387" i="442"/>
  <c r="A1382" i="442"/>
  <c r="A1377" i="442"/>
  <c r="A1370" i="442"/>
  <c r="A1364" i="442"/>
  <c r="A1357" i="442"/>
  <c r="A1355" i="442"/>
  <c r="A1348" i="442"/>
  <c r="A1346" i="442"/>
  <c r="A1341" i="442"/>
  <c r="A1333" i="442"/>
  <c r="A1328" i="442"/>
  <c r="A1323" i="442"/>
  <c r="A1321" i="442"/>
  <c r="A1319" i="442"/>
  <c r="A1317" i="442"/>
  <c r="A1310" i="442"/>
  <c r="A1297" i="442"/>
  <c r="A1293" i="442"/>
  <c r="A1282" i="442"/>
  <c r="A1277" i="442"/>
  <c r="A1270" i="442"/>
  <c r="A1263" i="442"/>
  <c r="A1261" i="442"/>
  <c r="A1249" i="442"/>
  <c r="A1247" i="442"/>
  <c r="A1237" i="442"/>
  <c r="A1231" i="442"/>
  <c r="A1229" i="442"/>
  <c r="A1221" i="442"/>
  <c r="A1219" i="442"/>
  <c r="A1210" i="442"/>
  <c r="A1203" i="442"/>
  <c r="A1201" i="442"/>
  <c r="A1197" i="442"/>
  <c r="A1195" i="442"/>
  <c r="A1188" i="442"/>
  <c r="A1184" i="442"/>
  <c r="A1177" i="442"/>
  <c r="A1175" i="442"/>
  <c r="A1160" i="442"/>
  <c r="A1148" i="442"/>
  <c r="A1140" i="442"/>
  <c r="A1135" i="442"/>
  <c r="A1121" i="442"/>
  <c r="A1115" i="442"/>
  <c r="A1107" i="442"/>
  <c r="A1099" i="442"/>
  <c r="A1089" i="442"/>
  <c r="A1087" i="442"/>
  <c r="A1084" i="442"/>
  <c r="A1082" i="442"/>
  <c r="A1047" i="442"/>
  <c r="A1046" i="442"/>
  <c r="A1043" i="442"/>
  <c r="A1030" i="442"/>
  <c r="A1028" i="442"/>
  <c r="A1025" i="442"/>
  <c r="A1021" i="442"/>
  <c r="A1013" i="442"/>
  <c r="A1011" i="442"/>
  <c r="A1004" i="442"/>
  <c r="A1002" i="442"/>
  <c r="A997" i="442"/>
  <c r="A991" i="442"/>
  <c r="A986" i="442"/>
  <c r="A972" i="442"/>
  <c r="A964" i="442"/>
  <c r="A956" i="442"/>
  <c r="A951" i="442"/>
  <c r="A946" i="442"/>
  <c r="A944" i="442"/>
  <c r="A939" i="442"/>
  <c r="A932" i="442"/>
  <c r="A925" i="442"/>
  <c r="A917" i="442"/>
  <c r="A911" i="442"/>
  <c r="A902" i="442"/>
  <c r="A894" i="442"/>
  <c r="A889" i="442"/>
  <c r="A887" i="442"/>
  <c r="A878" i="442"/>
  <c r="A873" i="442"/>
  <c r="A871" i="442"/>
  <c r="A869" i="442"/>
  <c r="A867" i="442"/>
  <c r="A865" i="442"/>
  <c r="A850" i="442"/>
  <c r="A848" i="442"/>
  <c r="A846" i="442"/>
  <c r="A844" i="442"/>
  <c r="A842" i="442"/>
  <c r="A840" i="442"/>
  <c r="A827" i="442"/>
  <c r="A825" i="442"/>
  <c r="A823" i="442"/>
  <c r="A821" i="442"/>
  <c r="A819" i="442"/>
  <c r="A817" i="442"/>
  <c r="A802" i="442"/>
  <c r="A800" i="442"/>
  <c r="A788" i="442"/>
  <c r="A786" i="442"/>
  <c r="A784" i="442"/>
  <c r="A772" i="442"/>
  <c r="A770" i="442"/>
  <c r="A768" i="442"/>
  <c r="A766" i="442"/>
  <c r="A764" i="442"/>
  <c r="A749" i="442"/>
  <c r="A743" i="442"/>
  <c r="A730" i="442"/>
  <c r="A728" i="442"/>
  <c r="A723" i="442"/>
  <c r="A1091" i="442"/>
  <c r="A1080" i="442"/>
  <c r="A1079" i="442"/>
  <c r="A1076" i="442"/>
  <c r="A1068" i="442"/>
  <c r="A1066" i="442"/>
  <c r="A1038" i="442"/>
  <c r="A1037" i="442"/>
  <c r="A1016" i="442"/>
  <c r="A1015" i="442"/>
  <c r="A1008" i="442"/>
  <c r="A1006" i="442"/>
  <c r="A999" i="442"/>
  <c r="A993" i="442"/>
  <c r="A988" i="442"/>
  <c r="A980" i="442"/>
  <c r="A974" i="442"/>
  <c r="A966" i="442"/>
  <c r="A958" i="442"/>
  <c r="A953" i="442"/>
  <c r="A948" i="442"/>
  <c r="A941" i="442"/>
  <c r="A936" i="442"/>
  <c r="A934" i="442"/>
  <c r="A929" i="442"/>
  <c r="A921" i="442"/>
  <c r="A913" i="442"/>
  <c r="A904" i="442"/>
  <c r="A896" i="442"/>
  <c r="A884" i="442"/>
  <c r="A882" i="442"/>
  <c r="A880" i="442"/>
  <c r="A862" i="442"/>
  <c r="A860" i="442"/>
  <c r="A858" i="442"/>
  <c r="A856" i="442"/>
  <c r="A854" i="442"/>
  <c r="A852" i="442"/>
  <c r="A837" i="442"/>
  <c r="A835" i="442"/>
  <c r="A833" i="442"/>
  <c r="A831" i="442"/>
  <c r="A829" i="442"/>
  <c r="A814" i="442"/>
  <c r="A812" i="442"/>
  <c r="A810" i="442"/>
  <c r="A808" i="442"/>
  <c r="A806" i="442"/>
  <c r="A795" i="442"/>
  <c r="A793" i="442"/>
  <c r="A792" i="442"/>
  <c r="A790" i="442"/>
  <c r="A783" i="442"/>
  <c r="A782" i="442"/>
  <c r="A781" i="442"/>
  <c r="A779" i="442"/>
  <c r="A776" i="442"/>
  <c r="A774" i="442"/>
  <c r="A761" i="442"/>
  <c r="A759" i="442"/>
  <c r="A757" i="442"/>
  <c r="A755" i="442"/>
  <c r="A753" i="442"/>
  <c r="A751" i="442"/>
  <c r="A747" i="442"/>
  <c r="A741" i="442"/>
  <c r="A738" i="442"/>
  <c r="A736" i="442"/>
  <c r="A734" i="442"/>
  <c r="A732" i="442"/>
  <c r="A725" i="442"/>
  <c r="A720" i="442"/>
  <c r="A713" i="442"/>
  <c r="A708" i="442"/>
  <c r="A1074" i="442"/>
  <c r="A1073" i="442"/>
  <c r="A1070" i="442"/>
  <c r="A1048" i="442"/>
  <c r="A1045" i="442"/>
  <c r="A1041" i="442"/>
  <c r="A1032" i="442"/>
  <c r="A1027" i="442"/>
  <c r="A1026" i="442"/>
  <c r="A1023" i="442"/>
  <c r="A1012" i="442"/>
  <c r="A1010" i="442"/>
  <c r="A1003" i="442"/>
  <c r="A1001" i="442"/>
  <c r="A982" i="442"/>
  <c r="A977" i="442"/>
  <c r="A968" i="442"/>
  <c r="A960" i="442"/>
  <c r="A955" i="442"/>
  <c r="A938" i="442"/>
  <c r="A931" i="442"/>
  <c r="A926" i="442"/>
  <c r="A923" i="442"/>
  <c r="A918" i="442"/>
  <c r="A910" i="442"/>
  <c r="A898" i="442"/>
  <c r="A890" i="442"/>
  <c r="A888" i="442"/>
  <c r="A886" i="442"/>
  <c r="A874" i="442"/>
  <c r="A872" i="442"/>
  <c r="A870" i="442"/>
  <c r="A868" i="442"/>
  <c r="A866" i="442"/>
  <c r="A864" i="442"/>
  <c r="A849" i="442"/>
  <c r="A847" i="442"/>
  <c r="A845" i="442"/>
  <c r="A843" i="442"/>
  <c r="A841" i="442"/>
  <c r="A826" i="442"/>
  <c r="A824" i="442"/>
  <c r="A822" i="442"/>
  <c r="A820" i="442"/>
  <c r="A818" i="442"/>
  <c r="A803" i="442"/>
  <c r="A801" i="442"/>
  <c r="A799" i="442"/>
  <c r="A787" i="442"/>
  <c r="A785" i="442"/>
  <c r="A771" i="442"/>
  <c r="A769" i="442"/>
  <c r="A767" i="442"/>
  <c r="A765" i="442"/>
  <c r="A763" i="442"/>
  <c r="A748" i="442"/>
  <c r="A729" i="442"/>
  <c r="A722" i="442"/>
  <c r="A717" i="442"/>
  <c r="A710" i="442"/>
  <c r="A700" i="442"/>
  <c r="A698" i="442"/>
  <c r="A696" i="442"/>
  <c r="A694" i="442"/>
  <c r="A685" i="442"/>
  <c r="A676" i="442"/>
  <c r="A670" i="442"/>
  <c r="A664" i="442"/>
  <c r="A1063" i="442"/>
  <c r="A1061" i="442"/>
  <c r="A1057" i="442"/>
  <c r="A1055" i="442"/>
  <c r="A1052" i="442"/>
  <c r="A1050" i="442"/>
  <c r="A1036" i="442"/>
  <c r="A1035" i="442"/>
  <c r="A1018" i="442"/>
  <c r="A1017" i="442"/>
  <c r="A1007" i="442"/>
  <c r="A995" i="442"/>
  <c r="A989" i="442"/>
  <c r="A984" i="442"/>
  <c r="A979" i="442"/>
  <c r="A970" i="442"/>
  <c r="A962" i="442"/>
  <c r="A949" i="442"/>
  <c r="A942" i="442"/>
  <c r="A935" i="442"/>
  <c r="A928" i="442"/>
  <c r="A920" i="442"/>
  <c r="A914" i="442"/>
  <c r="A900" i="442"/>
  <c r="A892" i="442"/>
  <c r="A883" i="442"/>
  <c r="A881" i="442"/>
  <c r="A876" i="442"/>
  <c r="A861" i="442"/>
  <c r="A859" i="442"/>
  <c r="A857" i="442"/>
  <c r="A855" i="442"/>
  <c r="A853" i="442"/>
  <c r="A838" i="442"/>
  <c r="A836" i="442"/>
  <c r="A834" i="442"/>
  <c r="A832" i="442"/>
  <c r="A830" i="442"/>
  <c r="A815" i="442"/>
  <c r="A813" i="442"/>
  <c r="A811" i="442"/>
  <c r="A809" i="442"/>
  <c r="A807" i="442"/>
  <c r="A805" i="442"/>
  <c r="A798" i="442"/>
  <c r="A797" i="442"/>
  <c r="A796" i="442"/>
  <c r="A794" i="442"/>
  <c r="A791" i="442"/>
  <c r="A780" i="442"/>
  <c r="A778" i="442"/>
  <c r="A777" i="442"/>
  <c r="A775" i="442"/>
  <c r="A760" i="442"/>
  <c r="A758" i="442"/>
  <c r="A756" i="442"/>
  <c r="A754" i="442"/>
  <c r="A752" i="442"/>
  <c r="A745" i="442"/>
  <c r="A739" i="442"/>
  <c r="A737" i="442"/>
  <c r="A735" i="442"/>
  <c r="A733" i="442"/>
  <c r="A726" i="442"/>
  <c r="A719" i="442"/>
  <c r="A714" i="442"/>
  <c r="A626" i="442"/>
  <c r="C628" i="442"/>
  <c r="A631" i="442"/>
  <c r="A636" i="442"/>
  <c r="C639" i="442"/>
  <c r="C643" i="442"/>
  <c r="C646" i="442"/>
  <c r="C649" i="442"/>
  <c r="A654" i="442"/>
  <c r="A660" i="442"/>
  <c r="A669" i="442"/>
  <c r="A672" i="442"/>
  <c r="A679" i="442"/>
  <c r="A682" i="442"/>
  <c r="A684" i="442"/>
  <c r="A687" i="442"/>
  <c r="A688" i="442"/>
  <c r="A691" i="442"/>
  <c r="A692" i="442"/>
  <c r="C695" i="442"/>
  <c r="A704" i="442"/>
  <c r="C706" i="442"/>
  <c r="A711" i="442"/>
  <c r="A716" i="442"/>
  <c r="C766" i="442"/>
  <c r="C1011" i="442"/>
  <c r="C1071" i="442"/>
  <c r="A624" i="442"/>
  <c r="A634" i="442"/>
  <c r="A642" i="442"/>
  <c r="A645" i="442"/>
  <c r="A648" i="442"/>
  <c r="A652" i="442"/>
  <c r="A658" i="442"/>
  <c r="A663" i="442"/>
  <c r="A666" i="442"/>
  <c r="A673" i="442"/>
  <c r="C679" i="442"/>
  <c r="A697" i="442"/>
  <c r="C726" i="442"/>
  <c r="C935" i="442"/>
  <c r="C1037" i="442"/>
  <c r="C1051" i="442"/>
  <c r="C1083" i="442"/>
  <c r="A640" i="442"/>
  <c r="A651" i="442"/>
  <c r="A657" i="442"/>
  <c r="A667" i="442"/>
  <c r="A681" i="442"/>
  <c r="A689" i="442"/>
  <c r="A690" i="442"/>
  <c r="A702" i="442"/>
  <c r="A703" i="442"/>
  <c r="A706" i="442"/>
  <c r="C716" i="442"/>
  <c r="C929" i="442"/>
  <c r="C1046" i="442"/>
  <c r="C711" i="442"/>
  <c r="C723" i="442"/>
  <c r="C728" i="442"/>
  <c r="C743" i="442"/>
  <c r="C817" i="442"/>
  <c r="C840" i="442"/>
  <c r="C865" i="442"/>
  <c r="C878" i="442"/>
  <c r="C887" i="442"/>
  <c r="C894" i="442"/>
  <c r="C902" i="442"/>
  <c r="C911" i="442"/>
  <c r="C917" i="442"/>
  <c r="C925" i="442"/>
  <c r="C932" i="442"/>
  <c r="C939" i="442"/>
  <c r="C944" i="442"/>
  <c r="C946" i="442"/>
  <c r="C951" i="442"/>
  <c r="C956" i="442"/>
  <c r="C964" i="442"/>
  <c r="C972" i="442"/>
  <c r="C986" i="442"/>
  <c r="C991" i="442"/>
  <c r="C997" i="442"/>
  <c r="C1021" i="442"/>
  <c r="C1030" i="442"/>
  <c r="C1087" i="442"/>
  <c r="C1458" i="442"/>
  <c r="C719" i="442"/>
  <c r="C733" i="442"/>
  <c r="C752" i="442"/>
  <c r="C775" i="442"/>
  <c r="C791" i="442"/>
  <c r="C805" i="442"/>
  <c r="C830" i="442"/>
  <c r="C881" i="442"/>
  <c r="C914" i="442"/>
  <c r="C942" i="442"/>
  <c r="C949" i="442"/>
  <c r="C989" i="442"/>
  <c r="C1007" i="442"/>
  <c r="C1018" i="442"/>
  <c r="C1055" i="442"/>
  <c r="C1063" i="442"/>
  <c r="C748" i="442"/>
  <c r="C1066" i="442"/>
  <c r="C1073" i="442"/>
  <c r="C1079" i="442"/>
  <c r="C1398" i="442"/>
  <c r="C1212" i="442"/>
  <c r="C1224" i="442"/>
  <c r="C1240" i="442"/>
  <c r="C1265" i="442"/>
  <c r="C1285" i="442"/>
  <c r="C1312" i="442"/>
  <c r="C1325" i="442"/>
  <c r="C1330" i="442"/>
  <c r="C1335" i="442"/>
  <c r="C1359" i="442"/>
  <c r="C1369" i="442"/>
  <c r="C1373" i="442"/>
  <c r="C1378" i="442"/>
  <c r="C1395" i="442"/>
  <c r="C1402" i="442"/>
  <c r="C1413" i="442"/>
  <c r="C1419" i="442"/>
  <c r="C1422" i="442"/>
  <c r="C1433" i="442"/>
  <c r="C1439" i="442"/>
  <c r="C1442" i="442"/>
  <c r="C1450" i="442"/>
  <c r="C1469" i="442"/>
  <c r="C1473" i="442"/>
  <c r="C1497" i="442"/>
  <c r="C1561" i="442"/>
  <c r="C1603" i="442"/>
  <c r="C1649" i="442"/>
  <c r="C1680" i="442"/>
  <c r="C1685" i="442"/>
  <c r="C1728" i="442"/>
  <c r="C1099" i="442"/>
  <c r="C1107" i="442"/>
  <c r="C1115" i="442"/>
  <c r="C1121" i="442"/>
  <c r="C1140" i="442"/>
  <c r="C1148" i="442"/>
  <c r="C1160" i="442"/>
  <c r="C1175" i="442"/>
  <c r="C1184" i="442"/>
  <c r="C1188" i="442"/>
  <c r="C1195" i="442"/>
  <c r="C1197" i="442"/>
  <c r="C1201" i="442"/>
  <c r="C1203" i="442"/>
  <c r="C1210" i="442"/>
  <c r="C1219" i="442"/>
  <c r="C1221" i="442"/>
  <c r="C1231" i="442"/>
  <c r="C1237" i="442"/>
  <c r="C1247" i="442"/>
  <c r="C1249" i="442"/>
  <c r="C1261" i="442"/>
  <c r="C1270" i="442"/>
  <c r="C1277" i="442"/>
  <c r="C1282" i="442"/>
  <c r="C1293" i="442"/>
  <c r="C1297" i="442"/>
  <c r="C1310" i="442"/>
  <c r="C1317" i="442"/>
  <c r="C1328" i="442"/>
  <c r="C1333" i="442"/>
  <c r="C1341" i="442"/>
  <c r="C1346" i="442"/>
  <c r="C1348" i="442"/>
  <c r="C1355" i="442"/>
  <c r="C1364" i="442"/>
  <c r="C1453" i="442"/>
  <c r="C1462" i="442"/>
  <c r="C1513" i="442"/>
  <c r="C1564" i="442"/>
  <c r="C1574" i="442"/>
  <c r="C1173" i="442"/>
  <c r="C1180" i="442"/>
  <c r="C1216" i="442"/>
  <c r="C1228" i="442"/>
  <c r="C1235" i="442"/>
  <c r="C1244" i="442"/>
  <c r="C1304" i="442"/>
  <c r="C1477" i="442"/>
  <c r="C1568" i="442"/>
  <c r="C1579" i="442"/>
  <c r="C1589" i="442"/>
  <c r="C1639" i="442"/>
  <c r="C1658" i="442"/>
  <c r="C1410" i="442"/>
  <c r="C1430" i="442"/>
  <c r="C1544" i="442"/>
  <c r="C1558" i="442"/>
  <c r="C1583" i="442"/>
  <c r="C1652" i="442"/>
  <c r="C1698" i="442"/>
  <c r="C1753" i="442"/>
  <c r="C1520" i="442"/>
  <c r="C1598" i="442"/>
  <c r="C1610" i="442"/>
  <c r="C1620" i="442"/>
  <c r="C1628" i="442"/>
  <c r="C1636" i="442"/>
  <c r="C1702" i="442"/>
  <c r="C1707" i="442"/>
  <c r="C1735" i="442"/>
  <c r="C1770" i="442"/>
  <c r="C1810" i="442"/>
  <c r="C1482" i="442"/>
  <c r="C1490" i="442"/>
  <c r="C1532" i="442"/>
  <c r="C1539" i="442"/>
  <c r="C1745" i="442"/>
  <c r="C1764" i="442"/>
  <c r="C1493" i="442"/>
  <c r="C1502" i="442"/>
  <c r="C1510" i="442"/>
  <c r="C1547" i="442"/>
  <c r="C1554" i="442"/>
  <c r="C1644" i="442"/>
  <c r="C1661" i="442"/>
  <c r="C1692" i="442"/>
  <c r="C1725" i="442"/>
  <c r="C1737" i="442"/>
  <c r="C1762" i="442"/>
  <c r="C1831" i="442"/>
  <c r="C1837" i="442"/>
  <c r="C1876" i="442"/>
  <c r="C1887" i="442"/>
  <c r="C1778" i="442"/>
  <c r="C1786" i="442"/>
  <c r="C1812" i="442"/>
  <c r="C1821" i="442"/>
  <c r="C1883" i="442"/>
  <c r="C1952" i="442"/>
  <c r="C1743" i="442"/>
  <c r="C1751" i="442"/>
  <c r="C1776" i="442"/>
  <c r="C1784" i="442"/>
  <c r="C1803" i="442"/>
  <c r="C1955" i="442"/>
  <c r="C2091" i="442"/>
  <c r="C1824" i="442"/>
  <c r="C1959" i="442"/>
  <c r="C2035" i="442"/>
  <c r="C2069" i="442"/>
  <c r="C2111" i="442"/>
  <c r="C2010" i="442"/>
  <c r="C2055" i="442"/>
  <c r="C2076" i="442"/>
  <c r="C2106" i="442"/>
  <c r="C2163" i="442"/>
  <c r="C1889" i="442"/>
  <c r="C1895" i="442"/>
  <c r="C1930" i="442"/>
  <c r="C1940" i="442"/>
  <c r="C1944" i="442"/>
  <c r="C1949" i="442"/>
  <c r="C1965" i="442"/>
  <c r="C2031" i="442"/>
  <c r="C2046" i="442"/>
  <c r="C2062" i="442"/>
  <c r="C2083" i="442"/>
  <c r="C2093" i="442"/>
  <c r="C2100" i="442"/>
  <c r="C2126" i="442"/>
  <c r="C2135" i="442"/>
  <c r="C2138" i="442"/>
  <c r="C2219" i="442"/>
  <c r="C1893" i="442"/>
  <c r="C1900" i="442"/>
  <c r="C1933" i="442"/>
  <c r="C2026" i="442"/>
  <c r="C2051" i="442"/>
  <c r="C2072" i="442"/>
  <c r="C2086" i="442"/>
  <c r="C2089" i="442"/>
  <c r="C2204" i="442"/>
  <c r="C2140" i="442"/>
  <c r="C2173" i="442"/>
  <c r="C2178" i="442"/>
  <c r="C2187" i="442"/>
  <c r="C2227" i="442"/>
  <c r="C2258" i="442"/>
  <c r="C2333" i="442"/>
  <c r="C1969" i="442"/>
  <c r="C2004" i="442"/>
  <c r="C2014" i="442"/>
  <c r="C2016" i="442"/>
  <c r="C2018" i="442"/>
  <c r="C2020" i="442"/>
  <c r="C2040" i="442"/>
  <c r="C2060" i="442"/>
  <c r="C2067" i="442"/>
  <c r="C2081" i="442"/>
  <c r="C2096" i="442"/>
  <c r="C2113" i="442"/>
  <c r="C2123" i="442"/>
  <c r="C2195" i="442"/>
  <c r="C2241" i="442"/>
  <c r="C2159" i="442"/>
  <c r="C2247" i="442"/>
  <c r="C2273" i="442"/>
  <c r="C2293" i="442"/>
  <c r="C2302" i="442"/>
  <c r="C2311" i="442"/>
  <c r="C2349" i="442"/>
  <c r="C2356" i="442"/>
  <c r="C2455" i="442"/>
  <c r="C2269" i="442"/>
  <c r="C2317" i="442"/>
  <c r="C2275" i="442"/>
  <c r="C2279" i="442"/>
  <c r="C2287" i="442"/>
  <c r="C2306" i="442"/>
  <c r="C2343" i="442"/>
  <c r="C2398" i="442"/>
  <c r="C2413" i="442"/>
  <c r="C2459" i="442"/>
  <c r="H2463" i="442" a="1"/>
  <c r="H2463" i="442" s="1"/>
  <c r="H2462" i="442" s="1" a="1"/>
  <c r="H2462" i="442" s="1"/>
  <c r="C2381" i="442"/>
  <c r="C2390" i="442"/>
  <c r="C2407" i="442"/>
  <c r="C2416" i="442"/>
  <c r="C2376" i="442"/>
  <c r="C2426" i="442"/>
  <c r="C1934" i="442" l="1"/>
  <c r="C2417" i="442"/>
  <c r="C2357" i="442"/>
  <c r="C2021" i="442"/>
  <c r="C2005" i="442"/>
  <c r="C2179" i="442"/>
  <c r="C1901" i="442"/>
  <c r="C2047" i="442"/>
  <c r="C2318" i="442"/>
  <c r="C2242" i="442"/>
  <c r="C2027" i="442"/>
  <c r="C2032" i="442"/>
  <c r="C2427" i="442"/>
  <c r="C2456" i="442"/>
  <c r="C2228" i="442"/>
  <c r="C2220" i="442"/>
  <c r="C2036" i="442"/>
  <c r="C1884" i="442"/>
  <c r="C1813" i="442"/>
  <c r="C1662" i="442"/>
  <c r="C1555" i="442"/>
  <c r="C1503" i="442"/>
  <c r="C1540" i="442"/>
  <c r="C1533" i="442"/>
  <c r="C1483" i="442"/>
  <c r="C1708" i="442"/>
  <c r="C1545" i="442"/>
  <c r="C1181" i="442"/>
  <c r="C1575" i="442"/>
  <c r="C1463" i="442"/>
  <c r="C1318" i="442"/>
  <c r="C1283" i="442"/>
  <c r="C1250" i="442"/>
  <c r="C1222" i="442"/>
  <c r="C1185" i="442"/>
  <c r="C1420" i="442"/>
  <c r="C1379" i="442"/>
  <c r="C1313" i="442"/>
  <c r="C1266" i="442"/>
  <c r="C1213" i="442"/>
  <c r="C1056" i="442"/>
  <c r="C1008" i="442"/>
  <c r="C792" i="442"/>
  <c r="C720" i="442"/>
  <c r="C1022" i="442"/>
  <c r="C918" i="442"/>
  <c r="C717" i="442"/>
  <c r="C767" i="442"/>
  <c r="C696" i="442"/>
  <c r="C2391" i="442"/>
  <c r="C2382" i="442"/>
  <c r="C2460" i="442"/>
  <c r="C2344" i="442"/>
  <c r="C2114" i="442"/>
  <c r="C2205" i="442"/>
  <c r="C1966" i="442"/>
  <c r="C1945" i="442"/>
  <c r="C2164" i="442"/>
  <c r="C1956" i="442"/>
  <c r="C1804" i="442"/>
  <c r="C1787" i="442"/>
  <c r="C1877" i="442"/>
  <c r="C1765" i="442"/>
  <c r="C1599" i="442"/>
  <c r="C1584" i="442"/>
  <c r="C1640" i="442"/>
  <c r="C1580" i="442"/>
  <c r="C1514" i="442"/>
  <c r="C1365" i="442"/>
  <c r="C1342" i="442"/>
  <c r="C1278" i="442"/>
  <c r="C1198" i="442"/>
  <c r="C1176" i="442"/>
  <c r="C1729" i="442"/>
  <c r="C1604" i="442"/>
  <c r="C1498" i="442"/>
  <c r="C1474" i="442"/>
  <c r="C1440" i="442"/>
  <c r="C1403" i="442"/>
  <c r="C1374" i="442"/>
  <c r="C1331" i="442"/>
  <c r="C1067" i="442"/>
  <c r="C882" i="442"/>
  <c r="C776" i="442"/>
  <c r="C2408" i="442"/>
  <c r="C2350" i="442"/>
  <c r="C2312" i="442"/>
  <c r="C2248" i="442"/>
  <c r="C2097" i="442"/>
  <c r="C2041" i="442"/>
  <c r="C2334" i="442"/>
  <c r="C2259" i="442"/>
  <c r="C2127" i="442"/>
  <c r="C1931" i="442"/>
  <c r="C1896" i="442"/>
  <c r="C2107" i="442"/>
  <c r="C2077" i="442"/>
  <c r="C1960" i="442"/>
  <c r="C1825" i="442"/>
  <c r="C1822" i="442"/>
  <c r="C1693" i="442"/>
  <c r="C1548" i="442"/>
  <c r="C1521" i="442"/>
  <c r="C1699" i="442"/>
  <c r="C1565" i="442"/>
  <c r="C1349" i="442"/>
  <c r="C1294" i="442"/>
  <c r="C1262" i="442"/>
  <c r="C1232" i="442"/>
  <c r="C1204" i="442"/>
  <c r="C1189" i="442"/>
  <c r="C1686" i="442"/>
  <c r="C1443" i="442"/>
  <c r="C1434" i="442"/>
  <c r="C1370" i="442"/>
  <c r="C1241" i="442"/>
  <c r="C1074" i="442"/>
  <c r="C806" i="442"/>
  <c r="C734" i="442"/>
  <c r="C926" i="442"/>
  <c r="C866" i="442"/>
  <c r="C1047" i="442"/>
  <c r="C1052" i="442"/>
  <c r="C1038" i="442"/>
  <c r="C570" i="442"/>
  <c r="C530" i="442"/>
  <c r="C496" i="442"/>
  <c r="C453" i="442"/>
  <c r="C421" i="442"/>
  <c r="C381" i="442"/>
  <c r="C308" i="442"/>
  <c r="C1003" i="442"/>
  <c r="C854" i="442"/>
  <c r="C581" i="442"/>
  <c r="C541" i="442"/>
  <c r="C401" i="442"/>
  <c r="C394" i="442"/>
  <c r="C374" i="442"/>
  <c r="C312" i="442"/>
  <c r="C514" i="442"/>
  <c r="C332" i="442"/>
  <c r="C161" i="442"/>
  <c r="C59" i="442"/>
  <c r="C29" i="442"/>
  <c r="C172" i="442"/>
  <c r="C593" i="442"/>
  <c r="C553" i="442"/>
  <c r="C517" i="442"/>
  <c r="C485" i="442"/>
  <c r="C446" i="442"/>
  <c r="C410" i="442"/>
  <c r="C361" i="442"/>
  <c r="C292" i="442"/>
  <c r="C1027" i="442"/>
  <c r="C604" i="442"/>
  <c r="C489" i="442"/>
  <c r="C457" i="442"/>
  <c r="C425" i="442"/>
  <c r="C317" i="442"/>
  <c r="C184" i="442"/>
  <c r="C358" i="442"/>
  <c r="C574" i="442"/>
  <c r="C338" i="442"/>
  <c r="C193" i="442"/>
  <c r="C155" i="442"/>
  <c r="C99" i="442"/>
  <c r="C40" i="442"/>
  <c r="C586" i="442"/>
  <c r="C546" i="442"/>
  <c r="C510" i="442"/>
  <c r="C476" i="442"/>
  <c r="C437" i="442"/>
  <c r="C397" i="442"/>
  <c r="C345" i="442"/>
  <c r="C704" i="442"/>
  <c r="C682" i="442"/>
  <c r="C597" i="442"/>
  <c r="C557" i="442"/>
  <c r="C525" i="442"/>
  <c r="C480" i="442"/>
  <c r="C414" i="442"/>
  <c r="C385" i="442"/>
  <c r="C550" i="442"/>
  <c r="C349" i="442"/>
  <c r="C534" i="442"/>
  <c r="C365" i="442"/>
  <c r="C177" i="442"/>
  <c r="C590" i="442"/>
  <c r="C354" i="442"/>
  <c r="C147" i="442"/>
  <c r="C80" i="442"/>
  <c r="C21" i="442"/>
  <c r="C14" i="442"/>
  <c r="C110" i="442"/>
  <c r="C90" i="442"/>
  <c r="C70" i="442"/>
  <c r="C50" i="442"/>
  <c r="C1088" i="442"/>
  <c r="C888" i="442"/>
  <c r="C841" i="442"/>
  <c r="C729" i="442"/>
  <c r="C1084" i="442"/>
  <c r="C936" i="442"/>
  <c r="C1012" i="442"/>
  <c r="C2399" i="442"/>
  <c r="C2307" i="442"/>
  <c r="C2303" i="442"/>
  <c r="C2196" i="442"/>
  <c r="C1970" i="442"/>
  <c r="C2188" i="442"/>
  <c r="C2174" i="442"/>
  <c r="C2141" i="442"/>
  <c r="C2073" i="442"/>
  <c r="C2052" i="442"/>
  <c r="C2094" i="442"/>
  <c r="C2063" i="442"/>
  <c r="C1941" i="442"/>
  <c r="C2056" i="442"/>
  <c r="C2011" i="442"/>
  <c r="C1801" i="442"/>
  <c r="C1645" i="442"/>
  <c r="C1494" i="442"/>
  <c r="C1653" i="442"/>
  <c r="C1659" i="442"/>
  <c r="C1569" i="442"/>
  <c r="C1478" i="442"/>
  <c r="C1229" i="442"/>
  <c r="C1454" i="442"/>
  <c r="C1356" i="442"/>
  <c r="C1298" i="442"/>
  <c r="C1271" i="442"/>
  <c r="C1238" i="442"/>
  <c r="C1161" i="442"/>
  <c r="C1122" i="442"/>
  <c r="C1681" i="442"/>
  <c r="C1650" i="442"/>
  <c r="C1470" i="442"/>
  <c r="C1423" i="442"/>
  <c r="C1414" i="442"/>
  <c r="C1360" i="442"/>
  <c r="C1286" i="442"/>
  <c r="C1225" i="442"/>
  <c r="C1399" i="442"/>
  <c r="C1080" i="442"/>
  <c r="C749" i="442"/>
  <c r="C831" i="442"/>
  <c r="C753" i="442"/>
  <c r="C1459" i="442"/>
  <c r="C1031" i="442"/>
  <c r="C818" i="442"/>
  <c r="C640" i="442"/>
  <c r="C611" i="442"/>
  <c r="C577" i="442"/>
  <c r="C537" i="442"/>
  <c r="C465" i="442"/>
  <c r="C430" i="442"/>
  <c r="C390" i="442"/>
  <c r="C324" i="442"/>
  <c r="C237" i="442"/>
  <c r="C658" i="442"/>
  <c r="C631" i="442"/>
  <c r="C505" i="442"/>
  <c r="C441" i="442"/>
  <c r="C370" i="442"/>
  <c r="C471" i="442"/>
  <c r="C301" i="442"/>
  <c r="C296" i="442"/>
  <c r="C206" i="442"/>
  <c r="C378" i="442"/>
  <c r="C200" i="442"/>
  <c r="C167" i="442"/>
  <c r="C126" i="442"/>
  <c r="C6" i="442"/>
  <c r="C188" i="442"/>
  <c r="C2048" i="442" l="1"/>
  <c r="C2006" i="442"/>
  <c r="C297" i="442"/>
  <c r="C832" i="442"/>
  <c r="C1361" i="442"/>
  <c r="C1013" i="442"/>
  <c r="C842" i="442"/>
  <c r="C178" i="442"/>
  <c r="C382" i="442"/>
  <c r="C454" i="442"/>
  <c r="C2249" i="442"/>
  <c r="C1279" i="442"/>
  <c r="C1641" i="442"/>
  <c r="C1967" i="442"/>
  <c r="C1484" i="442"/>
  <c r="C1541" i="442"/>
  <c r="C1504" i="442"/>
  <c r="C1663" i="442"/>
  <c r="C127" i="442"/>
  <c r="C442" i="442"/>
  <c r="C325" i="442"/>
  <c r="C538" i="442"/>
  <c r="C612" i="442"/>
  <c r="C1032" i="442"/>
  <c r="C1357" i="442"/>
  <c r="C1570" i="442"/>
  <c r="C1654" i="442"/>
  <c r="C2057" i="442"/>
  <c r="C2074" i="442"/>
  <c r="C2189" i="442"/>
  <c r="C2197" i="442"/>
  <c r="C2400" i="442"/>
  <c r="C22" i="442"/>
  <c r="C148" i="442"/>
  <c r="C415" i="442"/>
  <c r="C526" i="442"/>
  <c r="C598" i="442"/>
  <c r="C194" i="442"/>
  <c r="C458" i="442"/>
  <c r="C605" i="442"/>
  <c r="C362" i="442"/>
  <c r="C30" i="442"/>
  <c r="C162" i="442"/>
  <c r="C313" i="442"/>
  <c r="C402" i="442"/>
  <c r="C582" i="442"/>
  <c r="C1004" i="442"/>
  <c r="C309" i="442"/>
  <c r="C1048" i="442"/>
  <c r="C867" i="442"/>
  <c r="C807" i="442"/>
  <c r="C1961" i="442"/>
  <c r="C2042" i="442"/>
  <c r="C777" i="442"/>
  <c r="C1404" i="442"/>
  <c r="C1499" i="442"/>
  <c r="C1581" i="442"/>
  <c r="C1585" i="442"/>
  <c r="C1600" i="442"/>
  <c r="C1878" i="442"/>
  <c r="C1023" i="442"/>
  <c r="C1267" i="442"/>
  <c r="C1464" i="442"/>
  <c r="C1709" i="442"/>
  <c r="C2037" i="442"/>
  <c r="C2229" i="442"/>
  <c r="C2428" i="442"/>
  <c r="C2033" i="442"/>
  <c r="C2028" i="442"/>
  <c r="C2180" i="442"/>
  <c r="C1089" i="442"/>
  <c r="C111" i="442"/>
  <c r="C438" i="442"/>
  <c r="C411" i="442"/>
  <c r="C554" i="442"/>
  <c r="C60" i="442"/>
  <c r="C333" i="442"/>
  <c r="C2115" i="442"/>
  <c r="C2345" i="442"/>
  <c r="C768" i="442"/>
  <c r="C632" i="442"/>
  <c r="C238" i="442"/>
  <c r="C466" i="442"/>
  <c r="C1479" i="442"/>
  <c r="C1495" i="442"/>
  <c r="C2012" i="442"/>
  <c r="C1942" i="442"/>
  <c r="C2304" i="442"/>
  <c r="C730" i="442"/>
  <c r="C889" i="442"/>
  <c r="C51" i="442"/>
  <c r="C91" i="442"/>
  <c r="C366" i="442"/>
  <c r="C398" i="442"/>
  <c r="C477" i="442"/>
  <c r="C41" i="442"/>
  <c r="C156" i="442"/>
  <c r="C339" i="442"/>
  <c r="C518" i="442"/>
  <c r="C594" i="442"/>
  <c r="C422" i="442"/>
  <c r="C1263" i="442"/>
  <c r="C1522" i="442"/>
  <c r="C2351" i="442"/>
  <c r="C1068" i="442"/>
  <c r="C1375" i="442"/>
  <c r="C1177" i="442"/>
  <c r="C2165" i="442"/>
  <c r="C2206" i="442"/>
  <c r="C2383" i="442"/>
  <c r="C697" i="442"/>
  <c r="C1380" i="442"/>
  <c r="C2221" i="442"/>
  <c r="C2064" i="442"/>
  <c r="C2175" i="442"/>
  <c r="C1971" i="442"/>
  <c r="C81" i="442"/>
  <c r="C1028" i="442"/>
  <c r="C486" i="442"/>
  <c r="C173" i="442"/>
  <c r="C1435" i="442"/>
  <c r="C1566" i="442"/>
  <c r="C2078" i="442"/>
  <c r="C2260" i="442"/>
  <c r="C7" i="442"/>
  <c r="C168" i="442"/>
  <c r="C819" i="442"/>
  <c r="C754" i="442"/>
  <c r="C1400" i="442"/>
  <c r="C1424" i="442"/>
  <c r="C472" i="442"/>
  <c r="C506" i="442"/>
  <c r="C578" i="442"/>
  <c r="C1460" i="442"/>
  <c r="C1287" i="442"/>
  <c r="C1415" i="442"/>
  <c r="C1455" i="442"/>
  <c r="C2053" i="442"/>
  <c r="C1085" i="442"/>
  <c r="C71" i="442"/>
  <c r="C15" i="442"/>
  <c r="C350" i="442"/>
  <c r="C386" i="442"/>
  <c r="C558" i="442"/>
  <c r="C346" i="442"/>
  <c r="C100" i="442"/>
  <c r="C426" i="442"/>
  <c r="C490" i="442"/>
  <c r="C293" i="442"/>
  <c r="C542" i="442"/>
  <c r="C855" i="442"/>
  <c r="C1053" i="442"/>
  <c r="C735" i="442"/>
  <c r="C1444" i="442"/>
  <c r="C1687" i="442"/>
  <c r="C1694" i="442"/>
  <c r="C2409" i="442"/>
  <c r="C883" i="442"/>
  <c r="C1475" i="442"/>
  <c r="C1957" i="442"/>
  <c r="C1946" i="442"/>
  <c r="C2461" i="442"/>
  <c r="C2392" i="442"/>
  <c r="C793" i="442"/>
  <c r="C1057" i="442"/>
  <c r="C1314" i="442"/>
  <c r="C1319" i="442"/>
  <c r="C1576" i="442"/>
  <c r="C2243" i="442"/>
  <c r="C1902" i="442"/>
  <c r="C2022" i="442"/>
  <c r="C2358" i="442"/>
  <c r="H2461" i="442" l="1" a="1"/>
  <c r="H2461" i="442" s="1"/>
  <c r="H2460" i="442" s="1" a="1"/>
  <c r="H2460" i="442" s="1"/>
  <c r="H2459" i="442" s="1" a="1"/>
  <c r="H2459" i="442" s="1"/>
  <c r="H2458" i="442" s="1" a="1"/>
  <c r="H2458" i="442" s="1"/>
  <c r="H2457" i="442" s="1" a="1"/>
  <c r="H2457" i="442" s="1"/>
  <c r="C1320" i="442"/>
  <c r="C2244" i="442"/>
  <c r="C2410" i="442"/>
  <c r="C1688" i="442"/>
  <c r="C736" i="442"/>
  <c r="C856" i="442"/>
  <c r="C101" i="442"/>
  <c r="C72" i="442"/>
  <c r="C1972" i="442"/>
  <c r="C2065" i="442"/>
  <c r="C769" i="442"/>
  <c r="C2181" i="442"/>
  <c r="C2429" i="442"/>
  <c r="C1500" i="442"/>
  <c r="C778" i="442"/>
  <c r="C31" i="442"/>
  <c r="C195" i="442"/>
  <c r="C149" i="442"/>
  <c r="C2058" i="442"/>
  <c r="C1571" i="442"/>
  <c r="C1033" i="442"/>
  <c r="C613" i="442"/>
  <c r="C128" i="442"/>
  <c r="C1505" i="442"/>
  <c r="C1485" i="442"/>
  <c r="C179" i="442"/>
  <c r="C833" i="442"/>
  <c r="H2450" i="442" a="1"/>
  <c r="H2450" i="442" s="1"/>
  <c r="H2449" i="442" s="1" a="1"/>
  <c r="H2449" i="442" s="1"/>
  <c r="C1903" i="442"/>
  <c r="C1315" i="442"/>
  <c r="C1947" i="442"/>
  <c r="C92" i="442"/>
  <c r="C2023" i="442"/>
  <c r="C2393" i="442"/>
  <c r="C884" i="442"/>
  <c r="C16" i="442"/>
  <c r="C507" i="442"/>
  <c r="C820" i="442"/>
  <c r="C2261" i="442"/>
  <c r="C174" i="442"/>
  <c r="C2222" i="442"/>
  <c r="C698" i="442"/>
  <c r="C2352" i="442"/>
  <c r="C519" i="442"/>
  <c r="C340" i="442"/>
  <c r="C42" i="442"/>
  <c r="C1480" i="442"/>
  <c r="C334" i="442"/>
  <c r="C112" i="442"/>
  <c r="C1465" i="442"/>
  <c r="C1586" i="442"/>
  <c r="C2190" i="442"/>
  <c r="C1655" i="442"/>
  <c r="C1695" i="442"/>
  <c r="C1445" i="442"/>
  <c r="C1425" i="442"/>
  <c r="C8" i="442"/>
  <c r="C2079" i="442"/>
  <c r="C82" i="442"/>
  <c r="C2176" i="442"/>
  <c r="C52" i="442"/>
  <c r="C239" i="442"/>
  <c r="C2346" i="442"/>
  <c r="H2456" i="442" a="1"/>
  <c r="H2456" i="442" s="1"/>
  <c r="H2455" i="442" s="1" a="1"/>
  <c r="H2455" i="442" s="1"/>
  <c r="H2454" i="442" s="1" a="1"/>
  <c r="H2454" i="442" s="1"/>
  <c r="H2453" i="442" s="1" a="1"/>
  <c r="H2453" i="442" s="1"/>
  <c r="H2452" i="442" s="1" a="1"/>
  <c r="H2452" i="442" s="1"/>
  <c r="H2451" i="442" s="1" a="1"/>
  <c r="H2451" i="442" s="1"/>
  <c r="C1710" i="442"/>
  <c r="C1879" i="442"/>
  <c r="C1405" i="442"/>
  <c r="C2043" i="442"/>
  <c r="C1962" i="442"/>
  <c r="C868" i="442"/>
  <c r="C163" i="442"/>
  <c r="C606" i="442"/>
  <c r="C23" i="442"/>
  <c r="C1664" i="442"/>
  <c r="C1642" i="442"/>
  <c r="C2250" i="442"/>
  <c r="C843" i="442"/>
  <c r="C2007" i="442"/>
  <c r="C796" i="442"/>
  <c r="C794" i="442"/>
  <c r="C1058" i="442"/>
  <c r="C491" i="442"/>
  <c r="C755" i="442"/>
  <c r="C2384" i="442"/>
  <c r="C2207" i="442"/>
  <c r="C2166" i="442"/>
  <c r="H2448" i="442" a="1"/>
  <c r="H2448" i="442" s="1"/>
  <c r="H2447" i="442" s="1" a="1"/>
  <c r="H2447" i="442" s="1"/>
  <c r="H2446" i="442" s="1" a="1"/>
  <c r="H2446" i="442" s="1"/>
  <c r="H2445" i="442" s="1" a="1"/>
  <c r="H2445" i="442" s="1"/>
  <c r="H2444" i="442" s="1" a="1"/>
  <c r="H2444" i="442" s="1"/>
  <c r="H2443" i="442" s="1" a="1"/>
  <c r="H2443" i="442" s="1"/>
  <c r="H2442" i="442" s="1" a="1"/>
  <c r="H2442" i="442" s="1"/>
  <c r="H2441" i="442" s="1" a="1"/>
  <c r="H2441" i="442" s="1"/>
  <c r="M160" i="436" s="1"/>
  <c r="C157" i="442"/>
  <c r="C890" i="442"/>
  <c r="C467" i="442"/>
  <c r="C61" i="442"/>
  <c r="C2230" i="442"/>
  <c r="C2038" i="442"/>
  <c r="C808" i="442"/>
  <c r="C599" i="442"/>
  <c r="C416" i="442"/>
  <c r="C2401" i="442"/>
  <c r="C2198" i="442"/>
  <c r="C2231" i="442" l="1"/>
  <c r="C335" i="442"/>
  <c r="C520" i="442"/>
  <c r="C129" i="442"/>
  <c r="C614" i="442"/>
  <c r="C2182" i="442"/>
  <c r="C770" i="442"/>
  <c r="C857" i="442"/>
  <c r="C809" i="442"/>
  <c r="C24" i="442"/>
  <c r="C2402" i="442"/>
  <c r="C2385" i="442"/>
  <c r="C9" i="442"/>
  <c r="C113" i="442"/>
  <c r="C821" i="442"/>
  <c r="C834" i="442"/>
  <c r="C150" i="442"/>
  <c r="C196" i="442"/>
  <c r="C32" i="442"/>
  <c r="C781" i="442"/>
  <c r="C779" i="442"/>
  <c r="C102" i="442"/>
  <c r="C2199" i="442"/>
  <c r="C62" i="442"/>
  <c r="C2208" i="442"/>
  <c r="C756" i="442"/>
  <c r="C795" i="442"/>
  <c r="C797" i="442"/>
  <c r="C607" i="442"/>
  <c r="C83" i="442"/>
  <c r="C341" i="442"/>
  <c r="C699" i="442"/>
  <c r="C2223" i="442"/>
  <c r="C2262" i="442"/>
  <c r="C17" i="442"/>
  <c r="C2430" i="442"/>
  <c r="C737" i="442"/>
  <c r="C2411" i="442"/>
  <c r="C2245" i="442"/>
  <c r="C2251" i="442"/>
  <c r="C417" i="442"/>
  <c r="C2167" i="442"/>
  <c r="C844" i="442"/>
  <c r="C869" i="442"/>
  <c r="C240" i="442"/>
  <c r="C53" i="442"/>
  <c r="C2191" i="442"/>
  <c r="C43" i="442"/>
  <c r="C2394" i="442"/>
  <c r="C93" i="442"/>
  <c r="C73" i="442"/>
  <c r="C1321" i="442"/>
  <c r="C94" i="442" l="1"/>
  <c r="C2395" i="442"/>
  <c r="C2192" i="442"/>
  <c r="C1322" i="442"/>
  <c r="C44" i="442"/>
  <c r="C54" i="442"/>
  <c r="C2224" i="442"/>
  <c r="C700" i="442"/>
  <c r="C757" i="442"/>
  <c r="C10" i="442"/>
  <c r="C2386" i="442"/>
  <c r="C615" i="442"/>
  <c r="C74" i="442"/>
  <c r="C2252" i="442"/>
  <c r="C2209" i="442"/>
  <c r="C63" i="442"/>
  <c r="C2200" i="442"/>
  <c r="C103" i="442"/>
  <c r="C782" i="442"/>
  <c r="C780" i="442"/>
  <c r="C33" i="442"/>
  <c r="C114" i="442"/>
  <c r="C2403" i="442"/>
  <c r="H2403" i="442" s="1" a="1"/>
  <c r="H2403" i="442" s="1"/>
  <c r="C810" i="442"/>
  <c r="C2232" i="442"/>
  <c r="C870" i="442"/>
  <c r="C418" i="442"/>
  <c r="H2411" i="442" a="1"/>
  <c r="H2411" i="442" s="1"/>
  <c r="H2410" i="442" s="1" a="1"/>
  <c r="H2410" i="442" s="1"/>
  <c r="H2409" i="442" s="1" a="1"/>
  <c r="H2409" i="442" s="1"/>
  <c r="H2408" i="442" s="1" a="1"/>
  <c r="H2408" i="442" s="1"/>
  <c r="H2407" i="442" s="1" a="1"/>
  <c r="H2407" i="442" s="1"/>
  <c r="H2406" i="442" s="1" a="1"/>
  <c r="H2406" i="442" s="1"/>
  <c r="H2405" i="442" s="1" a="1"/>
  <c r="H2405" i="442" s="1"/>
  <c r="H2404" i="442" s="1" a="1"/>
  <c r="H2404" i="442" s="1"/>
  <c r="H2430" i="442" a="1"/>
  <c r="H2430" i="442" s="1"/>
  <c r="H2429" i="442" s="1" a="1"/>
  <c r="H2429" i="442" s="1"/>
  <c r="H2428" i="442" s="1" a="1"/>
  <c r="H2428" i="442" s="1"/>
  <c r="H2427" i="442" s="1" a="1"/>
  <c r="H2427" i="442" s="1"/>
  <c r="H2426" i="442" s="1" a="1"/>
  <c r="H2426" i="442" s="1"/>
  <c r="H2425" i="442" s="1" a="1"/>
  <c r="H2425" i="442" s="1"/>
  <c r="H2424" i="442" s="1" a="1"/>
  <c r="H2424" i="442" s="1"/>
  <c r="H2419" i="442" a="1"/>
  <c r="H2419" i="442" s="1"/>
  <c r="H2418" i="442" s="1" a="1"/>
  <c r="H2418" i="442" s="1"/>
  <c r="H2423" i="442" a="1"/>
  <c r="H2423" i="442" s="1"/>
  <c r="H2422" i="442" s="1" a="1"/>
  <c r="H2422" i="442" s="1"/>
  <c r="C2263" i="442"/>
  <c r="C342" i="442"/>
  <c r="C798" i="442"/>
  <c r="C2183" i="442"/>
  <c r="C130" i="442"/>
  <c r="C521" i="442"/>
  <c r="C845" i="442"/>
  <c r="C2168" i="442"/>
  <c r="C738" i="442"/>
  <c r="C18" i="442"/>
  <c r="C84" i="442"/>
  <c r="C835" i="442"/>
  <c r="C822" i="442"/>
  <c r="C25" i="442"/>
  <c r="C858" i="442"/>
  <c r="C771" i="442"/>
  <c r="H2421" i="442" l="1" a="1"/>
  <c r="H2421" i="442" s="1"/>
  <c r="H2420" i="442" s="1" a="1"/>
  <c r="H2420" i="442" s="1"/>
  <c r="M238" i="436" s="1"/>
  <c r="C846" i="442"/>
  <c r="C522" i="442"/>
  <c r="C2184" i="442"/>
  <c r="C2233" i="442"/>
  <c r="C811" i="442"/>
  <c r="C115" i="442"/>
  <c r="C783" i="442"/>
  <c r="C2210" i="442"/>
  <c r="C2253" i="442"/>
  <c r="C2387" i="442"/>
  <c r="H2346" i="442" s="1" a="1"/>
  <c r="H2346" i="442" s="1"/>
  <c r="H2345" i="442" s="1" a="1"/>
  <c r="H2345" i="442" s="1"/>
  <c r="H2344" i="442" s="1" a="1"/>
  <c r="H2344" i="442" s="1"/>
  <c r="H2343" i="442" s="1" a="1"/>
  <c r="H2343" i="442" s="1"/>
  <c r="H2342" i="442" s="1" a="1"/>
  <c r="H2342" i="442" s="1"/>
  <c r="H2341" i="442" s="1" a="1"/>
  <c r="H2341" i="442" s="1"/>
  <c r="H2440" i="442" a="1"/>
  <c r="H2440" i="442" s="1"/>
  <c r="H2439" i="442" s="1" a="1"/>
  <c r="H2439" i="442" s="1"/>
  <c r="H2438" i="442" s="1" a="1"/>
  <c r="H2438" i="442" s="1"/>
  <c r="H2437" i="442" s="1" a="1"/>
  <c r="H2437" i="442" s="1"/>
  <c r="H2436" i="442" s="1" a="1"/>
  <c r="H2436" i="442" s="1"/>
  <c r="H2435" i="442" s="1" a="1"/>
  <c r="H2435" i="442" s="1"/>
  <c r="H2434" i="442" s="1" a="1"/>
  <c r="H2434" i="442" s="1"/>
  <c r="H2433" i="442" s="1" a="1"/>
  <c r="H2433" i="442" s="1"/>
  <c r="H2413" i="442" a="1"/>
  <c r="H2413" i="442" s="1"/>
  <c r="H2412" i="442" s="1" a="1"/>
  <c r="H2412" i="442" s="1"/>
  <c r="H2432" i="442" a="1"/>
  <c r="H2432" i="442" s="1"/>
  <c r="H2431" i="442" s="1" a="1"/>
  <c r="H2431" i="442" s="1"/>
  <c r="C758" i="442"/>
  <c r="C2225" i="442"/>
  <c r="C859" i="442"/>
  <c r="C836" i="442"/>
  <c r="C64" i="442"/>
  <c r="C75" i="442"/>
  <c r="C616" i="442"/>
  <c r="C45" i="442"/>
  <c r="C1323" i="442"/>
  <c r="C2193" i="442"/>
  <c r="C823" i="442"/>
  <c r="C772" i="442"/>
  <c r="C26" i="442"/>
  <c r="C85" i="442"/>
  <c r="C131" i="442"/>
  <c r="H2402" i="442" a="1"/>
  <c r="H2402" i="442" s="1"/>
  <c r="H2401" i="442" s="1" a="1"/>
  <c r="H2401" i="442" s="1"/>
  <c r="H2400" i="442" s="1" a="1"/>
  <c r="H2400" i="442" s="1"/>
  <c r="H2399" i="442" s="1" a="1"/>
  <c r="H2399" i="442" s="1"/>
  <c r="H2398" i="442" s="1" a="1"/>
  <c r="H2398" i="442" s="1"/>
  <c r="H2397" i="442" s="1" a="1"/>
  <c r="H2397" i="442" s="1"/>
  <c r="H2396" i="442" s="1" a="1"/>
  <c r="H2396" i="442" s="1"/>
  <c r="C2201" i="442"/>
  <c r="C55" i="442"/>
  <c r="C95" i="442"/>
  <c r="C739" i="442"/>
  <c r="C799" i="442"/>
  <c r="C2264" i="442"/>
  <c r="C871" i="442"/>
  <c r="C34" i="442"/>
  <c r="C104" i="442"/>
  <c r="H2395" i="442" a="1"/>
  <c r="H2395" i="442" s="1"/>
  <c r="H2394" i="442" s="1" a="1"/>
  <c r="H2394" i="442" s="1"/>
  <c r="H2393" i="442" s="1" a="1"/>
  <c r="H2393" i="442" s="1"/>
  <c r="H2392" i="442" s="1" a="1"/>
  <c r="H2392" i="442" s="1"/>
  <c r="H2391" i="442" s="1" a="1"/>
  <c r="H2391" i="442" s="1"/>
  <c r="H2390" i="442" s="1" a="1"/>
  <c r="H2390" i="442" s="1"/>
  <c r="H2389" i="442" s="1" a="1"/>
  <c r="H2389" i="442" s="1"/>
  <c r="H2388" i="442" s="1" a="1"/>
  <c r="H2388" i="442" s="1"/>
  <c r="H2417" i="442" a="1"/>
  <c r="H2417" i="442" s="1"/>
  <c r="H2416" i="442" s="1" a="1"/>
  <c r="H2416" i="442" s="1"/>
  <c r="H2415" i="442" s="1" a="1"/>
  <c r="H2415" i="442" s="1"/>
  <c r="H2414" i="442" s="1" a="1"/>
  <c r="H2414" i="442" s="1"/>
  <c r="H2365" i="442" l="1" a="1"/>
  <c r="H2365" i="442" s="1"/>
  <c r="H2364" i="442" s="1" a="1"/>
  <c r="H2364" i="442" s="1"/>
  <c r="M215" i="436" s="1"/>
  <c r="H2363" i="442" a="1"/>
  <c r="H2363" i="442" s="1"/>
  <c r="H2362" i="442" s="1" a="1"/>
  <c r="H2362" i="442" s="1"/>
  <c r="H2361" i="442" s="1" a="1"/>
  <c r="H2361" i="442" s="1"/>
  <c r="H2360" i="442" s="1" a="1"/>
  <c r="H2360" i="442" s="1"/>
  <c r="H2359" i="442" s="1" a="1"/>
  <c r="H2359" i="442" s="1"/>
  <c r="H2358" i="442" a="1"/>
  <c r="H2358" i="442" s="1"/>
  <c r="H2357" i="442" s="1" a="1"/>
  <c r="H2357" i="442" s="1"/>
  <c r="H2356" i="442" s="1" a="1"/>
  <c r="H2356" i="442" s="1"/>
  <c r="H2355" i="442" s="1" a="1"/>
  <c r="H2355" i="442" s="1"/>
  <c r="H2354" i="442" s="1" a="1"/>
  <c r="H2354" i="442" s="1"/>
  <c r="H2353" i="442" s="1" a="1"/>
  <c r="H2353" i="442" s="1"/>
  <c r="H2369" i="442" a="1"/>
  <c r="H2369" i="442" s="1"/>
  <c r="H2368" i="442" s="1" a="1"/>
  <c r="H2368" i="442" s="1"/>
  <c r="H2367" i="442" s="1" a="1"/>
  <c r="H2367" i="442" s="1"/>
  <c r="H2366" i="442" s="1" a="1"/>
  <c r="H2366" i="442" s="1"/>
  <c r="H2293" i="442" a="1"/>
  <c r="H2293" i="442" s="1"/>
  <c r="H2292" i="442" s="1" a="1"/>
  <c r="H2292" i="442" s="1"/>
  <c r="H2291" i="442" s="1" a="1"/>
  <c r="H2291" i="442" s="1"/>
  <c r="H2290" i="442" s="1" a="1"/>
  <c r="H2290" i="442" s="1"/>
  <c r="H2300" i="442" a="1"/>
  <c r="H2300" i="442" s="1"/>
  <c r="H2287" i="442" a="1"/>
  <c r="H2287" i="442" s="1"/>
  <c r="H2286" i="442" s="1" a="1"/>
  <c r="H2286" i="442" s="1"/>
  <c r="H2312" i="442" a="1"/>
  <c r="H2312" i="442" s="1"/>
  <c r="H2311" i="442" s="1" a="1"/>
  <c r="H2311" i="442" s="1"/>
  <c r="H2310" i="442" s="1" a="1"/>
  <c r="H2310" i="442" s="1"/>
  <c r="H2334" i="442" a="1"/>
  <c r="H2334" i="442" s="1"/>
  <c r="H2333" i="442" s="1" a="1"/>
  <c r="H2333" i="442" s="1"/>
  <c r="H2332" i="442" s="1" a="1"/>
  <c r="H2332" i="442" s="1"/>
  <c r="H2331" i="442" s="1" a="1"/>
  <c r="H2331" i="442" s="1"/>
  <c r="H2330" i="442" s="1" a="1"/>
  <c r="H2330" i="442" s="1"/>
  <c r="H2329" i="442" s="1" a="1"/>
  <c r="H2329" i="442" s="1"/>
  <c r="H2318" i="442" a="1"/>
  <c r="H2318" i="442" s="1"/>
  <c r="H2317" i="442" s="1" a="1"/>
  <c r="H2317" i="442" s="1"/>
  <c r="H2316" i="442" s="1" a="1"/>
  <c r="H2316" i="442" s="1"/>
  <c r="H2315" i="442" s="1" a="1"/>
  <c r="H2315" i="442" s="1"/>
  <c r="H2277" i="442" a="1"/>
  <c r="H2277" i="442" s="1"/>
  <c r="H2276" i="442" s="1" a="1"/>
  <c r="H2276" i="442" s="1"/>
  <c r="H2299" i="442" a="1"/>
  <c r="H2299" i="442" s="1"/>
  <c r="H2298" i="442" s="1" a="1"/>
  <c r="H2298" i="442" s="1"/>
  <c r="H2322" i="442" a="1"/>
  <c r="H2322" i="442" s="1"/>
  <c r="H2321" i="442" s="1" a="1"/>
  <c r="H2321" i="442" s="1"/>
  <c r="H2320" i="442" s="1" a="1"/>
  <c r="H2320" i="442" s="1"/>
  <c r="H2319" i="442" s="1" a="1"/>
  <c r="H2319" i="442" s="1"/>
  <c r="H2295" i="442" a="1"/>
  <c r="H2295" i="442" s="1"/>
  <c r="H2294" i="442" s="1" a="1"/>
  <c r="H2294" i="442" s="1"/>
  <c r="H2267" i="442" a="1"/>
  <c r="H2267" i="442" s="1"/>
  <c r="H2266" i="442" s="1" a="1"/>
  <c r="H2266" i="442" s="1"/>
  <c r="H2283" i="442" a="1"/>
  <c r="H2283" i="442" s="1"/>
  <c r="H2282" i="442" s="1" a="1"/>
  <c r="H2282" i="442" s="1"/>
  <c r="H2285" i="442" a="1"/>
  <c r="H2285" i="442" s="1"/>
  <c r="H2284" i="442" s="1" a="1"/>
  <c r="H2284" i="442" s="1"/>
  <c r="H2340" i="442" a="1"/>
  <c r="H2340" i="442" s="1"/>
  <c r="H2339" i="442" s="1" a="1"/>
  <c r="H2339" i="442" s="1"/>
  <c r="H2338" i="442" s="1" a="1"/>
  <c r="H2338" i="442" s="1"/>
  <c r="H2337" i="442" s="1" a="1"/>
  <c r="H2337" i="442" s="1"/>
  <c r="H2336" i="442" s="1" a="1"/>
  <c r="H2336" i="442" s="1"/>
  <c r="H2335" i="442" s="1" a="1"/>
  <c r="H2335" i="442" s="1"/>
  <c r="H2328" i="442" a="1"/>
  <c r="H2328" i="442" s="1"/>
  <c r="H2327" i="442" s="1" a="1"/>
  <c r="H2327" i="442" s="1"/>
  <c r="H2326" i="442" s="1" a="1"/>
  <c r="H2326" i="442" s="1"/>
  <c r="H2325" i="442" s="1" a="1"/>
  <c r="H2325" i="442" s="1"/>
  <c r="H2324" i="442" s="1" a="1"/>
  <c r="H2324" i="442" s="1"/>
  <c r="H2323" i="442" s="1" a="1"/>
  <c r="H2323" i="442" s="1"/>
  <c r="H2307" i="442" a="1"/>
  <c r="H2307" i="442" s="1"/>
  <c r="H2306" i="442" s="1" a="1"/>
  <c r="H2306" i="442" s="1"/>
  <c r="H2305" i="442" s="1" a="1"/>
  <c r="H2305" i="442" s="1"/>
  <c r="H2279" i="442" a="1"/>
  <c r="H2279" i="442" s="1"/>
  <c r="H2278" i="442" s="1" a="1"/>
  <c r="H2278" i="442" s="1"/>
  <c r="H2309" i="442" a="1"/>
  <c r="H2309" i="442" s="1"/>
  <c r="H2308" i="442" s="1" a="1"/>
  <c r="H2308" i="442" s="1"/>
  <c r="H2378" i="442" a="1"/>
  <c r="H2378" i="442" s="1"/>
  <c r="H2377" i="442" s="1" a="1"/>
  <c r="H2377" i="442" s="1"/>
  <c r="H2275" i="442" a="1"/>
  <c r="H2275" i="442" s="1"/>
  <c r="H2274" i="442" s="1" a="1"/>
  <c r="H2274" i="442" s="1"/>
  <c r="H2281" i="442" a="1"/>
  <c r="H2281" i="442" s="1"/>
  <c r="H2280" i="442" s="1" a="1"/>
  <c r="H2280" i="442" s="1"/>
  <c r="H2271" i="442" a="1"/>
  <c r="H2271" i="442" s="1"/>
  <c r="H2270" i="442" s="1" a="1"/>
  <c r="H2270" i="442" s="1"/>
  <c r="H2297" i="442" a="1"/>
  <c r="H2297" i="442" s="1"/>
  <c r="H2296" i="442" s="1" a="1"/>
  <c r="H2296" i="442" s="1"/>
  <c r="H2379" i="442" a="1"/>
  <c r="H2379" i="442" s="1"/>
  <c r="H2269" i="442" a="1"/>
  <c r="H2269" i="442" s="1"/>
  <c r="H2268" i="442" s="1" a="1"/>
  <c r="H2268" i="442" s="1"/>
  <c r="C824" i="442"/>
  <c r="C46" i="442"/>
  <c r="C76" i="442"/>
  <c r="C2254" i="442"/>
  <c r="C2234" i="442"/>
  <c r="C800" i="442"/>
  <c r="C96" i="442"/>
  <c r="C56" i="442"/>
  <c r="C65" i="442"/>
  <c r="C860" i="442"/>
  <c r="C784" i="442"/>
  <c r="C812" i="442"/>
  <c r="C35" i="442"/>
  <c r="C86" i="442"/>
  <c r="H2387" i="442" a="1"/>
  <c r="H2387" i="442" s="1"/>
  <c r="H2386" i="442" s="1" a="1"/>
  <c r="H2386" i="442" s="1"/>
  <c r="H2385" i="442" s="1" a="1"/>
  <c r="H2385" i="442" s="1"/>
  <c r="H2384" i="442" s="1" a="1"/>
  <c r="H2384" i="442" s="1"/>
  <c r="H2383" i="442" s="1" a="1"/>
  <c r="H2383" i="442" s="1"/>
  <c r="H2382" i="442" s="1" a="1"/>
  <c r="H2382" i="442" s="1"/>
  <c r="H2381" i="442" s="1" a="1"/>
  <c r="H2381" i="442" s="1"/>
  <c r="H2380" i="442" s="1" a="1"/>
  <c r="H2380" i="442" s="1"/>
  <c r="H2273" i="442" a="1"/>
  <c r="H2273" i="442" s="1"/>
  <c r="H2272" i="442" s="1" a="1"/>
  <c r="H2272" i="442" s="1"/>
  <c r="H2314" i="442" a="1"/>
  <c r="H2314" i="442" s="1"/>
  <c r="H2313" i="442" s="1" a="1"/>
  <c r="H2313" i="442" s="1"/>
  <c r="H2304" i="442" a="1"/>
  <c r="H2304" i="442" s="1"/>
  <c r="H2303" i="442" s="1" a="1"/>
  <c r="H2303" i="442" s="1"/>
  <c r="H2302" i="442" s="1" a="1"/>
  <c r="H2302" i="442" s="1"/>
  <c r="H2301" i="442" s="1" a="1"/>
  <c r="H2301" i="442" s="1"/>
  <c r="H2352" i="442" a="1"/>
  <c r="H2352" i="442" s="1"/>
  <c r="H2351" i="442" s="1" a="1"/>
  <c r="H2351" i="442" s="1"/>
  <c r="H2350" i="442" s="1" a="1"/>
  <c r="H2350" i="442" s="1"/>
  <c r="H2349" i="442" s="1" a="1"/>
  <c r="H2349" i="442" s="1"/>
  <c r="H2348" i="442" s="1" a="1"/>
  <c r="H2348" i="442" s="1"/>
  <c r="H2347" i="442" s="1" a="1"/>
  <c r="H2347" i="442" s="1"/>
  <c r="H2376" i="442" a="1"/>
  <c r="H2376" i="442" s="1"/>
  <c r="H2375" i="442" s="1" a="1"/>
  <c r="H2375" i="442" s="1"/>
  <c r="H2374" i="442" s="1" a="1"/>
  <c r="H2374" i="442" s="1"/>
  <c r="H2289" i="442" a="1"/>
  <c r="H2289" i="442" s="1"/>
  <c r="H2288" i="442" s="1" a="1"/>
  <c r="H2288" i="442" s="1"/>
  <c r="H2373" i="442" a="1"/>
  <c r="H2373" i="442" s="1"/>
  <c r="H2372" i="442" s="1" a="1"/>
  <c r="H2372" i="442" s="1"/>
  <c r="H2371" i="442" s="1" a="1"/>
  <c r="H2371" i="442" s="1"/>
  <c r="H2370" i="442" s="1" a="1"/>
  <c r="H2370" i="442" s="1"/>
  <c r="C2211" i="442"/>
  <c r="C872" i="442"/>
  <c r="C105" i="442"/>
  <c r="C2265" i="442"/>
  <c r="C2202" i="442"/>
  <c r="C132" i="442"/>
  <c r="C837" i="442"/>
  <c r="C759" i="442"/>
  <c r="C116" i="442"/>
  <c r="C847" i="442"/>
  <c r="C848" i="442" l="1"/>
  <c r="C838" i="442"/>
  <c r="C873" i="442"/>
  <c r="C813" i="442"/>
  <c r="C66" i="442"/>
  <c r="C801" i="442"/>
  <c r="C117" i="442"/>
  <c r="C106" i="442"/>
  <c r="C2212" i="442"/>
  <c r="H2265" i="442" a="1"/>
  <c r="H2265" i="442" s="1"/>
  <c r="H2264" i="442" s="1" a="1"/>
  <c r="H2264" i="442" s="1"/>
  <c r="H2263" i="442" s="1" a="1"/>
  <c r="H2263" i="442" s="1"/>
  <c r="H2262" i="442" s="1" a="1"/>
  <c r="H2262" i="442" s="1"/>
  <c r="H2261" i="442" s="1" a="1"/>
  <c r="H2261" i="442" s="1"/>
  <c r="H2260" i="442" s="1" a="1"/>
  <c r="H2260" i="442" s="1"/>
  <c r="H2259" i="442" s="1" a="1"/>
  <c r="H2259" i="442" s="1"/>
  <c r="H2258" i="442" s="1" a="1"/>
  <c r="H2258" i="442" s="1"/>
  <c r="H2257" i="442" s="1" a="1"/>
  <c r="H2257" i="442" s="1"/>
  <c r="H2256" i="442" s="1" a="1"/>
  <c r="H2256" i="442" s="1"/>
  <c r="C760" i="442"/>
  <c r="C133" i="442"/>
  <c r="C36" i="442"/>
  <c r="C785" i="442"/>
  <c r="C2235" i="442"/>
  <c r="C861" i="442"/>
  <c r="C2255" i="442"/>
  <c r="C825" i="442"/>
  <c r="C826" i="442" l="1"/>
  <c r="H2255" i="442" a="1"/>
  <c r="H2255" i="442" s="1"/>
  <c r="H2254" i="442" s="1" a="1"/>
  <c r="H2254" i="442" s="1"/>
  <c r="H2253" i="442" s="1" a="1"/>
  <c r="H2253" i="442" s="1"/>
  <c r="H2252" i="442" s="1" a="1"/>
  <c r="H2252" i="442" s="1"/>
  <c r="H2251" i="442" s="1" a="1"/>
  <c r="H2251" i="442" s="1"/>
  <c r="H2250" i="442" s="1" a="1"/>
  <c r="H2250" i="442" s="1"/>
  <c r="H2249" i="442" s="1" a="1"/>
  <c r="H2249" i="442" s="1"/>
  <c r="H2248" i="442" s="1" a="1"/>
  <c r="H2248" i="442" s="1"/>
  <c r="H2247" i="442" s="1" a="1"/>
  <c r="H2247" i="442" s="1"/>
  <c r="H2246" i="442" s="1" a="1"/>
  <c r="H2246" i="442" s="1"/>
  <c r="C862" i="442"/>
  <c r="C134" i="442"/>
  <c r="C802" i="442"/>
  <c r="C849" i="442"/>
  <c r="H2235" i="442" a="1"/>
  <c r="H2235" i="442" s="1"/>
  <c r="H2234" i="442" s="1" a="1"/>
  <c r="H2234" i="442" s="1"/>
  <c r="H2233" i="442" s="1" a="1"/>
  <c r="H2233" i="442" s="1"/>
  <c r="H2232" i="442" s="1" a="1"/>
  <c r="H2232" i="442" s="1"/>
  <c r="H2231" i="442" s="1" a="1"/>
  <c r="H2231" i="442" s="1"/>
  <c r="H2230" i="442" s="1" a="1"/>
  <c r="H2230" i="442" s="1"/>
  <c r="H2229" i="442" s="1" a="1"/>
  <c r="H2229" i="442" s="1"/>
  <c r="H2228" i="442" s="1" a="1"/>
  <c r="H2228" i="442" s="1"/>
  <c r="H2227" i="442" s="1" a="1"/>
  <c r="H2227" i="442" s="1"/>
  <c r="H2226" i="442" s="1" a="1"/>
  <c r="H2226" i="442" s="1"/>
  <c r="H2225" i="442" a="1"/>
  <c r="H2225" i="442" s="1"/>
  <c r="H2224" i="442" s="1" a="1"/>
  <c r="H2224" i="442" s="1"/>
  <c r="H2223" i="442" s="1" a="1"/>
  <c r="H2223" i="442" s="1"/>
  <c r="H2222" i="442" s="1" a="1"/>
  <c r="H2222" i="442" s="1"/>
  <c r="H2221" i="442" s="1" a="1"/>
  <c r="H2221" i="442" s="1"/>
  <c r="H2220" i="442" s="1" a="1"/>
  <c r="H2220" i="442" s="1"/>
  <c r="H2219" i="442" s="1" a="1"/>
  <c r="H2219" i="442" s="1"/>
  <c r="H2218" i="442" s="1" a="1"/>
  <c r="H2218" i="442" s="1"/>
  <c r="H2217" i="442" s="1" a="1"/>
  <c r="H2217" i="442" s="1"/>
  <c r="H2216" i="442" s="1" a="1"/>
  <c r="H2216" i="442" s="1"/>
  <c r="C761" i="442"/>
  <c r="C786" i="442"/>
  <c r="H2245" i="442" a="1"/>
  <c r="H2245" i="442" s="1"/>
  <c r="H2244" i="442" s="1" a="1"/>
  <c r="H2244" i="442" s="1"/>
  <c r="H2243" i="442" s="1" a="1"/>
  <c r="H2243" i="442" s="1"/>
  <c r="H2242" i="442" s="1" a="1"/>
  <c r="H2242" i="442" s="1"/>
  <c r="H2241" i="442" s="1" a="1"/>
  <c r="H2241" i="442" s="1"/>
  <c r="H2240" i="442" s="1" a="1"/>
  <c r="H2240" i="442" s="1"/>
  <c r="H2239" i="442" s="1" a="1"/>
  <c r="H2239" i="442" s="1"/>
  <c r="H2238" i="442" s="1" a="1"/>
  <c r="H2238" i="442" s="1"/>
  <c r="H2237" i="442" s="1" a="1"/>
  <c r="H2237" i="442" s="1"/>
  <c r="H2236" i="442" s="1" a="1"/>
  <c r="H2236" i="442" s="1"/>
  <c r="C2213" i="442"/>
  <c r="C118" i="442"/>
  <c r="C814" i="442"/>
  <c r="C874" i="442"/>
  <c r="C815" i="442" l="1"/>
  <c r="C2214" i="442"/>
  <c r="C787" i="442"/>
  <c r="C850" i="442"/>
  <c r="C135" i="442"/>
  <c r="C803" i="442"/>
  <c r="C827" i="442"/>
  <c r="C119" i="442"/>
  <c r="C120" i="442" l="1"/>
  <c r="C788" i="442"/>
  <c r="H328" i="442" a="1"/>
  <c r="H328" i="442" s="1"/>
  <c r="C136" i="442"/>
  <c r="C2215" i="442"/>
  <c r="H1923" i="442" s="1" a="1"/>
  <c r="H1923" i="442" s="1"/>
  <c r="H1922" i="442" s="1" a="1"/>
  <c r="H1922" i="442" s="1"/>
  <c r="H1921" i="442" s="1" a="1"/>
  <c r="H1921" i="442" s="1"/>
  <c r="H1920" i="442" s="1" a="1"/>
  <c r="H1920" i="442" s="1"/>
  <c r="H1671" i="442" a="1"/>
  <c r="H1671" i="442" s="1"/>
  <c r="H1670" i="442" s="1" a="1"/>
  <c r="H1670" i="442" s="1"/>
  <c r="H1669" i="442" s="1" a="1"/>
  <c r="H1669" i="442" s="1"/>
  <c r="H1668" i="442" s="1" a="1"/>
  <c r="H1668" i="442" s="1"/>
  <c r="H1085" i="442" a="1"/>
  <c r="H1085" i="442" s="1"/>
  <c r="H1084" i="442" s="1" a="1"/>
  <c r="H1084" i="442" s="1"/>
  <c r="H1083" i="442" s="1" a="1"/>
  <c r="H1083" i="442" s="1"/>
  <c r="H1082" i="442" s="1" a="1"/>
  <c r="H1082" i="442" s="1"/>
  <c r="H1081" i="442" s="1" a="1"/>
  <c r="H1081" i="442" s="1"/>
  <c r="H1131" i="442" a="1"/>
  <c r="H1131" i="442" s="1"/>
  <c r="H1130" i="442" s="1" a="1"/>
  <c r="H1130" i="442" s="1"/>
  <c r="H1129" i="442" s="1" a="1"/>
  <c r="H1129" i="442" s="1"/>
  <c r="H1128" i="442" s="1" a="1"/>
  <c r="H1128" i="442" s="1"/>
  <c r="H1533" i="442" a="1"/>
  <c r="H1533" i="442" s="1"/>
  <c r="H1532" i="442" s="1" a="1"/>
  <c r="H1532" i="442" s="1"/>
  <c r="H1531" i="442" s="1" a="1"/>
  <c r="H1531" i="442" s="1"/>
  <c r="H1023" i="442" a="1"/>
  <c r="H1023" i="442" s="1"/>
  <c r="H1022" i="442" s="1" a="1"/>
  <c r="H1022" i="442" s="1"/>
  <c r="H1021" i="442" s="1" a="1"/>
  <c r="H1021" i="442" s="1"/>
  <c r="H1020" i="442" s="1" a="1"/>
  <c r="H1020" i="442" s="1"/>
  <c r="H1019" i="442" s="1" a="1"/>
  <c r="H1019" i="442" s="1"/>
  <c r="M158" i="436" s="1"/>
  <c r="H892" i="442" a="1"/>
  <c r="H892" i="442" s="1"/>
  <c r="H891" i="442" s="1" a="1"/>
  <c r="H891" i="442" s="1"/>
  <c r="H1720" i="442" a="1"/>
  <c r="H1720" i="442" s="1"/>
  <c r="H1719" i="442" s="1" a="1"/>
  <c r="H1719" i="442" s="1"/>
  <c r="H1555" i="442" a="1"/>
  <c r="H1555" i="442" s="1"/>
  <c r="H1554" i="442" s="1" a="1"/>
  <c r="H1554" i="442" s="1"/>
  <c r="H1553" i="442" s="1" a="1"/>
  <c r="H1553" i="442" s="1"/>
  <c r="H1552" i="442" s="1" a="1"/>
  <c r="H1552" i="442" s="1"/>
  <c r="H975" i="442" a="1"/>
  <c r="H975" i="442" s="1"/>
  <c r="H157" i="442" a="1"/>
  <c r="H157" i="442" s="1"/>
  <c r="H156" i="442" s="1" a="1"/>
  <c r="H156" i="442" s="1"/>
  <c r="H155" i="442" s="1" a="1"/>
  <c r="H155" i="442" s="1"/>
  <c r="H154" i="442" s="1" a="1"/>
  <c r="H154" i="442" s="1"/>
  <c r="H153" i="442" s="1" a="1"/>
  <c r="H153" i="442" s="1"/>
  <c r="H152" i="442" s="1" a="1"/>
  <c r="H152" i="442" s="1"/>
  <c r="H1919" i="442" l="1" a="1"/>
  <c r="H1919" i="442" s="1"/>
  <c r="H1918" i="442" s="1" a="1"/>
  <c r="H1918" i="442" s="1"/>
  <c r="H1917" i="442" s="1" a="1"/>
  <c r="H1917" i="442" s="1"/>
  <c r="H1916" i="442" s="1" a="1"/>
  <c r="H1916" i="442" s="1"/>
  <c r="H1915" i="442" s="1" a="1"/>
  <c r="H1915" i="442" s="1"/>
  <c r="H1914" i="442" s="1" a="1"/>
  <c r="H1914" i="442" s="1"/>
  <c r="H1913" i="442" a="1"/>
  <c r="H1913" i="442" s="1"/>
  <c r="H1912" i="442" s="1" a="1"/>
  <c r="H1912" i="442" s="1"/>
  <c r="H1911" i="442" s="1" a="1"/>
  <c r="H1911" i="442" s="1"/>
  <c r="H1910" i="442" s="1" a="1"/>
  <c r="H1910" i="442" s="1"/>
  <c r="H2002" i="442" a="1"/>
  <c r="H2002" i="442" s="1"/>
  <c r="H2001" i="442" s="1" a="1"/>
  <c r="H2001" i="442" s="1"/>
  <c r="H2000" i="442" s="1" a="1"/>
  <c r="H2000" i="442" s="1"/>
  <c r="H1999" i="442" s="1" a="1"/>
  <c r="H1999" i="442" s="1"/>
  <c r="H1998" i="442" s="1" a="1"/>
  <c r="H1998" i="442" s="1"/>
  <c r="H1997" i="442" a="1"/>
  <c r="H1997" i="442" s="1"/>
  <c r="H1996" i="442" s="1" a="1"/>
  <c r="H1996" i="442" s="1"/>
  <c r="H1995" i="442" s="1" a="1"/>
  <c r="H1995" i="442" s="1"/>
  <c r="H1994" i="442" s="1" a="1"/>
  <c r="H1994" i="442" s="1"/>
  <c r="H1993" i="442" s="1" a="1"/>
  <c r="H1993" i="442" s="1"/>
  <c r="H1992" i="442" a="1"/>
  <c r="H1992" i="442" s="1"/>
  <c r="H1991" i="442" s="1" a="1"/>
  <c r="H1991" i="442" s="1"/>
  <c r="H1990" i="442" s="1" a="1"/>
  <c r="H1990" i="442" s="1"/>
  <c r="H1989" i="442" s="1" a="1"/>
  <c r="H1989" i="442" s="1"/>
  <c r="H1988" i="442" s="1" a="1"/>
  <c r="H1988" i="442" s="1"/>
  <c r="M240" i="436" s="1"/>
  <c r="H1982" i="442" a="1"/>
  <c r="H1982" i="442" s="1"/>
  <c r="H1981" i="442" s="1" a="1"/>
  <c r="H1981" i="442" s="1"/>
  <c r="H1980" i="442" s="1" a="1"/>
  <c r="H1980" i="442" s="1"/>
  <c r="H1979" i="442" s="1" a="1"/>
  <c r="H1979" i="442" s="1"/>
  <c r="H1978" i="442" s="1" a="1"/>
  <c r="H1978" i="442" s="1"/>
  <c r="H1618" i="442" a="1"/>
  <c r="H1618" i="442" s="1"/>
  <c r="H1617" i="442" s="1" a="1"/>
  <c r="H1617" i="442" s="1"/>
  <c r="H1987" i="442" a="1"/>
  <c r="H1987" i="442" s="1"/>
  <c r="H1986" i="442" s="1" a="1"/>
  <c r="H1986" i="442" s="1"/>
  <c r="H1985" i="442" s="1" a="1"/>
  <c r="H1985" i="442" s="1"/>
  <c r="H1984" i="442" s="1" a="1"/>
  <c r="H1984" i="442" s="1"/>
  <c r="H1983" i="442" s="1" a="1"/>
  <c r="H1983" i="442" s="1"/>
  <c r="H926" i="442" a="1"/>
  <c r="H926" i="442" s="1"/>
  <c r="H925" i="442" s="1" a="1"/>
  <c r="H925" i="442" s="1"/>
  <c r="H924" i="442" s="1" a="1"/>
  <c r="H924" i="442" s="1"/>
  <c r="H1283" i="442" a="1"/>
  <c r="H1283" i="442" s="1"/>
  <c r="H1282" i="442" s="1" a="1"/>
  <c r="H1282" i="442" s="1"/>
  <c r="H1281" i="442" s="1" a="1"/>
  <c r="H1281" i="442" s="1"/>
  <c r="H1280" i="442" s="1" a="1"/>
  <c r="H1280" i="442" s="1"/>
  <c r="H1741" i="442" a="1"/>
  <c r="H1741" i="442" s="1"/>
  <c r="H1740" i="442" s="1" a="1"/>
  <c r="H1740" i="442" s="1"/>
  <c r="H2089" i="442" a="1"/>
  <c r="H2089" i="442" s="1"/>
  <c r="H2088" i="442" s="1" a="1"/>
  <c r="H2088" i="442" s="1"/>
  <c r="H2087" i="442" s="1" a="1"/>
  <c r="H2087" i="442" s="1"/>
  <c r="M220" i="436" s="1"/>
  <c r="H1505" i="442" a="1"/>
  <c r="H1505" i="442" s="1"/>
  <c r="H1504" i="442" s="1" a="1"/>
  <c r="H1504" i="442" s="1"/>
  <c r="H1503" i="442" s="1" a="1"/>
  <c r="H1503" i="442" s="1"/>
  <c r="H1502" i="442" s="1" a="1"/>
  <c r="H1502" i="442" s="1"/>
  <c r="H1501" i="442" s="1" a="1"/>
  <c r="H1501" i="442" s="1"/>
  <c r="H1275" i="442" a="1"/>
  <c r="H1275" i="442" s="1"/>
  <c r="H1274" i="442" s="1" a="1"/>
  <c r="H1274" i="442" s="1"/>
  <c r="H1273" i="442" s="1" a="1"/>
  <c r="H1273" i="442" s="1"/>
  <c r="H1272" i="442" s="1" a="1"/>
  <c r="H1272" i="442" s="1"/>
  <c r="H939" i="442" a="1"/>
  <c r="H939" i="442" s="1"/>
  <c r="H938" i="442" s="1" a="1"/>
  <c r="H938" i="442" s="1"/>
  <c r="H937" i="442" s="1" a="1"/>
  <c r="H937" i="442" s="1"/>
  <c r="H1551" i="442" a="1"/>
  <c r="H1551" i="442" s="1"/>
  <c r="H1550" i="442" s="1" a="1"/>
  <c r="H1550" i="442" s="1"/>
  <c r="H1549" i="442" s="1" a="1"/>
  <c r="H1549" i="442" s="1"/>
  <c r="H1310" i="442" a="1"/>
  <c r="H1310" i="442" s="1"/>
  <c r="H1309" i="442" s="1" a="1"/>
  <c r="H1309" i="442" s="1"/>
  <c r="H1801" i="442" a="1"/>
  <c r="H1801" i="442" s="1"/>
  <c r="H1800" i="442" s="1" a="1"/>
  <c r="H1800" i="442" s="1"/>
  <c r="H1799" i="442" s="1" a="1"/>
  <c r="H1799" i="442" s="1"/>
  <c r="H1795" i="442" a="1"/>
  <c r="H1795" i="442" s="1"/>
  <c r="H1794" i="442" s="1" a="1"/>
  <c r="H1794" i="442" s="1"/>
  <c r="H1793" i="442" s="1" a="1"/>
  <c r="H1793" i="442" s="1"/>
  <c r="H1792" i="442" s="1" a="1"/>
  <c r="H1792" i="442" s="1"/>
  <c r="M210" i="436" s="1"/>
  <c r="H1791" i="442" a="1"/>
  <c r="H1791" i="442" s="1"/>
  <c r="H1790" i="442" s="1" a="1"/>
  <c r="H1790" i="442" s="1"/>
  <c r="H1798" i="442" a="1"/>
  <c r="H1798" i="442" s="1"/>
  <c r="H1797" i="442" s="1" a="1"/>
  <c r="H1797" i="442" s="1"/>
  <c r="H1796" i="442" s="1" a="1"/>
  <c r="H1796" i="442" s="1"/>
  <c r="H2079" i="442" a="1"/>
  <c r="H2079" i="442" s="1"/>
  <c r="H2078" i="442" s="1" a="1"/>
  <c r="H2078" i="442" s="1"/>
  <c r="H2077" i="442" s="1" a="1"/>
  <c r="H2077" i="442" s="1"/>
  <c r="H2076" i="442" s="1" a="1"/>
  <c r="H2076" i="442" s="1"/>
  <c r="H2075" i="442" s="1" a="1"/>
  <c r="H2075" i="442" s="1"/>
  <c r="H1339" i="442" a="1"/>
  <c r="H1339" i="442" s="1"/>
  <c r="H1338" i="442" s="1" a="1"/>
  <c r="H1338" i="442" s="1"/>
  <c r="H1287" i="442" a="1"/>
  <c r="H1287" i="442" s="1"/>
  <c r="H1286" i="442" s="1" a="1"/>
  <c r="H1286" i="442" s="1"/>
  <c r="H1285" i="442" s="1" a="1"/>
  <c r="H1285" i="442" s="1"/>
  <c r="H1284" i="442" s="1" a="1"/>
  <c r="H1284" i="442" s="1"/>
  <c r="H1198" i="442" a="1"/>
  <c r="H1198" i="442" s="1"/>
  <c r="H1197" i="442" s="1" a="1"/>
  <c r="H1197" i="442" s="1"/>
  <c r="H1196" i="442" s="1" a="1"/>
  <c r="H1196" i="442" s="1"/>
  <c r="H1201" i="442" a="1"/>
  <c r="H1201" i="442" s="1"/>
  <c r="H1200" i="442" s="1" a="1"/>
  <c r="H1200" i="442" s="1"/>
  <c r="H1199" i="442" s="1" a="1"/>
  <c r="H1199" i="442" s="1"/>
  <c r="H850" i="442" a="1"/>
  <c r="H850" i="442" s="1"/>
  <c r="H849" i="442" s="1" a="1"/>
  <c r="H849" i="442" s="1"/>
  <c r="H848" i="442" s="1" a="1"/>
  <c r="H848" i="442" s="1"/>
  <c r="H847" i="442" s="1" a="1"/>
  <c r="H847" i="442" s="1"/>
  <c r="H846" i="442" s="1" a="1"/>
  <c r="H846" i="442" s="1"/>
  <c r="H845" i="442" s="1" a="1"/>
  <c r="H845" i="442" s="1"/>
  <c r="H844" i="442" s="1" a="1"/>
  <c r="H844" i="442" s="1"/>
  <c r="H843" i="442" s="1" a="1"/>
  <c r="H843" i="442" s="1"/>
  <c r="H842" i="442" s="1" a="1"/>
  <c r="H842" i="442" s="1"/>
  <c r="H841" i="442" s="1" a="1"/>
  <c r="H841" i="442" s="1"/>
  <c r="H840" i="442" s="1" a="1"/>
  <c r="H840" i="442" s="1"/>
  <c r="H839" i="442" s="1" a="1"/>
  <c r="H839" i="442" s="1"/>
  <c r="H1626" i="442" a="1"/>
  <c r="H1626" i="442" s="1"/>
  <c r="H1625" i="442" s="1" a="1"/>
  <c r="H1625" i="442" s="1"/>
  <c r="H772" i="442" a="1"/>
  <c r="H772" i="442" s="1"/>
  <c r="H771" i="442" s="1" a="1"/>
  <c r="H771" i="442" s="1"/>
  <c r="H770" i="442" s="1" a="1"/>
  <c r="H770" i="442" s="1"/>
  <c r="H769" i="442" s="1" a="1"/>
  <c r="H769" i="442" s="1"/>
  <c r="H768" i="442" s="1" a="1"/>
  <c r="H768" i="442" s="1"/>
  <c r="H767" i="442" s="1" a="1"/>
  <c r="H767" i="442" s="1"/>
  <c r="H766" i="442" s="1" a="1"/>
  <c r="H766" i="442" s="1"/>
  <c r="H765" i="442" s="1" a="1"/>
  <c r="H765" i="442" s="1"/>
  <c r="H764" i="442" s="1" a="1"/>
  <c r="H764" i="442" s="1"/>
  <c r="H763" i="442" s="1" a="1"/>
  <c r="H763" i="442" s="1"/>
  <c r="H762" i="442" s="1" a="1"/>
  <c r="H762" i="442" s="1"/>
  <c r="H2215" i="442" a="1"/>
  <c r="H2215" i="442" s="1"/>
  <c r="H2214" i="442" s="1" a="1"/>
  <c r="H2214" i="442" s="1"/>
  <c r="H2213" i="442" s="1" a="1"/>
  <c r="H2213" i="442" s="1"/>
  <c r="H2212" i="442" s="1" a="1"/>
  <c r="H2212" i="442" s="1"/>
  <c r="H2211" i="442" s="1" a="1"/>
  <c r="H2211" i="442" s="1"/>
  <c r="H2210" i="442" s="1" a="1"/>
  <c r="H2210" i="442" s="1"/>
  <c r="H2209" i="442" s="1" a="1"/>
  <c r="H2209" i="442" s="1"/>
  <c r="H2208" i="442" s="1" a="1"/>
  <c r="H2208" i="442" s="1"/>
  <c r="H2207" i="442" s="1" a="1"/>
  <c r="H2207" i="442" s="1"/>
  <c r="H2206" i="442" s="1" a="1"/>
  <c r="H2206" i="442" s="1"/>
  <c r="H2205" i="442" s="1" a="1"/>
  <c r="H2205" i="442" s="1"/>
  <c r="H2204" i="442" s="1" a="1"/>
  <c r="H2204" i="442" s="1"/>
  <c r="H2203" i="442" s="1" a="1"/>
  <c r="H2203" i="442" s="1"/>
  <c r="H1445" i="442" a="1"/>
  <c r="H1445" i="442" s="1"/>
  <c r="H1444" i="442" s="1" a="1"/>
  <c r="H1444" i="442" s="1"/>
  <c r="H1443" i="442" s="1" a="1"/>
  <c r="H1443" i="442" s="1"/>
  <c r="H1442" i="442" s="1" a="1"/>
  <c r="H1442" i="442" s="1"/>
  <c r="H1441" i="442" s="1" a="1"/>
  <c r="H1441" i="442" s="1"/>
  <c r="H271" i="442" a="1"/>
  <c r="H271" i="442" s="1"/>
  <c r="H270" i="442" s="1" a="1"/>
  <c r="H270" i="442" s="1"/>
  <c r="H1122" i="442" a="1"/>
  <c r="H1122" i="442" s="1"/>
  <c r="H1121" i="442" s="1" a="1"/>
  <c r="H1121" i="442" s="1"/>
  <c r="H1120" i="442" s="1" a="1"/>
  <c r="H1120" i="442" s="1"/>
  <c r="H1119" i="442" s="1" a="1"/>
  <c r="H1119" i="442" s="1"/>
  <c r="H890" i="442" a="1"/>
  <c r="H890" i="442" s="1"/>
  <c r="H889" i="442" s="1" a="1"/>
  <c r="H889" i="442" s="1"/>
  <c r="H888" i="442" s="1" a="1"/>
  <c r="H888" i="442" s="1"/>
  <c r="H887" i="442" s="1" a="1"/>
  <c r="H887" i="442" s="1"/>
  <c r="H886" i="442" s="1" a="1"/>
  <c r="H886" i="442" s="1"/>
  <c r="H885" i="442" s="1" a="1"/>
  <c r="H885" i="442" s="1"/>
  <c r="H1754" i="442" a="1"/>
  <c r="H1754" i="442" s="1"/>
  <c r="H461" i="442" a="1"/>
  <c r="H461" i="442" s="1"/>
  <c r="H1710" i="442" a="1"/>
  <c r="H1710" i="442" s="1"/>
  <c r="H1709" i="442" s="1" a="1"/>
  <c r="H1709" i="442" s="1"/>
  <c r="H1708" i="442" s="1" a="1"/>
  <c r="H1708" i="442" s="1"/>
  <c r="H1707" i="442" s="1" a="1"/>
  <c r="H1707" i="442" s="1"/>
  <c r="H1706" i="442" s="1" a="1"/>
  <c r="H1706" i="442" s="1"/>
  <c r="H634" i="442" a="1"/>
  <c r="H634" i="442" s="1"/>
  <c r="H633" i="442" s="1" a="1"/>
  <c r="H633" i="442" s="1"/>
  <c r="H1879" i="442" a="1"/>
  <c r="H1879" i="442" s="1"/>
  <c r="H1878" i="442" s="1" a="1"/>
  <c r="H1878" i="442" s="1"/>
  <c r="H1877" i="442" s="1" a="1"/>
  <c r="H1877" i="442" s="1"/>
  <c r="H1876" i="442" s="1" a="1"/>
  <c r="H1876" i="442" s="1"/>
  <c r="H1875" i="442" s="1" a="1"/>
  <c r="H1875" i="442" s="1"/>
  <c r="H179" i="442" a="1"/>
  <c r="H179" i="442" s="1"/>
  <c r="H178" i="442" s="1" a="1"/>
  <c r="H178" i="442" s="1"/>
  <c r="H177" i="442" s="1" a="1"/>
  <c r="H177" i="442" s="1"/>
  <c r="H176" i="442" s="1" a="1"/>
  <c r="H176" i="442" s="1"/>
  <c r="H175" i="442" s="1" a="1"/>
  <c r="H175" i="442" s="1"/>
  <c r="H599" i="442" a="1"/>
  <c r="H599" i="442" s="1"/>
  <c r="H598" i="442" s="1" a="1"/>
  <c r="H598" i="442" s="1"/>
  <c r="H597" i="442" s="1" a="1"/>
  <c r="H597" i="442" s="1"/>
  <c r="H596" i="442" s="1" a="1"/>
  <c r="H596" i="442" s="1"/>
  <c r="H595" i="442" s="1" a="1"/>
  <c r="H595" i="442" s="1"/>
  <c r="H1600" i="442" a="1"/>
  <c r="H1600" i="442" s="1"/>
  <c r="H1599" i="442" s="1" a="1"/>
  <c r="H1599" i="442" s="1"/>
  <c r="H1598" i="442" s="1" a="1"/>
  <c r="H1598" i="442" s="1"/>
  <c r="H1597" i="442" s="1" a="1"/>
  <c r="H1597" i="442" s="1"/>
  <c r="H1038" i="442" a="1"/>
  <c r="H1038" i="442" s="1"/>
  <c r="H1037" i="442" s="1" a="1"/>
  <c r="H1037" i="442" s="1"/>
  <c r="H1036" i="442" s="1" a="1"/>
  <c r="H1036" i="442" s="1"/>
  <c r="H1035" i="442" s="1" a="1"/>
  <c r="H1035" i="442" s="1"/>
  <c r="H1034" i="442" s="1" a="1"/>
  <c r="H1034" i="442" s="1"/>
  <c r="H1865" i="442" a="1"/>
  <c r="H1865" i="442" s="1"/>
  <c r="H1864" i="442" s="1" a="1"/>
  <c r="H1864" i="442" s="1"/>
  <c r="H741" i="442" a="1"/>
  <c r="H741" i="442" s="1"/>
  <c r="H740" i="442" s="1" a="1"/>
  <c r="H740" i="442" s="1"/>
  <c r="H1537" i="442" a="1"/>
  <c r="H1537" i="442" s="1"/>
  <c r="H1536" i="442" s="1" a="1"/>
  <c r="H1536" i="442" s="1"/>
  <c r="H1535" i="442" s="1" a="1"/>
  <c r="H1535" i="442" s="1"/>
  <c r="H1534" i="442" s="1" a="1"/>
  <c r="H1534" i="442" s="1"/>
  <c r="H2160" i="442" a="1"/>
  <c r="H2160" i="442" s="1"/>
  <c r="H1113" i="442" a="1"/>
  <c r="H1113" i="442" s="1"/>
  <c r="H1112" i="442" s="1" a="1"/>
  <c r="H1112" i="442" s="1"/>
  <c r="H1495" i="442" a="1"/>
  <c r="H1495" i="442" s="1"/>
  <c r="H1494" i="442" s="1" a="1"/>
  <c r="H1494" i="442" s="1"/>
  <c r="H1493" i="442" s="1" a="1"/>
  <c r="H1493" i="442" s="1"/>
  <c r="H1492" i="442" s="1" a="1"/>
  <c r="H1492" i="442" s="1"/>
  <c r="H1491" i="442" s="1" a="1"/>
  <c r="H1491" i="442" s="1"/>
  <c r="H1874" i="442" a="1"/>
  <c r="H1874" i="442" s="1"/>
  <c r="H2023" i="442" a="1"/>
  <c r="H2023" i="442" s="1"/>
  <c r="H2022" i="442" s="1" a="1"/>
  <c r="H2022" i="442" s="1"/>
  <c r="H2021" i="442" s="1" a="1"/>
  <c r="H2021" i="442" s="1"/>
  <c r="H2020" i="442" s="1" a="1"/>
  <c r="H2020" i="442" s="1"/>
  <c r="H2019" i="442" s="1" a="1"/>
  <c r="H2019" i="442" s="1"/>
  <c r="H1715" i="442" a="1"/>
  <c r="H1715" i="442" s="1"/>
  <c r="H1714" i="442" s="1" a="1"/>
  <c r="H1714" i="442" s="1"/>
  <c r="H1353" i="442" a="1"/>
  <c r="H1353" i="442" s="1"/>
  <c r="H1352" i="442" s="1" a="1"/>
  <c r="H1352" i="442" s="1"/>
  <c r="H1351" i="442" s="1" a="1"/>
  <c r="H1351" i="442" s="1"/>
  <c r="H1350" i="442" s="1" a="1"/>
  <c r="H1350" i="442" s="1"/>
  <c r="H1847" i="442" a="1"/>
  <c r="H1847" i="442" s="1"/>
  <c r="H1846" i="442" s="1" a="1"/>
  <c r="H1846" i="442" s="1"/>
  <c r="H1342" i="442" a="1"/>
  <c r="H1342" i="442" s="1"/>
  <c r="H1341" i="442" s="1" a="1"/>
  <c r="H1341" i="442" s="1"/>
  <c r="H1340" i="442" s="1" a="1"/>
  <c r="H1340" i="442" s="1"/>
  <c r="H923" i="442" a="1"/>
  <c r="H923" i="442" s="1"/>
  <c r="H922" i="442" s="1" a="1"/>
  <c r="H922" i="442" s="1"/>
  <c r="M134" i="436" s="1"/>
  <c r="H1222" i="442" a="1"/>
  <c r="H1222" i="442" s="1"/>
  <c r="H1221" i="442" s="1" a="1"/>
  <c r="H1221" i="442" s="1"/>
  <c r="H1220" i="442" s="1" a="1"/>
  <c r="H1220" i="442" s="1"/>
  <c r="H1168" i="442" a="1"/>
  <c r="H1168" i="442" s="1"/>
  <c r="H1167" i="442" s="1" a="1"/>
  <c r="H1167" i="442" s="1"/>
  <c r="H1166" i="442" s="1" a="1"/>
  <c r="H1166" i="442" s="1"/>
  <c r="H1165" i="442" s="1" a="1"/>
  <c r="H1165" i="442" s="1"/>
  <c r="H970" i="442" a="1"/>
  <c r="H970" i="442" s="1"/>
  <c r="H969" i="442" s="1" a="1"/>
  <c r="H969" i="442" s="1"/>
  <c r="M143" i="436" s="1"/>
  <c r="H905" i="442" a="1"/>
  <c r="H905" i="442" s="1"/>
  <c r="H898" i="442" a="1"/>
  <c r="H898" i="442" s="1"/>
  <c r="H897" i="442" s="1" a="1"/>
  <c r="H897" i="442" s="1"/>
  <c r="H896" i="442" a="1"/>
  <c r="H896" i="442" s="1"/>
  <c r="H895" i="442" s="1" a="1"/>
  <c r="H895" i="442" s="1"/>
  <c r="M75" i="436" s="1"/>
  <c r="H1896" i="442" a="1"/>
  <c r="H1896" i="442" s="1"/>
  <c r="H1895" i="442" s="1" a="1"/>
  <c r="H1895" i="442" s="1"/>
  <c r="H1894" i="442" s="1" a="1"/>
  <c r="H1894" i="442" s="1"/>
  <c r="H989" i="442" a="1"/>
  <c r="H989" i="442" s="1"/>
  <c r="H988" i="442" s="1" a="1"/>
  <c r="H988" i="442" s="1"/>
  <c r="H987" i="442" s="1" a="1"/>
  <c r="H987" i="442" s="1"/>
  <c r="H1576" i="442" a="1"/>
  <c r="H1576" i="442" s="1"/>
  <c r="H1575" i="442" s="1" a="1"/>
  <c r="H1575" i="442" s="1"/>
  <c r="H1574" i="442" s="1" a="1"/>
  <c r="H1574" i="442" s="1"/>
  <c r="H1573" i="442" s="1" a="1"/>
  <c r="H1573" i="442" s="1"/>
  <c r="H1572" i="442" s="1" a="1"/>
  <c r="H1572" i="442" s="1"/>
  <c r="H1637" i="442" a="1"/>
  <c r="H1637" i="442" s="1"/>
  <c r="H876" i="442" a="1"/>
  <c r="H876" i="442" s="1"/>
  <c r="H875" i="442" s="1" a="1"/>
  <c r="H875" i="442" s="1"/>
  <c r="H2115" i="442" a="1"/>
  <c r="H2115" i="442" s="1"/>
  <c r="H2114" i="442" s="1" a="1"/>
  <c r="H2114" i="442" s="1"/>
  <c r="H2113" i="442" s="1" a="1"/>
  <c r="H2113" i="442" s="1"/>
  <c r="H2112" i="442" s="1" a="1"/>
  <c r="H2112" i="442" s="1"/>
  <c r="H1213" i="442" a="1"/>
  <c r="H1213" i="442" s="1"/>
  <c r="H1212" i="442" s="1" a="1"/>
  <c r="H1212" i="442" s="1"/>
  <c r="H1211" i="442" s="1" a="1"/>
  <c r="H1211" i="442" s="1"/>
  <c r="H958" i="442" a="1"/>
  <c r="H958" i="442" s="1"/>
  <c r="H957" i="442" s="1" a="1"/>
  <c r="H957" i="442" s="1"/>
  <c r="H1370" i="442" a="1"/>
  <c r="H1370" i="442" s="1"/>
  <c r="H1369" i="442" s="1" a="1"/>
  <c r="H1369" i="442" s="1"/>
  <c r="H1368" i="442" s="1" a="1"/>
  <c r="H1368" i="442" s="1"/>
  <c r="H1367" i="442" s="1" a="1"/>
  <c r="H1367" i="442" s="1"/>
  <c r="H1366" i="442" s="1" a="1"/>
  <c r="H1366" i="442" s="1"/>
  <c r="H1490" i="442" a="1"/>
  <c r="H1490" i="442" s="1"/>
  <c r="H1489" i="442" s="1" a="1"/>
  <c r="H1489" i="442" s="1"/>
  <c r="H1488" i="442" s="1" a="1"/>
  <c r="H1488" i="442" s="1"/>
  <c r="H1487" i="442" s="1" a="1"/>
  <c r="H1487" i="442" s="1"/>
  <c r="H1486" i="442" s="1" a="1"/>
  <c r="H1486" i="442" s="1"/>
  <c r="H1204" i="442" a="1"/>
  <c r="H1204" i="442" s="1"/>
  <c r="H1203" i="442" s="1" a="1"/>
  <c r="H1203" i="442" s="1"/>
  <c r="H1202" i="442" s="1" a="1"/>
  <c r="H1202" i="442" s="1"/>
  <c r="H1772" i="442" a="1"/>
  <c r="H1772" i="442" s="1"/>
  <c r="H1771" i="442" s="1" a="1"/>
  <c r="H1771" i="442" s="1"/>
  <c r="H2149" i="442" a="1"/>
  <c r="H2149" i="442" s="1"/>
  <c r="H2148" i="442" s="1" a="1"/>
  <c r="H2148" i="442" s="1"/>
  <c r="H1566" i="442" a="1"/>
  <c r="H1566" i="442" s="1"/>
  <c r="H1565" i="442" s="1" a="1"/>
  <c r="H1565" i="442" s="1"/>
  <c r="H1564" i="442" s="1" a="1"/>
  <c r="H1564" i="442" s="1"/>
  <c r="H1563" i="442" s="1" a="1"/>
  <c r="H1563" i="442" s="1"/>
  <c r="H1562" i="442" s="1" a="1"/>
  <c r="H1562" i="442" s="1"/>
  <c r="H1189" i="442" a="1"/>
  <c r="H1189" i="442" s="1"/>
  <c r="H1188" i="442" s="1" a="1"/>
  <c r="H1188" i="442" s="1"/>
  <c r="H1187" i="442" s="1" a="1"/>
  <c r="H1187" i="442" s="1"/>
  <c r="H1186" i="442" s="1" a="1"/>
  <c r="H1186" i="442" s="1"/>
  <c r="H1869" i="442" a="1"/>
  <c r="H1869" i="442" s="1"/>
  <c r="H1868" i="442" s="1" a="1"/>
  <c r="H1868" i="442" s="1"/>
  <c r="M205" i="436" s="1"/>
  <c r="H915" i="442" a="1"/>
  <c r="H915" i="442" s="1"/>
  <c r="H1144" i="442" a="1"/>
  <c r="H1144" i="442" s="1"/>
  <c r="H1143" i="442" s="1" a="1"/>
  <c r="H1143" i="442" s="1"/>
  <c r="H1834" i="442" a="1"/>
  <c r="H1834" i="442" s="1"/>
  <c r="H1833" i="442" s="1" a="1"/>
  <c r="H1833" i="442" s="1"/>
  <c r="H1832" i="442" s="1" a="1"/>
  <c r="H1832" i="442" s="1"/>
  <c r="H1315" i="442" a="1"/>
  <c r="H1315" i="442" s="1"/>
  <c r="H1314" i="442" s="1" a="1"/>
  <c r="H1314" i="442" s="1"/>
  <c r="H1313" i="442" s="1" a="1"/>
  <c r="H1313" i="442" s="1"/>
  <c r="H1312" i="442" s="1" a="1"/>
  <c r="H1312" i="442" s="1"/>
  <c r="H1311" i="442" s="1" a="1"/>
  <c r="H1311" i="442" s="1"/>
  <c r="H1140" i="442" a="1"/>
  <c r="H1140" i="442" s="1"/>
  <c r="H1139" i="442" s="1" a="1"/>
  <c r="H1139" i="442" s="1"/>
  <c r="H914" i="442" a="1"/>
  <c r="H914" i="442" s="1"/>
  <c r="H913" i="442" s="1" a="1"/>
  <c r="H913" i="442" s="1"/>
  <c r="H912" i="442" s="1" a="1"/>
  <c r="H912" i="442" s="1"/>
  <c r="H932" i="442" a="1"/>
  <c r="H932" i="442" s="1"/>
  <c r="H931" i="442" s="1" a="1"/>
  <c r="H931" i="442" s="1"/>
  <c r="H930" i="442" s="1" a="1"/>
  <c r="H930" i="442" s="1"/>
  <c r="M141" i="436" s="1"/>
  <c r="H1192" i="442" a="1"/>
  <c r="H1192" i="442" s="1"/>
  <c r="H1191" i="442" s="1" a="1"/>
  <c r="H1191" i="442" s="1"/>
  <c r="H1190" i="442" s="1" a="1"/>
  <c r="H1190" i="442" s="1"/>
  <c r="H1702" i="442" a="1"/>
  <c r="H1702" i="442" s="1"/>
  <c r="H1701" i="442" s="1" a="1"/>
  <c r="H1701" i="442" s="1"/>
  <c r="H1700" i="442" s="1" a="1"/>
  <c r="H1700" i="442" s="1"/>
  <c r="H1173" i="442" a="1"/>
  <c r="H1173" i="442" s="1"/>
  <c r="H1172" i="442" s="1" a="1"/>
  <c r="H1172" i="442" s="1"/>
  <c r="H1171" i="442" s="1" a="1"/>
  <c r="H1171" i="442" s="1"/>
  <c r="H1170" i="442" s="1" a="1"/>
  <c r="H1170" i="442" s="1"/>
  <c r="H1713" i="442" a="1"/>
  <c r="H1713" i="442" s="1"/>
  <c r="H1712" i="442" s="1" a="1"/>
  <c r="H1712" i="442" s="1"/>
  <c r="H1711" i="442" s="1" a="1"/>
  <c r="H1711" i="442" s="1"/>
  <c r="H972" i="442" a="1"/>
  <c r="H972" i="442" s="1"/>
  <c r="H971" i="442" s="1" a="1"/>
  <c r="H971" i="442" s="1"/>
  <c r="M146" i="436" s="1"/>
  <c r="N146" i="436" s="1"/>
  <c r="H1420" i="442" a="1"/>
  <c r="H1420" i="442" s="1"/>
  <c r="H1419" i="442" s="1" a="1"/>
  <c r="H1419" i="442" s="1"/>
  <c r="H1418" i="442" s="1" a="1"/>
  <c r="H1418" i="442" s="1"/>
  <c r="H1417" i="442" s="1" a="1"/>
  <c r="H1417" i="442" s="1"/>
  <c r="H1416" i="442" s="1" a="1"/>
  <c r="H1416" i="442" s="1"/>
  <c r="H1608" i="442" a="1"/>
  <c r="H1608" i="442" s="1"/>
  <c r="H1607" i="442" s="1" a="1"/>
  <c r="H1607" i="442" s="1"/>
  <c r="H1518" i="442" a="1"/>
  <c r="H1518" i="442" s="1"/>
  <c r="H1517" i="442" s="1" a="1"/>
  <c r="H1517" i="442" s="1"/>
  <c r="H1516" i="442" s="1" a="1"/>
  <c r="H1516" i="442" s="1"/>
  <c r="H1515" i="442" s="1" a="1"/>
  <c r="H1515" i="442" s="1"/>
  <c r="H1181" i="442" a="1"/>
  <c r="H1181" i="442" s="1"/>
  <c r="H1180" i="442" s="1" a="1"/>
  <c r="H1180" i="442" s="1"/>
  <c r="H1179" i="442" s="1" a="1"/>
  <c r="H1179" i="442" s="1"/>
  <c r="H1178" i="442" s="1" a="1"/>
  <c r="H1178" i="442" s="1"/>
  <c r="H1460" i="442" a="1"/>
  <c r="H1460" i="442" s="1"/>
  <c r="H1459" i="442" s="1" a="1"/>
  <c r="H1459" i="442" s="1"/>
  <c r="H1458" i="442" s="1" a="1"/>
  <c r="H1458" i="442" s="1"/>
  <c r="H1457" i="442" s="1" a="1"/>
  <c r="H1457" i="442" s="1"/>
  <c r="H1456" i="442" s="1" a="1"/>
  <c r="H1456" i="442" s="1"/>
  <c r="H1841" i="442" a="1"/>
  <c r="H1841" i="442" s="1"/>
  <c r="H1840" i="442" s="1" a="1"/>
  <c r="H1840" i="442" s="1"/>
  <c r="H1271" i="442" a="1"/>
  <c r="H1271" i="442" s="1"/>
  <c r="H1270" i="442" s="1" a="1"/>
  <c r="H1270" i="442" s="1"/>
  <c r="H1269" i="442" s="1" a="1"/>
  <c r="H1269" i="442" s="1"/>
  <c r="H1268" i="442" s="1" a="1"/>
  <c r="H1268" i="442" s="1"/>
  <c r="H984" i="442" a="1"/>
  <c r="H984" i="442" s="1"/>
  <c r="H983" i="442" s="1" a="1"/>
  <c r="H983" i="442" s="1"/>
  <c r="H982" i="442" s="1" a="1"/>
  <c r="H982" i="442" s="1"/>
  <c r="H981" i="442" s="1" a="1"/>
  <c r="H981" i="442" s="1"/>
  <c r="H1115" i="442" a="1"/>
  <c r="H1115" i="442" s="1"/>
  <c r="H1114" i="442" s="1" a="1"/>
  <c r="H1114" i="442" s="1"/>
  <c r="H1097" i="442" a="1"/>
  <c r="H1097" i="442" s="1"/>
  <c r="H1096" i="442" s="1" a="1"/>
  <c r="H1096" i="442" s="1"/>
  <c r="H1253" i="442" a="1"/>
  <c r="H1253" i="442" s="1"/>
  <c r="H1252" i="442" s="1" a="1"/>
  <c r="H1252" i="442" s="1"/>
  <c r="H1251" i="442" s="1" a="1"/>
  <c r="H1251" i="442" s="1"/>
  <c r="H1361" i="442" a="1"/>
  <c r="H1361" i="442" s="1"/>
  <c r="H1360" i="442" s="1" a="1"/>
  <c r="H1360" i="442" s="1"/>
  <c r="H1359" i="442" s="1" a="1"/>
  <c r="H1359" i="442" s="1"/>
  <c r="H1358" i="442" s="1" a="1"/>
  <c r="H1358" i="442" s="1"/>
  <c r="H1018" i="442" a="1"/>
  <c r="H1018" i="442" s="1"/>
  <c r="H1017" i="442" s="1" a="1"/>
  <c r="H1017" i="442" s="1"/>
  <c r="H1016" i="442" s="1" a="1"/>
  <c r="H1016" i="442" s="1"/>
  <c r="H1015" i="442" s="1" a="1"/>
  <c r="H1015" i="442" s="1"/>
  <c r="H1014" i="442" s="1" a="1"/>
  <c r="H1014" i="442" s="1"/>
  <c r="H1571" i="442" a="1"/>
  <c r="H1571" i="442" s="1"/>
  <c r="H1570" i="442" s="1" a="1"/>
  <c r="H1570" i="442" s="1"/>
  <c r="H1569" i="442" s="1" a="1"/>
  <c r="H1569" i="442" s="1"/>
  <c r="H1568" i="442" s="1" a="1"/>
  <c r="H1568" i="442" s="1"/>
  <c r="H1567" i="442" s="1" a="1"/>
  <c r="H1567" i="442" s="1"/>
  <c r="H1931" i="442" a="1"/>
  <c r="H1931" i="442" s="1"/>
  <c r="H1930" i="442" s="1" a="1"/>
  <c r="H1930" i="442" s="1"/>
  <c r="H1929" i="442" s="1" a="1"/>
  <c r="H1929" i="442" s="1"/>
  <c r="H1928" i="442" s="1" a="1"/>
  <c r="H1928" i="442" s="1"/>
  <c r="H874" i="442" a="1"/>
  <c r="H874" i="442" s="1"/>
  <c r="H873" i="442" s="1" a="1"/>
  <c r="H873" i="442" s="1"/>
  <c r="H872" i="442" s="1" a="1"/>
  <c r="H872" i="442" s="1"/>
  <c r="H871" i="442" s="1" a="1"/>
  <c r="H871" i="442" s="1"/>
  <c r="H870" i="442" s="1" a="1"/>
  <c r="H870" i="442" s="1"/>
  <c r="H869" i="442" s="1" a="1"/>
  <c r="H869" i="442" s="1"/>
  <c r="H868" i="442" s="1" a="1"/>
  <c r="H868" i="442" s="1"/>
  <c r="H867" i="442" s="1" a="1"/>
  <c r="H867" i="442" s="1"/>
  <c r="H866" i="442" s="1" a="1"/>
  <c r="H866" i="442" s="1"/>
  <c r="H865" i="442" s="1" a="1"/>
  <c r="H865" i="442" s="1"/>
  <c r="H864" i="442" s="1" a="1"/>
  <c r="H864" i="442" s="1"/>
  <c r="H863" i="442" s="1" a="1"/>
  <c r="H863" i="442" s="1"/>
  <c r="H378" i="442" a="1"/>
  <c r="H378" i="442" s="1"/>
  <c r="H377" i="442" s="1" a="1"/>
  <c r="H377" i="442" s="1"/>
  <c r="H376" i="442" s="1" a="1"/>
  <c r="H376" i="442" s="1"/>
  <c r="H375" i="442" s="1" a="1"/>
  <c r="H375" i="442" s="1"/>
  <c r="H1628" i="442" a="1"/>
  <c r="H1628" i="442" s="1"/>
  <c r="H1627" i="442" s="1" a="1"/>
  <c r="H1627" i="442" s="1"/>
  <c r="M172" i="436" s="1"/>
  <c r="H1816" i="442" a="1"/>
  <c r="H1816" i="442" s="1"/>
  <c r="H1815" i="442" s="1" a="1"/>
  <c r="H1815" i="442" s="1"/>
  <c r="H1814" i="442" s="1" a="1"/>
  <c r="H1814" i="442" s="1"/>
  <c r="M208" i="436" s="1"/>
  <c r="H908" i="442" a="1"/>
  <c r="H908" i="442" s="1"/>
  <c r="H2157" i="442" a="1"/>
  <c r="H2157" i="442" s="1"/>
  <c r="H2156" i="442" s="1" a="1"/>
  <c r="H2156" i="442" s="1"/>
  <c r="H1859" i="442" a="1"/>
  <c r="H1859" i="442" s="1"/>
  <c r="H1858" i="442" s="1" a="1"/>
  <c r="H1858" i="442" s="1"/>
  <c r="H2103" i="442" a="1"/>
  <c r="H2103" i="442" s="1"/>
  <c r="H2102" i="442" s="1" a="1"/>
  <c r="H2102" i="442" s="1"/>
  <c r="H2101" i="442" s="1" a="1"/>
  <c r="H2101" i="442" s="1"/>
  <c r="H1650" i="442" a="1"/>
  <c r="H1650" i="442" s="1"/>
  <c r="H1649" i="442" s="1" a="1"/>
  <c r="H1649" i="442" s="1"/>
  <c r="H1648" i="442" s="1" a="1"/>
  <c r="H1648" i="442" s="1"/>
  <c r="H1647" i="442" s="1" a="1"/>
  <c r="H1647" i="442" s="1"/>
  <c r="H1646" i="442" s="1" a="1"/>
  <c r="H1646" i="442" s="1"/>
  <c r="H1380" i="442" a="1"/>
  <c r="H1380" i="442" s="1"/>
  <c r="H1379" i="442" s="1" a="1"/>
  <c r="H1379" i="442" s="1"/>
  <c r="H1378" i="442" s="1" a="1"/>
  <c r="H1378" i="442" s="1"/>
  <c r="H1377" i="442" s="1" a="1"/>
  <c r="H1377" i="442" s="1"/>
  <c r="H1376" i="442" s="1" a="1"/>
  <c r="H1376" i="442" s="1"/>
  <c r="H1294" i="442" a="1"/>
  <c r="H1294" i="442" s="1"/>
  <c r="H1293" i="442" s="1" a="1"/>
  <c r="H1293" i="442" s="1"/>
  <c r="H1292" i="442" s="1" a="1"/>
  <c r="H1292" i="442" s="1"/>
  <c r="H1074" i="442" a="1"/>
  <c r="H1074" i="442" s="1"/>
  <c r="H1073" i="442" s="1" a="1"/>
  <c r="H1073" i="442" s="1"/>
  <c r="H1072" i="442" s="1" a="1"/>
  <c r="H1072" i="442" s="1"/>
  <c r="H1733" i="442" a="1"/>
  <c r="H1733" i="442" s="1"/>
  <c r="H1732" i="442" s="1" a="1"/>
  <c r="H1732" i="442" s="1"/>
  <c r="H1731" i="442" s="1" a="1"/>
  <c r="H1731" i="442" s="1"/>
  <c r="H1730" i="442" s="1" a="1"/>
  <c r="H1730" i="442" s="1"/>
  <c r="H1867" i="442" a="1"/>
  <c r="H1867" i="442" s="1"/>
  <c r="H1866" i="442" s="1" a="1"/>
  <c r="H1866" i="442" s="1"/>
  <c r="H1247" i="442" a="1"/>
  <c r="H1247" i="442" s="1"/>
  <c r="H1246" i="442" s="1" a="1"/>
  <c r="H1246" i="442" s="1"/>
  <c r="H1245" i="442" s="1" a="1"/>
  <c r="H1245" i="442" s="1"/>
  <c r="H1008" i="442" a="1"/>
  <c r="H1008" i="442" s="1"/>
  <c r="H1007" i="442" s="1" a="1"/>
  <c r="H1007" i="442" s="1"/>
  <c r="H1006" i="442" s="1" a="1"/>
  <c r="H1006" i="442" s="1"/>
  <c r="H1005" i="442" s="1" a="1"/>
  <c r="H1005" i="442" s="1"/>
  <c r="H1333" i="442" a="1"/>
  <c r="H1333" i="442" s="1"/>
  <c r="H1332" i="442" s="1" a="1"/>
  <c r="H1332" i="442" s="1"/>
  <c r="H1337" i="442" a="1"/>
  <c r="H1337" i="442" s="1"/>
  <c r="H1336" i="442" s="1" a="1"/>
  <c r="H1336" i="442" s="1"/>
  <c r="H1962" i="442" a="1"/>
  <c r="H1962" i="442" s="1"/>
  <c r="H1961" i="442" s="1" a="1"/>
  <c r="H1961" i="442" s="1"/>
  <c r="H1960" i="442" s="1" a="1"/>
  <c r="H1960" i="442" s="1"/>
  <c r="H1959" i="442" s="1" a="1"/>
  <c r="H1959" i="442" s="1"/>
  <c r="H1958" i="442" s="1" a="1"/>
  <c r="H1958" i="442" s="1"/>
  <c r="H964" i="442" a="1"/>
  <c r="H964" i="442" s="1"/>
  <c r="H963" i="442" s="1" a="1"/>
  <c r="H963" i="442" s="1"/>
  <c r="H929" i="442" a="1"/>
  <c r="H929" i="442" s="1"/>
  <c r="H928" i="442" s="1" a="1"/>
  <c r="H928" i="442" s="1"/>
  <c r="H927" i="442" s="1" a="1"/>
  <c r="H927" i="442" s="1"/>
  <c r="H1058" i="442" a="1"/>
  <c r="H1058" i="442" s="1"/>
  <c r="H1057" i="442" s="1" a="1"/>
  <c r="H1057" i="442" s="1"/>
  <c r="H1056" i="442" s="1" a="1"/>
  <c r="H1056" i="442" s="1"/>
  <c r="H1055" i="442" s="1" a="1"/>
  <c r="H1055" i="442" s="1"/>
  <c r="H1054" i="442" s="1" a="1"/>
  <c r="H1054" i="442" s="1"/>
  <c r="H1210" i="442" a="1"/>
  <c r="H1210" i="442" s="1"/>
  <c r="H1209" i="442" s="1" a="1"/>
  <c r="H1209" i="442" s="1"/>
  <c r="H1208" i="442" s="1" a="1"/>
  <c r="H1208" i="442" s="1"/>
  <c r="H1681" i="442" a="1"/>
  <c r="H1681" i="442" s="1"/>
  <c r="H1680" i="442" s="1" a="1"/>
  <c r="H1680" i="442" s="1"/>
  <c r="H1679" i="442" s="1" a="1"/>
  <c r="H1679" i="442" s="1"/>
  <c r="H1678" i="442" s="1" a="1"/>
  <c r="H1678" i="442" s="1"/>
  <c r="H2111" i="442" a="1"/>
  <c r="H2111" i="442" s="1"/>
  <c r="H2110" i="442" s="1" a="1"/>
  <c r="H2110" i="442" s="1"/>
  <c r="H2109" i="442" s="1" a="1"/>
  <c r="H2109" i="442" s="1"/>
  <c r="H2108" i="442" s="1" a="1"/>
  <c r="H2108" i="442" s="1"/>
  <c r="H1514" i="442" a="1"/>
  <c r="H1514" i="442" s="1"/>
  <c r="H1513" i="442" s="1" a="1"/>
  <c r="H1513" i="442" s="1"/>
  <c r="H1512" i="442" s="1" a="1"/>
  <c r="H1512" i="442" s="1"/>
  <c r="H1511" i="442" s="1" a="1"/>
  <c r="H1511" i="442" s="1"/>
  <c r="H2014" i="442" a="1"/>
  <c r="H2014" i="442" s="1"/>
  <c r="H2013" i="442" s="1" a="1"/>
  <c r="H2013" i="442" s="1"/>
  <c r="H1596" i="442" a="1"/>
  <c r="H1596" i="442" s="1"/>
  <c r="H1595" i="442" s="1" a="1"/>
  <c r="H1595" i="442" s="1"/>
  <c r="H1594" i="442" s="1" a="1"/>
  <c r="H1594" i="442" s="1"/>
  <c r="H1593" i="442" s="1" a="1"/>
  <c r="H1593" i="442" s="1"/>
  <c r="H1118" i="442" a="1"/>
  <c r="H1118" i="442" s="1"/>
  <c r="H1138" i="442" a="1"/>
  <c r="H1138" i="442" s="1"/>
  <c r="H1137" i="442" s="1" a="1"/>
  <c r="H1137" i="442" s="1"/>
  <c r="H1819" i="442" a="1"/>
  <c r="H1819" i="442" s="1"/>
  <c r="H1818" i="442" s="1" a="1"/>
  <c r="H1818" i="442" s="1"/>
  <c r="H1817" i="442" s="1" a="1"/>
  <c r="H1817" i="442" s="1"/>
  <c r="M209" i="436" s="1"/>
  <c r="H960" i="442" a="1"/>
  <c r="H960" i="442" s="1"/>
  <c r="H959" i="442" s="1" a="1"/>
  <c r="H959" i="442" s="1"/>
  <c r="H1048" i="442" a="1"/>
  <c r="H1048" i="442" s="1"/>
  <c r="H1047" i="442" s="1" a="1"/>
  <c r="H1047" i="442" s="1"/>
  <c r="H1046" i="442" s="1" a="1"/>
  <c r="H1046" i="442" s="1"/>
  <c r="H1045" i="442" s="1" a="1"/>
  <c r="H1045" i="442" s="1"/>
  <c r="H1044" i="442" s="1" a="1"/>
  <c r="H1044" i="442" s="1"/>
  <c r="H993" i="442" a="1"/>
  <c r="H993" i="442" s="1"/>
  <c r="H992" i="442" s="1" a="1"/>
  <c r="H992" i="442" s="1"/>
  <c r="H1410" i="442" a="1"/>
  <c r="H1410" i="442" s="1"/>
  <c r="H1409" i="442" s="1" a="1"/>
  <c r="H1409" i="442" s="1"/>
  <c r="H1408" i="442" s="1" a="1"/>
  <c r="H1408" i="442" s="1"/>
  <c r="H1407" i="442" s="1" a="1"/>
  <c r="H1407" i="442" s="1"/>
  <c r="H1406" i="442" s="1" a="1"/>
  <c r="H1406" i="442" s="1"/>
  <c r="H1753" i="442" a="1"/>
  <c r="H1753" i="442" s="1"/>
  <c r="H1752" i="442" s="1" a="1"/>
  <c r="H1752" i="442" s="1"/>
  <c r="H1861" i="442" a="1"/>
  <c r="H1861" i="442" s="1"/>
  <c r="H1860" i="442" s="1" a="1"/>
  <c r="H1860" i="442" s="1"/>
  <c r="H1440" i="442" a="1"/>
  <c r="H1440" i="442" s="1"/>
  <c r="H1439" i="442" s="1" a="1"/>
  <c r="H1439" i="442" s="1"/>
  <c r="H1438" i="442" s="1" a="1"/>
  <c r="H1438" i="442" s="1"/>
  <c r="H1437" i="442" s="1" a="1"/>
  <c r="H1437" i="442" s="1"/>
  <c r="H1436" i="442" s="1" a="1"/>
  <c r="H1436" i="442" s="1"/>
  <c r="M153" i="436" s="1"/>
  <c r="H977" i="442" a="1"/>
  <c r="H977" i="442" s="1"/>
  <c r="H976" i="442" s="1" a="1"/>
  <c r="H976" i="442" s="1"/>
  <c r="H1871" i="442" a="1"/>
  <c r="H1871" i="442" s="1"/>
  <c r="H1870" i="442" s="1" a="1"/>
  <c r="H1870" i="442" s="1"/>
  <c r="H1695" i="442" a="1"/>
  <c r="H1695" i="442" s="1"/>
  <c r="H1694" i="442" s="1" a="1"/>
  <c r="H1694" i="442" s="1"/>
  <c r="H1693" i="442" s="1" a="1"/>
  <c r="H1693" i="442" s="1"/>
  <c r="H1692" i="442" s="1" a="1"/>
  <c r="H1692" i="442" s="1"/>
  <c r="H1691" i="442" s="1" a="1"/>
  <c r="H1691" i="442" s="1"/>
  <c r="H1548" i="442" a="1"/>
  <c r="H1548" i="442" s="1"/>
  <c r="H1547" i="442" s="1" a="1"/>
  <c r="H1547" i="442" s="1"/>
  <c r="H1546" i="442" s="1" a="1"/>
  <c r="H1546" i="442" s="1"/>
  <c r="H1357" i="442" a="1"/>
  <c r="H1357" i="442" s="1"/>
  <c r="H1356" i="442" s="1" a="1"/>
  <c r="H1356" i="442" s="1"/>
  <c r="H1355" i="442" s="1" a="1"/>
  <c r="H1355" i="442" s="1"/>
  <c r="H1354" i="442" s="1" a="1"/>
  <c r="H1354" i="442" s="1"/>
  <c r="H946" i="442" a="1"/>
  <c r="H946" i="442" s="1"/>
  <c r="H945" i="442" s="1" a="1"/>
  <c r="H945" i="442" s="1"/>
  <c r="H1636" i="442" a="1"/>
  <c r="H1636" i="442" s="1"/>
  <c r="H1635" i="442" s="1" a="1"/>
  <c r="H1635" i="442" s="1"/>
  <c r="H1465" i="442" a="1"/>
  <c r="H1465" i="442" s="1"/>
  <c r="H1464" i="442" s="1" a="1"/>
  <c r="H1464" i="442" s="1"/>
  <c r="H1463" i="442" s="1" a="1"/>
  <c r="H1463" i="442" s="1"/>
  <c r="H1462" i="442" s="1" a="1"/>
  <c r="H1462" i="442" s="1"/>
  <c r="H1461" i="442" s="1" a="1"/>
  <c r="H1461" i="442" s="1"/>
  <c r="H2060" i="442" a="1"/>
  <c r="H2060" i="442" s="1"/>
  <c r="H2059" i="442" s="1" a="1"/>
  <c r="H2059" i="442" s="1"/>
  <c r="H1729" i="442" a="1"/>
  <c r="H1729" i="442" s="1"/>
  <c r="H1728" i="442" s="1" a="1"/>
  <c r="H1728" i="442" s="1"/>
  <c r="H1727" i="442" s="1" a="1"/>
  <c r="H1727" i="442" s="1"/>
  <c r="H1726" i="442" s="1" a="1"/>
  <c r="H1726" i="442" s="1"/>
  <c r="H1133" i="442" a="1"/>
  <c r="H1133" i="442" s="1"/>
  <c r="H1132" i="442" s="1" a="1"/>
  <c r="H1132" i="442" s="1"/>
  <c r="H1667" i="442" a="1"/>
  <c r="H1667" i="442" s="1"/>
  <c r="H1666" i="442" s="1" a="1"/>
  <c r="H1666" i="442" s="1"/>
  <c r="H1665" i="442" s="1" a="1"/>
  <c r="H1665" i="442" s="1"/>
  <c r="H1195" i="442" a="1"/>
  <c r="H1195" i="442" s="1"/>
  <c r="H1194" i="442" s="1" a="1"/>
  <c r="H1194" i="442" s="1"/>
  <c r="H1193" i="442" s="1" a="1"/>
  <c r="H1193" i="442" s="1"/>
  <c r="H1077" i="442" a="1"/>
  <c r="H1077" i="442" s="1"/>
  <c r="H1076" i="442" s="1" a="1"/>
  <c r="H1076" i="442" s="1"/>
  <c r="H1075" i="442" s="1" a="1"/>
  <c r="H1075" i="442" s="1"/>
  <c r="M164" i="436" s="1"/>
  <c r="H2138" i="442" a="1"/>
  <c r="H2138" i="442" s="1"/>
  <c r="H2137" i="442" s="1" a="1"/>
  <c r="H2137" i="442" s="1"/>
  <c r="H2136" i="442" s="1" a="1"/>
  <c r="H2136" i="442" s="1"/>
  <c r="H1093" i="442" a="1"/>
  <c r="H1093" i="442" s="1"/>
  <c r="H1092" i="442" s="1" a="1"/>
  <c r="H1092" i="442" s="1"/>
  <c r="H1091" i="442" s="1" a="1"/>
  <c r="H1091" i="442" s="1"/>
  <c r="H1090" i="442" s="1" a="1"/>
  <c r="H1090" i="442" s="1"/>
  <c r="N157" i="436" s="1"/>
  <c r="H1127" i="442" a="1"/>
  <c r="H1127" i="442" s="1"/>
  <c r="H1126" i="442" s="1" a="1"/>
  <c r="H1126" i="442" s="1"/>
  <c r="H1125" i="442" s="1" a="1"/>
  <c r="H1125" i="442" s="1"/>
  <c r="H1124" i="442" s="1" a="1"/>
  <c r="H1124" i="442" s="1"/>
  <c r="H1123" i="442" s="1" a="1"/>
  <c r="H1123" i="442" s="1"/>
  <c r="H999" i="442" a="1"/>
  <c r="H999" i="442" s="1"/>
  <c r="H998" i="442" s="1" a="1"/>
  <c r="H998" i="442" s="1"/>
  <c r="H1857" i="442" a="1"/>
  <c r="H1857" i="442" s="1"/>
  <c r="H1856" i="442" s="1" a="1"/>
  <c r="H1856" i="442" s="1"/>
  <c r="H1109" i="442" a="1"/>
  <c r="H1109" i="442" s="1"/>
  <c r="H1108" i="442" s="1" a="1"/>
  <c r="H1108" i="442" s="1"/>
  <c r="H1150" i="442" a="1"/>
  <c r="H1150" i="442" s="1"/>
  <c r="H1149" i="442" s="1" a="1"/>
  <c r="H1149" i="442" s="1"/>
  <c r="H995" i="442" a="1"/>
  <c r="H995" i="442" s="1"/>
  <c r="H994" i="442" s="1" a="1"/>
  <c r="H994" i="442" s="1"/>
  <c r="H956" i="442" a="1"/>
  <c r="H956" i="442" s="1"/>
  <c r="H955" i="442" s="1" a="1"/>
  <c r="H955" i="442" s="1"/>
  <c r="H954" i="442" s="1" a="1"/>
  <c r="H954" i="442" s="1"/>
  <c r="M137" i="436" s="1"/>
  <c r="N137" i="436" s="1"/>
  <c r="H1645" i="442" a="1"/>
  <c r="H1645" i="442" s="1"/>
  <c r="H1644" i="442" s="1" a="1"/>
  <c r="H1644" i="442" s="1"/>
  <c r="H1643" i="442" s="1" a="1"/>
  <c r="H1643" i="442" s="1"/>
  <c r="H1455" i="442" a="1"/>
  <c r="H1455" i="442" s="1"/>
  <c r="H1454" i="442" s="1" a="1"/>
  <c r="H1454" i="442" s="1"/>
  <c r="H1453" i="442" s="1" a="1"/>
  <c r="H1453" i="442" s="1"/>
  <c r="H1452" i="442" s="1" a="1"/>
  <c r="H1452" i="442" s="1"/>
  <c r="H1451" i="442" s="1" a="1"/>
  <c r="H1451" i="442" s="1"/>
  <c r="H1561" i="442" a="1"/>
  <c r="H1561" i="442" s="1"/>
  <c r="H1560" i="442" s="1" a="1"/>
  <c r="H1560" i="442" s="1"/>
  <c r="H1559" i="442" s="1" a="1"/>
  <c r="H1559" i="442" s="1"/>
  <c r="H1937" i="442" a="1"/>
  <c r="H1937" i="442" s="1"/>
  <c r="H1936" i="442" s="1" a="1"/>
  <c r="H1936" i="442" s="1"/>
  <c r="H1935" i="442" s="1" a="1"/>
  <c r="H1935" i="442" s="1"/>
  <c r="H980" i="442" a="1"/>
  <c r="H980" i="442" s="1"/>
  <c r="H979" i="442" s="1" a="1"/>
  <c r="H979" i="442" s="1"/>
  <c r="H978" i="442" s="1" a="1"/>
  <c r="H978" i="442" s="1"/>
  <c r="H1375" i="442" a="1"/>
  <c r="H1375" i="442" s="1"/>
  <c r="H1374" i="442" s="1" a="1"/>
  <c r="H1374" i="442" s="1"/>
  <c r="H1373" i="442" s="1" a="1"/>
  <c r="H1373" i="442" s="1"/>
  <c r="H1372" i="442" s="1" a="1"/>
  <c r="H1372" i="442" s="1"/>
  <c r="H1371" i="442" s="1" a="1"/>
  <c r="H1371" i="442" s="1"/>
  <c r="H911" i="442" a="1"/>
  <c r="H911" i="442" s="1"/>
  <c r="H910" i="442" s="1" a="1"/>
  <c r="H910" i="442" s="1"/>
  <c r="H909" i="442" s="1" a="1"/>
  <c r="H909" i="442" s="1"/>
  <c r="H1749" i="442" a="1"/>
  <c r="H1749" i="442" s="1"/>
  <c r="H1748" i="442" s="1" a="1"/>
  <c r="H1748" i="442" s="1"/>
  <c r="H2067" i="442" a="1"/>
  <c r="H2067" i="442" s="1"/>
  <c r="H2066" i="442" s="1" a="1"/>
  <c r="H2066" i="442" s="1"/>
  <c r="H2119" i="442" a="1"/>
  <c r="H2119" i="442" s="1"/>
  <c r="H2118" i="442" s="1" a="1"/>
  <c r="H2118" i="442" s="1"/>
  <c r="H936" i="442" a="1"/>
  <c r="H936" i="442" s="1"/>
  <c r="H935" i="442" s="1" a="1"/>
  <c r="H935" i="442" s="1"/>
  <c r="H934" i="442" s="1" a="1"/>
  <c r="H934" i="442" s="1"/>
  <c r="H933" i="442" s="1" a="1"/>
  <c r="H933" i="442" s="1"/>
  <c r="H1071" i="442" a="1"/>
  <c r="H1071" i="442" s="1"/>
  <c r="H1070" i="442" s="1" a="1"/>
  <c r="H1070" i="442" s="1"/>
  <c r="H1069" i="442" s="1" a="1"/>
  <c r="H1069" i="442" s="1"/>
  <c r="H1244" i="442" a="1"/>
  <c r="H1244" i="442" s="1"/>
  <c r="H1243" i="442" s="1" a="1"/>
  <c r="H1243" i="442" s="1"/>
  <c r="H1242" i="442" s="1" a="1"/>
  <c r="H1242" i="442" s="1"/>
  <c r="H1705" i="442" a="1"/>
  <c r="H1705" i="442" s="1"/>
  <c r="H1704" i="442" s="1" a="1"/>
  <c r="H1704" i="442" s="1"/>
  <c r="H1703" i="442" s="1" a="1"/>
  <c r="H1703" i="442" s="1"/>
  <c r="H1612" i="442" a="1"/>
  <c r="H1612" i="442" s="1"/>
  <c r="H1611" i="442" s="1" a="1"/>
  <c r="H1611" i="442" s="1"/>
  <c r="H1103" i="442" a="1"/>
  <c r="H1103" i="442" s="1"/>
  <c r="H1102" i="442" s="1" a="1"/>
  <c r="H1102" i="442" s="1"/>
  <c r="M170" i="436" s="1"/>
  <c r="N170" i="436" s="1"/>
  <c r="H1346" i="442" a="1"/>
  <c r="H1346" i="442" s="1"/>
  <c r="H1345" i="442" s="1" a="1"/>
  <c r="H1345" i="442" s="1"/>
  <c r="H1807" i="442" a="1"/>
  <c r="H1807" i="442" s="1"/>
  <c r="H1806" i="442" s="1" a="1"/>
  <c r="H1806" i="442" s="1"/>
  <c r="H1805" i="442" s="1" a="1"/>
  <c r="H1805" i="442" s="1"/>
  <c r="H1586" i="442" a="1"/>
  <c r="H1586" i="442" s="1"/>
  <c r="H1585" i="442" s="1" a="1"/>
  <c r="H1585" i="442" s="1"/>
  <c r="H1584" i="442" s="1" a="1"/>
  <c r="H1584" i="442" s="1"/>
  <c r="H1583" i="442" s="1" a="1"/>
  <c r="H1583" i="442" s="1"/>
  <c r="H1582" i="442" s="1" a="1"/>
  <c r="H1582" i="442" s="1"/>
  <c r="H1822" i="442" a="1"/>
  <c r="H1822" i="442" s="1"/>
  <c r="H1821" i="442" s="1" a="1"/>
  <c r="H1821" i="442" s="1"/>
  <c r="H1820" i="442" s="1" a="1"/>
  <c r="H1820" i="442" s="1"/>
  <c r="H1232" i="442" a="1"/>
  <c r="H1232" i="442" s="1"/>
  <c r="H1231" i="442" s="1" a="1"/>
  <c r="H1231" i="442" s="1"/>
  <c r="H1230" i="442" s="1" a="1"/>
  <c r="H1230" i="442" s="1"/>
  <c r="H277" i="442" a="1"/>
  <c r="H277" i="442" s="1"/>
  <c r="H276" i="442" s="1" a="1"/>
  <c r="H276" i="442" s="1"/>
  <c r="H2094" i="442" a="1"/>
  <c r="H2094" i="442" s="1"/>
  <c r="H2093" i="442" s="1" a="1"/>
  <c r="H2093" i="442" s="1"/>
  <c r="H2092" i="442" s="1" a="1"/>
  <c r="H2092" i="442" s="1"/>
  <c r="H1688" i="442" a="1"/>
  <c r="H1688" i="442" s="1"/>
  <c r="H1687" i="442" s="1" a="1"/>
  <c r="H1687" i="442" s="1"/>
  <c r="H1686" i="442" s="1" a="1"/>
  <c r="H1686" i="442" s="1"/>
  <c r="H1685" i="442" s="1" a="1"/>
  <c r="H1685" i="442" s="1"/>
  <c r="H1684" i="442" s="1" a="1"/>
  <c r="H1684" i="442" s="1"/>
  <c r="H1089" i="442" a="1"/>
  <c r="H1089" i="442" s="1"/>
  <c r="H1088" i="442" s="1" a="1"/>
  <c r="H1088" i="442" s="1"/>
  <c r="H1087" i="442" s="1" a="1"/>
  <c r="H1087" i="442" s="1"/>
  <c r="H1086" i="442" s="1" a="1"/>
  <c r="H1086" i="442" s="1"/>
  <c r="H255" i="442" a="1"/>
  <c r="H255" i="442" s="1"/>
  <c r="H254" i="442" s="1" a="1"/>
  <c r="H254" i="442" s="1"/>
  <c r="H884" i="442" a="1"/>
  <c r="H884" i="442" s="1"/>
  <c r="H883" i="442" s="1" a="1"/>
  <c r="H883" i="442" s="1"/>
  <c r="H882" i="442" s="1" a="1"/>
  <c r="H882" i="442" s="1"/>
  <c r="H881" i="442" s="1" a="1"/>
  <c r="H881" i="442" s="1"/>
  <c r="H880" i="442" s="1" a="1"/>
  <c r="H880" i="442" s="1"/>
  <c r="H879" i="442" s="1" a="1"/>
  <c r="H879" i="442" s="1"/>
  <c r="H234" i="442" a="1"/>
  <c r="H234" i="442" s="1"/>
  <c r="H233" i="442" s="1" a="1"/>
  <c r="H233" i="442" s="1"/>
  <c r="H1739" i="442" a="1"/>
  <c r="H1739" i="442" s="1"/>
  <c r="H1738" i="442" s="1" a="1"/>
  <c r="H1738" i="442" s="1"/>
  <c r="H2033" i="442" a="1"/>
  <c r="H2033" i="442" s="1"/>
  <c r="H2032" i="442" s="1" a="1"/>
  <c r="H2032" i="442" s="1"/>
  <c r="H2031" i="442" s="1" a="1"/>
  <c r="H2031" i="442" s="1"/>
  <c r="H2030" i="442" s="1" a="1"/>
  <c r="H2030" i="442" s="1"/>
  <c r="H2029" i="442" s="1" a="1"/>
  <c r="H2029" i="442" s="1"/>
  <c r="H514" i="442" a="1"/>
  <c r="H514" i="442" s="1"/>
  <c r="H513" i="442" s="1" a="1"/>
  <c r="H513" i="442" s="1"/>
  <c r="H512" i="442" s="1" a="1"/>
  <c r="H512" i="442" s="1"/>
  <c r="H511" i="442" s="1" a="1"/>
  <c r="H511" i="442" s="1"/>
  <c r="M44" i="436" s="1"/>
  <c r="N44" i="436" s="1"/>
  <c r="H1080" i="442" a="1"/>
  <c r="H1080" i="442" s="1"/>
  <c r="H1079" i="442" s="1" a="1"/>
  <c r="H1079" i="442" s="1"/>
  <c r="H1078" i="442" s="1" a="1"/>
  <c r="H1078" i="442" s="1"/>
  <c r="H1255" i="442" a="1"/>
  <c r="H1255" i="442" s="1"/>
  <c r="H1254" i="442" s="1" a="1"/>
  <c r="H1254" i="442" s="1"/>
  <c r="H1765" i="442" a="1"/>
  <c r="H1765" i="442" s="1"/>
  <c r="H1764" i="442" s="1" a="1"/>
  <c r="H1764" i="442" s="1"/>
  <c r="H1763" i="442" s="1" a="1"/>
  <c r="H1763" i="442" s="1"/>
  <c r="H472" i="442" a="1"/>
  <c r="H472" i="442" s="1"/>
  <c r="H471" i="442" s="1" a="1"/>
  <c r="H471" i="442" s="1"/>
  <c r="H470" i="442" s="1" a="1"/>
  <c r="H470" i="442" s="1"/>
  <c r="H469" i="442" s="1" a="1"/>
  <c r="H469" i="442" s="1"/>
  <c r="H468" i="442" s="1" a="1"/>
  <c r="H468" i="442" s="1"/>
  <c r="M38" i="436" s="1"/>
  <c r="H2058" i="442" a="1"/>
  <c r="H2058" i="442" s="1"/>
  <c r="H2057" i="442" s="1" a="1"/>
  <c r="H2057" i="442" s="1"/>
  <c r="H2056" i="442" s="1" a="1"/>
  <c r="H2056" i="442" s="1"/>
  <c r="H2055" i="442" s="1" a="1"/>
  <c r="H2055" i="442" s="1"/>
  <c r="H2054" i="442" s="1" a="1"/>
  <c r="H2054" i="442" s="1"/>
  <c r="H1298" i="442" a="1"/>
  <c r="H1298" i="442" s="1"/>
  <c r="H1297" i="442" s="1" a="1"/>
  <c r="H1297" i="442" s="1"/>
  <c r="H1296" i="442" s="1" a="1"/>
  <c r="H1296" i="442" s="1"/>
  <c r="H1295" i="442" s="1" a="1"/>
  <c r="H1295" i="442" s="1"/>
  <c r="H285" i="442" a="1"/>
  <c r="H285" i="442" s="1"/>
  <c r="H284" i="442" s="1" a="1"/>
  <c r="H284" i="442" s="1"/>
  <c r="H1328" i="442" a="1"/>
  <c r="H1328" i="442" s="1"/>
  <c r="H1327" i="442" s="1" a="1"/>
  <c r="H1327" i="442" s="1"/>
  <c r="H1326" i="442" s="1" a="1"/>
  <c r="H1326" i="442" s="1"/>
  <c r="H1903" i="442" a="1"/>
  <c r="H1903" i="442" s="1"/>
  <c r="H1902" i="442" s="1" a="1"/>
  <c r="H1902" i="442" s="1"/>
  <c r="H1901" i="442" s="1" a="1"/>
  <c r="H1901" i="442" s="1"/>
  <c r="H1900" i="442" s="1" a="1"/>
  <c r="H1900" i="442" s="1"/>
  <c r="H1899" i="442" s="1" a="1"/>
  <c r="H1899" i="442" s="1"/>
  <c r="H1782" i="442" a="1"/>
  <c r="H1782" i="442" s="1"/>
  <c r="H1781" i="442" s="1" a="1"/>
  <c r="H1781" i="442" s="1"/>
  <c r="H394" i="442" a="1"/>
  <c r="H394" i="442" s="1"/>
  <c r="H393" i="442" s="1" a="1"/>
  <c r="H393" i="442" s="1"/>
  <c r="H392" i="442" s="1" a="1"/>
  <c r="H392" i="442" s="1"/>
  <c r="H391" i="442" s="1" a="1"/>
  <c r="H391" i="442" s="1"/>
  <c r="H1610" i="442" a="1"/>
  <c r="H1610" i="442" s="1"/>
  <c r="H1609" i="442" s="1" a="1"/>
  <c r="H1609" i="442" s="1"/>
  <c r="H949" i="442" a="1"/>
  <c r="H949" i="442" s="1"/>
  <c r="H948" i="442" s="1" a="1"/>
  <c r="H948" i="442" s="1"/>
  <c r="H947" i="442" s="1" a="1"/>
  <c r="H947" i="442" s="1"/>
  <c r="H1942" i="442" a="1"/>
  <c r="H1942" i="442" s="1"/>
  <c r="H1941" i="442" s="1" a="1"/>
  <c r="H1941" i="442" s="1"/>
  <c r="H1940" i="442" s="1" a="1"/>
  <c r="H1940" i="442" s="1"/>
  <c r="H1939" i="442" s="1" a="1"/>
  <c r="H1939" i="442" s="1"/>
  <c r="H1938" i="442" s="1" a="1"/>
  <c r="H1938" i="442" s="1"/>
  <c r="H739" i="442" a="1"/>
  <c r="H739" i="442" s="1"/>
  <c r="H738" i="442" s="1" a="1"/>
  <c r="H738" i="442" s="1"/>
  <c r="H737" i="442" s="1" a="1"/>
  <c r="H737" i="442" s="1"/>
  <c r="H736" i="442" s="1" a="1"/>
  <c r="H736" i="442" s="1"/>
  <c r="H735" i="442" s="1" a="1"/>
  <c r="H735" i="442" s="1"/>
  <c r="H734" i="442" s="1" a="1"/>
  <c r="H734" i="442" s="1"/>
  <c r="H733" i="442" s="1" a="1"/>
  <c r="H733" i="442" s="1"/>
  <c r="H732" i="442" s="1" a="1"/>
  <c r="H732" i="442" s="1"/>
  <c r="H731" i="442" s="1" a="1"/>
  <c r="H731" i="442" s="1"/>
  <c r="M72" i="436" s="1"/>
  <c r="H208" i="442" a="1"/>
  <c r="H208" i="442" s="1"/>
  <c r="H207" i="442" s="1" a="1"/>
  <c r="H207" i="442" s="1"/>
  <c r="H1526" i="442" a="1"/>
  <c r="H1526" i="442" s="1"/>
  <c r="H1525" i="442" s="1" a="1"/>
  <c r="H1525" i="442" s="1"/>
  <c r="M155" i="436" s="1"/>
  <c r="H1267" i="442" a="1"/>
  <c r="H1267" i="442" s="1"/>
  <c r="H1266" i="442" s="1" a="1"/>
  <c r="H1266" i="442" s="1"/>
  <c r="H1265" i="442" s="1" a="1"/>
  <c r="H1265" i="442" s="1"/>
  <c r="H1264" i="442" s="1" a="1"/>
  <c r="H1264" i="442" s="1"/>
  <c r="H1117" i="442" a="1"/>
  <c r="H1117" i="442" s="1"/>
  <c r="H1116" i="442" s="1" a="1"/>
  <c r="H1116" i="442" s="1"/>
  <c r="H2202" i="442" a="1"/>
  <c r="H2202" i="442" s="1"/>
  <c r="H2201" i="442" s="1" a="1"/>
  <c r="H2201" i="442" s="1"/>
  <c r="H2200" i="442" s="1" a="1"/>
  <c r="H2200" i="442" s="1"/>
  <c r="H2199" i="442" s="1" a="1"/>
  <c r="H2199" i="442" s="1"/>
  <c r="H2198" i="442" s="1" a="1"/>
  <c r="H2198" i="442" s="1"/>
  <c r="H2197" i="442" s="1" a="1"/>
  <c r="H2197" i="442" s="1"/>
  <c r="H2196" i="442" s="1" a="1"/>
  <c r="H2196" i="442" s="1"/>
  <c r="H2195" i="442" s="1" a="1"/>
  <c r="H2195" i="442" s="1"/>
  <c r="H2194" i="442" s="1" a="1"/>
  <c r="H2194" i="442" s="1"/>
  <c r="H1405" i="442" a="1"/>
  <c r="H1405" i="442" s="1"/>
  <c r="H1404" i="442" s="1" a="1"/>
  <c r="H1404" i="442" s="1"/>
  <c r="H1403" i="442" s="1" a="1"/>
  <c r="H1403" i="442" s="1"/>
  <c r="H1402" i="442" s="1" a="1"/>
  <c r="H1402" i="442" s="1"/>
  <c r="H1401" i="442" s="1" a="1"/>
  <c r="H1401" i="442" s="1"/>
  <c r="H2097" i="442" a="1"/>
  <c r="H2097" i="442" s="1"/>
  <c r="H2096" i="442" s="1" a="1"/>
  <c r="H2096" i="442" s="1"/>
  <c r="H2095" i="442" s="1" a="1"/>
  <c r="H2095" i="442" s="1"/>
  <c r="H1659" i="442" a="1"/>
  <c r="H1659" i="442" s="1"/>
  <c r="H1658" i="442" s="1" a="1"/>
  <c r="H1658" i="442" s="1"/>
  <c r="H1657" i="442" s="1" a="1"/>
  <c r="H1657" i="442" s="1"/>
  <c r="H1656" i="442" s="1" a="1"/>
  <c r="H1656" i="442" s="1"/>
  <c r="H1718" i="442" a="1"/>
  <c r="H1718" i="442" s="1"/>
  <c r="H1717" i="442" s="1" a="1"/>
  <c r="H1717" i="442" s="1"/>
  <c r="H1716" i="442" s="1" a="1"/>
  <c r="H1716" i="442" s="1"/>
  <c r="H1107" i="442" a="1"/>
  <c r="H1107" i="442" s="1"/>
  <c r="H1106" i="442" s="1" a="1"/>
  <c r="H1106" i="442" s="1"/>
  <c r="M173" i="436" s="1"/>
  <c r="H1768" i="442" a="1"/>
  <c r="H1768" i="442" s="1"/>
  <c r="H1767" i="442" s="1" a="1"/>
  <c r="H1767" i="442" s="1"/>
  <c r="H1766" i="442" s="1" a="1"/>
  <c r="H1766" i="442" s="1"/>
  <c r="H1530" i="442" a="1"/>
  <c r="H1530" i="442" s="1"/>
  <c r="H1529" i="442" s="1" a="1"/>
  <c r="H1529" i="442" s="1"/>
  <c r="H1528" i="442" s="1" a="1"/>
  <c r="H1528" i="442" s="1"/>
  <c r="H1527" i="442" s="1" a="1"/>
  <c r="H1527" i="442" s="1"/>
  <c r="H1770" i="442" a="1"/>
  <c r="H1770" i="442" s="1"/>
  <c r="H1769" i="442" s="1" a="1"/>
  <c r="H1769" i="442" s="1"/>
  <c r="M229" i="436" s="1"/>
  <c r="H1620" i="442" a="1"/>
  <c r="H1620" i="442" s="1"/>
  <c r="H1619" i="442" s="1" a="1"/>
  <c r="H1619" i="442" s="1"/>
  <c r="H1683" i="442" a="1"/>
  <c r="H1683" i="442" s="1"/>
  <c r="H1682" i="442" s="1" a="1"/>
  <c r="H1682" i="442" s="1"/>
  <c r="H1105" i="442" a="1"/>
  <c r="H1105" i="442" s="1"/>
  <c r="H1104" i="442" s="1" a="1"/>
  <c r="H1104" i="442" s="1"/>
  <c r="H2016" i="442" a="1"/>
  <c r="H2016" i="442" s="1"/>
  <c r="H2015" i="442" s="1" a="1"/>
  <c r="H2015" i="442" s="1"/>
  <c r="H1780" i="442" a="1"/>
  <c r="H1780" i="442" s="1"/>
  <c r="H1779" i="442" s="1" a="1"/>
  <c r="H1779" i="442" s="1"/>
  <c r="H1589" i="442" a="1"/>
  <c r="H1589" i="442" s="1"/>
  <c r="H1588" i="442" s="1" a="1"/>
  <c r="H1588" i="442" s="1"/>
  <c r="H1587" i="442" s="1" a="1"/>
  <c r="H1587" i="442" s="1"/>
  <c r="H878" i="442" a="1"/>
  <c r="H878" i="442" s="1"/>
  <c r="H877" i="442" s="1" a="1"/>
  <c r="H877" i="442" s="1"/>
  <c r="H1063" i="442" a="1"/>
  <c r="H1063" i="442" s="1"/>
  <c r="H1062" i="442" s="1" a="1"/>
  <c r="H1062" i="442" s="1"/>
  <c r="H1061" i="442" s="1" a="1"/>
  <c r="H1061" i="442" s="1"/>
  <c r="H1060" i="442" s="1" a="1"/>
  <c r="H1060" i="442" s="1"/>
  <c r="H1059" i="442" s="1" a="1"/>
  <c r="H1059" i="442" s="1"/>
  <c r="M152" i="436" s="1"/>
  <c r="H1776" i="442" a="1"/>
  <c r="H1776" i="442" s="1"/>
  <c r="H1775" i="442" s="1" a="1"/>
  <c r="H1775" i="442" s="1"/>
  <c r="H1435" i="442" a="1"/>
  <c r="H1435" i="442" s="1"/>
  <c r="H1434" i="442" s="1" a="1"/>
  <c r="H1434" i="442" s="1"/>
  <c r="H1433" i="442" s="1" a="1"/>
  <c r="H1433" i="442" s="1"/>
  <c r="H1432" i="442" s="1" a="1"/>
  <c r="H1432" i="442" s="1"/>
  <c r="H1431" i="442" s="1" a="1"/>
  <c r="H1431" i="442" s="1"/>
  <c r="H1909" i="442" a="1"/>
  <c r="H1909" i="442" s="1"/>
  <c r="H2018" i="442" a="1"/>
  <c r="H2018" i="442" s="1"/>
  <c r="H2017" i="442" s="1" a="1"/>
  <c r="H2017" i="442" s="1"/>
  <c r="H2081" i="442" a="1"/>
  <c r="H2081" i="442" s="1"/>
  <c r="H2080" i="442" s="1" a="1"/>
  <c r="H2080" i="442" s="1"/>
  <c r="M219" i="436" s="1"/>
  <c r="H1624" i="442" a="1"/>
  <c r="H1624" i="442" s="1"/>
  <c r="H1623" i="442" s="1" a="1"/>
  <c r="H1623" i="442" s="1"/>
  <c r="H1725" i="442" a="1"/>
  <c r="H1725" i="442" s="1"/>
  <c r="H1724" i="442" s="1" a="1"/>
  <c r="H1724" i="442" s="1"/>
  <c r="H1723" i="442" s="1" a="1"/>
  <c r="H1723" i="442" s="1"/>
  <c r="H1722" i="442" s="1" a="1"/>
  <c r="H1722" i="442" s="1"/>
  <c r="H1721" i="442" s="1" a="1"/>
  <c r="H1721" i="442" s="1"/>
  <c r="H1784" i="442" a="1"/>
  <c r="H1784" i="442" s="1"/>
  <c r="H1783" i="442" s="1" a="1"/>
  <c r="H1783" i="442" s="1"/>
  <c r="H1810" i="442" a="1"/>
  <c r="H1810" i="442" s="1"/>
  <c r="H1809" i="442" s="1" a="1"/>
  <c r="H1809" i="442" s="1"/>
  <c r="H1808" i="442" s="1" a="1"/>
  <c r="H1808" i="442" s="1"/>
  <c r="H1745" i="442" a="1"/>
  <c r="H1745" i="442" s="1"/>
  <c r="H1744" i="442" s="1" a="1"/>
  <c r="H1744" i="442" s="1"/>
  <c r="H944" i="442" a="1"/>
  <c r="H944" i="442" s="1"/>
  <c r="H943" i="442" s="1" a="1"/>
  <c r="H943" i="442" s="1"/>
  <c r="H2193" i="442" a="1"/>
  <c r="H2193" i="442" s="1"/>
  <c r="H2192" i="442" s="1" a="1"/>
  <c r="H2192" i="442" s="1"/>
  <c r="H2191" i="442" s="1" a="1"/>
  <c r="H2191" i="442" s="1"/>
  <c r="H2190" i="442" s="1" a="1"/>
  <c r="H2190" i="442" s="1"/>
  <c r="H2189" i="442" s="1" a="1"/>
  <c r="H2189" i="442" s="1"/>
  <c r="H2188" i="442" s="1" a="1"/>
  <c r="H2188" i="442" s="1"/>
  <c r="H2187" i="442" s="1" a="1"/>
  <c r="H2187" i="442" s="1"/>
  <c r="H2186" i="442" s="1" a="1"/>
  <c r="H2186" i="442" s="1"/>
  <c r="H2185" i="442" s="1" a="1"/>
  <c r="H2185" i="442" s="1"/>
  <c r="H1893" i="442" a="1"/>
  <c r="H1893" i="442" s="1"/>
  <c r="H1892" i="442" s="1" a="1"/>
  <c r="H1892" i="442" s="1"/>
  <c r="H1774" i="442" a="1"/>
  <c r="H1774" i="442" s="1"/>
  <c r="H1773" i="442" s="1" a="1"/>
  <c r="H1773" i="442" s="1"/>
  <c r="M203" i="436" s="1"/>
  <c r="H1263" i="442" a="1"/>
  <c r="H1263" i="442" s="1"/>
  <c r="H1262" i="442" s="1" a="1"/>
  <c r="H1262" i="442" s="1"/>
  <c r="H1261" i="442" s="1" a="1"/>
  <c r="H1261" i="442" s="1"/>
  <c r="H1260" i="442" s="1" a="1"/>
  <c r="H1260" i="442" s="1"/>
  <c r="H1604" i="442" a="1"/>
  <c r="H1604" i="442" s="1"/>
  <c r="H1603" i="442" s="1" a="1"/>
  <c r="H1603" i="442" s="1"/>
  <c r="H1602" i="442" s="1" a="1"/>
  <c r="H1602" i="442" s="1"/>
  <c r="H1601" i="442" s="1" a="1"/>
  <c r="H1601" i="442" s="1"/>
  <c r="H1185" i="442" a="1"/>
  <c r="H1185" i="442" s="1"/>
  <c r="H1184" i="442" s="1" a="1"/>
  <c r="H1184" i="442" s="1"/>
  <c r="H1183" i="442" s="1" a="1"/>
  <c r="H1183" i="442" s="1"/>
  <c r="H1182" i="442" s="1" a="1"/>
  <c r="H1182" i="442" s="1"/>
  <c r="H2121" i="442" a="1"/>
  <c r="H2121" i="442" s="1"/>
  <c r="H2120" i="442" s="1" a="1"/>
  <c r="H2120" i="442" s="1"/>
  <c r="H1365" i="442" a="1"/>
  <c r="H1365" i="442" s="1"/>
  <c r="H1364" i="442" s="1" a="1"/>
  <c r="H1364" i="442" s="1"/>
  <c r="H1363" i="442" s="1" a="1"/>
  <c r="H1363" i="442" s="1"/>
  <c r="H1362" i="442" s="1" a="1"/>
  <c r="H1362" i="442" s="1"/>
  <c r="H1177" i="442" a="1"/>
  <c r="H1177" i="442" s="1"/>
  <c r="H1176" i="442" s="1" a="1"/>
  <c r="H1176" i="442" s="1"/>
  <c r="H1175" i="442" s="1" a="1"/>
  <c r="H1175" i="442" s="1"/>
  <c r="H1174" i="442" s="1" a="1"/>
  <c r="H1174" i="442" s="1"/>
  <c r="H1581" i="442" a="1"/>
  <c r="H1581" i="442" s="1"/>
  <c r="H1580" i="442" s="1" a="1"/>
  <c r="H1580" i="442" s="1"/>
  <c r="H1579" i="442" s="1" a="1"/>
  <c r="H1579" i="442" s="1"/>
  <c r="H1578" i="442" s="1" a="1"/>
  <c r="H1578" i="442" s="1"/>
  <c r="H1577" i="442" s="1" a="1"/>
  <c r="H1577" i="442" s="1"/>
  <c r="H1095" i="442" a="1"/>
  <c r="H1095" i="442" s="1"/>
  <c r="H1094" i="442" s="1" a="1"/>
  <c r="H1094" i="442" s="1"/>
  <c r="H1395" i="442" a="1"/>
  <c r="H1395" i="442" s="1"/>
  <c r="H1394" i="442" s="1" a="1"/>
  <c r="H1394" i="442" s="1"/>
  <c r="H1393" i="442" s="1" a="1"/>
  <c r="H1393" i="442" s="1"/>
  <c r="H1392" i="442" s="1" a="1"/>
  <c r="H1392" i="442" s="1"/>
  <c r="H1391" i="442" s="1" a="1"/>
  <c r="H1391" i="442" s="1"/>
  <c r="H2107" i="442" a="1"/>
  <c r="H2107" i="442" s="1"/>
  <c r="H2106" i="442" s="1" a="1"/>
  <c r="H2106" i="442" s="1"/>
  <c r="H2105" i="442" s="1" a="1"/>
  <c r="H2105" i="442" s="1"/>
  <c r="H2104" i="442" s="1" a="1"/>
  <c r="H2104" i="442" s="1"/>
  <c r="H1622" i="442" a="1"/>
  <c r="H1622" i="442" s="1"/>
  <c r="H1621" i="442" s="1" a="1"/>
  <c r="H1621" i="442" s="1"/>
  <c r="H1158" i="442" a="1"/>
  <c r="H1158" i="442" s="1"/>
  <c r="H1157" i="442" s="1" a="1"/>
  <c r="H1157" i="442" s="1"/>
  <c r="H1156" i="442" s="1" a="1"/>
  <c r="H1156" i="442" s="1"/>
  <c r="H1155" i="442" s="1" a="1"/>
  <c r="H1155" i="442" s="1"/>
  <c r="H1154" i="442" s="1" a="1"/>
  <c r="H1154" i="442" s="1"/>
  <c r="H1153" i="442" s="1" a="1"/>
  <c r="H1153" i="442" s="1"/>
  <c r="M183" i="436" s="1"/>
  <c r="N183" i="436" s="1"/>
  <c r="H2083" i="442" a="1"/>
  <c r="H2083" i="442" s="1"/>
  <c r="H2082" i="442" s="1" a="1"/>
  <c r="H2082" i="442" s="1"/>
  <c r="H1279" i="442" a="1"/>
  <c r="H1279" i="442" s="1"/>
  <c r="H1278" i="442" s="1" a="1"/>
  <c r="H1278" i="442" s="1"/>
  <c r="H1277" i="442" s="1" a="1"/>
  <c r="H1277" i="442" s="1"/>
  <c r="H1276" i="442" s="1" a="1"/>
  <c r="H1276" i="442" s="1"/>
  <c r="H1219" i="442" a="1"/>
  <c r="H1219" i="442" s="1"/>
  <c r="H1218" i="442" s="1" a="1"/>
  <c r="H1218" i="442" s="1"/>
  <c r="H1217" i="442" s="1" a="1"/>
  <c r="H1217" i="442" s="1"/>
  <c r="H1043" i="442" a="1"/>
  <c r="H1043" i="442" s="1"/>
  <c r="H1042" i="442" s="1" a="1"/>
  <c r="H1042" i="442" s="1"/>
  <c r="H1041" i="442" s="1" a="1"/>
  <c r="H1041" i="442" s="1"/>
  <c r="H1040" i="442" s="1" a="1"/>
  <c r="H1040" i="442" s="1"/>
  <c r="H1039" i="442" s="1" a="1"/>
  <c r="H1039" i="442" s="1"/>
  <c r="H1415" i="442" a="1"/>
  <c r="H1415" i="442" s="1"/>
  <c r="H1414" i="442" s="1" a="1"/>
  <c r="H1414" i="442" s="1"/>
  <c r="H1413" i="442" s="1" a="1"/>
  <c r="H1413" i="442" s="1"/>
  <c r="H1412" i="442" s="1" a="1"/>
  <c r="H1412" i="442" s="1"/>
  <c r="H1411" i="442" s="1" a="1"/>
  <c r="H1411" i="442" s="1"/>
  <c r="H1934" i="442" a="1"/>
  <c r="H1934" i="442" s="1"/>
  <c r="H1933" i="442" s="1" a="1"/>
  <c r="H1933" i="442" s="1"/>
  <c r="H1932" i="442" s="1" a="1"/>
  <c r="H1932" i="442" s="1"/>
  <c r="M230" i="436" s="1"/>
  <c r="H1028" i="442" a="1"/>
  <c r="H1028" i="442" s="1"/>
  <c r="H1027" i="442" s="1" a="1"/>
  <c r="H1027" i="442" s="1"/>
  <c r="H1026" i="442" s="1" a="1"/>
  <c r="H1026" i="442" s="1"/>
  <c r="H1025" i="442" s="1" a="1"/>
  <c r="H1025" i="442" s="1"/>
  <c r="H1024" i="442" s="1" a="1"/>
  <c r="H1024" i="442" s="1"/>
  <c r="H1500" i="442" a="1"/>
  <c r="H1500" i="442" s="1"/>
  <c r="H1499" i="442" s="1" a="1"/>
  <c r="H1499" i="442" s="1"/>
  <c r="H1498" i="442" s="1" a="1"/>
  <c r="H1498" i="442" s="1"/>
  <c r="H1497" i="442" s="1" a="1"/>
  <c r="H1497" i="442" s="1"/>
  <c r="H1496" i="442" s="1" a="1"/>
  <c r="H1496" i="442" s="1"/>
  <c r="H986" i="442" a="1"/>
  <c r="H986" i="442" s="1"/>
  <c r="H985" i="442" s="1" a="1"/>
  <c r="H985" i="442" s="1"/>
  <c r="H2168" i="442" a="1"/>
  <c r="H2168" i="442" s="1"/>
  <c r="H2167" i="442" s="1" a="1"/>
  <c r="H2167" i="442" s="1"/>
  <c r="H2166" i="442" s="1" a="1"/>
  <c r="H2166" i="442" s="1"/>
  <c r="H2165" i="442" s="1" a="1"/>
  <c r="H2165" i="442" s="1"/>
  <c r="H2164" i="442" s="1" a="1"/>
  <c r="H2164" i="442" s="1"/>
  <c r="H2163" i="442" s="1" a="1"/>
  <c r="H2163" i="442" s="1"/>
  <c r="H2162" i="442" s="1" a="1"/>
  <c r="H2162" i="442" s="1"/>
  <c r="H2161" i="442" s="1" a="1"/>
  <c r="H2161" i="442" s="1"/>
  <c r="H1813" i="442" a="1"/>
  <c r="H1813" i="442" s="1"/>
  <c r="H1812" i="442" s="1" a="1"/>
  <c r="H1812" i="442" s="1"/>
  <c r="H1811" i="442" s="1" a="1"/>
  <c r="H1811" i="442" s="1"/>
  <c r="H2135" i="442" a="1"/>
  <c r="H2135" i="442" s="1"/>
  <c r="H2134" i="442" s="1" a="1"/>
  <c r="H2134" i="442" s="1"/>
  <c r="H2133" i="442" s="1" a="1"/>
  <c r="H2133" i="442" s="1"/>
  <c r="H2048" i="442" a="1"/>
  <c r="H2048" i="442" s="1"/>
  <c r="H2047" i="442" s="1" a="1"/>
  <c r="H2047" i="442" s="1"/>
  <c r="H2046" i="442" s="1" a="1"/>
  <c r="H2046" i="442" s="1"/>
  <c r="H2045" i="442" s="1" a="1"/>
  <c r="H2045" i="442" s="1"/>
  <c r="H2044" i="442" s="1" a="1"/>
  <c r="H2044" i="442" s="1"/>
  <c r="H902" i="442" a="1"/>
  <c r="H902" i="442" s="1"/>
  <c r="H901" i="442" s="1" a="1"/>
  <c r="H901" i="442" s="1"/>
  <c r="H1142" i="442" a="1"/>
  <c r="H1142" i="442" s="1"/>
  <c r="H1141" i="442" s="1" a="1"/>
  <c r="H1141" i="442" s="1"/>
  <c r="H1146" i="442" a="1"/>
  <c r="H1146" i="442" s="1"/>
  <c r="H1145" i="442" s="1" a="1"/>
  <c r="H1145" i="442" s="1"/>
  <c r="H2184" i="442" a="1"/>
  <c r="H2184" i="442" s="1"/>
  <c r="H2183" i="442" s="1" a="1"/>
  <c r="H2183" i="442" s="1"/>
  <c r="H2182" i="442" s="1" a="1"/>
  <c r="H2182" i="442" s="1"/>
  <c r="H2181" i="442" s="1" a="1"/>
  <c r="H2181" i="442" s="1"/>
  <c r="H2180" i="442" s="1" a="1"/>
  <c r="H2180" i="442" s="1"/>
  <c r="H2179" i="442" s="1" a="1"/>
  <c r="H2179" i="442" s="1"/>
  <c r="H2178" i="442" s="1" a="1"/>
  <c r="H2178" i="442" s="1"/>
  <c r="H2177" i="442" s="1" a="1"/>
  <c r="H2177" i="442" s="1"/>
  <c r="H1735" i="442" a="1"/>
  <c r="H1735" i="442" s="1"/>
  <c r="H1734" i="442" s="1" a="1"/>
  <c r="H1734" i="442" s="1"/>
  <c r="H2012" i="442" a="1"/>
  <c r="H2012" i="442" s="1"/>
  <c r="H2011" i="442" s="1" a="1"/>
  <c r="H2011" i="442" s="1"/>
  <c r="H2010" i="442" s="1" a="1"/>
  <c r="H2010" i="442" s="1"/>
  <c r="H2009" i="442" s="1" a="1"/>
  <c r="H2009" i="442" s="1"/>
  <c r="H2008" i="442" s="1" a="1"/>
  <c r="H2008" i="442" s="1"/>
  <c r="H1839" i="442" a="1"/>
  <c r="H1839" i="442" s="1"/>
  <c r="H1838" i="442" s="1" a="1"/>
  <c r="H1838" i="442" s="1"/>
  <c r="H1884" i="442" a="1"/>
  <c r="H1884" i="442" s="1"/>
  <c r="H1883" i="442" s="1" a="1"/>
  <c r="H1883" i="442" s="1"/>
  <c r="H1882" i="442" s="1" a="1"/>
  <c r="H1882" i="442" s="1"/>
  <c r="H1881" i="442" s="1" a="1"/>
  <c r="H1881" i="442" s="1"/>
  <c r="H1880" i="442" s="1" a="1"/>
  <c r="H1880" i="442" s="1"/>
  <c r="H1323" i="442" a="1"/>
  <c r="H1323" i="442" s="1"/>
  <c r="H1322" i="442" s="1" a="1"/>
  <c r="H1322" i="442" s="1"/>
  <c r="H1321" i="442" s="1" a="1"/>
  <c r="H1321" i="442" s="1"/>
  <c r="H1320" i="442" s="1" a="1"/>
  <c r="H1320" i="442" s="1"/>
  <c r="H1319" i="442" s="1" a="1"/>
  <c r="H1319" i="442" s="1"/>
  <c r="H1318" i="442" s="1" a="1"/>
  <c r="H1318" i="442" s="1"/>
  <c r="H1317" i="442" s="1" a="1"/>
  <c r="H1317" i="442" s="1"/>
  <c r="H1316" i="442" s="1" a="1"/>
  <c r="H1316" i="442" s="1"/>
  <c r="M237" i="436" s="1"/>
  <c r="H1614" i="442" a="1"/>
  <c r="H1614" i="442" s="1"/>
  <c r="H1613" i="442" s="1" a="1"/>
  <c r="H1613" i="442" s="1"/>
  <c r="H1743" i="442" a="1"/>
  <c r="H1743" i="442" s="1"/>
  <c r="H1742" i="442" s="1" a="1"/>
  <c r="H1742" i="442" s="1"/>
  <c r="H2065" i="442" a="1"/>
  <c r="H2065" i="442" s="1"/>
  <c r="H2064" i="442" s="1" a="1"/>
  <c r="H2064" i="442" s="1"/>
  <c r="H2063" i="442" s="1" a="1"/>
  <c r="H2063" i="442" s="1"/>
  <c r="H2062" i="442" s="1" a="1"/>
  <c r="H2062" i="442" s="1"/>
  <c r="H2061" i="442" s="1" a="1"/>
  <c r="H2061" i="442" s="1"/>
  <c r="H900" i="442" a="1"/>
  <c r="H900" i="442" s="1"/>
  <c r="H899" i="442" s="1" a="1"/>
  <c r="H899" i="442" s="1"/>
  <c r="H1545" i="442" a="1"/>
  <c r="H1545" i="442" s="1"/>
  <c r="H1544" i="442" s="1" a="1"/>
  <c r="H1544" i="442" s="1"/>
  <c r="H1543" i="442" s="1" a="1"/>
  <c r="H1543" i="442" s="1"/>
  <c r="H1542" i="442" s="1" a="1"/>
  <c r="H1542" i="442" s="1"/>
  <c r="H2147" i="442" a="1"/>
  <c r="H2147" i="442" s="1"/>
  <c r="H2146" i="442" s="1" a="1"/>
  <c r="H2146" i="442" s="1"/>
  <c r="H1690" i="442" a="1"/>
  <c r="H1690" i="442" s="1"/>
  <c r="H1689" i="442" s="1" a="1"/>
  <c r="H1689" i="442" s="1"/>
  <c r="H962" i="442" a="1"/>
  <c r="H962" i="442" s="1"/>
  <c r="H961" i="442" s="1" a="1"/>
  <c r="H961" i="442" s="1"/>
  <c r="H1541" i="442" a="1"/>
  <c r="H1541" i="442" s="1"/>
  <c r="H1540" i="442" s="1" a="1"/>
  <c r="H1540" i="442" s="1"/>
  <c r="H1539" i="442" s="1" a="1"/>
  <c r="H1539" i="442" s="1"/>
  <c r="H1538" i="442" s="1" a="1"/>
  <c r="H1538" i="442" s="1"/>
  <c r="H1425" i="442" a="1"/>
  <c r="H1425" i="442" s="1"/>
  <c r="H1424" i="442" s="1" a="1"/>
  <c r="H1424" i="442" s="1"/>
  <c r="H1423" i="442" s="1" a="1"/>
  <c r="H1423" i="442" s="1"/>
  <c r="H1422" i="442" s="1" a="1"/>
  <c r="H1422" i="442" s="1"/>
  <c r="H1421" i="442" s="1" a="1"/>
  <c r="H1421" i="442" s="1"/>
  <c r="H1099" i="442" a="1"/>
  <c r="H1099" i="442" s="1"/>
  <c r="H1098" i="442" s="1" a="1"/>
  <c r="H1098" i="442" s="1"/>
  <c r="H1325" i="442" a="1"/>
  <c r="H1325" i="442" s="1"/>
  <c r="H1324" i="442" s="1" a="1"/>
  <c r="H1324" i="442" s="1"/>
  <c r="H1699" i="442" a="1"/>
  <c r="H1699" i="442" s="1"/>
  <c r="H1698" i="442" s="1" a="1"/>
  <c r="H1698" i="442" s="1"/>
  <c r="H1697" i="442" s="1" a="1"/>
  <c r="H1697" i="442" s="1"/>
  <c r="H1696" i="442" s="1" a="1"/>
  <c r="H1696" i="442" s="1"/>
  <c r="H997" i="442" a="1"/>
  <c r="H997" i="442" s="1"/>
  <c r="H996" i="442" s="1" a="1"/>
  <c r="H996" i="442" s="1"/>
  <c r="M118" i="436" s="1"/>
  <c r="H1853" i="442" a="1"/>
  <c r="H1853" i="442" s="1"/>
  <c r="H1852" i="442" s="1" a="1"/>
  <c r="H1852" i="442" s="1"/>
  <c r="H1475" i="442" a="1"/>
  <c r="H1475" i="442" s="1"/>
  <c r="H1474" i="442" s="1" a="1"/>
  <c r="H1474" i="442" s="1"/>
  <c r="H1473" i="442" s="1" a="1"/>
  <c r="H1473" i="442" s="1"/>
  <c r="H1472" i="442" s="1" a="1"/>
  <c r="H1472" i="442" s="1"/>
  <c r="H1471" i="442" s="1" a="1"/>
  <c r="H1471" i="442" s="1"/>
  <c r="H624" i="442" a="1"/>
  <c r="H624" i="442" s="1"/>
  <c r="H623" i="442" s="1" a="1"/>
  <c r="H623" i="442" s="1"/>
  <c r="H467" i="442" a="1"/>
  <c r="H467" i="442" s="1"/>
  <c r="H466" i="442" s="1" a="1"/>
  <c r="H466" i="442" s="1"/>
  <c r="H465" i="442" s="1" a="1"/>
  <c r="H465" i="442" s="1"/>
  <c r="H464" i="442" s="1" a="1"/>
  <c r="H464" i="442" s="1"/>
  <c r="H463" i="442" s="1" a="1"/>
  <c r="H463" i="442" s="1"/>
  <c r="H462" i="442" s="1" a="1"/>
  <c r="H462" i="442" s="1"/>
  <c r="H1485" i="442" a="1"/>
  <c r="H1485" i="442" s="1"/>
  <c r="H1484" i="442" s="1" a="1"/>
  <c r="H1484" i="442" s="1"/>
  <c r="H1483" i="442" s="1" a="1"/>
  <c r="H1483" i="442" s="1"/>
  <c r="H1482" i="442" s="1" a="1"/>
  <c r="H1482" i="442" s="1"/>
  <c r="H1481" i="442" s="1" a="1"/>
  <c r="H1481" i="442" s="1"/>
  <c r="H407" i="442" a="1"/>
  <c r="H407" i="442" s="1"/>
  <c r="H406" i="442" s="1" a="1"/>
  <c r="H406" i="442" s="1"/>
  <c r="H1301" i="442" a="1"/>
  <c r="H1301" i="442" s="1"/>
  <c r="H1300" i="442" s="1" a="1"/>
  <c r="H1300" i="442" s="1"/>
  <c r="H1299" i="442" s="1" a="1"/>
  <c r="H1299" i="442" s="1"/>
  <c r="H2053" i="442" a="1"/>
  <c r="H2053" i="442" s="1"/>
  <c r="H2052" i="442" s="1" a="1"/>
  <c r="H2052" i="442" s="1"/>
  <c r="H2051" i="442" s="1" a="1"/>
  <c r="H2051" i="442" s="1"/>
  <c r="H2050" i="442" s="1" a="1"/>
  <c r="H2050" i="442" s="1"/>
  <c r="H2049" i="442" s="1" a="1"/>
  <c r="H2049" i="442" s="1"/>
  <c r="H335" i="442" a="1"/>
  <c r="H335" i="442" s="1"/>
  <c r="H334" i="442" s="1" a="1"/>
  <c r="H334" i="442" s="1"/>
  <c r="H333" i="442" s="1" a="1"/>
  <c r="H333" i="442" s="1"/>
  <c r="H332" i="442" s="1" a="1"/>
  <c r="H332" i="442" s="1"/>
  <c r="H331" i="442" s="1" a="1"/>
  <c r="H331" i="442" s="1"/>
  <c r="H330" i="442" s="1" a="1"/>
  <c r="H330" i="442" s="1"/>
  <c r="H329" i="442" s="1" a="1"/>
  <c r="H329" i="442" s="1"/>
  <c r="H1004" i="442" a="1"/>
  <c r="H1004" i="442" s="1"/>
  <c r="H1003" i="442" s="1" a="1"/>
  <c r="H1003" i="442" s="1"/>
  <c r="H1002" i="442" s="1" a="1"/>
  <c r="H1002" i="442" s="1"/>
  <c r="H1001" i="442" s="1" a="1"/>
  <c r="H1001" i="442" s="1"/>
  <c r="H1000" i="442" s="1" a="1"/>
  <c r="H1000" i="442" s="1"/>
  <c r="H265" i="442" a="1"/>
  <c r="H265" i="442" s="1"/>
  <c r="H264" i="442" s="1" a="1"/>
  <c r="H264" i="442" s="1"/>
  <c r="H2038" i="442" a="1"/>
  <c r="H2038" i="442" s="1"/>
  <c r="H2037" i="442" s="1" a="1"/>
  <c r="H2037" i="442" s="1"/>
  <c r="H2036" i="442" s="1" a="1"/>
  <c r="H2036" i="442" s="1"/>
  <c r="H2035" i="442" s="1" a="1"/>
  <c r="H2035" i="442" s="1"/>
  <c r="H2034" i="442" s="1" a="1"/>
  <c r="H2034" i="442" s="1"/>
  <c r="H1291" i="442" a="1"/>
  <c r="H1291" i="442" s="1"/>
  <c r="H1290" i="442" s="1" a="1"/>
  <c r="H1290" i="442" s="1"/>
  <c r="H1289" i="442" s="1" a="1"/>
  <c r="H1289" i="442" s="1"/>
  <c r="H1288" i="442" s="1" a="1"/>
  <c r="H1288" i="442" s="1"/>
  <c r="H601" i="442" a="1"/>
  <c r="H601" i="442" s="1"/>
  <c r="H600" i="442" s="1" a="1"/>
  <c r="H600" i="442" s="1"/>
  <c r="H1013" i="442" a="1"/>
  <c r="H1013" i="442" s="1"/>
  <c r="H1012" i="442" s="1" a="1"/>
  <c r="H1012" i="442" s="1"/>
  <c r="H1011" i="442" s="1" a="1"/>
  <c r="H1011" i="442" s="1"/>
  <c r="H1010" i="442" s="1" a="1"/>
  <c r="H1010" i="442" s="1"/>
  <c r="H1009" i="442" s="1" a="1"/>
  <c r="H1009" i="442" s="1"/>
  <c r="H673" i="442" a="1"/>
  <c r="H673" i="442" s="1"/>
  <c r="H672" i="442" s="1" a="1"/>
  <c r="H672" i="442" s="1"/>
  <c r="H671" i="442" s="1" a="1"/>
  <c r="H671" i="442" s="1"/>
  <c r="H450" i="442" a="1"/>
  <c r="H450" i="442" s="1"/>
  <c r="H449" i="442" s="1" a="1"/>
  <c r="H449" i="442" s="1"/>
  <c r="H448" i="442" s="1" a="1"/>
  <c r="H448" i="442" s="1"/>
  <c r="H447" i="442" s="1" a="1"/>
  <c r="H447" i="442" s="1"/>
  <c r="H2086" i="442" a="1"/>
  <c r="H2086" i="442" s="1"/>
  <c r="H2085" i="442" s="1" a="1"/>
  <c r="H2085" i="442" s="1"/>
  <c r="H2084" i="442" s="1" a="1"/>
  <c r="H2084" i="442" s="1"/>
  <c r="H1737" i="442" a="1"/>
  <c r="H1737" i="442" s="1"/>
  <c r="H1736" i="442" s="1" a="1"/>
  <c r="H1736" i="442" s="1"/>
  <c r="H1558" i="442" a="1"/>
  <c r="H1558" i="442" s="1"/>
  <c r="H1557" i="442" s="1" a="1"/>
  <c r="H1557" i="442" s="1"/>
  <c r="H1556" i="442" s="1" a="1"/>
  <c r="H1556" i="442" s="1"/>
  <c r="M162" i="436" s="1"/>
  <c r="H1430" i="442" a="1"/>
  <c r="H1430" i="442" s="1"/>
  <c r="H1429" i="442" s="1" a="1"/>
  <c r="H1429" i="442" s="1"/>
  <c r="H1428" i="442" s="1" a="1"/>
  <c r="H1428" i="442" s="1"/>
  <c r="H1427" i="442" s="1" a="1"/>
  <c r="H1427" i="442" s="1"/>
  <c r="H1426" i="442" s="1" a="1"/>
  <c r="H1426" i="442" s="1"/>
  <c r="H1238" i="442" a="1"/>
  <c r="H1238" i="442" s="1"/>
  <c r="H1237" i="442" s="1" a="1"/>
  <c r="H1237" i="442" s="1"/>
  <c r="H1236" i="442" s="1" a="1"/>
  <c r="H1236" i="442" s="1"/>
  <c r="H2100" i="442" a="1"/>
  <c r="H2100" i="442" s="1"/>
  <c r="H2099" i="442" s="1" a="1"/>
  <c r="H2099" i="442" s="1"/>
  <c r="H2098" i="442" s="1" a="1"/>
  <c r="H2098" i="442" s="1"/>
  <c r="H2141" i="442" a="1"/>
  <c r="H2141" i="442" s="1"/>
  <c r="H2140" i="442" s="1" a="1"/>
  <c r="H2140" i="442" s="1"/>
  <c r="H2139" i="442" s="1" a="1"/>
  <c r="H2139" i="442" s="1"/>
  <c r="H906" i="442" a="1"/>
  <c r="H906" i="442" s="1"/>
  <c r="H1855" i="442" a="1"/>
  <c r="H1855" i="442" s="1"/>
  <c r="H1854" i="442" s="1" a="1"/>
  <c r="H1854" i="442" s="1"/>
  <c r="H907" i="442" a="1"/>
  <c r="H907" i="442" s="1"/>
  <c r="H626" i="442" a="1"/>
  <c r="H626" i="442" s="1"/>
  <c r="H625" i="442" s="1" a="1"/>
  <c r="H625" i="442" s="1"/>
  <c r="H261" i="442" a="1"/>
  <c r="H261" i="442" s="1"/>
  <c r="H260" i="442" s="1" a="1"/>
  <c r="H260" i="442" s="1"/>
  <c r="H1259" i="442" a="1"/>
  <c r="H1259" i="442" s="1"/>
  <c r="H1258" i="442" s="1" a="1"/>
  <c r="H1258" i="442" s="1"/>
  <c r="H1257" i="442" s="1" a="1"/>
  <c r="H1257" i="442" s="1"/>
  <c r="H1256" i="442" s="1" a="1"/>
  <c r="H1256" i="442" s="1"/>
  <c r="H1400" i="442" a="1"/>
  <c r="H1400" i="442" s="1"/>
  <c r="H1399" i="442" s="1" a="1"/>
  <c r="H1399" i="442" s="1"/>
  <c r="H1398" i="442" s="1" a="1"/>
  <c r="H1398" i="442" s="1"/>
  <c r="H1397" i="442" s="1" a="1"/>
  <c r="H1397" i="442" s="1"/>
  <c r="H1396" i="442" s="1" a="1"/>
  <c r="H1396" i="442" s="1"/>
  <c r="M151" i="436" s="1"/>
  <c r="H2123" i="442" a="1"/>
  <c r="H2123" i="442" s="1"/>
  <c r="H2122" i="442" s="1" a="1"/>
  <c r="H2122" i="442" s="1"/>
  <c r="H2117" i="442" a="1"/>
  <c r="H2117" i="442" s="1"/>
  <c r="H2116" i="442" s="1" a="1"/>
  <c r="H2116" i="442" s="1"/>
  <c r="H2159" i="442" a="1"/>
  <c r="H2159" i="442" s="1"/>
  <c r="H2158" i="442" s="1" a="1"/>
  <c r="H2158" i="442" s="1"/>
  <c r="H1630" i="442" a="1"/>
  <c r="H1630" i="442" s="1"/>
  <c r="H1629" i="442" s="1" a="1"/>
  <c r="H1629" i="442" s="1"/>
  <c r="H1033" i="442" a="1"/>
  <c r="H1033" i="442" s="1"/>
  <c r="H1032" i="442" s="1" a="1"/>
  <c r="H1032" i="442" s="1"/>
  <c r="H1031" i="442" s="1" a="1"/>
  <c r="H1031" i="442" s="1"/>
  <c r="H1030" i="442" s="1" a="1"/>
  <c r="H1030" i="442" s="1"/>
  <c r="H1029" i="442" s="1" a="1"/>
  <c r="H1029" i="442" s="1"/>
  <c r="H1889" i="442" a="1"/>
  <c r="H1889" i="442" s="1"/>
  <c r="H1888" i="442" s="1" a="1"/>
  <c r="H1888" i="442" s="1"/>
  <c r="H942" i="442" a="1"/>
  <c r="H942" i="442" s="1"/>
  <c r="H941" i="442" s="1" a="1"/>
  <c r="H941" i="442" s="1"/>
  <c r="H940" i="442" s="1" a="1"/>
  <c r="H940" i="442" s="1"/>
  <c r="H1216" i="442" a="1"/>
  <c r="H1216" i="442" s="1"/>
  <c r="H1215" i="442" s="1" a="1"/>
  <c r="H1215" i="442" s="1"/>
  <c r="H1214" i="442" s="1" a="1"/>
  <c r="H1214" i="442" s="1"/>
  <c r="H1136" i="442" a="1"/>
  <c r="H1136" i="442" s="1"/>
  <c r="H1135" i="442" s="1" a="1"/>
  <c r="H1135" i="442" s="1"/>
  <c r="H1134" i="442" s="1" a="1"/>
  <c r="H1134" i="442" s="1"/>
  <c r="H1891" i="442" a="1"/>
  <c r="H1891" i="442" s="1"/>
  <c r="H1890" i="442" s="1" a="1"/>
  <c r="H1890" i="442" s="1"/>
  <c r="H1335" i="442" a="1"/>
  <c r="H1335" i="442" s="1"/>
  <c r="H1334" i="442" s="1" a="1"/>
  <c r="H1334" i="442" s="1"/>
  <c r="H1207" i="442" a="1"/>
  <c r="H1207" i="442" s="1"/>
  <c r="H1206" i="442" s="1" a="1"/>
  <c r="H1206" i="442" s="1"/>
  <c r="H1205" i="442" s="1" a="1"/>
  <c r="H1205" i="442" s="1"/>
  <c r="H1843" i="442" a="1"/>
  <c r="H1843" i="442" s="1"/>
  <c r="H1842" i="442" s="1" a="1"/>
  <c r="H1842" i="442" s="1"/>
  <c r="H1957" i="442" a="1"/>
  <c r="H1957" i="442" s="1"/>
  <c r="H1956" i="442" s="1" a="1"/>
  <c r="H1956" i="442" s="1"/>
  <c r="H1955" i="442" s="1" a="1"/>
  <c r="H1955" i="442" s="1"/>
  <c r="H1954" i="442" s="1" a="1"/>
  <c r="H1954" i="442" s="1"/>
  <c r="H1953" i="442" s="1" a="1"/>
  <c r="H1953" i="442" s="1"/>
  <c r="H894" i="442" a="1"/>
  <c r="H894" i="442" s="1"/>
  <c r="H893" i="442" s="1" a="1"/>
  <c r="H893" i="442" s="1"/>
  <c r="M74" i="436" s="1"/>
  <c r="H2028" i="442" a="1"/>
  <c r="H2028" i="442" s="1"/>
  <c r="H2027" i="442" s="1" a="1"/>
  <c r="H2027" i="442" s="1"/>
  <c r="H2026" i="442" s="1" a="1"/>
  <c r="H2026" i="442" s="1"/>
  <c r="H2025" i="442" s="1" a="1"/>
  <c r="H2025" i="442" s="1"/>
  <c r="H2024" i="442" s="1" a="1"/>
  <c r="H2024" i="442" s="1"/>
  <c r="H1787" i="442" a="1"/>
  <c r="H1787" i="442" s="1"/>
  <c r="H1786" i="442" s="1" a="1"/>
  <c r="H1786" i="442" s="1"/>
  <c r="H1785" i="442" s="1" a="1"/>
  <c r="H1785" i="442" s="1"/>
  <c r="H1250" i="442" a="1"/>
  <c r="H1250" i="442" s="1"/>
  <c r="H1249" i="442" s="1" a="1"/>
  <c r="H1249" i="442" s="1"/>
  <c r="H1248" i="442" s="1" a="1"/>
  <c r="H1248" i="442" s="1"/>
  <c r="H2007" i="442" a="1"/>
  <c r="H2007" i="442" s="1"/>
  <c r="H2006" i="442" s="1" a="1"/>
  <c r="H2006" i="442" s="1"/>
  <c r="H2005" i="442" s="1" a="1"/>
  <c r="H2005" i="442" s="1"/>
  <c r="H2004" i="442" s="1" a="1"/>
  <c r="H2004" i="442" s="1"/>
  <c r="H2003" i="442" s="1" a="1"/>
  <c r="H2003" i="442" s="1"/>
  <c r="H2091" i="442" a="1"/>
  <c r="H2091" i="442" s="1"/>
  <c r="H2090" i="442" s="1" a="1"/>
  <c r="H2090" i="442" s="1"/>
  <c r="M221" i="436" s="1"/>
  <c r="H1634" i="442" a="1"/>
  <c r="H1634" i="442" s="1"/>
  <c r="H1633" i="442" s="1" a="1"/>
  <c r="H1633" i="442" s="1"/>
  <c r="H2132" i="442" a="1"/>
  <c r="H2132" i="442" s="1"/>
  <c r="H2131" i="442" s="1" a="1"/>
  <c r="H2131" i="442" s="1"/>
  <c r="H2130" i="442" s="1" a="1"/>
  <c r="H2130" i="442" s="1"/>
  <c r="H951" i="442" a="1"/>
  <c r="H951" i="442" s="1"/>
  <c r="H950" i="442" s="1" a="1"/>
  <c r="H950" i="442" s="1"/>
  <c r="H1111" i="442" a="1"/>
  <c r="H1111" i="442" s="1"/>
  <c r="H1110" i="442" s="1" a="1"/>
  <c r="H1110" i="442" s="1"/>
  <c r="H1470" i="442" a="1"/>
  <c r="H1470" i="442" s="1"/>
  <c r="H1469" i="442" s="1" a="1"/>
  <c r="H1469" i="442" s="1"/>
  <c r="H1468" i="442" s="1" a="1"/>
  <c r="H1468" i="442" s="1"/>
  <c r="H1467" i="442" s="1" a="1"/>
  <c r="H1467" i="442" s="1"/>
  <c r="H1466" i="442" s="1" a="1"/>
  <c r="H1466" i="442" s="1"/>
  <c r="H1642" i="442" a="1"/>
  <c r="H1642" i="442" s="1"/>
  <c r="H1641" i="442" s="1" a="1"/>
  <c r="H1641" i="442" s="1"/>
  <c r="H1640" i="442" s="1" a="1"/>
  <c r="H1640" i="442" s="1"/>
  <c r="H1639" i="442" s="1" a="1"/>
  <c r="H1639" i="442" s="1"/>
  <c r="H1638" i="442" s="1" a="1"/>
  <c r="H1638" i="442" s="1"/>
  <c r="H1751" i="442" a="1"/>
  <c r="H1751" i="442" s="1"/>
  <c r="H1750" i="442" s="1" a="1"/>
  <c r="H1750" i="442" s="1"/>
  <c r="N196" i="436" s="1"/>
  <c r="H1164" i="442" a="1"/>
  <c r="H1164" i="442" s="1"/>
  <c r="H1163" i="442" s="1" a="1"/>
  <c r="H1163" i="442" s="1"/>
  <c r="H1162" i="442" s="1" a="1"/>
  <c r="H1162" i="442" s="1"/>
  <c r="H1863" i="442" a="1"/>
  <c r="H1863" i="442" s="1"/>
  <c r="H1862" i="442" s="1" a="1"/>
  <c r="H1862" i="442" s="1"/>
  <c r="H1101" i="442" a="1"/>
  <c r="H1101" i="442" s="1"/>
  <c r="H1100" i="442" s="1" a="1"/>
  <c r="H1100" i="442" s="1"/>
  <c r="N167" i="436" s="1"/>
  <c r="H1450" i="442" a="1"/>
  <c r="H1450" i="442" s="1"/>
  <c r="H1449" i="442" s="1" a="1"/>
  <c r="H1449" i="442" s="1"/>
  <c r="H1448" i="442" s="1" a="1"/>
  <c r="H1448" i="442" s="1"/>
  <c r="H1447" i="442" s="1" a="1"/>
  <c r="H1447" i="442" s="1"/>
  <c r="H1446" i="442" s="1" a="1"/>
  <c r="H1446" i="442" s="1"/>
  <c r="H1152" i="442" a="1"/>
  <c r="H1152" i="442" s="1"/>
  <c r="H1151" i="442" s="1" a="1"/>
  <c r="H1151" i="442" s="1"/>
  <c r="H953" i="442" a="1"/>
  <c r="H953" i="442" s="1"/>
  <c r="H952" i="442" s="1" a="1"/>
  <c r="H952" i="442" s="1"/>
  <c r="M136" i="436" s="1"/>
  <c r="N136" i="436" s="1"/>
  <c r="H1873" i="442" a="1"/>
  <c r="H1873" i="442" s="1"/>
  <c r="H1872" i="442" s="1" a="1"/>
  <c r="H1872" i="442" s="1"/>
  <c r="M212" i="436" s="1"/>
  <c r="H1053" i="442" a="1"/>
  <c r="H1053" i="442" s="1"/>
  <c r="H1052" i="442" s="1" a="1"/>
  <c r="H1052" i="442" s="1"/>
  <c r="H1051" i="442" s="1" a="1"/>
  <c r="H1051" i="442" s="1"/>
  <c r="H1050" i="442" s="1" a="1"/>
  <c r="H1050" i="442" s="1"/>
  <c r="H1049" i="442" s="1" a="1"/>
  <c r="H1049" i="442" s="1"/>
  <c r="H921" i="442" a="1"/>
  <c r="H921" i="442" s="1"/>
  <c r="H920" i="442" s="1" a="1"/>
  <c r="H920" i="442" s="1"/>
  <c r="H919" i="442" s="1" a="1"/>
  <c r="H919" i="442" s="1"/>
  <c r="H2151" i="442" a="1"/>
  <c r="H2151" i="442" s="1"/>
  <c r="H2150" i="442" s="1" a="1"/>
  <c r="H2150" i="442" s="1"/>
  <c r="H1837" i="442" a="1"/>
  <c r="H1837" i="442" s="1"/>
  <c r="H1836" i="442" s="1" a="1"/>
  <c r="H1836" i="442" s="1"/>
  <c r="H1835" i="442" s="1" a="1"/>
  <c r="H1835" i="442" s="1"/>
  <c r="H1349" i="442" a="1"/>
  <c r="H1349" i="442" s="1"/>
  <c r="H1348" i="442" s="1" a="1"/>
  <c r="H1348" i="442" s="1"/>
  <c r="H1347" i="442" s="1" a="1"/>
  <c r="H1347" i="442" s="1"/>
  <c r="H991" i="442" a="1"/>
  <c r="H991" i="442" s="1"/>
  <c r="H990" i="442" s="1" a="1"/>
  <c r="H990" i="442" s="1"/>
  <c r="H1789" i="442" a="1"/>
  <c r="H1789" i="442" s="1"/>
  <c r="H1788" i="442" s="1" a="1"/>
  <c r="H1788" i="442" s="1"/>
  <c r="H1308" i="442" a="1"/>
  <c r="H1308" i="442" s="1"/>
  <c r="H1307" i="442" s="1" a="1"/>
  <c r="H1307" i="442" s="1"/>
  <c r="H1306" i="442" s="1" a="1"/>
  <c r="H1306" i="442" s="1"/>
  <c r="H1305" i="442" s="1" a="1"/>
  <c r="H1305" i="442" s="1"/>
  <c r="H1169" i="442" a="1"/>
  <c r="H1169" i="442" s="1"/>
  <c r="H2069" i="442" a="1"/>
  <c r="H2069" i="442" s="1"/>
  <c r="H2068" i="442" s="1" a="1"/>
  <c r="H2068" i="442" s="1"/>
  <c r="H1762" i="442" a="1"/>
  <c r="H1762" i="442" s="1"/>
  <c r="H1761" i="442" s="1" a="1"/>
  <c r="H1761" i="442" s="1"/>
  <c r="H1760" i="442" s="1" a="1"/>
  <c r="H1760" i="442" s="1"/>
  <c r="M201" i="436" s="1"/>
  <c r="H2129" i="442" a="1"/>
  <c r="H2129" i="442" s="1"/>
  <c r="H2128" i="442" s="1" a="1"/>
  <c r="H2128" i="442" s="1"/>
  <c r="H2176" i="442" a="1"/>
  <c r="H2176" i="442" s="1"/>
  <c r="H2175" i="442" s="1" a="1"/>
  <c r="H2175" i="442" s="1"/>
  <c r="H2174" i="442" s="1" a="1"/>
  <c r="H2174" i="442" s="1"/>
  <c r="H2173" i="442" s="1" a="1"/>
  <c r="H2173" i="442" s="1"/>
  <c r="H2172" i="442" s="1" a="1"/>
  <c r="H2172" i="442" s="1"/>
  <c r="H2171" i="442" s="1" a="1"/>
  <c r="H2171" i="442" s="1"/>
  <c r="H2170" i="442" s="1" a="1"/>
  <c r="H2170" i="442" s="1"/>
  <c r="H2169" i="442" s="1" a="1"/>
  <c r="H2169" i="442" s="1"/>
  <c r="H1747" i="442" a="1"/>
  <c r="H1747" i="442" s="1"/>
  <c r="H1746" i="442" s="1" a="1"/>
  <c r="H1746" i="442" s="1"/>
  <c r="H1229" i="442" a="1"/>
  <c r="H1229" i="442" s="1"/>
  <c r="H1228" i="442" s="1" a="1"/>
  <c r="H1228" i="442" s="1"/>
  <c r="H1227" i="442" s="1" a="1"/>
  <c r="H1227" i="442" s="1"/>
  <c r="H1226" i="442" s="1" a="1"/>
  <c r="H1226" i="442" s="1"/>
  <c r="H1390" i="442" a="1"/>
  <c r="H1390" i="442" s="1"/>
  <c r="H1389" i="442" s="1" a="1"/>
  <c r="H1389" i="442" s="1"/>
  <c r="H1388" i="442" s="1" a="1"/>
  <c r="H1388" i="442" s="1"/>
  <c r="H1387" i="442" s="1" a="1"/>
  <c r="H1387" i="442" s="1"/>
  <c r="H1386" i="442" s="1" a="1"/>
  <c r="H1386" i="442" s="1"/>
  <c r="H1344" i="442" a="1"/>
  <c r="H1344" i="442" s="1"/>
  <c r="H1343" i="442" s="1" a="1"/>
  <c r="H1343" i="442" s="1"/>
  <c r="H1756" i="442" a="1"/>
  <c r="H1756" i="442" s="1"/>
  <c r="H1755" i="442" s="1" a="1"/>
  <c r="H1755" i="442" s="1"/>
  <c r="M200" i="436" s="1"/>
  <c r="H1967" i="442" a="1"/>
  <c r="H1967" i="442" s="1"/>
  <c r="H1966" i="442" s="1" a="1"/>
  <c r="H1966" i="442" s="1"/>
  <c r="H1965" i="442" s="1" a="1"/>
  <c r="H1965" i="442" s="1"/>
  <c r="H1964" i="442" s="1" a="1"/>
  <c r="H1964" i="442" s="1"/>
  <c r="H1963" i="442" s="1" a="1"/>
  <c r="H1963" i="442" s="1"/>
  <c r="H1977" i="442" a="1"/>
  <c r="H1977" i="442" s="1"/>
  <c r="H1976" i="442" s="1" a="1"/>
  <c r="H1976" i="442" s="1"/>
  <c r="H1975" i="442" s="1" a="1"/>
  <c r="H1975" i="442" s="1"/>
  <c r="H1974" i="442" s="1" a="1"/>
  <c r="H1974" i="442" s="1"/>
  <c r="H1973" i="442" s="1" a="1"/>
  <c r="H1973" i="442" s="1"/>
  <c r="H1831" i="442" a="1"/>
  <c r="H1831" i="442" s="1"/>
  <c r="H1830" i="442" s="1" a="1"/>
  <c r="H1830" i="442" s="1"/>
  <c r="H1829" i="442" s="1" a="1"/>
  <c r="H1829" i="442" s="1"/>
  <c r="H1632" i="442" a="1"/>
  <c r="H1632" i="442" s="1"/>
  <c r="H1631" i="442" s="1" a="1"/>
  <c r="H1631" i="442" s="1"/>
  <c r="H1522" i="442" a="1"/>
  <c r="H1522" i="442" s="1"/>
  <c r="H1521" i="442" s="1" a="1"/>
  <c r="H1521" i="442" s="1"/>
  <c r="H1520" i="442" s="1" a="1"/>
  <c r="H1520" i="442" s="1"/>
  <c r="H1519" i="442" s="1" a="1"/>
  <c r="H1519" i="442" s="1"/>
  <c r="M154" i="436" s="1"/>
  <c r="H1225" i="442" a="1"/>
  <c r="H1225" i="442" s="1"/>
  <c r="H1224" i="442" s="1" a="1"/>
  <c r="H1224" i="442" s="1"/>
  <c r="H1223" i="442" s="1" a="1"/>
  <c r="H1223" i="442" s="1"/>
  <c r="H966" i="442" a="1"/>
  <c r="H966" i="442" s="1"/>
  <c r="H965" i="442" s="1" a="1"/>
  <c r="H965" i="442" s="1"/>
  <c r="M145" i="436" s="1"/>
  <c r="H2127" i="442" a="1"/>
  <c r="H2127" i="442" s="1"/>
  <c r="H2126" i="442" s="1" a="1"/>
  <c r="H2126" i="442" s="1"/>
  <c r="H2125" i="442" s="1" a="1"/>
  <c r="H2125" i="442" s="1"/>
  <c r="H2124" i="442" s="1" a="1"/>
  <c r="H2124" i="442" s="1"/>
  <c r="H1828" i="442" a="1"/>
  <c r="H1828" i="442" s="1"/>
  <c r="H1827" i="442" s="1" a="1"/>
  <c r="H1827" i="442" s="1"/>
  <c r="H1826" i="442" s="1" a="1"/>
  <c r="H1826" i="442" s="1"/>
  <c r="H1845" i="442" a="1"/>
  <c r="H1845" i="442" s="1"/>
  <c r="H1844" i="442" s="1" a="1"/>
  <c r="H1844" i="442" s="1"/>
  <c r="H1304" i="442" a="1"/>
  <c r="H1304" i="442" s="1"/>
  <c r="H1303" i="442" s="1" a="1"/>
  <c r="H1303" i="442" s="1"/>
  <c r="H1302" i="442" s="1" a="1"/>
  <c r="H1302" i="442" s="1"/>
  <c r="H1592" i="442" a="1"/>
  <c r="H1592" i="442" s="1"/>
  <c r="H1591" i="442" s="1" a="1"/>
  <c r="H1591" i="442" s="1"/>
  <c r="H1590" i="442" s="1" a="1"/>
  <c r="H1590" i="442" s="1"/>
  <c r="H1927" i="442" a="1"/>
  <c r="H1927" i="442" s="1"/>
  <c r="H1926" i="442" s="1" a="1"/>
  <c r="H1926" i="442" s="1"/>
  <c r="H1925" i="442" s="1" a="1"/>
  <c r="H1925" i="442" s="1"/>
  <c r="H1924" i="442" s="1" a="1"/>
  <c r="H1924" i="442" s="1"/>
  <c r="H1952" i="442" a="1"/>
  <c r="H1952" i="442" s="1"/>
  <c r="H1951" i="442" s="1" a="1"/>
  <c r="H1951" i="442" s="1"/>
  <c r="H1950" i="442" s="1" a="1"/>
  <c r="H1950" i="442" s="1"/>
  <c r="H1235" i="442" a="1"/>
  <c r="H1235" i="442" s="1"/>
  <c r="H1234" i="442" s="1" a="1"/>
  <c r="H1234" i="442" s="1"/>
  <c r="H1233" i="442" s="1" a="1"/>
  <c r="H1233" i="442" s="1"/>
  <c r="H1524" i="442" a="1"/>
  <c r="H1524" i="442" s="1"/>
  <c r="H1523" i="442" s="1" a="1"/>
  <c r="H1523" i="442" s="1"/>
  <c r="H918" i="442" a="1"/>
  <c r="H918" i="442" s="1"/>
  <c r="H917" i="442" s="1" a="1"/>
  <c r="H917" i="442" s="1"/>
  <c r="H916" i="442" s="1" a="1"/>
  <c r="H916" i="442" s="1"/>
  <c r="M124" i="436" s="1"/>
  <c r="H1972" i="442" a="1"/>
  <c r="H1972" i="442" s="1"/>
  <c r="H1971" i="442" s="1" a="1"/>
  <c r="H1971" i="442" s="1"/>
  <c r="H1970" i="442" s="1" a="1"/>
  <c r="H1970" i="442" s="1"/>
  <c r="H1969" i="442" s="1" a="1"/>
  <c r="H1969" i="442" s="1"/>
  <c r="H1968" i="442" s="1" a="1"/>
  <c r="H1968" i="442" s="1"/>
  <c r="H1849" i="442" a="1"/>
  <c r="H1849" i="442" s="1"/>
  <c r="H1848" i="442" s="1" a="1"/>
  <c r="H1848" i="442" s="1"/>
  <c r="H1664" i="442" a="1"/>
  <c r="H1664" i="442" s="1"/>
  <c r="H1663" i="442" s="1" a="1"/>
  <c r="H1663" i="442" s="1"/>
  <c r="H1662" i="442" s="1" a="1"/>
  <c r="H1662" i="442" s="1"/>
  <c r="H1661" i="442" s="1" a="1"/>
  <c r="H1661" i="442" s="1"/>
  <c r="H1660" i="442" s="1" a="1"/>
  <c r="H1660" i="442" s="1"/>
  <c r="H1480" i="442" a="1"/>
  <c r="H1480" i="442" s="1"/>
  <c r="H1479" i="442" s="1" a="1"/>
  <c r="H1479" i="442" s="1"/>
  <c r="H1478" i="442" s="1" a="1"/>
  <c r="H1478" i="442" s="1"/>
  <c r="H1477" i="442" s="1" a="1"/>
  <c r="H1477" i="442" s="1"/>
  <c r="H1476" i="442" s="1" a="1"/>
  <c r="H1476" i="442" s="1"/>
  <c r="H652" i="442" a="1"/>
  <c r="H652" i="442" s="1"/>
  <c r="H651" i="442" s="1" a="1"/>
  <c r="H651" i="442" s="1"/>
  <c r="H650" i="442" s="1" a="1"/>
  <c r="H650" i="442" s="1"/>
  <c r="H1385" i="442" a="1"/>
  <c r="H1385" i="442" s="1"/>
  <c r="H1384" i="442" s="1" a="1"/>
  <c r="H1384" i="442" s="1"/>
  <c r="H1383" i="442" s="1" a="1"/>
  <c r="H1383" i="442" s="1"/>
  <c r="H1382" i="442" s="1" a="1"/>
  <c r="H1382" i="442" s="1"/>
  <c r="H1381" i="442" s="1" a="1"/>
  <c r="H1381" i="442" s="1"/>
  <c r="H862" i="442" a="1"/>
  <c r="H862" i="442" s="1"/>
  <c r="H861" i="442" s="1" a="1"/>
  <c r="H861" i="442" s="1"/>
  <c r="H860" i="442" s="1" a="1"/>
  <c r="H860" i="442" s="1"/>
  <c r="H859" i="442" s="1" a="1"/>
  <c r="H859" i="442" s="1"/>
  <c r="H858" i="442" s="1" a="1"/>
  <c r="H858" i="442" s="1"/>
  <c r="H857" i="442" s="1" a="1"/>
  <c r="H857" i="442" s="1"/>
  <c r="H856" i="442" s="1" a="1"/>
  <c r="H856" i="442" s="1"/>
  <c r="H855" i="442" s="1" a="1"/>
  <c r="H855" i="442" s="1"/>
  <c r="H854" i="442" s="1" a="1"/>
  <c r="H854" i="442" s="1"/>
  <c r="H853" i="442" s="1" a="1"/>
  <c r="H853" i="442" s="1"/>
  <c r="H852" i="442" s="1" a="1"/>
  <c r="H852" i="442" s="1"/>
  <c r="H851" i="442" s="1" a="1"/>
  <c r="H851" i="442" s="1"/>
  <c r="H1241" i="442" a="1"/>
  <c r="H1241" i="442" s="1"/>
  <c r="H1240" i="442" s="1" a="1"/>
  <c r="H1240" i="442" s="1"/>
  <c r="H1239" i="442" s="1" a="1"/>
  <c r="H1239" i="442" s="1"/>
  <c r="H1825" i="442" a="1"/>
  <c r="H1825" i="442" s="1"/>
  <c r="H1824" i="442" s="1" a="1"/>
  <c r="H1824" i="442" s="1"/>
  <c r="H1823" i="442" s="1" a="1"/>
  <c r="H1823" i="442" s="1"/>
  <c r="H640" i="442" a="1"/>
  <c r="H640" i="442" s="1"/>
  <c r="H639" i="442" s="1" a="1"/>
  <c r="H639" i="442" s="1"/>
  <c r="H638" i="442" s="1" a="1"/>
  <c r="H638" i="442" s="1"/>
  <c r="H507" i="442" a="1"/>
  <c r="H507" i="442" s="1"/>
  <c r="H506" i="442" s="1" a="1"/>
  <c r="H506" i="442" s="1"/>
  <c r="H505" i="442" s="1" a="1"/>
  <c r="H505" i="442" s="1"/>
  <c r="H504" i="442" s="1" a="1"/>
  <c r="H504" i="442" s="1"/>
  <c r="H503" i="442" s="1" a="1"/>
  <c r="H503" i="442" s="1"/>
  <c r="M43" i="436" s="1"/>
  <c r="H240" i="442" a="1"/>
  <c r="H240" i="442" s="1"/>
  <c r="H239" i="442" s="1" a="1"/>
  <c r="H239" i="442" s="1"/>
  <c r="H238" i="442" s="1" a="1"/>
  <c r="H238" i="442" s="1"/>
  <c r="H237" i="442" s="1" a="1"/>
  <c r="H237" i="442" s="1"/>
  <c r="H236" i="442" s="1" a="1"/>
  <c r="H236" i="442" s="1"/>
  <c r="H235" i="442" s="1" a="1"/>
  <c r="H235" i="442" s="1"/>
  <c r="H1947" i="442" a="1"/>
  <c r="H1947" i="442" s="1"/>
  <c r="H1946" i="442" s="1" a="1"/>
  <c r="H1946" i="442" s="1"/>
  <c r="H1945" i="442" s="1" a="1"/>
  <c r="H1945" i="442" s="1"/>
  <c r="H1944" i="442" s="1" a="1"/>
  <c r="H1944" i="442" s="1"/>
  <c r="H1943" i="442" s="1" a="1"/>
  <c r="H1943" i="442" s="1"/>
  <c r="H974" i="442" a="1"/>
  <c r="H974" i="442" s="1"/>
  <c r="H973" i="442" s="1" a="1"/>
  <c r="H973" i="442" s="1"/>
  <c r="M147" i="436" s="1"/>
  <c r="N147" i="436" s="1"/>
  <c r="H628" i="442" a="1"/>
  <c r="H628" i="442" s="1"/>
  <c r="H627" i="442" s="1" a="1"/>
  <c r="H627" i="442" s="1"/>
  <c r="H1908" i="442" a="1"/>
  <c r="H1908" i="442" s="1"/>
  <c r="H1907" i="442" s="1" a="1"/>
  <c r="H1907" i="442" s="1"/>
  <c r="H1906" i="442" s="1" a="1"/>
  <c r="H1906" i="442" s="1"/>
  <c r="H1905" i="442" s="1" a="1"/>
  <c r="H1905" i="442" s="1"/>
  <c r="H1904" i="442" s="1" a="1"/>
  <c r="H1904" i="442" s="1"/>
  <c r="H2074" i="442" a="1"/>
  <c r="H2074" i="442" s="1"/>
  <c r="H2073" i="442" s="1" a="1"/>
  <c r="H2073" i="442" s="1"/>
  <c r="H2072" i="442" s="1" a="1"/>
  <c r="H2072" i="442" s="1"/>
  <c r="H2071" i="442" s="1" a="1"/>
  <c r="H2071" i="442" s="1"/>
  <c r="H2070" i="442" s="1" a="1"/>
  <c r="H2070" i="442" s="1"/>
  <c r="H2155" i="442" a="1"/>
  <c r="H2155" i="442" s="1"/>
  <c r="H2154" i="442" s="1" a="1"/>
  <c r="H2154" i="442" s="1"/>
  <c r="H1510" i="442" a="1"/>
  <c r="H1510" i="442" s="1"/>
  <c r="H1509" i="442" s="1" a="1"/>
  <c r="H1509" i="442" s="1"/>
  <c r="H1508" i="442" s="1" a="1"/>
  <c r="H1508" i="442" s="1"/>
  <c r="H1507" i="442" s="1" a="1"/>
  <c r="H1507" i="442" s="1"/>
  <c r="H1506" i="442" s="1" a="1"/>
  <c r="H1506" i="442" s="1"/>
  <c r="H2143" i="442" a="1"/>
  <c r="H2143" i="442" s="1"/>
  <c r="H2142" i="442" s="1" a="1"/>
  <c r="H2142" i="442" s="1"/>
  <c r="H1759" i="442" a="1"/>
  <c r="H1759" i="442" s="1"/>
  <c r="H1758" i="442" s="1" a="1"/>
  <c r="H1758" i="442" s="1"/>
  <c r="H1757" i="442" s="1" a="1"/>
  <c r="H1757" i="442" s="1"/>
  <c r="H1606" i="442" a="1"/>
  <c r="H1606" i="442" s="1"/>
  <c r="H1605" i="442" s="1" a="1"/>
  <c r="H1605" i="442" s="1"/>
  <c r="H1851" i="442" a="1"/>
  <c r="H1851" i="442" s="1"/>
  <c r="H1850" i="442" s="1" a="1"/>
  <c r="H1850" i="442" s="1"/>
  <c r="H2145" i="442" a="1"/>
  <c r="H2145" i="442" s="1"/>
  <c r="H2144" i="442" s="1" a="1"/>
  <c r="H2144" i="442" s="1"/>
  <c r="H1677" i="442" a="1"/>
  <c r="H1677" i="442" s="1"/>
  <c r="H1676" i="442" s="1" a="1"/>
  <c r="H1676" i="442" s="1"/>
  <c r="H1675" i="442" s="1" a="1"/>
  <c r="H1675" i="442" s="1"/>
  <c r="H1674" i="442" s="1" a="1"/>
  <c r="H1674" i="442" s="1"/>
  <c r="H1673" i="442" s="1" a="1"/>
  <c r="H1673" i="442" s="1"/>
  <c r="H1672" i="442" s="1" a="1"/>
  <c r="H1672" i="442" s="1"/>
  <c r="H1655" i="442" a="1"/>
  <c r="H1655" i="442" s="1"/>
  <c r="H1654" i="442" s="1" a="1"/>
  <c r="H1654" i="442" s="1"/>
  <c r="H1653" i="442" s="1" a="1"/>
  <c r="H1653" i="442" s="1"/>
  <c r="H1652" i="442" s="1" a="1"/>
  <c r="H1652" i="442" s="1"/>
  <c r="H1651" i="442" s="1" a="1"/>
  <c r="H1651" i="442" s="1"/>
  <c r="H1161" i="442" a="1"/>
  <c r="H1161" i="442" s="1"/>
  <c r="H1160" i="442" s="1" a="1"/>
  <c r="H1160" i="442" s="1"/>
  <c r="H1159" i="442" s="1" a="1"/>
  <c r="H1159" i="442" s="1"/>
  <c r="H1148" i="442" a="1"/>
  <c r="H1148" i="442" s="1"/>
  <c r="H1147" i="442" s="1" a="1"/>
  <c r="H1147" i="442" s="1"/>
  <c r="H1068" i="442" a="1"/>
  <c r="H1068" i="442" s="1"/>
  <c r="H1067" i="442" s="1" a="1"/>
  <c r="H1067" i="442" s="1"/>
  <c r="H1066" i="442" s="1" a="1"/>
  <c r="H1066" i="442" s="1"/>
  <c r="H1065" i="442" s="1" a="1"/>
  <c r="H1065" i="442" s="1"/>
  <c r="H1064" i="442" s="1" a="1"/>
  <c r="H1064" i="442" s="1"/>
  <c r="H212" i="442" a="1"/>
  <c r="H212" i="442" s="1"/>
  <c r="H211" i="442" s="1" a="1"/>
  <c r="H211" i="442" s="1"/>
  <c r="M13" i="436" s="1"/>
  <c r="H404" i="442" a="1"/>
  <c r="H404" i="442" s="1"/>
  <c r="H403" i="442" s="1" a="1"/>
  <c r="H403" i="442" s="1"/>
  <c r="M34" i="436" s="1"/>
  <c r="H2043" i="442" a="1"/>
  <c r="H2043" i="442" s="1"/>
  <c r="H2042" i="442" s="1" a="1"/>
  <c r="H2042" i="442" s="1"/>
  <c r="H2041" i="442" s="1" a="1"/>
  <c r="H2041" i="442" s="1"/>
  <c r="H2040" i="442" s="1" a="1"/>
  <c r="H2040" i="442" s="1"/>
  <c r="H2039" i="442" s="1" a="1"/>
  <c r="H2039" i="442" s="1"/>
  <c r="C137" i="442"/>
  <c r="H309" i="442" a="1"/>
  <c r="H309" i="442" s="1"/>
  <c r="H308" i="442" s="1" a="1"/>
  <c r="H308" i="442" s="1"/>
  <c r="H307" i="442" s="1" a="1"/>
  <c r="H307" i="442" s="1"/>
  <c r="H306" i="442" s="1" a="1"/>
  <c r="H306" i="442" s="1"/>
  <c r="H578" i="442" a="1"/>
  <c r="H578" i="442" s="1"/>
  <c r="H577" i="442" s="1" a="1"/>
  <c r="H577" i="442" s="1"/>
  <c r="H576" i="442" s="1" a="1"/>
  <c r="H576" i="442" s="1"/>
  <c r="H575" i="442" s="1" a="1"/>
  <c r="H575" i="442" s="1"/>
  <c r="M54" i="436" s="1"/>
  <c r="H402" i="442" a="1"/>
  <c r="H402" i="442" s="1"/>
  <c r="H401" i="442" s="1" a="1"/>
  <c r="H401" i="442" s="1"/>
  <c r="H400" i="442" s="1" a="1"/>
  <c r="H400" i="442" s="1"/>
  <c r="H399" i="442" s="1" a="1"/>
  <c r="H399" i="442" s="1"/>
  <c r="H708" i="442" a="1"/>
  <c r="H708" i="442" s="1"/>
  <c r="H707" i="442" s="1" a="1"/>
  <c r="H707" i="442" s="1"/>
  <c r="H281" i="442" a="1"/>
  <c r="H281" i="442" s="1"/>
  <c r="H280" i="442" s="1" a="1"/>
  <c r="H280" i="442" s="1"/>
  <c r="H590" i="442" a="1"/>
  <c r="H590" i="442" s="1"/>
  <c r="H589" i="442" s="1" a="1"/>
  <c r="H589" i="442" s="1"/>
  <c r="H588" i="442" s="1" a="1"/>
  <c r="H588" i="442" s="1"/>
  <c r="H587" i="442" s="1" a="1"/>
  <c r="H587" i="442" s="1"/>
  <c r="H411" i="442" a="1"/>
  <c r="H411" i="442" s="1"/>
  <c r="H410" i="442" s="1" a="1"/>
  <c r="H410" i="442" s="1"/>
  <c r="H409" i="442" s="1" a="1"/>
  <c r="H409" i="442" s="1"/>
  <c r="H408" i="442" s="1" a="1"/>
  <c r="H408" i="442" s="1"/>
  <c r="H259" i="442" a="1"/>
  <c r="H259" i="442" s="1"/>
  <c r="H258" i="442" s="1" a="1"/>
  <c r="H258" i="442" s="1"/>
  <c r="H200" i="442" a="1"/>
  <c r="H200" i="442" s="1"/>
  <c r="H199" i="442" s="1" a="1"/>
  <c r="H199" i="442" s="1"/>
  <c r="H198" i="442" s="1" a="1"/>
  <c r="H198" i="442" s="1"/>
  <c r="H197" i="442" s="1" a="1"/>
  <c r="H197" i="442" s="1"/>
  <c r="H2153" i="442" a="1"/>
  <c r="H2153" i="442" s="1"/>
  <c r="H2152" i="442" s="1" a="1"/>
  <c r="H2152" i="442" s="1"/>
  <c r="H1887" i="442" a="1"/>
  <c r="H1887" i="442" s="1"/>
  <c r="H1886" i="442" s="1" a="1"/>
  <c r="H1886" i="442" s="1"/>
  <c r="H1885" i="442" s="1" a="1"/>
  <c r="H1885" i="442" s="1"/>
  <c r="H1331" i="442" a="1"/>
  <c r="H1331" i="442" s="1"/>
  <c r="H1330" i="442" s="1" a="1"/>
  <c r="H1330" i="442" s="1"/>
  <c r="H1329" i="442" s="1" a="1"/>
  <c r="H1329" i="442" s="1"/>
  <c r="H1804" i="442" a="1"/>
  <c r="H1804" i="442" s="1"/>
  <c r="H1803" i="442" s="1" a="1"/>
  <c r="H1803" i="442" s="1"/>
  <c r="H1802" i="442" s="1" a="1"/>
  <c r="H1802" i="442" s="1"/>
  <c r="H904" i="442" a="1"/>
  <c r="H904" i="442" s="1"/>
  <c r="H903" i="442" s="1" a="1"/>
  <c r="H903" i="442" s="1"/>
  <c r="H968" i="442" a="1"/>
  <c r="H968" i="442" s="1"/>
  <c r="H967" i="442" s="1" a="1"/>
  <c r="H967" i="442" s="1"/>
  <c r="H1949" i="442" a="1"/>
  <c r="H1949" i="442" s="1"/>
  <c r="H1948" i="442" s="1" a="1"/>
  <c r="H1948" i="442" s="1"/>
  <c r="H838" i="442" a="1"/>
  <c r="H838" i="442" s="1"/>
  <c r="H837" i="442" s="1" a="1"/>
  <c r="H837" i="442" s="1"/>
  <c r="H836" i="442" s="1" a="1"/>
  <c r="H836" i="442" s="1"/>
  <c r="H835" i="442" s="1" a="1"/>
  <c r="H835" i="442" s="1"/>
  <c r="H834" i="442" s="1" a="1"/>
  <c r="H834" i="442" s="1"/>
  <c r="H833" i="442" s="1" a="1"/>
  <c r="H833" i="442" s="1"/>
  <c r="H832" i="442" s="1" a="1"/>
  <c r="H832" i="442" s="1"/>
  <c r="H831" i="442" s="1" a="1"/>
  <c r="H831" i="442" s="1"/>
  <c r="H830" i="442" s="1" a="1"/>
  <c r="H830" i="442" s="1"/>
  <c r="H829" i="442" s="1" a="1"/>
  <c r="H829" i="442" s="1"/>
  <c r="H828" i="442" s="1" a="1"/>
  <c r="H828" i="442" s="1"/>
  <c r="H582" i="442" a="1"/>
  <c r="H582" i="442" s="1"/>
  <c r="H581" i="442" s="1" a="1"/>
  <c r="H581" i="442" s="1"/>
  <c r="H580" i="442" s="1" a="1"/>
  <c r="H580" i="442" s="1"/>
  <c r="H579" i="442" s="1" a="1"/>
  <c r="H579" i="442" s="1"/>
  <c r="H655" i="442" a="1"/>
  <c r="H655" i="442" s="1"/>
  <c r="H654" i="442" s="1" a="1"/>
  <c r="H654" i="442" s="1"/>
  <c r="H653" i="442" s="1" a="1"/>
  <c r="H653" i="442" s="1"/>
  <c r="H325" i="442" a="1"/>
  <c r="H325" i="442" s="1"/>
  <c r="H324" i="442" s="1" a="1"/>
  <c r="H324" i="442" s="1"/>
  <c r="H323" i="442" s="1" a="1"/>
  <c r="H323" i="442" s="1"/>
  <c r="H322" i="442" s="1" a="1"/>
  <c r="H322" i="442" s="1"/>
  <c r="H430" i="442" a="1"/>
  <c r="H430" i="442" s="1"/>
  <c r="H429" i="442" s="1" a="1"/>
  <c r="H429" i="442" s="1"/>
  <c r="H428" i="442" s="1" a="1"/>
  <c r="H428" i="442" s="1"/>
  <c r="H427" i="442" s="1" a="1"/>
  <c r="H427" i="442" s="1"/>
  <c r="H682" i="442" a="1"/>
  <c r="H682" i="442" s="1"/>
  <c r="H681" i="442" s="1" a="1"/>
  <c r="H681" i="442" s="1"/>
  <c r="H680" i="442" s="1" a="1"/>
  <c r="H680" i="442" s="1"/>
  <c r="H679" i="442" a="1"/>
  <c r="H679" i="442" s="1"/>
  <c r="H678" i="442" s="1" a="1"/>
  <c r="H678" i="442" s="1"/>
  <c r="H677" i="442" s="1" a="1"/>
  <c r="H677" i="442" s="1"/>
  <c r="H301" i="442" a="1"/>
  <c r="H301" i="442" s="1"/>
  <c r="H300" i="442" s="1" a="1"/>
  <c r="H300" i="442" s="1"/>
  <c r="H299" i="442" s="1" a="1"/>
  <c r="H299" i="442" s="1"/>
  <c r="H298" i="442" s="1" a="1"/>
  <c r="H298" i="442" s="1"/>
  <c r="H244" i="442" a="1"/>
  <c r="H244" i="442" s="1"/>
  <c r="H243" i="442" s="1" a="1"/>
  <c r="H243" i="442" s="1"/>
  <c r="H283" i="442" a="1"/>
  <c r="H283" i="442" s="1"/>
  <c r="H282" i="442" s="1" a="1"/>
  <c r="H282" i="442" s="1"/>
  <c r="H815" i="442" a="1"/>
  <c r="H815" i="442" s="1"/>
  <c r="H814" i="442" s="1" a="1"/>
  <c r="H814" i="442" s="1"/>
  <c r="H813" i="442" s="1" a="1"/>
  <c r="H813" i="442" s="1"/>
  <c r="H812" i="442" s="1" a="1"/>
  <c r="H812" i="442" s="1"/>
  <c r="H811" i="442" s="1" a="1"/>
  <c r="H811" i="442" s="1"/>
  <c r="H810" i="442" s="1" a="1"/>
  <c r="H810" i="442" s="1"/>
  <c r="H809" i="442" s="1" a="1"/>
  <c r="H809" i="442" s="1"/>
  <c r="H808" i="442" s="1" a="1"/>
  <c r="H808" i="442" s="1"/>
  <c r="H807" i="442" s="1" a="1"/>
  <c r="H807" i="442" s="1"/>
  <c r="H806" i="442" s="1" a="1"/>
  <c r="H806" i="442" s="1"/>
  <c r="H805" i="442" s="1" a="1"/>
  <c r="H805" i="442" s="1"/>
  <c r="H804" i="442" s="1" a="1"/>
  <c r="H804" i="442" s="1"/>
  <c r="C121" i="442"/>
  <c r="H496" i="442" a="1"/>
  <c r="H496" i="442" s="1"/>
  <c r="H495" i="442" s="1" a="1"/>
  <c r="H495" i="442" s="1"/>
  <c r="H494" i="442" s="1" a="1"/>
  <c r="H494" i="442" s="1"/>
  <c r="H493" i="442" s="1" a="1"/>
  <c r="H493" i="442" s="1"/>
  <c r="H492" i="442" s="1" a="1"/>
  <c r="H492" i="442" s="1"/>
  <c r="H720" i="442" a="1"/>
  <c r="H720" i="442" s="1"/>
  <c r="H719" i="442" s="1" a="1"/>
  <c r="H719" i="442" s="1"/>
  <c r="H718" i="442" s="1" a="1"/>
  <c r="H718" i="442" s="1"/>
  <c r="M67" i="436" s="1"/>
  <c r="H685" i="442" a="1"/>
  <c r="H685" i="442" s="1"/>
  <c r="H684" i="442" s="1" a="1"/>
  <c r="H684" i="442" s="1"/>
  <c r="H683" i="442" s="1" a="1"/>
  <c r="H683" i="442" s="1"/>
  <c r="H723" i="442" a="1"/>
  <c r="H723" i="442" s="1"/>
  <c r="H722" i="442" s="1" a="1"/>
  <c r="H722" i="442" s="1"/>
  <c r="H721" i="442" s="1" a="1"/>
  <c r="H721" i="442" s="1"/>
  <c r="M70" i="436" s="1"/>
  <c r="H618" i="442" a="1"/>
  <c r="H618" i="442" s="1"/>
  <c r="H617" i="442" s="1" a="1"/>
  <c r="H617" i="442" s="1"/>
  <c r="H210" i="442" a="1"/>
  <c r="H210" i="442" s="1"/>
  <c r="H209" i="442" s="1" a="1"/>
  <c r="H209" i="442" s="1"/>
  <c r="H327" i="442" a="1"/>
  <c r="H327" i="442" s="1"/>
  <c r="H326" i="442" s="1" a="1"/>
  <c r="H326" i="442" s="1"/>
  <c r="H228" i="442" a="1"/>
  <c r="H228" i="442" s="1"/>
  <c r="H227" i="442" s="1" a="1"/>
  <c r="H227" i="442" s="1"/>
  <c r="H827" i="442" a="1"/>
  <c r="H827" i="442" s="1"/>
  <c r="H826" i="442" s="1" a="1"/>
  <c r="H826" i="442" s="1"/>
  <c r="H825" i="442" s="1" a="1"/>
  <c r="H825" i="442" s="1"/>
  <c r="H824" i="442" s="1" a="1"/>
  <c r="H824" i="442" s="1"/>
  <c r="H823" i="442" s="1" a="1"/>
  <c r="H823" i="442" s="1"/>
  <c r="H822" i="442" s="1" a="1"/>
  <c r="H822" i="442" s="1"/>
  <c r="H821" i="442" s="1" a="1"/>
  <c r="H821" i="442" s="1"/>
  <c r="H820" i="442" s="1" a="1"/>
  <c r="H820" i="442" s="1"/>
  <c r="H819" i="442" s="1" a="1"/>
  <c r="H819" i="442" s="1"/>
  <c r="H818" i="442" s="1" a="1"/>
  <c r="H818" i="442" s="1"/>
  <c r="H817" i="442" s="1" a="1"/>
  <c r="H817" i="442" s="1"/>
  <c r="H816" i="442" s="1" a="1"/>
  <c r="H816" i="442" s="1"/>
  <c r="H502" i="442" a="1"/>
  <c r="H502" i="442" s="1"/>
  <c r="H501" i="442" s="1" a="1"/>
  <c r="H501" i="442" s="1"/>
  <c r="H500" i="442" s="1" a="1"/>
  <c r="H500" i="442" s="1"/>
  <c r="M42" i="436" s="1"/>
  <c r="H636" i="442" a="1"/>
  <c r="H636" i="442" s="1"/>
  <c r="H635" i="442" s="1" a="1"/>
  <c r="H635" i="442" s="1"/>
  <c r="H246" i="442" a="1"/>
  <c r="H246" i="442" s="1"/>
  <c r="H245" i="442" s="1" a="1"/>
  <c r="H245" i="442" s="1"/>
  <c r="H263" i="442" a="1"/>
  <c r="H263" i="442" s="1"/>
  <c r="H262" i="442" s="1" a="1"/>
  <c r="H262" i="442" s="1"/>
  <c r="H486" i="442" a="1"/>
  <c r="H486" i="442" s="1"/>
  <c r="H485" i="442" s="1" a="1"/>
  <c r="H485" i="442" s="1"/>
  <c r="H484" i="442" s="1" a="1"/>
  <c r="H484" i="442" s="1"/>
  <c r="H483" i="442" s="1" a="1"/>
  <c r="H483" i="442" s="1"/>
  <c r="H482" i="442" s="1" a="1"/>
  <c r="H482" i="442" s="1"/>
  <c r="H481" i="442" s="1" a="1"/>
  <c r="H481" i="442" s="1"/>
  <c r="M41" i="436" s="1"/>
  <c r="N41" i="436" s="1"/>
  <c r="H163" i="442" a="1"/>
  <c r="H163" i="442" s="1"/>
  <c r="H162" i="442" s="1" a="1"/>
  <c r="H162" i="442" s="1"/>
  <c r="H161" i="442" s="1" a="1"/>
  <c r="H161" i="442" s="1"/>
  <c r="H160" i="442" s="1" a="1"/>
  <c r="H160" i="442" s="1"/>
  <c r="H159" i="442" s="1" a="1"/>
  <c r="H159" i="442" s="1"/>
  <c r="H158" i="442" s="1" a="1"/>
  <c r="H158" i="442" s="1"/>
  <c r="H382" i="442" a="1"/>
  <c r="H382" i="442" s="1"/>
  <c r="H381" i="442" s="1" a="1"/>
  <c r="H381" i="442" s="1"/>
  <c r="H380" i="442" s="1" a="1"/>
  <c r="H380" i="442" s="1"/>
  <c r="H379" i="442" s="1" a="1"/>
  <c r="H379" i="442" s="1"/>
  <c r="H646" i="442" a="1"/>
  <c r="H646" i="442" s="1"/>
  <c r="H645" i="442" s="1" a="1"/>
  <c r="H645" i="442" s="1"/>
  <c r="H644" i="442" s="1" a="1"/>
  <c r="H644" i="442" s="1"/>
  <c r="M63" i="436" s="1"/>
  <c r="H434" i="442" a="1"/>
  <c r="H434" i="442" s="1"/>
  <c r="H433" i="442" s="1" a="1"/>
  <c r="H433" i="442" s="1"/>
  <c r="H432" i="442" s="1" a="1"/>
  <c r="H432" i="442" s="1"/>
  <c r="H431" i="442" s="1" a="1"/>
  <c r="H431" i="442" s="1"/>
  <c r="H788" i="442" a="1"/>
  <c r="H788" i="442" s="1"/>
  <c r="H787" i="442" s="1" a="1"/>
  <c r="H787" i="442" s="1"/>
  <c r="H786" i="442" s="1" a="1"/>
  <c r="H786" i="442" s="1"/>
  <c r="H785" i="442" s="1" a="1"/>
  <c r="H785" i="442" s="1"/>
  <c r="H784" i="442" s="1" a="1"/>
  <c r="H784" i="442" s="1"/>
  <c r="H257" i="442" a="1"/>
  <c r="H257" i="442" s="1"/>
  <c r="H256" i="442" s="1" a="1"/>
  <c r="H256" i="442" s="1"/>
  <c r="H188" i="442" a="1"/>
  <c r="H188" i="442" s="1"/>
  <c r="H187" i="442" s="1" a="1"/>
  <c r="H187" i="442" s="1"/>
  <c r="H186" i="442" s="1" a="1"/>
  <c r="H186" i="442" s="1"/>
  <c r="H185" i="442" s="1" a="1"/>
  <c r="H185" i="442" s="1"/>
  <c r="H224" i="442" a="1"/>
  <c r="H224" i="442" s="1"/>
  <c r="H223" i="442" s="1" a="1"/>
  <c r="H223" i="442" s="1"/>
  <c r="H222" i="442" s="1" a="1"/>
  <c r="H222" i="442" s="1"/>
  <c r="H221" i="442" s="1" a="1"/>
  <c r="H221" i="442" s="1"/>
  <c r="H220" i="442" s="1" a="1"/>
  <c r="H220" i="442" s="1"/>
  <c r="H219" i="442" s="1" a="1"/>
  <c r="H219" i="442" s="1"/>
  <c r="H218" i="442" s="1" a="1"/>
  <c r="H218" i="442" s="1"/>
  <c r="H217" i="442" s="1" a="1"/>
  <c r="H217" i="442" s="1"/>
  <c r="M16" i="436" s="1"/>
  <c r="H253" i="442" a="1"/>
  <c r="H253" i="442" s="1"/>
  <c r="H252" i="442" s="1" a="1"/>
  <c r="H252" i="442" s="1"/>
  <c r="H370" i="442" a="1"/>
  <c r="H370" i="442" s="1"/>
  <c r="H369" i="442" s="1" a="1"/>
  <c r="H369" i="442" s="1"/>
  <c r="H368" i="442" s="1" a="1"/>
  <c r="H368" i="442" s="1"/>
  <c r="H367" i="442" s="1" a="1"/>
  <c r="H367" i="442" s="1"/>
  <c r="H249" i="442" a="1"/>
  <c r="H249" i="442" s="1"/>
  <c r="H248" i="442" s="1" a="1"/>
  <c r="H248" i="442" s="1"/>
  <c r="H711" i="442" a="1"/>
  <c r="H711" i="442" s="1"/>
  <c r="H710" i="442" s="1" a="1"/>
  <c r="H710" i="442" s="1"/>
  <c r="H709" i="442" s="1" a="1"/>
  <c r="H709" i="442" s="1"/>
  <c r="H726" i="442" a="1"/>
  <c r="H726" i="442" s="1"/>
  <c r="H725" i="442" s="1" a="1"/>
  <c r="H725" i="442" s="1"/>
  <c r="H724" i="442" s="1" a="1"/>
  <c r="H724" i="442" s="1"/>
  <c r="H418" i="442" a="1"/>
  <c r="H418" i="442" s="1"/>
  <c r="H417" i="442" s="1" a="1"/>
  <c r="H417" i="442" s="1"/>
  <c r="H416" i="442" s="1" a="1"/>
  <c r="H416" i="442" s="1"/>
  <c r="H415" i="442" s="1" a="1"/>
  <c r="H415" i="442" s="1"/>
  <c r="H414" i="442" s="1" a="1"/>
  <c r="H414" i="442" s="1"/>
  <c r="H413" i="442" s="1" a="1"/>
  <c r="H413" i="442" s="1"/>
  <c r="H412" i="442" s="1" a="1"/>
  <c r="H412" i="442" s="1"/>
  <c r="H570" i="442" a="1"/>
  <c r="H570" i="442" s="1"/>
  <c r="H569" i="442" s="1" a="1"/>
  <c r="H569" i="442" s="1"/>
  <c r="H568" i="442" s="1" a="1"/>
  <c r="H568" i="442" s="1"/>
  <c r="H567" i="442" s="1" a="1"/>
  <c r="H567" i="442" s="1"/>
  <c r="H550" i="442" a="1"/>
  <c r="H550" i="442" s="1"/>
  <c r="H549" i="442" s="1" a="1"/>
  <c r="H549" i="442" s="1"/>
  <c r="H548" i="442" s="1" a="1"/>
  <c r="H548" i="442" s="1"/>
  <c r="H547" i="442" s="1" a="1"/>
  <c r="H547" i="442" s="1"/>
  <c r="H649" i="442" a="1"/>
  <c r="H649" i="442" s="1"/>
  <c r="H648" i="442" s="1" a="1"/>
  <c r="H648" i="442" s="1"/>
  <c r="H647" i="442" s="1" a="1"/>
  <c r="H647" i="442" s="1"/>
  <c r="M64" i="436" s="1"/>
  <c r="H350" i="442" a="1"/>
  <c r="H350" i="442" s="1"/>
  <c r="H349" i="442" s="1" a="1"/>
  <c r="H349" i="442" s="1"/>
  <c r="H348" i="442" s="1" a="1"/>
  <c r="H348" i="442" s="1"/>
  <c r="H347" i="442" s="1" a="1"/>
  <c r="H347" i="442" s="1"/>
  <c r="M25" i="436" s="1"/>
  <c r="H714" i="442" a="1"/>
  <c r="H714" i="442" s="1"/>
  <c r="H713" i="442" s="1" a="1"/>
  <c r="H713" i="442" s="1"/>
  <c r="H712" i="442" s="1" a="1"/>
  <c r="H712" i="442" s="1"/>
  <c r="H398" i="442" a="1"/>
  <c r="H398" i="442" s="1"/>
  <c r="H397" i="442" s="1" a="1"/>
  <c r="H397" i="442" s="1"/>
  <c r="H396" i="442" s="1" a="1"/>
  <c r="H396" i="442" s="1"/>
  <c r="H395" i="442" s="1" a="1"/>
  <c r="H395" i="442" s="1"/>
  <c r="H269" i="442" a="1"/>
  <c r="H269" i="442" s="1"/>
  <c r="H268" i="442" s="1" a="1"/>
  <c r="H268" i="442" s="1"/>
  <c r="H658" i="442" a="1"/>
  <c r="H658" i="442" s="1"/>
  <c r="H657" i="442" s="1" a="1"/>
  <c r="H657" i="442" s="1"/>
  <c r="H656" i="442" s="1" a="1"/>
  <c r="H656" i="442" s="1"/>
  <c r="H458" i="442" a="1"/>
  <c r="H458" i="442" s="1"/>
  <c r="H457" i="442" s="1" a="1"/>
  <c r="H457" i="442" s="1"/>
  <c r="H456" i="442" s="1" a="1"/>
  <c r="H456" i="442" s="1"/>
  <c r="H455" i="442" s="1" a="1"/>
  <c r="H455" i="442" s="1"/>
  <c r="H317" i="442" a="1"/>
  <c r="H317" i="442" s="1"/>
  <c r="H316" i="442" s="1" a="1"/>
  <c r="H316" i="442" s="1"/>
  <c r="H315" i="442" s="1" a="1"/>
  <c r="H315" i="442" s="1"/>
  <c r="H314" i="442" s="1" a="1"/>
  <c r="H314" i="442" s="1"/>
  <c r="H491" i="442" a="1"/>
  <c r="H491" i="442" s="1"/>
  <c r="H490" i="442" s="1" a="1"/>
  <c r="H490" i="442" s="1"/>
  <c r="H489" i="442" s="1" a="1"/>
  <c r="H489" i="442" s="1"/>
  <c r="H488" i="442" s="1" a="1"/>
  <c r="H488" i="442" s="1"/>
  <c r="H487" i="442" s="1" a="1"/>
  <c r="H487" i="442" s="1"/>
  <c r="H184" i="442" a="1"/>
  <c r="H184" i="442" s="1"/>
  <c r="H183" i="442" s="1" a="1"/>
  <c r="H183" i="442" s="1"/>
  <c r="H182" i="442" s="1" a="1"/>
  <c r="H182" i="442" s="1"/>
  <c r="H181" i="442" s="1" a="1"/>
  <c r="H181" i="442" s="1"/>
  <c r="H180" i="442" s="1" a="1"/>
  <c r="H180" i="442" s="1"/>
  <c r="H289" i="442" a="1"/>
  <c r="H289" i="442" s="1"/>
  <c r="H288" i="442" s="1" a="1"/>
  <c r="H288" i="442" s="1"/>
  <c r="H287" i="442" s="1" a="1"/>
  <c r="H287" i="442" s="1"/>
  <c r="H286" i="442" s="1" a="1"/>
  <c r="H286" i="442" s="1"/>
  <c r="H574" i="442" a="1"/>
  <c r="H574" i="442" s="1"/>
  <c r="H573" i="442" s="1" a="1"/>
  <c r="H573" i="442" s="1"/>
  <c r="H572" i="442" s="1" a="1"/>
  <c r="H572" i="442" s="1"/>
  <c r="H571" i="442" s="1" a="1"/>
  <c r="H571" i="442" s="1"/>
  <c r="H522" i="442" a="1"/>
  <c r="H522" i="442" s="1"/>
  <c r="H521" i="442" s="1" a="1"/>
  <c r="H521" i="442" s="1"/>
  <c r="H520" i="442" s="1" a="1"/>
  <c r="H520" i="442" s="1"/>
  <c r="H519" i="442" s="1" a="1"/>
  <c r="H519" i="442" s="1"/>
  <c r="H518" i="442" s="1" a="1"/>
  <c r="H518" i="442" s="1"/>
  <c r="H517" i="442" s="1" a="1"/>
  <c r="H517" i="442" s="1"/>
  <c r="H516" i="442" s="1" a="1"/>
  <c r="H516" i="442" s="1"/>
  <c r="H515" i="442" s="1" a="1"/>
  <c r="H515" i="442" s="1"/>
  <c r="H534" i="442" a="1"/>
  <c r="H534" i="442" s="1"/>
  <c r="H533" i="442" s="1" a="1"/>
  <c r="H533" i="442" s="1"/>
  <c r="H532" i="442" s="1" a="1"/>
  <c r="H532" i="442" s="1"/>
  <c r="H531" i="442" s="1" a="1"/>
  <c r="H531" i="442" s="1"/>
  <c r="M48" i="436" s="1"/>
  <c r="H346" i="442" a="1"/>
  <c r="H346" i="442" s="1"/>
  <c r="H345" i="442" s="1" a="1"/>
  <c r="H345" i="442" s="1"/>
  <c r="H344" i="442" s="1" a="1"/>
  <c r="H344" i="442" s="1"/>
  <c r="H343" i="442" s="1" a="1"/>
  <c r="H343" i="442" s="1"/>
  <c r="M24" i="436" s="1"/>
  <c r="H700" i="442" a="1"/>
  <c r="H700" i="442" s="1"/>
  <c r="H699" i="442" s="1" a="1"/>
  <c r="H699" i="442" s="1"/>
  <c r="H698" i="442" s="1" a="1"/>
  <c r="H698" i="442" s="1"/>
  <c r="H697" i="442" s="1" a="1"/>
  <c r="H697" i="442" s="1"/>
  <c r="H696" i="442" s="1" a="1"/>
  <c r="H696" i="442" s="1"/>
  <c r="H695" i="442" s="1" a="1"/>
  <c r="H695" i="442" s="1"/>
  <c r="H694" i="442" s="1" a="1"/>
  <c r="H694" i="442" s="1"/>
  <c r="H693" i="442" s="1" a="1"/>
  <c r="H693" i="442" s="1"/>
  <c r="H546" i="442" a="1"/>
  <c r="H546" i="442" s="1"/>
  <c r="H545" i="442" s="1" a="1"/>
  <c r="H545" i="442" s="1"/>
  <c r="H544" i="442" s="1" a="1"/>
  <c r="H544" i="442" s="1"/>
  <c r="H543" i="442" s="1" a="1"/>
  <c r="H543" i="442" s="1"/>
  <c r="M51" i="436" s="1"/>
  <c r="H704" i="442" a="1"/>
  <c r="H704" i="442" s="1"/>
  <c r="H703" i="442" s="1" a="1"/>
  <c r="H703" i="442" s="1"/>
  <c r="H702" i="442" s="1" a="1"/>
  <c r="H702" i="442" s="1"/>
  <c r="H701" i="442" s="1" a="1"/>
  <c r="H701" i="442" s="1"/>
  <c r="H692" i="442" a="1"/>
  <c r="H692" i="442" s="1"/>
  <c r="H691" i="442" s="1" a="1"/>
  <c r="H691" i="442" s="1"/>
  <c r="H690" i="442" s="1" a="1"/>
  <c r="H690" i="442" s="1"/>
  <c r="H689" i="442" s="1" a="1"/>
  <c r="H689" i="442" s="1"/>
  <c r="H688" i="442" s="1" a="1"/>
  <c r="H688" i="442" s="1"/>
  <c r="H687" i="442" s="1" a="1"/>
  <c r="H687" i="442" s="1"/>
  <c r="H686" i="442" s="1" a="1"/>
  <c r="H686" i="442" s="1"/>
  <c r="H267" i="442" a="1"/>
  <c r="H267" i="442" s="1"/>
  <c r="H266" i="442" s="1" a="1"/>
  <c r="H266" i="442" s="1"/>
  <c r="H203" i="442" a="1"/>
  <c r="H203" i="442" s="1"/>
  <c r="H174" i="442" a="1"/>
  <c r="H174" i="442" s="1"/>
  <c r="H173" i="442" s="1" a="1"/>
  <c r="H173" i="442" s="1"/>
  <c r="H172" i="442" s="1" a="1"/>
  <c r="H172" i="442" s="1"/>
  <c r="H171" i="442" s="1" a="1"/>
  <c r="H171" i="442" s="1"/>
  <c r="H170" i="442" s="1" a="1"/>
  <c r="H170" i="442" s="1"/>
  <c r="H169" i="442" s="1" a="1"/>
  <c r="H169" i="442" s="1"/>
  <c r="H232" i="442" a="1"/>
  <c r="H232" i="442" s="1"/>
  <c r="H231" i="442" s="1" a="1"/>
  <c r="H231" i="442" s="1"/>
  <c r="H342" i="442" a="1"/>
  <c r="H342" i="442" s="1"/>
  <c r="H341" i="442" s="1" a="1"/>
  <c r="H341" i="442" s="1"/>
  <c r="H340" i="442" s="1" a="1"/>
  <c r="H340" i="442" s="1"/>
  <c r="H339" i="442" s="1" a="1"/>
  <c r="H339" i="442" s="1"/>
  <c r="H338" i="442" s="1" a="1"/>
  <c r="H338" i="442" s="1"/>
  <c r="H337" i="442" s="1" a="1"/>
  <c r="H337" i="442" s="1"/>
  <c r="H336" i="442" s="1" a="1"/>
  <c r="H336" i="442" s="1"/>
  <c r="M21" i="436" s="1"/>
  <c r="H676" i="442" a="1"/>
  <c r="H676" i="442" s="1"/>
  <c r="H675" i="442" s="1" a="1"/>
  <c r="H675" i="442" s="1"/>
  <c r="H674" i="442" s="1" a="1"/>
  <c r="H674" i="442" s="1"/>
  <c r="H293" i="442" a="1"/>
  <c r="H293" i="442" s="1"/>
  <c r="H292" i="442" s="1" a="1"/>
  <c r="H292" i="442" s="1"/>
  <c r="H291" i="442" s="1" a="1"/>
  <c r="H291" i="442" s="1"/>
  <c r="H290" i="442" s="1" a="1"/>
  <c r="H290" i="442" s="1"/>
  <c r="H422" i="442" a="1"/>
  <c r="H422" i="442" s="1"/>
  <c r="H421" i="442" s="1" a="1"/>
  <c r="H421" i="442" s="1"/>
  <c r="H420" i="442" s="1" a="1"/>
  <c r="H420" i="442" s="1"/>
  <c r="H419" i="442" s="1" a="1"/>
  <c r="H419" i="442" s="1"/>
  <c r="H620" i="442" a="1"/>
  <c r="H620" i="442" s="1"/>
  <c r="H619" i="442" s="1" a="1"/>
  <c r="H619" i="442" s="1"/>
  <c r="H305" i="442" a="1"/>
  <c r="H305" i="442" s="1"/>
  <c r="H304" i="442" s="1" a="1"/>
  <c r="H304" i="442" s="1"/>
  <c r="H303" i="442" s="1" a="1"/>
  <c r="H303" i="442" s="1"/>
  <c r="H302" i="442" s="1" a="1"/>
  <c r="H302" i="442" s="1"/>
  <c r="H297" i="442" a="1"/>
  <c r="H297" i="442" s="1"/>
  <c r="H296" i="442" s="1" a="1"/>
  <c r="H296" i="442" s="1"/>
  <c r="H295" i="442" s="1" a="1"/>
  <c r="H295" i="442" s="1"/>
  <c r="H294" i="442" s="1" a="1"/>
  <c r="H294" i="442" s="1"/>
  <c r="H426" i="442" a="1"/>
  <c r="H426" i="442" s="1"/>
  <c r="H425" i="442" s="1" a="1"/>
  <c r="H425" i="442" s="1"/>
  <c r="H424" i="442" s="1" a="1"/>
  <c r="H424" i="442" s="1"/>
  <c r="H423" i="442" s="1" a="1"/>
  <c r="H423" i="442" s="1"/>
  <c r="H214" i="442" a="1"/>
  <c r="H214" i="442" s="1"/>
  <c r="H213" i="442" s="1" a="1"/>
  <c r="H213" i="442" s="1"/>
  <c r="H499" i="442" a="1"/>
  <c r="H499" i="442" s="1"/>
  <c r="H498" i="442" s="1" a="1"/>
  <c r="H498" i="442" s="1"/>
  <c r="H497" i="442" s="1" a="1"/>
  <c r="H497" i="442" s="1"/>
  <c r="H366" i="442" a="1"/>
  <c r="H366" i="442" s="1"/>
  <c r="H365" i="442" s="1" a="1"/>
  <c r="H365" i="442" s="1"/>
  <c r="H364" i="442" s="1" a="1"/>
  <c r="H364" i="442" s="1"/>
  <c r="H363" i="442" s="1" a="1"/>
  <c r="H363" i="442" s="1"/>
  <c r="H616" i="442" a="1"/>
  <c r="H616" i="442" s="1"/>
  <c r="H615" i="442" s="1" a="1"/>
  <c r="H615" i="442" s="1"/>
  <c r="H614" i="442" s="1" a="1"/>
  <c r="H614" i="442" s="1"/>
  <c r="H613" i="442" s="1" a="1"/>
  <c r="H613" i="442" s="1"/>
  <c r="H612" i="442" s="1" a="1"/>
  <c r="H612" i="442" s="1"/>
  <c r="H611" i="442" s="1" a="1"/>
  <c r="H611" i="442" s="1"/>
  <c r="H610" i="442" s="1" a="1"/>
  <c r="H610" i="442" s="1"/>
  <c r="H609" i="442" s="1" a="1"/>
  <c r="H609" i="442" s="1"/>
  <c r="H608" i="442" s="1" a="1"/>
  <c r="H608" i="442" s="1"/>
  <c r="H168" i="442" a="1"/>
  <c r="H168" i="442" s="1"/>
  <c r="H167" i="442" s="1" a="1"/>
  <c r="H167" i="442" s="1"/>
  <c r="H166" i="442" s="1" a="1"/>
  <c r="H166" i="442" s="1"/>
  <c r="H165" i="442" s="1" a="1"/>
  <c r="H165" i="442" s="1"/>
  <c r="H164" i="442" s="1" a="1"/>
  <c r="H164" i="442" s="1"/>
  <c r="M39" i="429" s="1"/>
  <c r="H354" i="442" a="1"/>
  <c r="H354" i="442" s="1"/>
  <c r="H353" i="442" s="1" a="1"/>
  <c r="H353" i="442" s="1"/>
  <c r="H352" i="442" s="1" a="1"/>
  <c r="H352" i="442" s="1"/>
  <c r="H351" i="442" s="1" a="1"/>
  <c r="H351" i="442" s="1"/>
  <c r="M26" i="436" s="1"/>
  <c r="H480" i="442" a="1"/>
  <c r="H480" i="442" s="1"/>
  <c r="H479" i="442" s="1" a="1"/>
  <c r="H479" i="442" s="1"/>
  <c r="H478" i="442" s="1" a="1"/>
  <c r="H478" i="442" s="1"/>
  <c r="H622" i="442" a="1"/>
  <c r="H622" i="442" s="1"/>
  <c r="H621" i="442" s="1" a="1"/>
  <c r="H621" i="442" s="1"/>
  <c r="M56" i="436" s="1"/>
  <c r="H390" i="442" a="1"/>
  <c r="H390" i="442" s="1"/>
  <c r="H389" i="442" s="1" a="1"/>
  <c r="H389" i="442" s="1"/>
  <c r="H388" i="442" s="1" a="1"/>
  <c r="H388" i="442" s="1"/>
  <c r="H387" i="442" s="1" a="1"/>
  <c r="H387" i="442" s="1"/>
  <c r="H743" i="442" a="1"/>
  <c r="H743" i="442" s="1"/>
  <c r="H742" i="442" s="1" a="1"/>
  <c r="H742" i="442" s="1"/>
  <c r="H216" i="442" a="1"/>
  <c r="H216" i="442" s="1"/>
  <c r="H215" i="442" s="1" a="1"/>
  <c r="H215" i="442" s="1"/>
  <c r="M14" i="436" s="1"/>
  <c r="H554" i="442" a="1"/>
  <c r="H554" i="442" s="1"/>
  <c r="H553" i="442" s="1" a="1"/>
  <c r="H553" i="442" s="1"/>
  <c r="H552" i="442" s="1" a="1"/>
  <c r="H552" i="442" s="1"/>
  <c r="H551" i="442" s="1" a="1"/>
  <c r="H551" i="442" s="1"/>
  <c r="H362" i="442" a="1"/>
  <c r="H362" i="442" s="1"/>
  <c r="H361" i="442" s="1" a="1"/>
  <c r="H361" i="442" s="1"/>
  <c r="H360" i="442" s="1" a="1"/>
  <c r="H360" i="442" s="1"/>
  <c r="H359" i="442" s="1" a="1"/>
  <c r="H359" i="442" s="1"/>
  <c r="M28" i="436" s="1"/>
  <c r="H230" i="442" a="1"/>
  <c r="H230" i="442" s="1"/>
  <c r="H229" i="442" s="1" a="1"/>
  <c r="H229" i="442" s="1"/>
  <c r="H151" i="442" a="1"/>
  <c r="H151" i="442" s="1"/>
  <c r="H745" i="442" a="1"/>
  <c r="H745" i="442" s="1"/>
  <c r="H744" i="442" s="1" a="1"/>
  <c r="H744" i="442" s="1"/>
  <c r="H632" i="442" a="1"/>
  <c r="H632" i="442" s="1"/>
  <c r="H631" i="442" s="1" a="1"/>
  <c r="H631" i="442" s="1"/>
  <c r="H630" i="442" s="1" a="1"/>
  <c r="H630" i="442" s="1"/>
  <c r="H629" i="442" s="1" a="1"/>
  <c r="H629" i="442" s="1"/>
  <c r="H530" i="442" a="1"/>
  <c r="H530" i="442" s="1"/>
  <c r="H529" i="442" s="1" a="1"/>
  <c r="H529" i="442" s="1"/>
  <c r="H528" i="442" s="1" a="1"/>
  <c r="H528" i="442" s="1"/>
  <c r="H527" i="442" s="1" a="1"/>
  <c r="H527" i="442" s="1"/>
  <c r="M47" i="436" s="1"/>
  <c r="H242" i="442" a="1"/>
  <c r="H242" i="442" s="1"/>
  <c r="H241" i="442" s="1" a="1"/>
  <c r="H241" i="442" s="1"/>
  <c r="M18" i="436" s="1"/>
  <c r="H150" i="442" a="1"/>
  <c r="H150" i="442" s="1"/>
  <c r="H149" i="442" s="1" a="1"/>
  <c r="H149" i="442" s="1"/>
  <c r="H148" i="442" s="1" a="1"/>
  <c r="H148" i="442" s="1"/>
  <c r="H147" i="442" s="1" a="1"/>
  <c r="H147" i="442" s="1"/>
  <c r="H146" i="442" s="1" a="1"/>
  <c r="H146" i="442" s="1"/>
  <c r="H145" i="442" s="1" a="1"/>
  <c r="H145" i="442" s="1"/>
  <c r="H321" i="442" a="1"/>
  <c r="H321" i="442" s="1"/>
  <c r="H320" i="442" s="1" a="1"/>
  <c r="H320" i="442" s="1"/>
  <c r="H319" i="442" s="1" a="1"/>
  <c r="H319" i="442" s="1"/>
  <c r="H318" i="442" s="1" a="1"/>
  <c r="H318" i="442" s="1"/>
  <c r="H607" i="442" a="1"/>
  <c r="H607" i="442" s="1"/>
  <c r="H606" i="442" s="1" a="1"/>
  <c r="H606" i="442" s="1"/>
  <c r="H605" i="442" s="1" a="1"/>
  <c r="H605" i="442" s="1"/>
  <c r="H604" i="442" s="1" a="1"/>
  <c r="H604" i="442" s="1"/>
  <c r="H603" i="442" s="1" a="1"/>
  <c r="H603" i="442" s="1"/>
  <c r="H602" i="442" s="1" a="1"/>
  <c r="H602" i="442" s="1"/>
  <c r="H442" i="442" a="1"/>
  <c r="H442" i="442" s="1"/>
  <c r="H441" i="442" s="1" a="1"/>
  <c r="H441" i="442" s="1"/>
  <c r="H440" i="442" s="1" a="1"/>
  <c r="H440" i="442" s="1"/>
  <c r="H439" i="442" s="1" a="1"/>
  <c r="H439" i="442" s="1"/>
  <c r="H438" i="442" a="1"/>
  <c r="H438" i="442" s="1"/>
  <c r="H437" i="442" s="1" a="1"/>
  <c r="H437" i="442" s="1"/>
  <c r="H436" i="442" s="1" a="1"/>
  <c r="H436" i="442" s="1"/>
  <c r="H435" i="442" s="1" a="1"/>
  <c r="H435" i="442" s="1"/>
  <c r="H510" i="442" a="1"/>
  <c r="H510" i="442" s="1"/>
  <c r="H509" i="442" s="1" a="1"/>
  <c r="H509" i="442" s="1"/>
  <c r="H508" i="442" s="1" a="1"/>
  <c r="H508" i="442" s="1"/>
  <c r="H717" i="442" a="1"/>
  <c r="H717" i="442" s="1"/>
  <c r="H716" i="442" s="1" a="1"/>
  <c r="H716" i="442" s="1"/>
  <c r="H715" i="442" s="1" a="1"/>
  <c r="H715" i="442" s="1"/>
  <c r="H542" i="442" a="1"/>
  <c r="H542" i="442" s="1"/>
  <c r="H541" i="442" s="1" a="1"/>
  <c r="H541" i="442" s="1"/>
  <c r="H540" i="442" s="1" a="1"/>
  <c r="H540" i="442" s="1"/>
  <c r="H539" i="442" s="1" a="1"/>
  <c r="H539" i="442" s="1"/>
  <c r="M50" i="436" s="1"/>
  <c r="H661" i="442" a="1"/>
  <c r="H661" i="442" s="1"/>
  <c r="H660" i="442" s="1" a="1"/>
  <c r="H660" i="442" s="1"/>
  <c r="H659" i="442" s="1" a="1"/>
  <c r="H659" i="442" s="1"/>
  <c r="H206" i="442" a="1"/>
  <c r="H206" i="442" s="1"/>
  <c r="H205" i="442" s="1" a="1"/>
  <c r="H205" i="442" s="1"/>
  <c r="H204" i="442" s="1" a="1"/>
  <c r="H204" i="442" s="1"/>
  <c r="H460" i="442" a="1"/>
  <c r="H460" i="442" s="1"/>
  <c r="H459" i="442" s="1" a="1"/>
  <c r="H459" i="442" s="1"/>
  <c r="H275" i="442" a="1"/>
  <c r="H275" i="442" s="1"/>
  <c r="H274" i="442" s="1" a="1"/>
  <c r="H274" i="442" s="1"/>
  <c r="H251" i="442" a="1"/>
  <c r="H251" i="442" s="1"/>
  <c r="H250" i="442" s="1" a="1"/>
  <c r="H250" i="442" s="1"/>
  <c r="H144" i="442" a="1"/>
  <c r="H144" i="442" s="1"/>
  <c r="H143" i="442" s="1" a="1"/>
  <c r="H143" i="442" s="1"/>
  <c r="H142" i="442" s="1" a="1"/>
  <c r="H142" i="442" s="1"/>
  <c r="H141" i="442" s="1" a="1"/>
  <c r="H141" i="442" s="1"/>
  <c r="H730" i="442" a="1"/>
  <c r="H730" i="442" s="1"/>
  <c r="H729" i="442" s="1" a="1"/>
  <c r="H729" i="442" s="1"/>
  <c r="H728" i="442" s="1" a="1"/>
  <c r="H728" i="442" s="1"/>
  <c r="H727" i="442" s="1" a="1"/>
  <c r="H727" i="442" s="1"/>
  <c r="M71" i="436" s="1"/>
  <c r="H196" i="442" a="1"/>
  <c r="H196" i="442" s="1"/>
  <c r="H195" i="442" s="1" a="1"/>
  <c r="H195" i="442" s="1"/>
  <c r="H194" i="442" s="1" a="1"/>
  <c r="H194" i="442" s="1"/>
  <c r="H193" i="442" s="1" a="1"/>
  <c r="H193" i="442" s="1"/>
  <c r="H192" i="442" s="1" a="1"/>
  <c r="H192" i="442" s="1"/>
  <c r="H191" i="442" s="1" a="1"/>
  <c r="H191" i="442" s="1"/>
  <c r="M56" i="429" s="1"/>
  <c r="H538" i="442" a="1"/>
  <c r="H538" i="442" s="1"/>
  <c r="H537" i="442" s="1" a="1"/>
  <c r="H537" i="442" s="1"/>
  <c r="H536" i="442" s="1" a="1"/>
  <c r="H536" i="442" s="1"/>
  <c r="H535" i="442" s="1" a="1"/>
  <c r="H535" i="442" s="1"/>
  <c r="M49" i="436" s="1"/>
  <c r="H664" i="442" a="1"/>
  <c r="H664" i="442" s="1"/>
  <c r="H663" i="442" s="1" a="1"/>
  <c r="H663" i="442" s="1"/>
  <c r="H662" i="442" s="1" a="1"/>
  <c r="H662" i="442" s="1"/>
  <c r="H273" i="442" a="1"/>
  <c r="H273" i="442" s="1"/>
  <c r="H272" i="442" s="1" a="1"/>
  <c r="H272" i="442" s="1"/>
  <c r="H454" i="442" a="1"/>
  <c r="H454" i="442" s="1"/>
  <c r="H453" i="442" s="1" a="1"/>
  <c r="H453" i="442" s="1"/>
  <c r="H452" i="442" s="1" a="1"/>
  <c r="H452" i="442" s="1"/>
  <c r="H451" i="442" s="1" a="1"/>
  <c r="H451" i="442" s="1"/>
  <c r="H313" i="442" a="1"/>
  <c r="H313" i="442" s="1"/>
  <c r="H312" i="442" s="1" a="1"/>
  <c r="H312" i="442" s="1"/>
  <c r="H311" i="442" s="1" a="1"/>
  <c r="H311" i="442" s="1"/>
  <c r="H310" i="442" s="1" a="1"/>
  <c r="H310" i="442" s="1"/>
  <c r="H190" i="442" a="1"/>
  <c r="H190" i="442" s="1"/>
  <c r="H189" i="442" s="1" a="1"/>
  <c r="H189" i="442" s="1"/>
  <c r="H637" i="442" a="1"/>
  <c r="H637" i="442" s="1"/>
  <c r="H643" i="442" a="1"/>
  <c r="H643" i="442" s="1"/>
  <c r="H642" i="442" s="1" a="1"/>
  <c r="H642" i="442" s="1"/>
  <c r="H641" i="442" s="1" a="1"/>
  <c r="H641" i="442" s="1"/>
  <c r="H761" i="442" a="1"/>
  <c r="H761" i="442" s="1"/>
  <c r="H760" i="442" s="1" a="1"/>
  <c r="H760" i="442" s="1"/>
  <c r="H759" i="442" s="1" a="1"/>
  <c r="H759" i="442" s="1"/>
  <c r="H758" i="442" s="1" a="1"/>
  <c r="H758" i="442" s="1"/>
  <c r="H757" i="442" s="1" a="1"/>
  <c r="H757" i="442" s="1"/>
  <c r="H756" i="442" s="1" a="1"/>
  <c r="H756" i="442" s="1"/>
  <c r="H755" i="442" s="1" a="1"/>
  <c r="H755" i="442" s="1"/>
  <c r="H754" i="442" s="1" a="1"/>
  <c r="H754" i="442" s="1"/>
  <c r="H753" i="442" s="1" a="1"/>
  <c r="H753" i="442" s="1"/>
  <c r="H752" i="442" s="1" a="1"/>
  <c r="H752" i="442" s="1"/>
  <c r="H751" i="442" s="1" a="1"/>
  <c r="H751" i="442" s="1"/>
  <c r="H750" i="442" s="1" a="1"/>
  <c r="H750" i="442" s="1"/>
  <c r="H358" i="442" a="1"/>
  <c r="H358" i="442" s="1"/>
  <c r="H357" i="442" s="1" a="1"/>
  <c r="H357" i="442" s="1"/>
  <c r="H356" i="442" s="1" a="1"/>
  <c r="H356" i="442" s="1"/>
  <c r="H355" i="442" s="1" a="1"/>
  <c r="H355" i="442" s="1"/>
  <c r="M27" i="436" s="1"/>
  <c r="H202" i="442" a="1"/>
  <c r="H202" i="442" s="1"/>
  <c r="H201" i="442" s="1" a="1"/>
  <c r="H201" i="442" s="1"/>
  <c r="H526" i="442" a="1"/>
  <c r="H526" i="442" s="1"/>
  <c r="H525" i="442" s="1" a="1"/>
  <c r="H525" i="442" s="1"/>
  <c r="H524" i="442" s="1" a="1"/>
  <c r="H524" i="442" s="1"/>
  <c r="H523" i="442" s="1" a="1"/>
  <c r="H523" i="442" s="1"/>
  <c r="M46" i="436" s="1"/>
  <c r="H279" i="442" a="1"/>
  <c r="H279" i="442" s="1"/>
  <c r="H278" i="442" s="1" a="1"/>
  <c r="H278" i="442" s="1"/>
  <c r="H374" i="442" a="1"/>
  <c r="H374" i="442" s="1"/>
  <c r="H373" i="442" s="1" a="1"/>
  <c r="H373" i="442" s="1"/>
  <c r="H372" i="442" s="1" a="1"/>
  <c r="H372" i="442" s="1"/>
  <c r="H371" i="442" s="1" a="1"/>
  <c r="H371" i="442" s="1"/>
  <c r="M29" i="436" s="1"/>
  <c r="H594" i="442" a="1"/>
  <c r="H594" i="442" s="1"/>
  <c r="H593" i="442" s="1" a="1"/>
  <c r="H593" i="442" s="1"/>
  <c r="H592" i="442" s="1" a="1"/>
  <c r="H592" i="442" s="1"/>
  <c r="H591" i="442" s="1" a="1"/>
  <c r="H591" i="442" s="1"/>
  <c r="H477" i="442" a="1"/>
  <c r="H477" i="442" s="1"/>
  <c r="H476" i="442" s="1" a="1"/>
  <c r="H476" i="442" s="1"/>
  <c r="H475" i="442" s="1" a="1"/>
  <c r="H475" i="442" s="1"/>
  <c r="H474" i="442" s="1" a="1"/>
  <c r="H474" i="442" s="1"/>
  <c r="H473" i="442" s="1" a="1"/>
  <c r="H473" i="442" s="1"/>
  <c r="M39" i="436" s="1"/>
  <c r="H670" i="442" a="1"/>
  <c r="H670" i="442" s="1"/>
  <c r="H669" i="442" s="1" a="1"/>
  <c r="H669" i="442" s="1"/>
  <c r="H668" i="442" s="1" a="1"/>
  <c r="H668" i="442" s="1"/>
  <c r="H706" i="442" a="1"/>
  <c r="H706" i="442" s="1"/>
  <c r="H705" i="442" s="1" a="1"/>
  <c r="H705" i="442" s="1"/>
  <c r="H446" i="442" a="1"/>
  <c r="H446" i="442" s="1"/>
  <c r="H445" i="442" s="1" a="1"/>
  <c r="H445" i="442" s="1"/>
  <c r="H444" i="442" s="1" a="1"/>
  <c r="H444" i="442" s="1"/>
  <c r="H443" i="442" s="1" a="1"/>
  <c r="H443" i="442" s="1"/>
  <c r="H558" i="442" a="1"/>
  <c r="H558" i="442" s="1"/>
  <c r="H557" i="442" s="1" a="1"/>
  <c r="H557" i="442" s="1"/>
  <c r="H556" i="442" s="1" a="1"/>
  <c r="H556" i="442" s="1"/>
  <c r="H555" i="442" s="1" a="1"/>
  <c r="H555" i="442" s="1"/>
  <c r="H247" i="442" a="1"/>
  <c r="H247" i="442" s="1"/>
  <c r="H667" i="442" a="1"/>
  <c r="H667" i="442" s="1"/>
  <c r="H666" i="442" s="1" a="1"/>
  <c r="H666" i="442" s="1"/>
  <c r="H665" i="442" s="1" a="1"/>
  <c r="H665" i="442" s="1"/>
  <c r="M65" i="436" s="1"/>
  <c r="H586" i="442" a="1"/>
  <c r="H586" i="442" s="1"/>
  <c r="H585" i="442" s="1" a="1"/>
  <c r="H585" i="442" s="1"/>
  <c r="H584" i="442" s="1" a="1"/>
  <c r="H584" i="442" s="1"/>
  <c r="H583" i="442" s="1" a="1"/>
  <c r="H583" i="442" s="1"/>
  <c r="H405" i="442" a="1"/>
  <c r="H405" i="442" s="1"/>
  <c r="H386" i="442" a="1"/>
  <c r="H386" i="442" s="1"/>
  <c r="H385" i="442" s="1" a="1"/>
  <c r="H385" i="442" s="1"/>
  <c r="H384" i="442" s="1" a="1"/>
  <c r="H384" i="442" s="1"/>
  <c r="H383" i="442" s="1" a="1"/>
  <c r="H383" i="442" s="1"/>
  <c r="H749" i="442" a="1"/>
  <c r="H749" i="442" s="1"/>
  <c r="H748" i="442" s="1" a="1"/>
  <c r="H748" i="442" s="1"/>
  <c r="H747" i="442" s="1" a="1"/>
  <c r="H747" i="442" s="1"/>
  <c r="H746" i="442" s="1" a="1"/>
  <c r="H746" i="442" s="1"/>
  <c r="H226" i="442" a="1"/>
  <c r="H226" i="442" s="1"/>
  <c r="H225" i="442" s="1" a="1"/>
  <c r="H225" i="442" s="1"/>
  <c r="H803" i="442" a="1"/>
  <c r="H803" i="442" s="1"/>
  <c r="H802" i="442" s="1" a="1"/>
  <c r="H802" i="442" s="1"/>
  <c r="H801" i="442" s="1" a="1"/>
  <c r="H801" i="442" s="1"/>
  <c r="H800" i="442" s="1" a="1"/>
  <c r="H800" i="442" s="1"/>
  <c r="H799" i="442" s="1" a="1"/>
  <c r="H799" i="442" s="1"/>
  <c r="H1778" i="442" a="1"/>
  <c r="H1778" i="442" s="1"/>
  <c r="H1777" i="442" s="1" a="1"/>
  <c r="H1777" i="442" s="1"/>
  <c r="M68" i="436" l="1"/>
  <c r="M241" i="436"/>
  <c r="H1616" i="442" a="1"/>
  <c r="H1616" i="442" s="1"/>
  <c r="H1615" i="442" s="1" a="1"/>
  <c r="H1615" i="442" s="1"/>
  <c r="M166" i="436" s="1"/>
  <c r="M225" i="436"/>
  <c r="M223" i="436"/>
  <c r="N223" i="436" s="1"/>
  <c r="M224" i="436"/>
  <c r="N224" i="436" s="1"/>
  <c r="H1898" i="442" a="1"/>
  <c r="H1898" i="442" s="1"/>
  <c r="H1897" i="442" s="1" a="1"/>
  <c r="H1897" i="442" s="1"/>
  <c r="M227" i="436" s="1"/>
  <c r="M228" i="436"/>
  <c r="M182" i="436"/>
  <c r="N182" i="436" s="1"/>
  <c r="M180" i="436"/>
  <c r="N184" i="436"/>
  <c r="M190" i="436"/>
  <c r="M179" i="436"/>
  <c r="M186" i="436"/>
  <c r="N186" i="436" s="1"/>
  <c r="M177" i="436"/>
  <c r="N177" i="436" s="1"/>
  <c r="M191" i="436"/>
  <c r="M192" i="436"/>
  <c r="N192" i="436" s="1"/>
  <c r="M144" i="436"/>
  <c r="M140" i="436"/>
  <c r="N229" i="436"/>
  <c r="M117" i="436"/>
  <c r="M139" i="436"/>
  <c r="M135" i="436"/>
  <c r="M62" i="436"/>
  <c r="M129" i="436"/>
  <c r="M122" i="436"/>
  <c r="M121" i="436"/>
  <c r="M120" i="436"/>
  <c r="H562" i="442" a="1"/>
  <c r="H562" i="442" s="1"/>
  <c r="H561" i="442" s="1" a="1"/>
  <c r="H561" i="442" s="1"/>
  <c r="H560" i="442" s="1" a="1"/>
  <c r="H560" i="442" s="1"/>
  <c r="H559" i="442" s="1" a="1"/>
  <c r="H559" i="442" s="1"/>
  <c r="H566" i="442" a="1"/>
  <c r="H566" i="442" s="1"/>
  <c r="H565" i="442" s="1" a="1"/>
  <c r="H565" i="442" s="1"/>
  <c r="H564" i="442" s="1" a="1"/>
  <c r="H564" i="442" s="1"/>
  <c r="H563" i="442" s="1" a="1"/>
  <c r="H563" i="442" s="1"/>
  <c r="H795" i="442" a="1"/>
  <c r="H795" i="442" s="1"/>
  <c r="H798" i="442" a="1"/>
  <c r="H798" i="442" s="1"/>
  <c r="H797" i="442" s="1" a="1"/>
  <c r="H797" i="442" s="1"/>
  <c r="H796" i="442" s="1" a="1"/>
  <c r="H796" i="442" s="1"/>
  <c r="C122" i="442"/>
  <c r="C138" i="442"/>
  <c r="H783" i="442" a="1"/>
  <c r="H783" i="442" s="1"/>
  <c r="H782" i="442" s="1" a="1"/>
  <c r="H782" i="442" s="1"/>
  <c r="H781" i="442" s="1" a="1"/>
  <c r="H781" i="442" s="1"/>
  <c r="H780" i="442" a="1"/>
  <c r="H780" i="442" s="1"/>
  <c r="N122" i="436" l="1"/>
  <c r="M125" i="436"/>
  <c r="M168" i="436"/>
  <c r="M30" i="436"/>
  <c r="N30" i="436" s="1"/>
  <c r="M52" i="436"/>
  <c r="N52" i="436" s="1"/>
  <c r="C139" i="442"/>
  <c r="H779" i="442" a="1"/>
  <c r="H779" i="442" s="1"/>
  <c r="H778" i="442" s="1" a="1"/>
  <c r="H778" i="442" s="1"/>
  <c r="H777" i="442" s="1" a="1"/>
  <c r="H777" i="442" s="1"/>
  <c r="C123" i="442"/>
  <c r="H794" i="442" a="1"/>
  <c r="H794" i="442" s="1"/>
  <c r="H793" i="442" s="1" a="1"/>
  <c r="H793" i="442" s="1"/>
  <c r="H792" i="442" s="1" a="1"/>
  <c r="H792" i="442" s="1"/>
  <c r="H791" i="442" s="1" a="1"/>
  <c r="H791" i="442" s="1"/>
  <c r="H790" i="442" s="1" a="1"/>
  <c r="H790" i="442" s="1"/>
  <c r="H789" i="442" s="1" a="1"/>
  <c r="H789" i="442" s="1"/>
  <c r="H2" i="442" l="1" a="1"/>
  <c r="H2" i="442" s="1"/>
  <c r="C140" i="442"/>
  <c r="H36" i="442" s="1" a="1"/>
  <c r="H36" i="442" s="1"/>
  <c r="H35" i="442" s="1" a="1"/>
  <c r="H35" i="442" s="1"/>
  <c r="H34" i="442" s="1" a="1"/>
  <c r="H34" i="442" s="1"/>
  <c r="H33" i="442" s="1" a="1"/>
  <c r="H33" i="442" s="1"/>
  <c r="H32" i="442" s="1" a="1"/>
  <c r="H32" i="442" s="1"/>
  <c r="H31" i="442" s="1" a="1"/>
  <c r="H31" i="442" s="1"/>
  <c r="H30" i="442" s="1" a="1"/>
  <c r="H30" i="442" s="1"/>
  <c r="H29" i="442" s="1" a="1"/>
  <c r="H29" i="442" s="1"/>
  <c r="H28" i="442" s="1" a="1"/>
  <c r="H28" i="442" s="1"/>
  <c r="H27" i="442" s="1" a="1"/>
  <c r="H27" i="442" s="1"/>
  <c r="H776" i="442" a="1"/>
  <c r="H776" i="442" s="1"/>
  <c r="H775" i="442" a="1"/>
  <c r="H775" i="442" s="1"/>
  <c r="H10" i="442" l="1" a="1"/>
  <c r="H10" i="442" s="1"/>
  <c r="H9" i="442" s="1" a="1"/>
  <c r="H9" i="442" s="1"/>
  <c r="H8" i="442" s="1" a="1"/>
  <c r="H8" i="442" s="1"/>
  <c r="H7" i="442" s="1" a="1"/>
  <c r="H7" i="442" s="1"/>
  <c r="H6" i="442" s="1" a="1"/>
  <c r="H6" i="442" s="1"/>
  <c r="H5" i="442" s="1" a="1"/>
  <c r="H5" i="442" s="1"/>
  <c r="H4" i="442" s="1" a="1"/>
  <c r="H4" i="442" s="1"/>
  <c r="H3" i="442" s="1" a="1"/>
  <c r="H3" i="442" s="1"/>
  <c r="H774" i="442" a="1"/>
  <c r="H774" i="442" s="1"/>
  <c r="H773" i="442" s="1" a="1"/>
  <c r="H773" i="442" s="1"/>
  <c r="H18" i="442" a="1"/>
  <c r="H18" i="442" s="1"/>
  <c r="H17" i="442" s="1" a="1"/>
  <c r="H17" i="442" s="1"/>
  <c r="H16" i="442" s="1" a="1"/>
  <c r="H16" i="442" s="1"/>
  <c r="H15" i="442" s="1" a="1"/>
  <c r="H15" i="442" s="1"/>
  <c r="H14" i="442" s="1" a="1"/>
  <c r="H14" i="442" s="1"/>
  <c r="H13" i="442" s="1" a="1"/>
  <c r="H13" i="442" s="1"/>
  <c r="H12" i="442" s="1" a="1"/>
  <c r="H12" i="442" s="1"/>
  <c r="H11" i="442" s="1" a="1"/>
  <c r="H11" i="442" s="1"/>
  <c r="H46" i="442" a="1"/>
  <c r="H46" i="442" s="1"/>
  <c r="H45" i="442" s="1" a="1"/>
  <c r="H45" i="442" s="1"/>
  <c r="H44" i="442" s="1" a="1"/>
  <c r="H44" i="442" s="1"/>
  <c r="H43" i="442" s="1" a="1"/>
  <c r="H43" i="442" s="1"/>
  <c r="H42" i="442" s="1" a="1"/>
  <c r="H42" i="442" s="1"/>
  <c r="H41" i="442" s="1" a="1"/>
  <c r="H41" i="442" s="1"/>
  <c r="H40" i="442" s="1" a="1"/>
  <c r="H40" i="442" s="1"/>
  <c r="H39" i="442" s="1" a="1"/>
  <c r="H39" i="442" s="1"/>
  <c r="H38" i="442" s="1" a="1"/>
  <c r="H38" i="442" s="1"/>
  <c r="H37" i="442" s="1" a="1"/>
  <c r="H37" i="442" s="1"/>
  <c r="H140" i="442" a="1"/>
  <c r="H140" i="442" s="1"/>
  <c r="H139" i="442" s="1" a="1"/>
  <c r="H139" i="442" s="1"/>
  <c r="H138" i="442" s="1" a="1"/>
  <c r="H138" i="442" s="1"/>
  <c r="H137" i="442" s="1" a="1"/>
  <c r="H137" i="442" s="1"/>
  <c r="H136" i="442" s="1" a="1"/>
  <c r="H136" i="442" s="1"/>
  <c r="H135" i="442" s="1" a="1"/>
  <c r="H135" i="442" s="1"/>
  <c r="H134" i="442" s="1" a="1"/>
  <c r="H134" i="442" s="1"/>
  <c r="H133" i="442" s="1" a="1"/>
  <c r="H133" i="442" s="1"/>
  <c r="H132" i="442" s="1" a="1"/>
  <c r="H132" i="442" s="1"/>
  <c r="H131" i="442" s="1" a="1"/>
  <c r="H131" i="442" s="1"/>
  <c r="H130" i="442" s="1" a="1"/>
  <c r="H130" i="442" s="1"/>
  <c r="H129" i="442" s="1" a="1"/>
  <c r="H129" i="442" s="1"/>
  <c r="H128" i="442" s="1" a="1"/>
  <c r="H128" i="442" s="1"/>
  <c r="H127" i="442" s="1" a="1"/>
  <c r="H127" i="442" s="1"/>
  <c r="H126" i="442" s="1" a="1"/>
  <c r="H126" i="442" s="1"/>
  <c r="H125" i="442" s="1" a="1"/>
  <c r="H125" i="442" s="1"/>
  <c r="H124" i="442" s="1" a="1"/>
  <c r="H124" i="442" s="1"/>
  <c r="H86" i="442" a="1"/>
  <c r="H86" i="442" s="1"/>
  <c r="H85" i="442" s="1" a="1"/>
  <c r="H85" i="442" s="1"/>
  <c r="H84" i="442" s="1" a="1"/>
  <c r="H84" i="442" s="1"/>
  <c r="H83" i="442" s="1" a="1"/>
  <c r="H83" i="442" s="1"/>
  <c r="H82" i="442" s="1" a="1"/>
  <c r="H82" i="442" s="1"/>
  <c r="H81" i="442" s="1" a="1"/>
  <c r="H81" i="442" s="1"/>
  <c r="H80" i="442" s="1" a="1"/>
  <c r="H80" i="442" s="1"/>
  <c r="H79" i="442" s="1" a="1"/>
  <c r="H79" i="442" s="1"/>
  <c r="H78" i="442" s="1" a="1"/>
  <c r="H78" i="442" s="1"/>
  <c r="H77" i="442" s="1" a="1"/>
  <c r="H77" i="442" s="1"/>
  <c r="H106" i="442" a="1"/>
  <c r="H106" i="442" s="1"/>
  <c r="H105" i="442" s="1" a="1"/>
  <c r="H105" i="442" s="1"/>
  <c r="H104" i="442" s="1" a="1"/>
  <c r="H104" i="442" s="1"/>
  <c r="H103" i="442" s="1" a="1"/>
  <c r="H103" i="442" s="1"/>
  <c r="H102" i="442" s="1" a="1"/>
  <c r="H102" i="442" s="1"/>
  <c r="H101" i="442" s="1" a="1"/>
  <c r="H101" i="442" s="1"/>
  <c r="H100" i="442" s="1" a="1"/>
  <c r="H100" i="442" s="1"/>
  <c r="H99" i="442" s="1" a="1"/>
  <c r="H99" i="442" s="1"/>
  <c r="H98" i="442" s="1" a="1"/>
  <c r="H98" i="442" s="1"/>
  <c r="H97" i="442" s="1" a="1"/>
  <c r="H97" i="442" s="1"/>
  <c r="H66" i="442" a="1"/>
  <c r="H66" i="442" s="1"/>
  <c r="H65" i="442" s="1" a="1"/>
  <c r="H65" i="442" s="1"/>
  <c r="H64" i="442" s="1" a="1"/>
  <c r="H64" i="442" s="1"/>
  <c r="H63" i="442" s="1" a="1"/>
  <c r="H63" i="442" s="1"/>
  <c r="H62" i="442" s="1" a="1"/>
  <c r="H62" i="442" s="1"/>
  <c r="H61" i="442" s="1" a="1"/>
  <c r="H61" i="442" s="1"/>
  <c r="H60" i="442" s="1" a="1"/>
  <c r="H60" i="442" s="1"/>
  <c r="H59" i="442" s="1" a="1"/>
  <c r="H59" i="442" s="1"/>
  <c r="H58" i="442" s="1" a="1"/>
  <c r="H58" i="442" s="1"/>
  <c r="H57" i="442" s="1" a="1"/>
  <c r="H57" i="442" s="1"/>
  <c r="H76" i="442" a="1"/>
  <c r="H76" i="442" s="1"/>
  <c r="H75" i="442" s="1" a="1"/>
  <c r="H75" i="442" s="1"/>
  <c r="H74" i="442" s="1" a="1"/>
  <c r="H74" i="442" s="1"/>
  <c r="H73" i="442" s="1" a="1"/>
  <c r="H73" i="442" s="1"/>
  <c r="H72" i="442" s="1" a="1"/>
  <c r="H72" i="442" s="1"/>
  <c r="H71" i="442" s="1" a="1"/>
  <c r="H71" i="442" s="1"/>
  <c r="H70" i="442" s="1" a="1"/>
  <c r="H70" i="442" s="1"/>
  <c r="H69" i="442" s="1" a="1"/>
  <c r="H69" i="442" s="1"/>
  <c r="H68" i="442" s="1" a="1"/>
  <c r="H68" i="442" s="1"/>
  <c r="H67" i="442" s="1" a="1"/>
  <c r="H67" i="442" s="1"/>
  <c r="H56" i="442" a="1"/>
  <c r="H56" i="442" s="1"/>
  <c r="H55" i="442" s="1" a="1"/>
  <c r="H55" i="442" s="1"/>
  <c r="H54" i="442" s="1" a="1"/>
  <c r="H54" i="442" s="1"/>
  <c r="H53" i="442" s="1" a="1"/>
  <c r="H53" i="442" s="1"/>
  <c r="H52" i="442" s="1" a="1"/>
  <c r="H52" i="442" s="1"/>
  <c r="H51" i="442" s="1" a="1"/>
  <c r="H51" i="442" s="1"/>
  <c r="H50" i="442" s="1" a="1"/>
  <c r="H50" i="442" s="1"/>
  <c r="H49" i="442" s="1" a="1"/>
  <c r="H49" i="442" s="1"/>
  <c r="H48" i="442" s="1" a="1"/>
  <c r="H48" i="442" s="1"/>
  <c r="H47" i="442" s="1" a="1"/>
  <c r="H47" i="442" s="1"/>
  <c r="H96" i="442" a="1"/>
  <c r="H96" i="442" s="1"/>
  <c r="H95" i="442" s="1" a="1"/>
  <c r="H95" i="442" s="1"/>
  <c r="H94" i="442" s="1" a="1"/>
  <c r="H94" i="442" s="1"/>
  <c r="H93" i="442" s="1" a="1"/>
  <c r="H93" i="442" s="1"/>
  <c r="H92" i="442" s="1" a="1"/>
  <c r="H92" i="442" s="1"/>
  <c r="H91" i="442" s="1" a="1"/>
  <c r="H91" i="442" s="1"/>
  <c r="H90" i="442" s="1" a="1"/>
  <c r="H90" i="442" s="1"/>
  <c r="H89" i="442" s="1" a="1"/>
  <c r="H89" i="442" s="1"/>
  <c r="H88" i="442" s="1" a="1"/>
  <c r="H88" i="442" s="1"/>
  <c r="H87" i="442" s="1" a="1"/>
  <c r="H87" i="442" s="1"/>
  <c r="H26" i="442" a="1"/>
  <c r="H26" i="442" s="1"/>
  <c r="H25" i="442" s="1" a="1"/>
  <c r="H25" i="442" s="1"/>
  <c r="H24" i="442" s="1" a="1"/>
  <c r="H24" i="442" s="1"/>
  <c r="H23" i="442" s="1" a="1"/>
  <c r="H23" i="442" s="1"/>
  <c r="H22" i="442" s="1" a="1"/>
  <c r="H22" i="442" s="1"/>
  <c r="H21" i="442" s="1" a="1"/>
  <c r="H21" i="442" s="1"/>
  <c r="H20" i="442" s="1" a="1"/>
  <c r="H20" i="442" s="1"/>
  <c r="H19" i="442" s="1" a="1"/>
  <c r="H19" i="442" s="1"/>
  <c r="H123" i="442" a="1"/>
  <c r="H123" i="442" s="1"/>
  <c r="H122" i="442" s="1" a="1"/>
  <c r="H122" i="442" s="1"/>
  <c r="H121" i="442" s="1" a="1"/>
  <c r="H121" i="442" s="1"/>
  <c r="H120" i="442" s="1" a="1"/>
  <c r="H120" i="442" s="1"/>
  <c r="H119" i="442" s="1" a="1"/>
  <c r="H119" i="442" s="1"/>
  <c r="H118" i="442" s="1" a="1"/>
  <c r="H118" i="442" s="1"/>
  <c r="H117" i="442" s="1" a="1"/>
  <c r="H117" i="442" s="1"/>
  <c r="H116" i="442" s="1" a="1"/>
  <c r="H116" i="442" s="1"/>
  <c r="H115" i="442" s="1" a="1"/>
  <c r="H115" i="442" s="1"/>
  <c r="H114" i="442" s="1" a="1"/>
  <c r="H114" i="442" s="1"/>
  <c r="H113" i="442" s="1" a="1"/>
  <c r="H113" i="442" s="1"/>
  <c r="H112" i="442" s="1" a="1"/>
  <c r="H112" i="442" s="1"/>
  <c r="H111" i="442" s="1" a="1"/>
  <c r="H111" i="442" s="1"/>
  <c r="H110" i="442" s="1" a="1"/>
  <c r="H110" i="442" s="1"/>
  <c r="H109" i="442" s="1" a="1"/>
  <c r="H109" i="442" s="1"/>
  <c r="H108" i="442" s="1" a="1"/>
  <c r="H108" i="442" s="1"/>
  <c r="H107" i="442" s="1" a="1"/>
  <c r="H107" i="442" s="1"/>
  <c r="N62" i="429" l="1"/>
  <c r="N64" i="429"/>
  <c r="E63" i="429"/>
  <c r="E64" i="429" s="1"/>
  <c r="E65" i="429" s="1"/>
  <c r="C65" i="429"/>
  <c r="C66" i="429" s="1"/>
  <c r="C67" i="429" s="1"/>
  <c r="C68" i="429" s="1"/>
  <c r="D66" i="429"/>
  <c r="D67" i="429" s="1"/>
  <c r="D68" i="429" s="1"/>
  <c r="E67" i="429"/>
  <c r="E68" i="429" s="1"/>
  <c r="E71" i="429" s="1"/>
  <c r="E61" i="429"/>
  <c r="D43" i="429"/>
  <c r="F49" i="412"/>
  <c r="D49" i="412"/>
  <c r="C69" i="429" l="1"/>
  <c r="C70" i="429" s="1"/>
  <c r="C71" i="429" s="1"/>
  <c r="D69" i="429"/>
  <c r="D70" i="429" s="1"/>
  <c r="D71" i="429" s="1"/>
  <c r="F38" i="412"/>
  <c r="F34" i="412"/>
  <c r="F35" i="412"/>
  <c r="F36" i="412"/>
  <c r="F37" i="412"/>
  <c r="F21" i="412"/>
  <c r="F22" i="412"/>
  <c r="F23" i="412"/>
  <c r="D62" i="412" s="1"/>
  <c r="F24" i="412"/>
  <c r="F14" i="412"/>
  <c r="F15" i="412"/>
  <c r="D57" i="412" s="1"/>
  <c r="F57" i="412" s="1"/>
  <c r="F16" i="412"/>
  <c r="D58" i="412" s="1"/>
  <c r="F58" i="412" s="1"/>
  <c r="F17" i="412"/>
  <c r="F13" i="412"/>
  <c r="F52" i="412"/>
  <c r="F12" i="412"/>
  <c r="D56" i="412" s="1"/>
  <c r="F56" i="412" s="1"/>
  <c r="L240" i="436" l="1"/>
  <c r="L227" i="436"/>
  <c r="N240" i="436" l="1"/>
  <c r="L241" i="436"/>
  <c r="N230" i="436"/>
  <c r="F211" i="427"/>
  <c r="F212" i="427"/>
  <c r="F213" i="427"/>
  <c r="F214" i="427"/>
  <c r="L208" i="436" s="1"/>
  <c r="F215" i="427"/>
  <c r="L209" i="436" s="1"/>
  <c r="N209" i="436" s="1"/>
  <c r="F216" i="427"/>
  <c r="L210" i="436" s="1"/>
  <c r="N210" i="436" s="1"/>
  <c r="F210" i="427"/>
  <c r="F201" i="427"/>
  <c r="N215" i="436" s="1"/>
  <c r="F202" i="427"/>
  <c r="F203" i="427"/>
  <c r="F204" i="427"/>
  <c r="F206" i="427"/>
  <c r="F207" i="427"/>
  <c r="N208" i="436" l="1"/>
  <c r="L212" i="436"/>
  <c r="N212" i="436" s="1"/>
  <c r="N205" i="436"/>
  <c r="N203" i="436"/>
  <c r="F170" i="427"/>
  <c r="F171" i="427"/>
  <c r="F172" i="427"/>
  <c r="F173" i="427"/>
  <c r="F174" i="427"/>
  <c r="F175" i="427"/>
  <c r="F176" i="427"/>
  <c r="F178" i="427"/>
  <c r="F179" i="427"/>
  <c r="F180" i="427"/>
  <c r="F181" i="427"/>
  <c r="F182" i="427"/>
  <c r="F183" i="427"/>
  <c r="F185" i="427"/>
  <c r="F186" i="427"/>
  <c r="F187" i="427"/>
  <c r="F188" i="427"/>
  <c r="F189" i="427"/>
  <c r="F190" i="427"/>
  <c r="F191" i="427"/>
  <c r="F195" i="427"/>
  <c r="F196" i="427"/>
  <c r="F197" i="427"/>
  <c r="F198" i="427"/>
  <c r="F199" i="427"/>
  <c r="F169" i="427"/>
  <c r="F75" i="427"/>
  <c r="F74" i="427"/>
  <c r="F102" i="427"/>
  <c r="F101" i="427"/>
  <c r="N201" i="436" l="1"/>
  <c r="N200" i="436"/>
  <c r="L190" i="436"/>
  <c r="L194" i="436" s="1"/>
  <c r="L180" i="436"/>
  <c r="N180" i="436" s="1"/>
  <c r="L179" i="436"/>
  <c r="N179" i="436" s="1"/>
  <c r="L162" i="436"/>
  <c r="F130" i="427"/>
  <c r="F131" i="427"/>
  <c r="F132" i="427"/>
  <c r="L160" i="436" s="1"/>
  <c r="L171" i="436" s="1"/>
  <c r="N171" i="436" s="1"/>
  <c r="F133" i="427"/>
  <c r="F134" i="427"/>
  <c r="L237" i="436" s="1"/>
  <c r="L238" i="436" s="1"/>
  <c r="N238" i="436" s="1"/>
  <c r="F135" i="427"/>
  <c r="F136" i="427"/>
  <c r="F137" i="427"/>
  <c r="F129" i="427"/>
  <c r="L172" i="436" l="1"/>
  <c r="N172" i="436" s="1"/>
  <c r="N162" i="436"/>
  <c r="N121" i="436"/>
  <c r="N160" i="436"/>
  <c r="F152" i="427" l="1"/>
  <c r="F151" i="427"/>
  <c r="F150" i="427"/>
  <c r="F149" i="427"/>
  <c r="F148" i="427"/>
  <c r="F147" i="427"/>
  <c r="L153" i="436" s="1"/>
  <c r="N153" i="436" s="1"/>
  <c r="F146" i="427"/>
  <c r="L154" i="436"/>
  <c r="F83" i="427"/>
  <c r="F91" i="427"/>
  <c r="F92" i="427"/>
  <c r="F93" i="427"/>
  <c r="F84" i="427"/>
  <c r="F85" i="427"/>
  <c r="F86" i="427"/>
  <c r="F87" i="427"/>
  <c r="F88" i="427"/>
  <c r="F89" i="427"/>
  <c r="F90" i="427"/>
  <c r="F82" i="427"/>
  <c r="L155" i="436"/>
  <c r="N155" i="436" s="1"/>
  <c r="N194" i="436"/>
  <c r="L191" i="436"/>
  <c r="N190" i="436"/>
  <c r="N152" i="436"/>
  <c r="N154" i="436" l="1"/>
  <c r="L168" i="436"/>
  <c r="N168" i="436" s="1"/>
  <c r="N191" i="436"/>
  <c r="L195" i="436"/>
  <c r="N195" i="436" s="1"/>
  <c r="N151" i="436" l="1"/>
  <c r="L166" i="436"/>
  <c r="N166" i="436" s="1"/>
  <c r="N249" i="436"/>
  <c r="N247" i="436"/>
  <c r="N246" i="436"/>
  <c r="N244" i="436"/>
  <c r="N237" i="436"/>
  <c r="N233" i="436"/>
  <c r="N227" i="436"/>
  <c r="N225" i="436"/>
  <c r="N120" i="436"/>
  <c r="N110" i="436"/>
  <c r="N106" i="436"/>
  <c r="N104" i="436"/>
  <c r="F249" i="427"/>
  <c r="L164" i="436" s="1"/>
  <c r="E68" i="427"/>
  <c r="F68" i="427" s="1"/>
  <c r="N228" i="436" s="1"/>
  <c r="E67" i="427"/>
  <c r="F67" i="427" s="1"/>
  <c r="L173" i="436" l="1"/>
  <c r="N164" i="436"/>
  <c r="F225" i="427"/>
  <c r="G225" i="427" s="1"/>
  <c r="F226" i="427"/>
  <c r="H226" i="427" s="1"/>
  <c r="F235" i="427"/>
  <c r="I235" i="427" s="1"/>
  <c r="L141" i="436" s="1"/>
  <c r="N141" i="436" s="1"/>
  <c r="F227" i="427"/>
  <c r="H227" i="427" s="1"/>
  <c r="F228" i="427"/>
  <c r="G228" i="427" s="1"/>
  <c r="F229" i="427"/>
  <c r="G229" i="427" s="1"/>
  <c r="F230" i="427"/>
  <c r="H230" i="427" s="1"/>
  <c r="F231" i="427"/>
  <c r="F232" i="427"/>
  <c r="G232" i="427" s="1"/>
  <c r="F233" i="427"/>
  <c r="H233" i="427" s="1"/>
  <c r="L139" i="436" s="1"/>
  <c r="F234" i="427"/>
  <c r="H234" i="427" s="1"/>
  <c r="F224" i="427"/>
  <c r="G224" i="427" s="1"/>
  <c r="O29" i="401"/>
  <c r="O30" i="401" s="1"/>
  <c r="O31" i="401" s="1"/>
  <c r="C20" i="401"/>
  <c r="F20" i="401"/>
  <c r="K20" i="401"/>
  <c r="O20" i="401"/>
  <c r="O17" i="401"/>
  <c r="B18" i="401"/>
  <c r="B20" i="401" s="1"/>
  <c r="C18" i="401"/>
  <c r="D18" i="401"/>
  <c r="D20" i="401" s="1"/>
  <c r="E18" i="401"/>
  <c r="E20" i="401" s="1"/>
  <c r="F18" i="401"/>
  <c r="G18" i="401"/>
  <c r="G20" i="401" s="1"/>
  <c r="H18" i="401"/>
  <c r="H20" i="401" s="1"/>
  <c r="I18" i="401"/>
  <c r="I20" i="401" s="1"/>
  <c r="J18" i="401"/>
  <c r="J20" i="401" s="1"/>
  <c r="K18" i="401"/>
  <c r="L18" i="401"/>
  <c r="L20" i="401" s="1"/>
  <c r="M18" i="401"/>
  <c r="M20" i="401" s="1"/>
  <c r="N18" i="401"/>
  <c r="N20" i="401" s="1"/>
  <c r="L140" i="436" l="1"/>
  <c r="L144" i="436" s="1"/>
  <c r="L135" i="436"/>
  <c r="L145" i="436" s="1"/>
  <c r="N139" i="436"/>
  <c r="U15" i="438"/>
  <c r="T31" i="438"/>
  <c r="N15" i="401"/>
  <c r="M15" i="401"/>
  <c r="B15" i="401"/>
  <c r="G15" i="401"/>
  <c r="F15" i="401"/>
  <c r="E15" i="401"/>
  <c r="D15" i="401"/>
  <c r="C15" i="401"/>
  <c r="L62" i="436"/>
  <c r="L63" i="436"/>
  <c r="L64" i="436"/>
  <c r="L65" i="436"/>
  <c r="L68" i="436"/>
  <c r="B34" i="401" l="1"/>
  <c r="L43" i="436" s="1"/>
  <c r="L39" i="436" s="1"/>
  <c r="C34" i="401"/>
  <c r="L74" i="436"/>
  <c r="N135" i="436"/>
  <c r="F250" i="427"/>
  <c r="F66" i="427"/>
  <c r="L158" i="436" s="1"/>
  <c r="F63" i="427"/>
  <c r="F65" i="427"/>
  <c r="F64" i="427"/>
  <c r="F56" i="427"/>
  <c r="L221" i="436" s="1"/>
  <c r="F46" i="427"/>
  <c r="F47" i="427"/>
  <c r="L220" i="436" s="1"/>
  <c r="N220" i="436" s="1"/>
  <c r="F39" i="427"/>
  <c r="L118" i="436" s="1"/>
  <c r="F30" i="427"/>
  <c r="L116" i="436" s="1"/>
  <c r="F29" i="427"/>
  <c r="L117" i="436" s="1"/>
  <c r="F259" i="427"/>
  <c r="L124" i="436" s="1"/>
  <c r="F258" i="427"/>
  <c r="L125" i="436" s="1"/>
  <c r="F277" i="427"/>
  <c r="G277" i="427" s="1"/>
  <c r="F278" i="427"/>
  <c r="F276" i="427"/>
  <c r="F275" i="427"/>
  <c r="L70" i="436" s="1"/>
  <c r="F16" i="427"/>
  <c r="F15" i="427"/>
  <c r="F17" i="427"/>
  <c r="F14" i="427"/>
  <c r="N65" i="436"/>
  <c r="L219" i="436" l="1"/>
  <c r="N219" i="436" s="1"/>
  <c r="N158" i="436"/>
  <c r="L169" i="436"/>
  <c r="N169" i="436" s="1"/>
  <c r="N128" i="436"/>
  <c r="B11" i="447" s="1"/>
  <c r="L127" i="436"/>
  <c r="N127" i="436" s="1"/>
  <c r="N124" i="436"/>
  <c r="L129" i="436"/>
  <c r="N129" i="436" s="1"/>
  <c r="N125" i="436"/>
  <c r="L130" i="436"/>
  <c r="N130" i="436" s="1"/>
  <c r="L232" i="436"/>
  <c r="N221" i="436"/>
  <c r="N173" i="436"/>
  <c r="L72" i="436"/>
  <c r="D11" i="447" l="1"/>
  <c r="N232" i="436"/>
  <c r="N241" i="436"/>
  <c r="D8" i="434" l="1"/>
  <c r="A64" i="438" l="1"/>
  <c r="J84" i="438"/>
  <c r="L84" i="438" s="1"/>
  <c r="M84" i="438"/>
  <c r="R84" i="438" s="1"/>
  <c r="S84" i="438"/>
  <c r="T84" i="438" s="1"/>
  <c r="U84" i="438"/>
  <c r="J85" i="438"/>
  <c r="L85" i="438" s="1"/>
  <c r="M85" i="438"/>
  <c r="R85" i="438" s="1"/>
  <c r="S85" i="438"/>
  <c r="T85" i="438" s="1"/>
  <c r="U85" i="438"/>
  <c r="J86" i="438"/>
  <c r="L86" i="438" s="1"/>
  <c r="M86" i="438"/>
  <c r="R86" i="438" s="1"/>
  <c r="S86" i="438"/>
  <c r="T86" i="438" s="1"/>
  <c r="U86" i="438"/>
  <c r="J87" i="438"/>
  <c r="L87" i="438" s="1"/>
  <c r="M87" i="438"/>
  <c r="R87" i="438" s="1"/>
  <c r="S87" i="438"/>
  <c r="T87" i="438" s="1"/>
  <c r="U87" i="438"/>
  <c r="J62" i="438"/>
  <c r="L62" i="438" s="1"/>
  <c r="M62" i="438"/>
  <c r="R62" i="438" s="1"/>
  <c r="S62" i="438"/>
  <c r="T62" i="438" s="1"/>
  <c r="U62" i="438"/>
  <c r="J63" i="438"/>
  <c r="L63" i="438" s="1"/>
  <c r="M63" i="438"/>
  <c r="R63" i="438" s="1"/>
  <c r="S63" i="438"/>
  <c r="T63" i="438" s="1"/>
  <c r="U63" i="438"/>
  <c r="J61" i="438"/>
  <c r="L61" i="438" s="1"/>
  <c r="M61" i="438"/>
  <c r="R61" i="438" s="1"/>
  <c r="S61" i="438"/>
  <c r="T61" i="438" s="1"/>
  <c r="U61" i="438"/>
  <c r="R26" i="438"/>
  <c r="R27" i="438"/>
  <c r="R28" i="438"/>
  <c r="R29" i="438"/>
  <c r="R30" i="438"/>
  <c r="M26" i="438"/>
  <c r="U30" i="438"/>
  <c r="S30" i="438"/>
  <c r="J30" i="438"/>
  <c r="L30" i="438" s="1"/>
  <c r="M30" i="438"/>
  <c r="U29" i="438"/>
  <c r="S29" i="438"/>
  <c r="J29" i="438"/>
  <c r="L29" i="438" s="1"/>
  <c r="M29" i="438"/>
  <c r="U28" i="438"/>
  <c r="S28" i="438"/>
  <c r="J28" i="438"/>
  <c r="L28" i="438" s="1"/>
  <c r="M28" i="438"/>
  <c r="U27" i="438"/>
  <c r="S27" i="438"/>
  <c r="J27" i="438"/>
  <c r="L27" i="438" s="1"/>
  <c r="M27" i="438"/>
  <c r="U26" i="438"/>
  <c r="S26" i="438"/>
  <c r="J26" i="438"/>
  <c r="L26" i="438" s="1"/>
  <c r="G16" i="211"/>
  <c r="L27" i="436" s="1"/>
  <c r="D16" i="211"/>
  <c r="L24" i="436" s="1"/>
  <c r="D2" i="440"/>
  <c r="D3" i="440"/>
  <c r="D1" i="440"/>
  <c r="F11" i="440"/>
  <c r="A8" i="440"/>
  <c r="A10" i="440" s="1"/>
  <c r="A11" i="440" s="1"/>
  <c r="F7" i="440"/>
  <c r="N86" i="438" l="1"/>
  <c r="O86" i="438" s="1"/>
  <c r="N85" i="438"/>
  <c r="O85" i="438" s="1"/>
  <c r="N87" i="438"/>
  <c r="O87" i="438" s="1"/>
  <c r="N84" i="438"/>
  <c r="O84" i="438" s="1"/>
  <c r="N26" i="438"/>
  <c r="O26" i="438" s="1"/>
  <c r="N27" i="438"/>
  <c r="O27" i="438" s="1"/>
  <c r="N63" i="438"/>
  <c r="O63" i="438" s="1"/>
  <c r="N62" i="438"/>
  <c r="O62" i="438" s="1"/>
  <c r="N28" i="438"/>
  <c r="N61" i="438"/>
  <c r="O61" i="438" s="1"/>
  <c r="N30" i="438"/>
  <c r="O30" i="438" s="1"/>
  <c r="N29" i="438"/>
  <c r="O29" i="438" s="1"/>
  <c r="O28" i="438"/>
  <c r="A9" i="440"/>
  <c r="N118" i="436" l="1"/>
  <c r="N117" i="436"/>
  <c r="N116" i="436"/>
  <c r="N100" i="436"/>
  <c r="N84" i="436"/>
  <c r="N140" i="436"/>
  <c r="N72" i="436"/>
  <c r="N70" i="436"/>
  <c r="N68" i="436"/>
  <c r="N64" i="436"/>
  <c r="N63" i="436"/>
  <c r="N62" i="436"/>
  <c r="N43" i="436"/>
  <c r="N42" i="436"/>
  <c r="N40" i="436"/>
  <c r="N39" i="436"/>
  <c r="N38" i="436"/>
  <c r="N34" i="436"/>
  <c r="N27" i="436"/>
  <c r="N24" i="436"/>
  <c r="E8" i="436"/>
  <c r="E9" i="436" s="1"/>
  <c r="C8" i="436"/>
  <c r="C9" i="436" s="1"/>
  <c r="D9" i="429"/>
  <c r="D10" i="429" s="1"/>
  <c r="D11" i="429" s="1"/>
  <c r="D12" i="429" s="1"/>
  <c r="D13" i="429" s="1"/>
  <c r="D14" i="429" s="1"/>
  <c r="D15" i="429" s="1"/>
  <c r="D16" i="429" s="1"/>
  <c r="D17" i="429" s="1"/>
  <c r="E10" i="429"/>
  <c r="E11" i="429" s="1"/>
  <c r="E12" i="429" s="1"/>
  <c r="E13" i="429"/>
  <c r="E14" i="429" s="1"/>
  <c r="E15" i="429" s="1"/>
  <c r="E16" i="429" s="1"/>
  <c r="E17" i="429" s="1"/>
  <c r="E18" i="429" s="1"/>
  <c r="E19" i="429"/>
  <c r="E20" i="429" s="1"/>
  <c r="E21" i="429" s="1"/>
  <c r="E22" i="429"/>
  <c r="E23" i="429" s="1"/>
  <c r="E24" i="429" s="1"/>
  <c r="D24" i="429"/>
  <c r="D25" i="429" s="1"/>
  <c r="D26" i="429" s="1"/>
  <c r="D27" i="429" s="1"/>
  <c r="D28" i="429" s="1"/>
  <c r="D29" i="429" s="1"/>
  <c r="D30" i="429" s="1"/>
  <c r="D31" i="429" s="1"/>
  <c r="D32" i="429" s="1"/>
  <c r="D33" i="429" s="1"/>
  <c r="D34" i="429" s="1"/>
  <c r="E25" i="429"/>
  <c r="E26" i="429" s="1"/>
  <c r="E27" i="429" s="1"/>
  <c r="E28" i="429" s="1"/>
  <c r="E29" i="429" s="1"/>
  <c r="E30" i="429" s="1"/>
  <c r="E31" i="429" s="1"/>
  <c r="E32" i="429"/>
  <c r="E33" i="429" s="1"/>
  <c r="E34" i="429" s="1"/>
  <c r="E35" i="429" s="1"/>
  <c r="C34" i="429"/>
  <c r="C35" i="429" s="1"/>
  <c r="C36" i="429" s="1"/>
  <c r="C37" i="429" s="1"/>
  <c r="C38" i="429" s="1"/>
  <c r="C39" i="429" s="1"/>
  <c r="C40" i="429" s="1"/>
  <c r="D35" i="429"/>
  <c r="D36" i="429" s="1"/>
  <c r="D37" i="429" s="1"/>
  <c r="D38" i="429" s="1"/>
  <c r="D39" i="429" s="1"/>
  <c r="D40" i="429" s="1"/>
  <c r="E36" i="429"/>
  <c r="E37" i="429" s="1"/>
  <c r="E38" i="429"/>
  <c r="E39" i="429" s="1"/>
  <c r="E40" i="429" s="1"/>
  <c r="E41" i="429"/>
  <c r="E42" i="429" s="1"/>
  <c r="E43" i="429" s="1"/>
  <c r="D44" i="429"/>
  <c r="D45" i="429" s="1"/>
  <c r="E44" i="429"/>
  <c r="E45" i="429" s="1"/>
  <c r="E46" i="429"/>
  <c r="E47" i="429" s="1"/>
  <c r="E48" i="429" s="1"/>
  <c r="E49" i="429" s="1"/>
  <c r="E50" i="429" s="1"/>
  <c r="E51" i="429" s="1"/>
  <c r="E52" i="429" s="1"/>
  <c r="E53" i="429"/>
  <c r="E54" i="429" s="1"/>
  <c r="E55" i="429" s="1"/>
  <c r="E56" i="429" s="1"/>
  <c r="E57" i="429"/>
  <c r="E58" i="429" s="1"/>
  <c r="E59" i="429" s="1"/>
  <c r="E60" i="429" s="1"/>
  <c r="C72" i="429"/>
  <c r="C73" i="429" s="1"/>
  <c r="C74" i="429" s="1"/>
  <c r="C75" i="429" s="1"/>
  <c r="C76" i="429" s="1"/>
  <c r="C77" i="429" s="1"/>
  <c r="C78" i="429" s="1"/>
  <c r="C79" i="429" s="1"/>
  <c r="C80" i="429" s="1"/>
  <c r="C81" i="429" s="1"/>
  <c r="C82" i="429" s="1"/>
  <c r="C83" i="429" s="1"/>
  <c r="C84" i="429" s="1"/>
  <c r="C85" i="429" s="1"/>
  <c r="C86" i="429" s="1"/>
  <c r="C87" i="429" s="1"/>
  <c r="C88" i="429" s="1"/>
  <c r="C89" i="429" s="1"/>
  <c r="C90" i="429" s="1"/>
  <c r="C91" i="429" s="1"/>
  <c r="C92" i="429" s="1"/>
  <c r="C93" i="429" s="1"/>
  <c r="C94" i="429" s="1"/>
  <c r="C95" i="429" s="1"/>
  <c r="C96" i="429" s="1"/>
  <c r="C97" i="429" s="1"/>
  <c r="C98" i="429" s="1"/>
  <c r="C99" i="429" s="1"/>
  <c r="C100" i="429" s="1"/>
  <c r="C101" i="429" s="1"/>
  <c r="C102" i="429" s="1"/>
  <c r="C103" i="429" s="1"/>
  <c r="C104" i="429" s="1"/>
  <c r="C105" i="429" s="1"/>
  <c r="C106" i="429" s="1"/>
  <c r="C107" i="429" s="1"/>
  <c r="C108" i="429" s="1"/>
  <c r="C109" i="429" s="1"/>
  <c r="C110" i="429" s="1"/>
  <c r="C111" i="429" s="1"/>
  <c r="C112" i="429" s="1"/>
  <c r="C113" i="429" s="1"/>
  <c r="C114" i="429" s="1"/>
  <c r="C115" i="429" s="1"/>
  <c r="C116" i="429" s="1"/>
  <c r="C117" i="429" s="1"/>
  <c r="C118" i="429" s="1"/>
  <c r="C119" i="429" s="1"/>
  <c r="C120" i="429" s="1"/>
  <c r="C121" i="429" s="1"/>
  <c r="C122" i="429" s="1"/>
  <c r="C123" i="429" s="1"/>
  <c r="C124" i="429" s="1"/>
  <c r="C125" i="429" s="1"/>
  <c r="C126" i="429" s="1"/>
  <c r="C127" i="429" s="1"/>
  <c r="C128" i="429" s="1"/>
  <c r="C129" i="429" s="1"/>
  <c r="C130" i="429" s="1"/>
  <c r="C131" i="429" s="1"/>
  <c r="C132" i="429" s="1"/>
  <c r="C133" i="429" s="1"/>
  <c r="C134" i="429" s="1"/>
  <c r="C135" i="429" s="1"/>
  <c r="C136" i="429" s="1"/>
  <c r="C137" i="429" s="1"/>
  <c r="C138" i="429" s="1"/>
  <c r="C139" i="429" s="1"/>
  <c r="C140" i="429" s="1"/>
  <c r="C141" i="429" s="1"/>
  <c r="C142" i="429" s="1"/>
  <c r="C143" i="429" s="1"/>
  <c r="C144" i="429" s="1"/>
  <c r="C145" i="429" s="1"/>
  <c r="C146" i="429" s="1"/>
  <c r="C147" i="429" s="1"/>
  <c r="C148" i="429" s="1"/>
  <c r="C149" i="429" s="1"/>
  <c r="C150" i="429" s="1"/>
  <c r="C151" i="429" s="1"/>
  <c r="C152" i="429" s="1"/>
  <c r="C153" i="429" s="1"/>
  <c r="C154" i="429" s="1"/>
  <c r="C155" i="429" s="1"/>
  <c r="C156" i="429" s="1"/>
  <c r="C157" i="429" s="1"/>
  <c r="C158" i="429" s="1"/>
  <c r="C159" i="429" s="1"/>
  <c r="C160" i="429" s="1"/>
  <c r="C161" i="429" s="1"/>
  <c r="C162" i="429" s="1"/>
  <c r="C163" i="429" s="1"/>
  <c r="C164" i="429" s="1"/>
  <c r="C165" i="429" s="1"/>
  <c r="C166" i="429" s="1"/>
  <c r="C167" i="429" s="1"/>
  <c r="C168" i="429" s="1"/>
  <c r="C169" i="429" s="1"/>
  <c r="C170" i="429" s="1"/>
  <c r="C171" i="429" s="1"/>
  <c r="C172" i="429" s="1"/>
  <c r="C173" i="429" s="1"/>
  <c r="C174" i="429" s="1"/>
  <c r="C175" i="429" s="1"/>
  <c r="C176" i="429" s="1"/>
  <c r="C177" i="429" s="1"/>
  <c r="C178" i="429" s="1"/>
  <c r="C179" i="429" s="1"/>
  <c r="C180" i="429" s="1"/>
  <c r="C181" i="429" s="1"/>
  <c r="C182" i="429" s="1"/>
  <c r="C183" i="429" s="1"/>
  <c r="C184" i="429" s="1"/>
  <c r="C185" i="429" s="1"/>
  <c r="C186" i="429" s="1"/>
  <c r="C187" i="429" s="1"/>
  <c r="C188" i="429" s="1"/>
  <c r="C189" i="429" s="1"/>
  <c r="C190" i="429" s="1"/>
  <c r="C191" i="429" s="1"/>
  <c r="C192" i="429" s="1"/>
  <c r="C193" i="429" s="1"/>
  <c r="C194" i="429" s="1"/>
  <c r="C195" i="429" s="1"/>
  <c r="C196" i="429" s="1"/>
  <c r="C197" i="429" s="1"/>
  <c r="C198" i="429" s="1"/>
  <c r="C199" i="429" s="1"/>
  <c r="C200" i="429" s="1"/>
  <c r="C201" i="429" s="1"/>
  <c r="C202" i="429" s="1"/>
  <c r="C203" i="429" s="1"/>
  <c r="C204" i="429" s="1"/>
  <c r="C205" i="429" s="1"/>
  <c r="C206" i="429" s="1"/>
  <c r="C207" i="429" s="1"/>
  <c r="C208" i="429" s="1"/>
  <c r="C209" i="429" s="1"/>
  <c r="C210" i="429" s="1"/>
  <c r="C211" i="429" s="1"/>
  <c r="C212" i="429" s="1"/>
  <c r="C213" i="429" s="1"/>
  <c r="C214" i="429" s="1"/>
  <c r="C215" i="429" s="1"/>
  <c r="C216" i="429" s="1"/>
  <c r="C217" i="429" s="1"/>
  <c r="C218" i="429" s="1"/>
  <c r="C219" i="429" s="1"/>
  <c r="C220" i="429" s="1"/>
  <c r="C221" i="429" s="1"/>
  <c r="C222" i="429" s="1"/>
  <c r="C223" i="429" s="1"/>
  <c r="C224" i="429" s="1"/>
  <c r="C225" i="429" s="1"/>
  <c r="C226" i="429" s="1"/>
  <c r="C227" i="429" s="1"/>
  <c r="C228" i="429" s="1"/>
  <c r="C229" i="429" s="1"/>
  <c r="C230" i="429" s="1"/>
  <c r="C231" i="429" s="1"/>
  <c r="C232" i="429" s="1"/>
  <c r="C233" i="429" s="1"/>
  <c r="C234" i="429" s="1"/>
  <c r="C235" i="429" s="1"/>
  <c r="C236" i="429" s="1"/>
  <c r="C237" i="429" s="1"/>
  <c r="C238" i="429" s="1"/>
  <c r="C239" i="429" s="1"/>
  <c r="C240" i="429" s="1"/>
  <c r="C241" i="429" s="1"/>
  <c r="C242" i="429" s="1"/>
  <c r="C243" i="429" s="1"/>
  <c r="C244" i="429" s="1"/>
  <c r="C245" i="429" s="1"/>
  <c r="C246" i="429" s="1"/>
  <c r="C247" i="429" s="1"/>
  <c r="C248" i="429" s="1"/>
  <c r="C249" i="429" s="1"/>
  <c r="C250" i="429" s="1"/>
  <c r="C251" i="429" s="1"/>
  <c r="C252" i="429" s="1"/>
  <c r="C253" i="429" s="1"/>
  <c r="C254" i="429" s="1"/>
  <c r="C255" i="429" s="1"/>
  <c r="C256" i="429" s="1"/>
  <c r="C257" i="429" s="1"/>
  <c r="C258" i="429" s="1"/>
  <c r="C259" i="429" s="1"/>
  <c r="C260" i="429" s="1"/>
  <c r="C261" i="429" s="1"/>
  <c r="C262" i="429" s="1"/>
  <c r="C263" i="429" s="1"/>
  <c r="C264" i="429" s="1"/>
  <c r="C265" i="429" s="1"/>
  <c r="C266" i="429" s="1"/>
  <c r="C267" i="429" s="1"/>
  <c r="C268" i="429" s="1"/>
  <c r="C269" i="429" s="1"/>
  <c r="C270" i="429" s="1"/>
  <c r="C271" i="429" s="1"/>
  <c r="C272" i="429" s="1"/>
  <c r="C273" i="429" s="1"/>
  <c r="C274" i="429" s="1"/>
  <c r="C275" i="429" s="1"/>
  <c r="C276" i="429" s="1"/>
  <c r="C277" i="429" s="1"/>
  <c r="C278" i="429" s="1"/>
  <c r="C279" i="429" s="1"/>
  <c r="C280" i="429" s="1"/>
  <c r="C281" i="429" s="1"/>
  <c r="C282" i="429" s="1"/>
  <c r="C283" i="429" s="1"/>
  <c r="C284" i="429" s="1"/>
  <c r="C285" i="429" s="1"/>
  <c r="C286" i="429" s="1"/>
  <c r="C287" i="429" s="1"/>
  <c r="C288" i="429" s="1"/>
  <c r="C289" i="429" s="1"/>
  <c r="C290" i="429" s="1"/>
  <c r="C291" i="429" s="1"/>
  <c r="C292" i="429" s="1"/>
  <c r="C293" i="429" s="1"/>
  <c r="C294" i="429" s="1"/>
  <c r="C295" i="429" s="1"/>
  <c r="C296" i="429" s="1"/>
  <c r="C297" i="429" s="1"/>
  <c r="C298" i="429" s="1"/>
  <c r="C299" i="429" s="1"/>
  <c r="C300" i="429" s="1"/>
  <c r="C301" i="429" s="1"/>
  <c r="C302" i="429" s="1"/>
  <c r="C303" i="429" s="1"/>
  <c r="C304" i="429" s="1"/>
  <c r="C305" i="429" s="1"/>
  <c r="C306" i="429" s="1"/>
  <c r="C307" i="429" s="1"/>
  <c r="C308" i="429" s="1"/>
  <c r="C309" i="429" s="1"/>
  <c r="C310" i="429" s="1"/>
  <c r="C311" i="429" s="1"/>
  <c r="C312" i="429" s="1"/>
  <c r="C313" i="429" s="1"/>
  <c r="C314" i="429" s="1"/>
  <c r="C315" i="429" s="1"/>
  <c r="C316" i="429" s="1"/>
  <c r="C317" i="429" s="1"/>
  <c r="C318" i="429" s="1"/>
  <c r="C319" i="429" s="1"/>
  <c r="C320" i="429" s="1"/>
  <c r="C321" i="429" s="1"/>
  <c r="C322" i="429" s="1"/>
  <c r="C323" i="429" s="1"/>
  <c r="C324" i="429" s="1"/>
  <c r="C325" i="429" s="1"/>
  <c r="C326" i="429" s="1"/>
  <c r="C327" i="429" s="1"/>
  <c r="C328" i="429" s="1"/>
  <c r="C329" i="429" s="1"/>
  <c r="C330" i="429" s="1"/>
  <c r="C331" i="429" s="1"/>
  <c r="C332" i="429" s="1"/>
  <c r="C333" i="429" s="1"/>
  <c r="C334" i="429" s="1"/>
  <c r="C335" i="429" s="1"/>
  <c r="C336" i="429" s="1"/>
  <c r="C337" i="429" s="1"/>
  <c r="C338" i="429" s="1"/>
  <c r="C339" i="429" s="1"/>
  <c r="C340" i="429" s="1"/>
  <c r="C341" i="429" s="1"/>
  <c r="C342" i="429" s="1"/>
  <c r="C343" i="429" s="1"/>
  <c r="C344" i="429" s="1"/>
  <c r="C345" i="429" s="1"/>
  <c r="C346" i="429" s="1"/>
  <c r="C347" i="429" s="1"/>
  <c r="C348" i="429" s="1"/>
  <c r="C349" i="429" s="1"/>
  <c r="C350" i="429" s="1"/>
  <c r="C351" i="429" s="1"/>
  <c r="C352" i="429" s="1"/>
  <c r="C353" i="429" s="1"/>
  <c r="C354" i="429" s="1"/>
  <c r="C355" i="429" s="1"/>
  <c r="C356" i="429" s="1"/>
  <c r="C357" i="429" s="1"/>
  <c r="C358" i="429" s="1"/>
  <c r="C359" i="429" s="1"/>
  <c r="C360" i="429" s="1"/>
  <c r="C361" i="429" s="1"/>
  <c r="C362" i="429" s="1"/>
  <c r="C363" i="429" s="1"/>
  <c r="C364" i="429" s="1"/>
  <c r="C365" i="429" s="1"/>
  <c r="C366" i="429" s="1"/>
  <c r="C367" i="429" s="1"/>
  <c r="C368" i="429" s="1"/>
  <c r="C369" i="429" s="1"/>
  <c r="C370" i="429" s="1"/>
  <c r="C371" i="429" s="1"/>
  <c r="C372" i="429" s="1"/>
  <c r="C373" i="429" s="1"/>
  <c r="C374" i="429" s="1"/>
  <c r="C375" i="429" s="1"/>
  <c r="C376" i="429" s="1"/>
  <c r="C377" i="429" s="1"/>
  <c r="C378" i="429" s="1"/>
  <c r="C379" i="429" s="1"/>
  <c r="C380" i="429" s="1"/>
  <c r="C381" i="429" s="1"/>
  <c r="C382" i="429" s="1"/>
  <c r="C383" i="429" s="1"/>
  <c r="C384" i="429" s="1"/>
  <c r="C385" i="429" s="1"/>
  <c r="C386" i="429" s="1"/>
  <c r="C387" i="429" s="1"/>
  <c r="C388" i="429" s="1"/>
  <c r="C389" i="429" s="1"/>
  <c r="C390" i="429" s="1"/>
  <c r="C391" i="429" s="1"/>
  <c r="C392" i="429" s="1"/>
  <c r="C393" i="429" s="1"/>
  <c r="C394" i="429" s="1"/>
  <c r="C395" i="429" s="1"/>
  <c r="C396" i="429" s="1"/>
  <c r="C397" i="429" s="1"/>
  <c r="C398" i="429" s="1"/>
  <c r="C399" i="429" s="1"/>
  <c r="C400" i="429" s="1"/>
  <c r="C401" i="429" s="1"/>
  <c r="C402" i="429" s="1"/>
  <c r="C403" i="429" s="1"/>
  <c r="C404" i="429" s="1"/>
  <c r="C405" i="429" s="1"/>
  <c r="C406" i="429" s="1"/>
  <c r="C407" i="429" s="1"/>
  <c r="C408" i="429" s="1"/>
  <c r="C409" i="429" s="1"/>
  <c r="C410" i="429" s="1"/>
  <c r="C411" i="429" s="1"/>
  <c r="C412" i="429" s="1"/>
  <c r="C413" i="429" s="1"/>
  <c r="C414" i="429" s="1"/>
  <c r="C415" i="429" s="1"/>
  <c r="C416" i="429" s="1"/>
  <c r="C417" i="429" s="1"/>
  <c r="C418" i="429" s="1"/>
  <c r="C419" i="429" s="1"/>
  <c r="C420" i="429" s="1"/>
  <c r="C421" i="429" s="1"/>
  <c r="C422" i="429" s="1"/>
  <c r="C423" i="429" s="1"/>
  <c r="C424" i="429" s="1"/>
  <c r="C425" i="429" s="1"/>
  <c r="C426" i="429" s="1"/>
  <c r="C427" i="429" s="1"/>
  <c r="C428" i="429" s="1"/>
  <c r="C429" i="429" s="1"/>
  <c r="C430" i="429" s="1"/>
  <c r="C431" i="429" s="1"/>
  <c r="C432" i="429" s="1"/>
  <c r="C433" i="429" s="1"/>
  <c r="C434" i="429" s="1"/>
  <c r="C435" i="429" s="1"/>
  <c r="C436" i="429" s="1"/>
  <c r="C437" i="429" s="1"/>
  <c r="C438" i="429" s="1"/>
  <c r="C439" i="429" s="1"/>
  <c r="C440" i="429" s="1"/>
  <c r="C441" i="429" s="1"/>
  <c r="C442" i="429" s="1"/>
  <c r="C443" i="429" s="1"/>
  <c r="C444" i="429" s="1"/>
  <c r="C445" i="429" s="1"/>
  <c r="C446" i="429" s="1"/>
  <c r="C447" i="429" s="1"/>
  <c r="C448" i="429" s="1"/>
  <c r="C449" i="429" s="1"/>
  <c r="C450" i="429" s="1"/>
  <c r="C451" i="429" s="1"/>
  <c r="C452" i="429" s="1"/>
  <c r="C453" i="429" s="1"/>
  <c r="C454" i="429" s="1"/>
  <c r="C455" i="429" s="1"/>
  <c r="C456" i="429" s="1"/>
  <c r="C457" i="429" s="1"/>
  <c r="C458" i="429" s="1"/>
  <c r="C459" i="429" s="1"/>
  <c r="C460" i="429" s="1"/>
  <c r="C461" i="429" s="1"/>
  <c r="C462" i="429" s="1"/>
  <c r="C463" i="429" s="1"/>
  <c r="C464" i="429" s="1"/>
  <c r="C465" i="429" s="1"/>
  <c r="C466" i="429" s="1"/>
  <c r="C467" i="429" s="1"/>
  <c r="C468" i="429" s="1"/>
  <c r="C469" i="429" s="1"/>
  <c r="C470" i="429" s="1"/>
  <c r="C471" i="429" s="1"/>
  <c r="C472" i="429" s="1"/>
  <c r="C473" i="429" s="1"/>
  <c r="C474" i="429" s="1"/>
  <c r="C475" i="429" s="1"/>
  <c r="C476" i="429" s="1"/>
  <c r="C477" i="429" s="1"/>
  <c r="C478" i="429" s="1"/>
  <c r="C479" i="429" s="1"/>
  <c r="C480" i="429" s="1"/>
  <c r="C481" i="429" s="1"/>
  <c r="C482" i="429" s="1"/>
  <c r="C483" i="429" s="1"/>
  <c r="C484" i="429" s="1"/>
  <c r="C485" i="429" s="1"/>
  <c r="C486" i="429" s="1"/>
  <c r="C487" i="429" s="1"/>
  <c r="C488" i="429" s="1"/>
  <c r="C489" i="429" s="1"/>
  <c r="C490" i="429" s="1"/>
  <c r="C491" i="429" s="1"/>
  <c r="C492" i="429" s="1"/>
  <c r="C493" i="429" s="1"/>
  <c r="C494" i="429" s="1"/>
  <c r="C495" i="429" s="1"/>
  <c r="C496" i="429" s="1"/>
  <c r="C497" i="429" s="1"/>
  <c r="C498" i="429" s="1"/>
  <c r="C499" i="429" s="1"/>
  <c r="C500" i="429" s="1"/>
  <c r="C501" i="429" s="1"/>
  <c r="C502" i="429" s="1"/>
  <c r="C503" i="429" s="1"/>
  <c r="C504" i="429" s="1"/>
  <c r="C505" i="429" s="1"/>
  <c r="C506" i="429" s="1"/>
  <c r="C507" i="429" s="1"/>
  <c r="C508" i="429" s="1"/>
  <c r="C509" i="429" s="1"/>
  <c r="C510" i="429" s="1"/>
  <c r="C511" i="429" s="1"/>
  <c r="C512" i="429" s="1"/>
  <c r="C513" i="429" s="1"/>
  <c r="C514" i="429" s="1"/>
  <c r="C515" i="429" s="1"/>
  <c r="C516" i="429" s="1"/>
  <c r="C517" i="429" s="1"/>
  <c r="C518" i="429" s="1"/>
  <c r="C519" i="429" s="1"/>
  <c r="C520" i="429" s="1"/>
  <c r="C521" i="429" s="1"/>
  <c r="C522" i="429" s="1"/>
  <c r="C523" i="429" s="1"/>
  <c r="C524" i="429" s="1"/>
  <c r="C525" i="429" s="1"/>
  <c r="C526" i="429" s="1"/>
  <c r="C527" i="429" s="1"/>
  <c r="C528" i="429" s="1"/>
  <c r="C529" i="429" s="1"/>
  <c r="C530" i="429" s="1"/>
  <c r="C531" i="429" s="1"/>
  <c r="C532" i="429" s="1"/>
  <c r="C533" i="429" s="1"/>
  <c r="C534" i="429" s="1"/>
  <c r="C535" i="429" s="1"/>
  <c r="C536" i="429" s="1"/>
  <c r="C537" i="429" s="1"/>
  <c r="C538" i="429" s="1"/>
  <c r="C539" i="429" s="1"/>
  <c r="C540" i="429" s="1"/>
  <c r="C541" i="429" s="1"/>
  <c r="C542" i="429" s="1"/>
  <c r="C543" i="429" s="1"/>
  <c r="C544" i="429" s="1"/>
  <c r="C545" i="429" s="1"/>
  <c r="C546" i="429" s="1"/>
  <c r="C547" i="429" s="1"/>
  <c r="C548" i="429" s="1"/>
  <c r="C549" i="429" s="1"/>
  <c r="C550" i="429" s="1"/>
  <c r="C551" i="429" s="1"/>
  <c r="C552" i="429" s="1"/>
  <c r="C553" i="429" s="1"/>
  <c r="C554" i="429" s="1"/>
  <c r="C555" i="429" s="1"/>
  <c r="C556" i="429" s="1"/>
  <c r="C557" i="429" s="1"/>
  <c r="C558" i="429" s="1"/>
  <c r="C559" i="429" s="1"/>
  <c r="C560" i="429" s="1"/>
  <c r="C561" i="429" s="1"/>
  <c r="C562" i="429" s="1"/>
  <c r="C563" i="429" s="1"/>
  <c r="C564" i="429" s="1"/>
  <c r="C565" i="429" s="1"/>
  <c r="C566" i="429" s="1"/>
  <c r="C567" i="429" s="1"/>
  <c r="C568" i="429" s="1"/>
  <c r="C569" i="429" s="1"/>
  <c r="C570" i="429" s="1"/>
  <c r="C571" i="429" s="1"/>
  <c r="C572" i="429" s="1"/>
  <c r="C573" i="429" s="1"/>
  <c r="C574" i="429" s="1"/>
  <c r="C575" i="429" s="1"/>
  <c r="C576" i="429" s="1"/>
  <c r="C577" i="429" s="1"/>
  <c r="C578" i="429" s="1"/>
  <c r="C579" i="429" s="1"/>
  <c r="C580" i="429" s="1"/>
  <c r="C581" i="429" s="1"/>
  <c r="C582" i="429" s="1"/>
  <c r="C583" i="429" s="1"/>
  <c r="C584" i="429" s="1"/>
  <c r="C585" i="429" s="1"/>
  <c r="C586" i="429" s="1"/>
  <c r="C587" i="429" s="1"/>
  <c r="C588" i="429" s="1"/>
  <c r="C589" i="429" s="1"/>
  <c r="C590" i="429" s="1"/>
  <c r="C591" i="429" s="1"/>
  <c r="C592" i="429" s="1"/>
  <c r="C593" i="429" s="1"/>
  <c r="C594" i="429" s="1"/>
  <c r="C595" i="429" s="1"/>
  <c r="C596" i="429" s="1"/>
  <c r="C597" i="429" s="1"/>
  <c r="C598" i="429" s="1"/>
  <c r="C599" i="429" s="1"/>
  <c r="C600" i="429" s="1"/>
  <c r="C601" i="429" s="1"/>
  <c r="C602" i="429" s="1"/>
  <c r="C603" i="429" s="1"/>
  <c r="C604" i="429" s="1"/>
  <c r="C605" i="429" s="1"/>
  <c r="C606" i="429" s="1"/>
  <c r="C607" i="429" s="1"/>
  <c r="C608" i="429" s="1"/>
  <c r="C609" i="429" s="1"/>
  <c r="C610" i="429" s="1"/>
  <c r="C611" i="429" s="1"/>
  <c r="C612" i="429" s="1"/>
  <c r="C613" i="429" s="1"/>
  <c r="C614" i="429" s="1"/>
  <c r="C615" i="429" s="1"/>
  <c r="C616" i="429" s="1"/>
  <c r="C617" i="429" s="1"/>
  <c r="C618" i="429" s="1"/>
  <c r="C619" i="429" s="1"/>
  <c r="C620" i="429" s="1"/>
  <c r="C621" i="429" s="1"/>
  <c r="C622" i="429" s="1"/>
  <c r="C623" i="429" s="1"/>
  <c r="C624" i="429" s="1"/>
  <c r="C625" i="429" s="1"/>
  <c r="C626" i="429" s="1"/>
  <c r="C627" i="429" s="1"/>
  <c r="C628" i="429" s="1"/>
  <c r="C629" i="429" s="1"/>
  <c r="C630" i="429" s="1"/>
  <c r="C631" i="429" s="1"/>
  <c r="C632" i="429" s="1"/>
  <c r="C633" i="429" s="1"/>
  <c r="C634" i="429" s="1"/>
  <c r="C635" i="429" s="1"/>
  <c r="C636" i="429" s="1"/>
  <c r="C637" i="429" s="1"/>
  <c r="C638" i="429" s="1"/>
  <c r="C639" i="429" s="1"/>
  <c r="C640" i="429" s="1"/>
  <c r="C641" i="429" s="1"/>
  <c r="C642" i="429" s="1"/>
  <c r="C643" i="429" s="1"/>
  <c r="C644" i="429" s="1"/>
  <c r="C645" i="429" s="1"/>
  <c r="C646" i="429" s="1"/>
  <c r="C647" i="429" s="1"/>
  <c r="C648" i="429" s="1"/>
  <c r="C649" i="429" s="1"/>
  <c r="C650" i="429" s="1"/>
  <c r="C651" i="429" s="1"/>
  <c r="C652" i="429" s="1"/>
  <c r="C653" i="429" s="1"/>
  <c r="C654" i="429" s="1"/>
  <c r="C655" i="429" s="1"/>
  <c r="C656" i="429" s="1"/>
  <c r="C657" i="429" s="1"/>
  <c r="C658" i="429" s="1"/>
  <c r="C659" i="429" s="1"/>
  <c r="C660" i="429" s="1"/>
  <c r="C661" i="429" s="1"/>
  <c r="C662" i="429" s="1"/>
  <c r="C663" i="429" s="1"/>
  <c r="C664" i="429" s="1"/>
  <c r="C665" i="429" s="1"/>
  <c r="C666" i="429" s="1"/>
  <c r="C667" i="429" s="1"/>
  <c r="C668" i="429" s="1"/>
  <c r="C669" i="429" s="1"/>
  <c r="C670" i="429" s="1"/>
  <c r="C671" i="429" s="1"/>
  <c r="C672" i="429" s="1"/>
  <c r="C673" i="429" s="1"/>
  <c r="C674" i="429" s="1"/>
  <c r="C675" i="429" s="1"/>
  <c r="C676" i="429" s="1"/>
  <c r="C677" i="429" s="1"/>
  <c r="C678" i="429" s="1"/>
  <c r="C679" i="429" s="1"/>
  <c r="C680" i="429" s="1"/>
  <c r="C681" i="429" s="1"/>
  <c r="C682" i="429" s="1"/>
  <c r="C683" i="429" s="1"/>
  <c r="C684" i="429" s="1"/>
  <c r="C685" i="429" s="1"/>
  <c r="C686" i="429" s="1"/>
  <c r="C687" i="429" s="1"/>
  <c r="C688" i="429" s="1"/>
  <c r="C689" i="429" s="1"/>
  <c r="C690" i="429" s="1"/>
  <c r="C691" i="429" s="1"/>
  <c r="C692" i="429" s="1"/>
  <c r="C693" i="429" s="1"/>
  <c r="C694" i="429" s="1"/>
  <c r="C695" i="429" s="1"/>
  <c r="C696" i="429" s="1"/>
  <c r="C697" i="429" s="1"/>
  <c r="C698" i="429" s="1"/>
  <c r="C699" i="429" s="1"/>
  <c r="C700" i="429" s="1"/>
  <c r="C701" i="429" s="1"/>
  <c r="C702" i="429" s="1"/>
  <c r="C703" i="429" s="1"/>
  <c r="C704" i="429" s="1"/>
  <c r="C705" i="429" s="1"/>
  <c r="C706" i="429" s="1"/>
  <c r="C707" i="429" s="1"/>
  <c r="C708" i="429" s="1"/>
  <c r="D72" i="429"/>
  <c r="D73" i="429" s="1"/>
  <c r="D74" i="429" s="1"/>
  <c r="D75" i="429" s="1"/>
  <c r="D76" i="429" s="1"/>
  <c r="D77" i="429" s="1"/>
  <c r="D78" i="429" s="1"/>
  <c r="D79" i="429" s="1"/>
  <c r="D80" i="429" s="1"/>
  <c r="D81" i="429" s="1"/>
  <c r="D82" i="429" s="1"/>
  <c r="D83" i="429" s="1"/>
  <c r="D84" i="429" s="1"/>
  <c r="D85" i="429" s="1"/>
  <c r="D86" i="429" s="1"/>
  <c r="D87" i="429" s="1"/>
  <c r="D88" i="429" s="1"/>
  <c r="D89" i="429" s="1"/>
  <c r="D90" i="429" s="1"/>
  <c r="D91" i="429" s="1"/>
  <c r="D92" i="429" s="1"/>
  <c r="D93" i="429" s="1"/>
  <c r="D94" i="429" s="1"/>
  <c r="D95" i="429" s="1"/>
  <c r="D96" i="429" s="1"/>
  <c r="D97" i="429" s="1"/>
  <c r="D98" i="429" s="1"/>
  <c r="D99" i="429" s="1"/>
  <c r="D100" i="429" s="1"/>
  <c r="D101" i="429" s="1"/>
  <c r="D102" i="429" s="1"/>
  <c r="D103" i="429" s="1"/>
  <c r="D104" i="429" s="1"/>
  <c r="D105" i="429" s="1"/>
  <c r="D106" i="429" s="1"/>
  <c r="D107" i="429" s="1"/>
  <c r="D108" i="429" s="1"/>
  <c r="D109" i="429" s="1"/>
  <c r="D110" i="429" s="1"/>
  <c r="D111" i="429" s="1"/>
  <c r="D112" i="429" s="1"/>
  <c r="D113" i="429" s="1"/>
  <c r="D114" i="429" s="1"/>
  <c r="D115" i="429" s="1"/>
  <c r="D116" i="429" s="1"/>
  <c r="D117" i="429" s="1"/>
  <c r="D118" i="429" s="1"/>
  <c r="D119" i="429" s="1"/>
  <c r="D120" i="429" s="1"/>
  <c r="D121" i="429" s="1"/>
  <c r="D122" i="429" s="1"/>
  <c r="D123" i="429" s="1"/>
  <c r="D124" i="429" s="1"/>
  <c r="D125" i="429" s="1"/>
  <c r="D126" i="429" s="1"/>
  <c r="D127" i="429" s="1"/>
  <c r="D128" i="429" s="1"/>
  <c r="D129" i="429" s="1"/>
  <c r="D130" i="429" s="1"/>
  <c r="D131" i="429" s="1"/>
  <c r="D132" i="429" s="1"/>
  <c r="D133" i="429" s="1"/>
  <c r="D134" i="429" s="1"/>
  <c r="D135" i="429" s="1"/>
  <c r="D136" i="429" s="1"/>
  <c r="D137" i="429" s="1"/>
  <c r="D138" i="429" s="1"/>
  <c r="D139" i="429" s="1"/>
  <c r="D140" i="429" s="1"/>
  <c r="D141" i="429" s="1"/>
  <c r="D142" i="429" s="1"/>
  <c r="D143" i="429" s="1"/>
  <c r="D144" i="429" s="1"/>
  <c r="D145" i="429" s="1"/>
  <c r="D146" i="429" s="1"/>
  <c r="D147" i="429" s="1"/>
  <c r="D148" i="429" s="1"/>
  <c r="D149" i="429" s="1"/>
  <c r="D150" i="429" s="1"/>
  <c r="D151" i="429" s="1"/>
  <c r="D152" i="429" s="1"/>
  <c r="D153" i="429" s="1"/>
  <c r="D154" i="429" s="1"/>
  <c r="D155" i="429" s="1"/>
  <c r="D156" i="429" s="1"/>
  <c r="D157" i="429" s="1"/>
  <c r="D158" i="429" s="1"/>
  <c r="D159" i="429" s="1"/>
  <c r="D160" i="429" s="1"/>
  <c r="D161" i="429" s="1"/>
  <c r="D162" i="429" s="1"/>
  <c r="D163" i="429" s="1"/>
  <c r="D164" i="429" s="1"/>
  <c r="D165" i="429" s="1"/>
  <c r="D166" i="429" s="1"/>
  <c r="D167" i="429" s="1"/>
  <c r="D168" i="429" s="1"/>
  <c r="D169" i="429" s="1"/>
  <c r="D170" i="429" s="1"/>
  <c r="D171" i="429" s="1"/>
  <c r="D172" i="429" s="1"/>
  <c r="D173" i="429" s="1"/>
  <c r="D174" i="429" s="1"/>
  <c r="D175" i="429" s="1"/>
  <c r="D176" i="429" s="1"/>
  <c r="D177" i="429" s="1"/>
  <c r="D178" i="429" s="1"/>
  <c r="D179" i="429" s="1"/>
  <c r="D180" i="429" s="1"/>
  <c r="D181" i="429" s="1"/>
  <c r="D182" i="429" s="1"/>
  <c r="D183" i="429" s="1"/>
  <c r="D184" i="429" s="1"/>
  <c r="D185" i="429" s="1"/>
  <c r="D186" i="429" s="1"/>
  <c r="D187" i="429" s="1"/>
  <c r="D188" i="429" s="1"/>
  <c r="D189" i="429" s="1"/>
  <c r="D190" i="429" s="1"/>
  <c r="D191" i="429" s="1"/>
  <c r="D192" i="429" s="1"/>
  <c r="D193" i="429" s="1"/>
  <c r="D194" i="429" s="1"/>
  <c r="D195" i="429" s="1"/>
  <c r="D196" i="429" s="1"/>
  <c r="D197" i="429" s="1"/>
  <c r="D198" i="429" s="1"/>
  <c r="D199" i="429" s="1"/>
  <c r="D200" i="429" s="1"/>
  <c r="D201" i="429" s="1"/>
  <c r="D202" i="429" s="1"/>
  <c r="D203" i="429" s="1"/>
  <c r="D204" i="429" s="1"/>
  <c r="D205" i="429" s="1"/>
  <c r="D206" i="429" s="1"/>
  <c r="D207" i="429" s="1"/>
  <c r="D208" i="429" s="1"/>
  <c r="D209" i="429" s="1"/>
  <c r="D210" i="429" s="1"/>
  <c r="D211" i="429" s="1"/>
  <c r="D212" i="429" s="1"/>
  <c r="D213" i="429" s="1"/>
  <c r="D214" i="429" s="1"/>
  <c r="D215" i="429" s="1"/>
  <c r="D216" i="429" s="1"/>
  <c r="D217" i="429" s="1"/>
  <c r="D218" i="429" s="1"/>
  <c r="D219" i="429" s="1"/>
  <c r="D220" i="429" s="1"/>
  <c r="D221" i="429" s="1"/>
  <c r="D222" i="429" s="1"/>
  <c r="D223" i="429" s="1"/>
  <c r="D224" i="429" s="1"/>
  <c r="D225" i="429" s="1"/>
  <c r="D226" i="429" s="1"/>
  <c r="D227" i="429" s="1"/>
  <c r="D228" i="429" s="1"/>
  <c r="D229" i="429" s="1"/>
  <c r="D230" i="429" s="1"/>
  <c r="D231" i="429" s="1"/>
  <c r="D232" i="429" s="1"/>
  <c r="D233" i="429" s="1"/>
  <c r="D234" i="429" s="1"/>
  <c r="D235" i="429" s="1"/>
  <c r="D236" i="429" s="1"/>
  <c r="D237" i="429" s="1"/>
  <c r="D238" i="429" s="1"/>
  <c r="D239" i="429" s="1"/>
  <c r="D240" i="429" s="1"/>
  <c r="D241" i="429" s="1"/>
  <c r="D242" i="429" s="1"/>
  <c r="D243" i="429" s="1"/>
  <c r="D244" i="429" s="1"/>
  <c r="D245" i="429" s="1"/>
  <c r="D246" i="429" s="1"/>
  <c r="D247" i="429" s="1"/>
  <c r="D248" i="429" s="1"/>
  <c r="D249" i="429" s="1"/>
  <c r="D250" i="429" s="1"/>
  <c r="D251" i="429" s="1"/>
  <c r="D252" i="429" s="1"/>
  <c r="D253" i="429" s="1"/>
  <c r="D254" i="429" s="1"/>
  <c r="D255" i="429" s="1"/>
  <c r="D256" i="429" s="1"/>
  <c r="D257" i="429" s="1"/>
  <c r="D258" i="429" s="1"/>
  <c r="D259" i="429" s="1"/>
  <c r="D260" i="429" s="1"/>
  <c r="D261" i="429" s="1"/>
  <c r="D262" i="429" s="1"/>
  <c r="D263" i="429" s="1"/>
  <c r="D264" i="429" s="1"/>
  <c r="D265" i="429" s="1"/>
  <c r="D266" i="429" s="1"/>
  <c r="D267" i="429" s="1"/>
  <c r="D268" i="429" s="1"/>
  <c r="D269" i="429" s="1"/>
  <c r="D270" i="429" s="1"/>
  <c r="D271" i="429" s="1"/>
  <c r="D272" i="429" s="1"/>
  <c r="D273" i="429" s="1"/>
  <c r="D274" i="429" s="1"/>
  <c r="D275" i="429" s="1"/>
  <c r="D276" i="429" s="1"/>
  <c r="D277" i="429" s="1"/>
  <c r="D278" i="429" s="1"/>
  <c r="D279" i="429" s="1"/>
  <c r="D280" i="429" s="1"/>
  <c r="D281" i="429" s="1"/>
  <c r="D282" i="429" s="1"/>
  <c r="D283" i="429" s="1"/>
  <c r="D284" i="429" s="1"/>
  <c r="D285" i="429" s="1"/>
  <c r="D286" i="429" s="1"/>
  <c r="D287" i="429" s="1"/>
  <c r="D288" i="429" s="1"/>
  <c r="D289" i="429" s="1"/>
  <c r="D290" i="429" s="1"/>
  <c r="D291" i="429" s="1"/>
  <c r="D292" i="429" s="1"/>
  <c r="D293" i="429" s="1"/>
  <c r="D294" i="429" s="1"/>
  <c r="D295" i="429" s="1"/>
  <c r="D296" i="429" s="1"/>
  <c r="D297" i="429" s="1"/>
  <c r="D298" i="429" s="1"/>
  <c r="D299" i="429" s="1"/>
  <c r="D300" i="429" s="1"/>
  <c r="D301" i="429" s="1"/>
  <c r="D302" i="429" s="1"/>
  <c r="D303" i="429" s="1"/>
  <c r="D304" i="429" s="1"/>
  <c r="D305" i="429" s="1"/>
  <c r="D306" i="429" s="1"/>
  <c r="D307" i="429" s="1"/>
  <c r="D308" i="429" s="1"/>
  <c r="D309" i="429" s="1"/>
  <c r="D310" i="429" s="1"/>
  <c r="D311" i="429" s="1"/>
  <c r="D312" i="429" s="1"/>
  <c r="D313" i="429" s="1"/>
  <c r="D314" i="429" s="1"/>
  <c r="D315" i="429" s="1"/>
  <c r="D316" i="429" s="1"/>
  <c r="D317" i="429" s="1"/>
  <c r="D318" i="429" s="1"/>
  <c r="D319" i="429" s="1"/>
  <c r="D320" i="429" s="1"/>
  <c r="D321" i="429" s="1"/>
  <c r="D322" i="429" s="1"/>
  <c r="D323" i="429" s="1"/>
  <c r="D324" i="429" s="1"/>
  <c r="D325" i="429" s="1"/>
  <c r="D326" i="429" s="1"/>
  <c r="D327" i="429" s="1"/>
  <c r="D328" i="429" s="1"/>
  <c r="D329" i="429" s="1"/>
  <c r="D330" i="429" s="1"/>
  <c r="D331" i="429" s="1"/>
  <c r="D332" i="429" s="1"/>
  <c r="D333" i="429" s="1"/>
  <c r="D334" i="429" s="1"/>
  <c r="D335" i="429" s="1"/>
  <c r="D336" i="429" s="1"/>
  <c r="D337" i="429" s="1"/>
  <c r="D338" i="429" s="1"/>
  <c r="D339" i="429" s="1"/>
  <c r="D340" i="429" s="1"/>
  <c r="D341" i="429" s="1"/>
  <c r="D342" i="429" s="1"/>
  <c r="D343" i="429" s="1"/>
  <c r="D344" i="429" s="1"/>
  <c r="D345" i="429" s="1"/>
  <c r="D346" i="429" s="1"/>
  <c r="D347" i="429" s="1"/>
  <c r="D348" i="429" s="1"/>
  <c r="D349" i="429" s="1"/>
  <c r="D350" i="429" s="1"/>
  <c r="D351" i="429" s="1"/>
  <c r="D352" i="429" s="1"/>
  <c r="D353" i="429" s="1"/>
  <c r="D354" i="429" s="1"/>
  <c r="D355" i="429" s="1"/>
  <c r="D356" i="429" s="1"/>
  <c r="D357" i="429" s="1"/>
  <c r="D358" i="429" s="1"/>
  <c r="D359" i="429" s="1"/>
  <c r="D360" i="429" s="1"/>
  <c r="D361" i="429" s="1"/>
  <c r="D362" i="429" s="1"/>
  <c r="D363" i="429" s="1"/>
  <c r="D364" i="429" s="1"/>
  <c r="D365" i="429" s="1"/>
  <c r="D366" i="429" s="1"/>
  <c r="D367" i="429" s="1"/>
  <c r="D368" i="429" s="1"/>
  <c r="D369" i="429" s="1"/>
  <c r="D370" i="429" s="1"/>
  <c r="D371" i="429" s="1"/>
  <c r="D372" i="429" s="1"/>
  <c r="D373" i="429" s="1"/>
  <c r="D374" i="429" s="1"/>
  <c r="D375" i="429" s="1"/>
  <c r="D376" i="429" s="1"/>
  <c r="D377" i="429" s="1"/>
  <c r="D378" i="429" s="1"/>
  <c r="D379" i="429" s="1"/>
  <c r="D380" i="429" s="1"/>
  <c r="D381" i="429" s="1"/>
  <c r="D382" i="429" s="1"/>
  <c r="D383" i="429" s="1"/>
  <c r="D384" i="429" s="1"/>
  <c r="D385" i="429" s="1"/>
  <c r="D386" i="429" s="1"/>
  <c r="D387" i="429" s="1"/>
  <c r="D388" i="429" s="1"/>
  <c r="D389" i="429" s="1"/>
  <c r="D390" i="429" s="1"/>
  <c r="D391" i="429" s="1"/>
  <c r="D392" i="429" s="1"/>
  <c r="D393" i="429" s="1"/>
  <c r="D394" i="429" s="1"/>
  <c r="D395" i="429" s="1"/>
  <c r="D396" i="429" s="1"/>
  <c r="D397" i="429" s="1"/>
  <c r="D398" i="429" s="1"/>
  <c r="D399" i="429" s="1"/>
  <c r="D400" i="429" s="1"/>
  <c r="D401" i="429" s="1"/>
  <c r="D402" i="429" s="1"/>
  <c r="D403" i="429" s="1"/>
  <c r="D404" i="429" s="1"/>
  <c r="D405" i="429" s="1"/>
  <c r="D406" i="429" s="1"/>
  <c r="D407" i="429" s="1"/>
  <c r="D408" i="429" s="1"/>
  <c r="D409" i="429" s="1"/>
  <c r="D410" i="429" s="1"/>
  <c r="D411" i="429" s="1"/>
  <c r="D412" i="429" s="1"/>
  <c r="D413" i="429" s="1"/>
  <c r="D414" i="429" s="1"/>
  <c r="D415" i="429" s="1"/>
  <c r="D416" i="429" s="1"/>
  <c r="D417" i="429" s="1"/>
  <c r="D418" i="429" s="1"/>
  <c r="D419" i="429" s="1"/>
  <c r="D420" i="429" s="1"/>
  <c r="D421" i="429" s="1"/>
  <c r="D422" i="429" s="1"/>
  <c r="D423" i="429" s="1"/>
  <c r="D424" i="429" s="1"/>
  <c r="D425" i="429" s="1"/>
  <c r="D426" i="429" s="1"/>
  <c r="D427" i="429" s="1"/>
  <c r="D428" i="429" s="1"/>
  <c r="D429" i="429" s="1"/>
  <c r="D430" i="429" s="1"/>
  <c r="D431" i="429" s="1"/>
  <c r="D432" i="429" s="1"/>
  <c r="D433" i="429" s="1"/>
  <c r="D434" i="429" s="1"/>
  <c r="D435" i="429" s="1"/>
  <c r="D436" i="429" s="1"/>
  <c r="D437" i="429" s="1"/>
  <c r="D438" i="429" s="1"/>
  <c r="D439" i="429" s="1"/>
  <c r="D440" i="429" s="1"/>
  <c r="D441" i="429" s="1"/>
  <c r="D442" i="429" s="1"/>
  <c r="D443" i="429" s="1"/>
  <c r="D444" i="429" s="1"/>
  <c r="D445" i="429" s="1"/>
  <c r="D446" i="429" s="1"/>
  <c r="D447" i="429" s="1"/>
  <c r="D448" i="429" s="1"/>
  <c r="D449" i="429" s="1"/>
  <c r="D450" i="429" s="1"/>
  <c r="D451" i="429" s="1"/>
  <c r="D452" i="429" s="1"/>
  <c r="D453" i="429" s="1"/>
  <c r="D454" i="429" s="1"/>
  <c r="D455" i="429" s="1"/>
  <c r="D456" i="429" s="1"/>
  <c r="D457" i="429" s="1"/>
  <c r="D458" i="429" s="1"/>
  <c r="D459" i="429" s="1"/>
  <c r="D460" i="429" s="1"/>
  <c r="D461" i="429" s="1"/>
  <c r="D462" i="429" s="1"/>
  <c r="D463" i="429" s="1"/>
  <c r="D464" i="429" s="1"/>
  <c r="D465" i="429" s="1"/>
  <c r="D466" i="429" s="1"/>
  <c r="D467" i="429" s="1"/>
  <c r="D468" i="429" s="1"/>
  <c r="D469" i="429" s="1"/>
  <c r="D470" i="429" s="1"/>
  <c r="D471" i="429" s="1"/>
  <c r="D472" i="429" s="1"/>
  <c r="D473" i="429" s="1"/>
  <c r="D474" i="429" s="1"/>
  <c r="D475" i="429" s="1"/>
  <c r="D476" i="429" s="1"/>
  <c r="D477" i="429" s="1"/>
  <c r="D478" i="429" s="1"/>
  <c r="D479" i="429" s="1"/>
  <c r="D480" i="429" s="1"/>
  <c r="D481" i="429" s="1"/>
  <c r="D482" i="429" s="1"/>
  <c r="D483" i="429" s="1"/>
  <c r="D484" i="429" s="1"/>
  <c r="D485" i="429" s="1"/>
  <c r="D486" i="429" s="1"/>
  <c r="D487" i="429" s="1"/>
  <c r="D488" i="429" s="1"/>
  <c r="D489" i="429" s="1"/>
  <c r="D490" i="429" s="1"/>
  <c r="D491" i="429" s="1"/>
  <c r="D492" i="429" s="1"/>
  <c r="D493" i="429" s="1"/>
  <c r="D494" i="429" s="1"/>
  <c r="D495" i="429" s="1"/>
  <c r="D496" i="429" s="1"/>
  <c r="D497" i="429" s="1"/>
  <c r="D498" i="429" s="1"/>
  <c r="D499" i="429" s="1"/>
  <c r="D500" i="429" s="1"/>
  <c r="D501" i="429" s="1"/>
  <c r="D502" i="429" s="1"/>
  <c r="D503" i="429" s="1"/>
  <c r="D504" i="429" s="1"/>
  <c r="D505" i="429" s="1"/>
  <c r="D506" i="429" s="1"/>
  <c r="D507" i="429" s="1"/>
  <c r="D508" i="429" s="1"/>
  <c r="D509" i="429" s="1"/>
  <c r="D510" i="429" s="1"/>
  <c r="D511" i="429" s="1"/>
  <c r="D512" i="429" s="1"/>
  <c r="D513" i="429" s="1"/>
  <c r="D514" i="429" s="1"/>
  <c r="D515" i="429" s="1"/>
  <c r="D516" i="429" s="1"/>
  <c r="D517" i="429" s="1"/>
  <c r="D518" i="429" s="1"/>
  <c r="D519" i="429" s="1"/>
  <c r="D520" i="429" s="1"/>
  <c r="D521" i="429" s="1"/>
  <c r="D522" i="429" s="1"/>
  <c r="D523" i="429" s="1"/>
  <c r="D524" i="429" s="1"/>
  <c r="D525" i="429" s="1"/>
  <c r="D526" i="429" s="1"/>
  <c r="D527" i="429" s="1"/>
  <c r="D528" i="429" s="1"/>
  <c r="D529" i="429" s="1"/>
  <c r="D530" i="429" s="1"/>
  <c r="D531" i="429" s="1"/>
  <c r="D532" i="429" s="1"/>
  <c r="D533" i="429" s="1"/>
  <c r="D534" i="429" s="1"/>
  <c r="D535" i="429" s="1"/>
  <c r="D536" i="429" s="1"/>
  <c r="D537" i="429" s="1"/>
  <c r="D538" i="429" s="1"/>
  <c r="D539" i="429" s="1"/>
  <c r="D540" i="429" s="1"/>
  <c r="D541" i="429" s="1"/>
  <c r="D542" i="429" s="1"/>
  <c r="D543" i="429" s="1"/>
  <c r="D544" i="429" s="1"/>
  <c r="D545" i="429" s="1"/>
  <c r="D546" i="429" s="1"/>
  <c r="D547" i="429" s="1"/>
  <c r="D548" i="429" s="1"/>
  <c r="D549" i="429" s="1"/>
  <c r="D550" i="429" s="1"/>
  <c r="D551" i="429" s="1"/>
  <c r="D552" i="429" s="1"/>
  <c r="D553" i="429" s="1"/>
  <c r="D554" i="429" s="1"/>
  <c r="D555" i="429" s="1"/>
  <c r="D556" i="429" s="1"/>
  <c r="D557" i="429" s="1"/>
  <c r="D558" i="429" s="1"/>
  <c r="D559" i="429" s="1"/>
  <c r="D560" i="429" s="1"/>
  <c r="D561" i="429" s="1"/>
  <c r="D562" i="429" s="1"/>
  <c r="D563" i="429" s="1"/>
  <c r="D564" i="429" s="1"/>
  <c r="D565" i="429" s="1"/>
  <c r="D566" i="429" s="1"/>
  <c r="D567" i="429" s="1"/>
  <c r="D568" i="429" s="1"/>
  <c r="D569" i="429" s="1"/>
  <c r="D570" i="429" s="1"/>
  <c r="D571" i="429" s="1"/>
  <c r="D572" i="429" s="1"/>
  <c r="D573" i="429" s="1"/>
  <c r="D574" i="429" s="1"/>
  <c r="D575" i="429" s="1"/>
  <c r="D576" i="429" s="1"/>
  <c r="D577" i="429" s="1"/>
  <c r="D578" i="429" s="1"/>
  <c r="D579" i="429" s="1"/>
  <c r="D580" i="429" s="1"/>
  <c r="D581" i="429" s="1"/>
  <c r="D582" i="429" s="1"/>
  <c r="D583" i="429" s="1"/>
  <c r="D584" i="429" s="1"/>
  <c r="D585" i="429" s="1"/>
  <c r="D586" i="429" s="1"/>
  <c r="D587" i="429" s="1"/>
  <c r="D588" i="429" s="1"/>
  <c r="D589" i="429" s="1"/>
  <c r="D590" i="429" s="1"/>
  <c r="D591" i="429" s="1"/>
  <c r="D592" i="429" s="1"/>
  <c r="D593" i="429" s="1"/>
  <c r="D594" i="429" s="1"/>
  <c r="D595" i="429" s="1"/>
  <c r="D596" i="429" s="1"/>
  <c r="D597" i="429" s="1"/>
  <c r="D598" i="429" s="1"/>
  <c r="D599" i="429" s="1"/>
  <c r="D600" i="429" s="1"/>
  <c r="D601" i="429" s="1"/>
  <c r="D602" i="429" s="1"/>
  <c r="D603" i="429" s="1"/>
  <c r="D604" i="429" s="1"/>
  <c r="D605" i="429" s="1"/>
  <c r="D606" i="429" s="1"/>
  <c r="D607" i="429" s="1"/>
  <c r="D608" i="429" s="1"/>
  <c r="D609" i="429" s="1"/>
  <c r="D610" i="429" s="1"/>
  <c r="D611" i="429" s="1"/>
  <c r="D612" i="429" s="1"/>
  <c r="D613" i="429" s="1"/>
  <c r="D614" i="429" s="1"/>
  <c r="D615" i="429" s="1"/>
  <c r="D616" i="429" s="1"/>
  <c r="D617" i="429" s="1"/>
  <c r="D618" i="429" s="1"/>
  <c r="D619" i="429" s="1"/>
  <c r="D620" i="429" s="1"/>
  <c r="D621" i="429" s="1"/>
  <c r="D622" i="429" s="1"/>
  <c r="D623" i="429" s="1"/>
  <c r="D624" i="429" s="1"/>
  <c r="D625" i="429" s="1"/>
  <c r="D626" i="429" s="1"/>
  <c r="D627" i="429" s="1"/>
  <c r="D628" i="429" s="1"/>
  <c r="D629" i="429" s="1"/>
  <c r="D630" i="429" s="1"/>
  <c r="D631" i="429" s="1"/>
  <c r="D632" i="429" s="1"/>
  <c r="D633" i="429" s="1"/>
  <c r="D634" i="429" s="1"/>
  <c r="D635" i="429" s="1"/>
  <c r="D636" i="429" s="1"/>
  <c r="D637" i="429" s="1"/>
  <c r="D638" i="429" s="1"/>
  <c r="D639" i="429" s="1"/>
  <c r="D640" i="429" s="1"/>
  <c r="D641" i="429" s="1"/>
  <c r="D642" i="429" s="1"/>
  <c r="D643" i="429" s="1"/>
  <c r="D644" i="429" s="1"/>
  <c r="D645" i="429" s="1"/>
  <c r="D646" i="429" s="1"/>
  <c r="D647" i="429" s="1"/>
  <c r="D648" i="429" s="1"/>
  <c r="D649" i="429" s="1"/>
  <c r="D650" i="429" s="1"/>
  <c r="D651" i="429" s="1"/>
  <c r="D652" i="429" s="1"/>
  <c r="D653" i="429" s="1"/>
  <c r="D654" i="429" s="1"/>
  <c r="D655" i="429" s="1"/>
  <c r="D656" i="429" s="1"/>
  <c r="D657" i="429" s="1"/>
  <c r="D658" i="429" s="1"/>
  <c r="D659" i="429" s="1"/>
  <c r="D660" i="429" s="1"/>
  <c r="D661" i="429" s="1"/>
  <c r="D662" i="429" s="1"/>
  <c r="D663" i="429" s="1"/>
  <c r="D664" i="429" s="1"/>
  <c r="D665" i="429" s="1"/>
  <c r="D666" i="429" s="1"/>
  <c r="D667" i="429" s="1"/>
  <c r="D668" i="429" s="1"/>
  <c r="D669" i="429" s="1"/>
  <c r="D670" i="429" s="1"/>
  <c r="D671" i="429" s="1"/>
  <c r="D672" i="429" s="1"/>
  <c r="D673" i="429" s="1"/>
  <c r="D674" i="429" s="1"/>
  <c r="D675" i="429" s="1"/>
  <c r="D676" i="429" s="1"/>
  <c r="D677" i="429" s="1"/>
  <c r="D678" i="429" s="1"/>
  <c r="D679" i="429" s="1"/>
  <c r="D680" i="429" s="1"/>
  <c r="D681" i="429" s="1"/>
  <c r="D682" i="429" s="1"/>
  <c r="D683" i="429" s="1"/>
  <c r="D684" i="429" s="1"/>
  <c r="D685" i="429" s="1"/>
  <c r="D686" i="429" s="1"/>
  <c r="D687" i="429" s="1"/>
  <c r="D688" i="429" s="1"/>
  <c r="D689" i="429" s="1"/>
  <c r="D690" i="429" s="1"/>
  <c r="D691" i="429" s="1"/>
  <c r="D692" i="429" s="1"/>
  <c r="D693" i="429" s="1"/>
  <c r="D694" i="429" s="1"/>
  <c r="D695" i="429" s="1"/>
  <c r="D696" i="429" s="1"/>
  <c r="D697" i="429" s="1"/>
  <c r="D698" i="429" s="1"/>
  <c r="D699" i="429" s="1"/>
  <c r="D700" i="429" s="1"/>
  <c r="D701" i="429" s="1"/>
  <c r="D702" i="429" s="1"/>
  <c r="D703" i="429" s="1"/>
  <c r="D704" i="429" s="1"/>
  <c r="D705" i="429" s="1"/>
  <c r="D706" i="429" s="1"/>
  <c r="D707" i="429" s="1"/>
  <c r="D708" i="429" s="1"/>
  <c r="E72" i="429"/>
  <c r="E73" i="429" s="1"/>
  <c r="E74" i="429" s="1"/>
  <c r="E75" i="429" s="1"/>
  <c r="E76" i="429" s="1"/>
  <c r="E77" i="429" s="1"/>
  <c r="E78" i="429" s="1"/>
  <c r="E79" i="429" s="1"/>
  <c r="E80" i="429" s="1"/>
  <c r="E81" i="429" s="1"/>
  <c r="E82" i="429" s="1"/>
  <c r="E83" i="429" s="1"/>
  <c r="E84" i="429" s="1"/>
  <c r="E85" i="429" s="1"/>
  <c r="E86" i="429" s="1"/>
  <c r="E87" i="429" s="1"/>
  <c r="E88" i="429" s="1"/>
  <c r="E89" i="429" s="1"/>
  <c r="E90" i="429" s="1"/>
  <c r="E91" i="429" s="1"/>
  <c r="E92" i="429" s="1"/>
  <c r="E93" i="429" s="1"/>
  <c r="E94" i="429" s="1"/>
  <c r="E95" i="429" s="1"/>
  <c r="E96" i="429" s="1"/>
  <c r="E97" i="429" s="1"/>
  <c r="E98" i="429" s="1"/>
  <c r="E99" i="429" s="1"/>
  <c r="E100" i="429" s="1"/>
  <c r="E101" i="429" s="1"/>
  <c r="E102" i="429" s="1"/>
  <c r="E103" i="429" s="1"/>
  <c r="E104" i="429" s="1"/>
  <c r="E105" i="429" s="1"/>
  <c r="E106" i="429" s="1"/>
  <c r="E107" i="429" s="1"/>
  <c r="E108" i="429" s="1"/>
  <c r="E109" i="429" s="1"/>
  <c r="E110" i="429" s="1"/>
  <c r="E111" i="429" s="1"/>
  <c r="E112" i="429" s="1"/>
  <c r="E113" i="429" s="1"/>
  <c r="E114" i="429" s="1"/>
  <c r="E115" i="429" s="1"/>
  <c r="E116" i="429" s="1"/>
  <c r="E117" i="429" s="1"/>
  <c r="E118" i="429" s="1"/>
  <c r="E119" i="429" s="1"/>
  <c r="E120" i="429" s="1"/>
  <c r="E121" i="429" s="1"/>
  <c r="E122" i="429" s="1"/>
  <c r="E123" i="429" s="1"/>
  <c r="E124" i="429" s="1"/>
  <c r="E125" i="429" s="1"/>
  <c r="E126" i="429" s="1"/>
  <c r="E127" i="429" s="1"/>
  <c r="E128" i="429" s="1"/>
  <c r="E129" i="429" s="1"/>
  <c r="E130" i="429" s="1"/>
  <c r="E131" i="429" s="1"/>
  <c r="E132" i="429" s="1"/>
  <c r="E133" i="429" s="1"/>
  <c r="E134" i="429" s="1"/>
  <c r="E135" i="429" s="1"/>
  <c r="E136" i="429" s="1"/>
  <c r="E137" i="429" s="1"/>
  <c r="E138" i="429" s="1"/>
  <c r="E139" i="429" s="1"/>
  <c r="E140" i="429" s="1"/>
  <c r="E141" i="429" s="1"/>
  <c r="E142" i="429" s="1"/>
  <c r="E143" i="429" s="1"/>
  <c r="E144" i="429" s="1"/>
  <c r="E145" i="429" s="1"/>
  <c r="E146" i="429" s="1"/>
  <c r="E147" i="429" s="1"/>
  <c r="E148" i="429" s="1"/>
  <c r="E149" i="429" s="1"/>
  <c r="E150" i="429" s="1"/>
  <c r="E151" i="429" s="1"/>
  <c r="E152" i="429" s="1"/>
  <c r="E153" i="429" s="1"/>
  <c r="E154" i="429" s="1"/>
  <c r="E155" i="429" s="1"/>
  <c r="E156" i="429" s="1"/>
  <c r="E157" i="429" s="1"/>
  <c r="E158" i="429" s="1"/>
  <c r="E159" i="429" s="1"/>
  <c r="E160" i="429" s="1"/>
  <c r="E161" i="429" s="1"/>
  <c r="E162" i="429" s="1"/>
  <c r="E163" i="429" s="1"/>
  <c r="E164" i="429" s="1"/>
  <c r="E165" i="429" s="1"/>
  <c r="E166" i="429" s="1"/>
  <c r="E167" i="429" s="1"/>
  <c r="E168" i="429" s="1"/>
  <c r="E169" i="429" s="1"/>
  <c r="E170" i="429" s="1"/>
  <c r="E171" i="429" s="1"/>
  <c r="E172" i="429" s="1"/>
  <c r="E173" i="429" s="1"/>
  <c r="E174" i="429" s="1"/>
  <c r="E175" i="429" s="1"/>
  <c r="E176" i="429" s="1"/>
  <c r="E177" i="429" s="1"/>
  <c r="E178" i="429" s="1"/>
  <c r="E179" i="429" s="1"/>
  <c r="E180" i="429" s="1"/>
  <c r="E181" i="429" s="1"/>
  <c r="E182" i="429" s="1"/>
  <c r="E183" i="429" s="1"/>
  <c r="E184" i="429" s="1"/>
  <c r="E185" i="429" s="1"/>
  <c r="E186" i="429" s="1"/>
  <c r="E187" i="429" s="1"/>
  <c r="E188" i="429" s="1"/>
  <c r="E189" i="429" s="1"/>
  <c r="E190" i="429" s="1"/>
  <c r="E191" i="429" s="1"/>
  <c r="E192" i="429" s="1"/>
  <c r="E193" i="429" s="1"/>
  <c r="E194" i="429" s="1"/>
  <c r="E195" i="429" s="1"/>
  <c r="E196" i="429" s="1"/>
  <c r="E197" i="429" s="1"/>
  <c r="E198" i="429" s="1"/>
  <c r="E199" i="429" s="1"/>
  <c r="E200" i="429" s="1"/>
  <c r="E201" i="429" s="1"/>
  <c r="E202" i="429" s="1"/>
  <c r="E203" i="429" s="1"/>
  <c r="E204" i="429" s="1"/>
  <c r="E205" i="429" s="1"/>
  <c r="E206" i="429" s="1"/>
  <c r="E207" i="429" s="1"/>
  <c r="E208" i="429" s="1"/>
  <c r="E209" i="429" s="1"/>
  <c r="E210" i="429" s="1"/>
  <c r="E211" i="429" s="1"/>
  <c r="E212" i="429" s="1"/>
  <c r="E213" i="429" s="1"/>
  <c r="E214" i="429" s="1"/>
  <c r="E215" i="429" s="1"/>
  <c r="E216" i="429" s="1"/>
  <c r="E217" i="429" s="1"/>
  <c r="E218" i="429" s="1"/>
  <c r="E219" i="429" s="1"/>
  <c r="E220" i="429" s="1"/>
  <c r="E221" i="429" s="1"/>
  <c r="E222" i="429" s="1"/>
  <c r="E223" i="429" s="1"/>
  <c r="E224" i="429" s="1"/>
  <c r="E225" i="429" s="1"/>
  <c r="E226" i="429" s="1"/>
  <c r="E227" i="429" s="1"/>
  <c r="E228" i="429" s="1"/>
  <c r="E229" i="429" s="1"/>
  <c r="E230" i="429" s="1"/>
  <c r="E231" i="429" s="1"/>
  <c r="E232" i="429" s="1"/>
  <c r="E233" i="429" s="1"/>
  <c r="E234" i="429" s="1"/>
  <c r="E235" i="429" s="1"/>
  <c r="E236" i="429" s="1"/>
  <c r="E237" i="429" s="1"/>
  <c r="E238" i="429" s="1"/>
  <c r="E239" i="429" s="1"/>
  <c r="E240" i="429" s="1"/>
  <c r="E241" i="429" s="1"/>
  <c r="E242" i="429" s="1"/>
  <c r="E243" i="429" s="1"/>
  <c r="E244" i="429" s="1"/>
  <c r="E245" i="429" s="1"/>
  <c r="E246" i="429" s="1"/>
  <c r="E247" i="429" s="1"/>
  <c r="E248" i="429" s="1"/>
  <c r="E249" i="429" s="1"/>
  <c r="E250" i="429" s="1"/>
  <c r="E251" i="429" s="1"/>
  <c r="E252" i="429" s="1"/>
  <c r="E253" i="429" s="1"/>
  <c r="E254" i="429" s="1"/>
  <c r="E255" i="429" s="1"/>
  <c r="E256" i="429" s="1"/>
  <c r="E257" i="429" s="1"/>
  <c r="E258" i="429" s="1"/>
  <c r="E259" i="429" s="1"/>
  <c r="E260" i="429" s="1"/>
  <c r="E261" i="429" s="1"/>
  <c r="E262" i="429" s="1"/>
  <c r="E263" i="429" s="1"/>
  <c r="E264" i="429" s="1"/>
  <c r="E265" i="429" s="1"/>
  <c r="E266" i="429" s="1"/>
  <c r="E267" i="429" s="1"/>
  <c r="E268" i="429" s="1"/>
  <c r="E269" i="429" s="1"/>
  <c r="E270" i="429" s="1"/>
  <c r="E271" i="429" s="1"/>
  <c r="E272" i="429" s="1"/>
  <c r="E273" i="429" s="1"/>
  <c r="E274" i="429" s="1"/>
  <c r="E275" i="429" s="1"/>
  <c r="E276" i="429" s="1"/>
  <c r="E277" i="429" s="1"/>
  <c r="E278" i="429" s="1"/>
  <c r="E279" i="429" s="1"/>
  <c r="E280" i="429" s="1"/>
  <c r="E281" i="429" s="1"/>
  <c r="E282" i="429" s="1"/>
  <c r="E283" i="429" s="1"/>
  <c r="E284" i="429" s="1"/>
  <c r="E285" i="429" s="1"/>
  <c r="E286" i="429" s="1"/>
  <c r="E287" i="429" s="1"/>
  <c r="E288" i="429" s="1"/>
  <c r="E289" i="429" s="1"/>
  <c r="E290" i="429" s="1"/>
  <c r="E291" i="429" s="1"/>
  <c r="E292" i="429" s="1"/>
  <c r="E293" i="429" s="1"/>
  <c r="E294" i="429" s="1"/>
  <c r="E295" i="429" s="1"/>
  <c r="E296" i="429" s="1"/>
  <c r="E297" i="429" s="1"/>
  <c r="E298" i="429" s="1"/>
  <c r="E299" i="429" s="1"/>
  <c r="E300" i="429" s="1"/>
  <c r="E301" i="429" s="1"/>
  <c r="E302" i="429" s="1"/>
  <c r="E303" i="429" s="1"/>
  <c r="E304" i="429" s="1"/>
  <c r="E305" i="429" s="1"/>
  <c r="E306" i="429" s="1"/>
  <c r="E307" i="429" s="1"/>
  <c r="E308" i="429" s="1"/>
  <c r="E309" i="429" s="1"/>
  <c r="E310" i="429" s="1"/>
  <c r="E311" i="429" s="1"/>
  <c r="E312" i="429" s="1"/>
  <c r="E313" i="429" s="1"/>
  <c r="E314" i="429" s="1"/>
  <c r="E315" i="429" s="1"/>
  <c r="E316" i="429" s="1"/>
  <c r="E317" i="429" s="1"/>
  <c r="E318" i="429" s="1"/>
  <c r="E319" i="429" s="1"/>
  <c r="E320" i="429" s="1"/>
  <c r="E321" i="429" s="1"/>
  <c r="E322" i="429" s="1"/>
  <c r="E323" i="429" s="1"/>
  <c r="E324" i="429" s="1"/>
  <c r="E325" i="429" s="1"/>
  <c r="E326" i="429" s="1"/>
  <c r="E327" i="429" s="1"/>
  <c r="E328" i="429" s="1"/>
  <c r="E329" i="429" s="1"/>
  <c r="E330" i="429" s="1"/>
  <c r="E331" i="429" s="1"/>
  <c r="E332" i="429" s="1"/>
  <c r="E333" i="429" s="1"/>
  <c r="E334" i="429" s="1"/>
  <c r="E335" i="429" s="1"/>
  <c r="E336" i="429" s="1"/>
  <c r="E337" i="429" s="1"/>
  <c r="E338" i="429" s="1"/>
  <c r="E339" i="429" s="1"/>
  <c r="E340" i="429" s="1"/>
  <c r="E341" i="429" s="1"/>
  <c r="E342" i="429" s="1"/>
  <c r="E343" i="429" s="1"/>
  <c r="E344" i="429" s="1"/>
  <c r="E345" i="429" s="1"/>
  <c r="E346" i="429" s="1"/>
  <c r="E347" i="429" s="1"/>
  <c r="E348" i="429" s="1"/>
  <c r="E349" i="429" s="1"/>
  <c r="E350" i="429" s="1"/>
  <c r="E351" i="429" s="1"/>
  <c r="E352" i="429" s="1"/>
  <c r="E353" i="429" s="1"/>
  <c r="E354" i="429" s="1"/>
  <c r="E355" i="429" s="1"/>
  <c r="E356" i="429" s="1"/>
  <c r="E357" i="429" s="1"/>
  <c r="E358" i="429" s="1"/>
  <c r="E359" i="429" s="1"/>
  <c r="E360" i="429" s="1"/>
  <c r="E361" i="429" s="1"/>
  <c r="E362" i="429" s="1"/>
  <c r="E363" i="429" s="1"/>
  <c r="E364" i="429" s="1"/>
  <c r="E365" i="429" s="1"/>
  <c r="E366" i="429" s="1"/>
  <c r="E367" i="429" s="1"/>
  <c r="E368" i="429" s="1"/>
  <c r="E369" i="429" s="1"/>
  <c r="E370" i="429" s="1"/>
  <c r="E371" i="429" s="1"/>
  <c r="E372" i="429" s="1"/>
  <c r="E373" i="429" s="1"/>
  <c r="E374" i="429" s="1"/>
  <c r="E375" i="429" s="1"/>
  <c r="E376" i="429" s="1"/>
  <c r="E377" i="429" s="1"/>
  <c r="E378" i="429" s="1"/>
  <c r="E379" i="429" s="1"/>
  <c r="E380" i="429" s="1"/>
  <c r="E381" i="429" s="1"/>
  <c r="E382" i="429" s="1"/>
  <c r="E383" i="429" s="1"/>
  <c r="E384" i="429" s="1"/>
  <c r="E385" i="429" s="1"/>
  <c r="E386" i="429" s="1"/>
  <c r="E387" i="429" s="1"/>
  <c r="E388" i="429" s="1"/>
  <c r="E389" i="429" s="1"/>
  <c r="E390" i="429" s="1"/>
  <c r="E391" i="429" s="1"/>
  <c r="E392" i="429" s="1"/>
  <c r="E393" i="429" s="1"/>
  <c r="E394" i="429" s="1"/>
  <c r="E395" i="429" s="1"/>
  <c r="E396" i="429" s="1"/>
  <c r="E397" i="429" s="1"/>
  <c r="E398" i="429" s="1"/>
  <c r="E399" i="429" s="1"/>
  <c r="E400" i="429" s="1"/>
  <c r="E401" i="429" s="1"/>
  <c r="E402" i="429" s="1"/>
  <c r="E403" i="429" s="1"/>
  <c r="E404" i="429" s="1"/>
  <c r="E405" i="429" s="1"/>
  <c r="E406" i="429" s="1"/>
  <c r="E407" i="429" s="1"/>
  <c r="E408" i="429" s="1"/>
  <c r="E409" i="429" s="1"/>
  <c r="E410" i="429" s="1"/>
  <c r="E411" i="429" s="1"/>
  <c r="E412" i="429" s="1"/>
  <c r="E413" i="429" s="1"/>
  <c r="E414" i="429" s="1"/>
  <c r="E415" i="429" s="1"/>
  <c r="E416" i="429" s="1"/>
  <c r="E417" i="429" s="1"/>
  <c r="E418" i="429" s="1"/>
  <c r="E419" i="429" s="1"/>
  <c r="E420" i="429" s="1"/>
  <c r="E421" i="429" s="1"/>
  <c r="E422" i="429" s="1"/>
  <c r="E423" i="429" s="1"/>
  <c r="E424" i="429" s="1"/>
  <c r="E425" i="429" s="1"/>
  <c r="E426" i="429" s="1"/>
  <c r="E427" i="429" s="1"/>
  <c r="E428" i="429" s="1"/>
  <c r="E429" i="429" s="1"/>
  <c r="E430" i="429" s="1"/>
  <c r="E431" i="429" s="1"/>
  <c r="E432" i="429" s="1"/>
  <c r="E433" i="429" s="1"/>
  <c r="E434" i="429" s="1"/>
  <c r="E435" i="429" s="1"/>
  <c r="E436" i="429" s="1"/>
  <c r="E437" i="429" s="1"/>
  <c r="E438" i="429" s="1"/>
  <c r="E439" i="429" s="1"/>
  <c r="E440" i="429" s="1"/>
  <c r="E441" i="429" s="1"/>
  <c r="E442" i="429" s="1"/>
  <c r="E443" i="429" s="1"/>
  <c r="E444" i="429" s="1"/>
  <c r="E445" i="429" s="1"/>
  <c r="E446" i="429" s="1"/>
  <c r="E447" i="429" s="1"/>
  <c r="E448" i="429" s="1"/>
  <c r="E449" i="429" s="1"/>
  <c r="E450" i="429" s="1"/>
  <c r="E451" i="429" s="1"/>
  <c r="E452" i="429" s="1"/>
  <c r="E453" i="429" s="1"/>
  <c r="E454" i="429" s="1"/>
  <c r="E455" i="429" s="1"/>
  <c r="E456" i="429" s="1"/>
  <c r="E457" i="429" s="1"/>
  <c r="E458" i="429" s="1"/>
  <c r="E459" i="429" s="1"/>
  <c r="E460" i="429" s="1"/>
  <c r="E461" i="429" s="1"/>
  <c r="E462" i="429" s="1"/>
  <c r="E463" i="429" s="1"/>
  <c r="E464" i="429" s="1"/>
  <c r="E465" i="429" s="1"/>
  <c r="E466" i="429" s="1"/>
  <c r="E467" i="429" s="1"/>
  <c r="E468" i="429" s="1"/>
  <c r="E469" i="429" s="1"/>
  <c r="E470" i="429" s="1"/>
  <c r="E471" i="429" s="1"/>
  <c r="E472" i="429" s="1"/>
  <c r="E473" i="429" s="1"/>
  <c r="E474" i="429" s="1"/>
  <c r="E475" i="429" s="1"/>
  <c r="E476" i="429" s="1"/>
  <c r="E477" i="429" s="1"/>
  <c r="E478" i="429" s="1"/>
  <c r="E479" i="429" s="1"/>
  <c r="E480" i="429" s="1"/>
  <c r="E481" i="429" s="1"/>
  <c r="E482" i="429" s="1"/>
  <c r="E483" i="429" s="1"/>
  <c r="E484" i="429" s="1"/>
  <c r="E485" i="429" s="1"/>
  <c r="E486" i="429" s="1"/>
  <c r="E487" i="429" s="1"/>
  <c r="E488" i="429" s="1"/>
  <c r="E489" i="429" s="1"/>
  <c r="E490" i="429" s="1"/>
  <c r="E491" i="429" s="1"/>
  <c r="E492" i="429" s="1"/>
  <c r="E493" i="429" s="1"/>
  <c r="E494" i="429" s="1"/>
  <c r="E495" i="429" s="1"/>
  <c r="E496" i="429" s="1"/>
  <c r="E497" i="429" s="1"/>
  <c r="E498" i="429" s="1"/>
  <c r="E499" i="429" s="1"/>
  <c r="E500" i="429" s="1"/>
  <c r="E501" i="429" s="1"/>
  <c r="E502" i="429" s="1"/>
  <c r="E503" i="429" s="1"/>
  <c r="E504" i="429" s="1"/>
  <c r="E505" i="429" s="1"/>
  <c r="E506" i="429" s="1"/>
  <c r="E507" i="429" s="1"/>
  <c r="E508" i="429" s="1"/>
  <c r="E509" i="429" s="1"/>
  <c r="E510" i="429" s="1"/>
  <c r="E511" i="429" s="1"/>
  <c r="E512" i="429" s="1"/>
  <c r="E513" i="429" s="1"/>
  <c r="E514" i="429" s="1"/>
  <c r="E515" i="429" s="1"/>
  <c r="E516" i="429" s="1"/>
  <c r="E517" i="429" s="1"/>
  <c r="E518" i="429" s="1"/>
  <c r="E519" i="429" s="1"/>
  <c r="E520" i="429" s="1"/>
  <c r="E521" i="429" s="1"/>
  <c r="E522" i="429" s="1"/>
  <c r="E523" i="429" s="1"/>
  <c r="E524" i="429" s="1"/>
  <c r="E525" i="429" s="1"/>
  <c r="E526" i="429" s="1"/>
  <c r="E527" i="429" s="1"/>
  <c r="E528" i="429" s="1"/>
  <c r="E529" i="429" s="1"/>
  <c r="E530" i="429" s="1"/>
  <c r="E531" i="429" s="1"/>
  <c r="E532" i="429" s="1"/>
  <c r="E533" i="429" s="1"/>
  <c r="E534" i="429" s="1"/>
  <c r="E535" i="429" s="1"/>
  <c r="E536" i="429" s="1"/>
  <c r="E537" i="429" s="1"/>
  <c r="E538" i="429" s="1"/>
  <c r="E539" i="429" s="1"/>
  <c r="E540" i="429" s="1"/>
  <c r="E541" i="429" s="1"/>
  <c r="E542" i="429" s="1"/>
  <c r="E543" i="429" s="1"/>
  <c r="E544" i="429" s="1"/>
  <c r="E545" i="429" s="1"/>
  <c r="E546" i="429" s="1"/>
  <c r="E547" i="429" s="1"/>
  <c r="E548" i="429" s="1"/>
  <c r="E549" i="429" s="1"/>
  <c r="E550" i="429" s="1"/>
  <c r="E551" i="429" s="1"/>
  <c r="E552" i="429" s="1"/>
  <c r="E553" i="429" s="1"/>
  <c r="E554" i="429" s="1"/>
  <c r="E555" i="429" s="1"/>
  <c r="E556" i="429" s="1"/>
  <c r="E557" i="429" s="1"/>
  <c r="E558" i="429" s="1"/>
  <c r="E559" i="429" s="1"/>
  <c r="E560" i="429" s="1"/>
  <c r="E561" i="429" s="1"/>
  <c r="E562" i="429" s="1"/>
  <c r="E563" i="429" s="1"/>
  <c r="E564" i="429" s="1"/>
  <c r="E565" i="429" s="1"/>
  <c r="E566" i="429" s="1"/>
  <c r="E567" i="429" s="1"/>
  <c r="E568" i="429" s="1"/>
  <c r="E569" i="429" s="1"/>
  <c r="E570" i="429" s="1"/>
  <c r="E571" i="429" s="1"/>
  <c r="E572" i="429" s="1"/>
  <c r="E573" i="429" s="1"/>
  <c r="E574" i="429" s="1"/>
  <c r="E575" i="429" s="1"/>
  <c r="E576" i="429" s="1"/>
  <c r="E577" i="429" s="1"/>
  <c r="E578" i="429" s="1"/>
  <c r="E579" i="429" s="1"/>
  <c r="E580" i="429" s="1"/>
  <c r="E581" i="429" s="1"/>
  <c r="E582" i="429" s="1"/>
  <c r="E583" i="429" s="1"/>
  <c r="E584" i="429" s="1"/>
  <c r="E585" i="429" s="1"/>
  <c r="E586" i="429" s="1"/>
  <c r="E587" i="429" s="1"/>
  <c r="E588" i="429" s="1"/>
  <c r="E589" i="429" s="1"/>
  <c r="E590" i="429" s="1"/>
  <c r="E591" i="429" s="1"/>
  <c r="E592" i="429" s="1"/>
  <c r="E593" i="429" s="1"/>
  <c r="E594" i="429" s="1"/>
  <c r="E595" i="429" s="1"/>
  <c r="E596" i="429" s="1"/>
  <c r="E597" i="429" s="1"/>
  <c r="E598" i="429" s="1"/>
  <c r="E599" i="429" s="1"/>
  <c r="E600" i="429" s="1"/>
  <c r="E601" i="429" s="1"/>
  <c r="E602" i="429" s="1"/>
  <c r="E603" i="429" s="1"/>
  <c r="E604" i="429" s="1"/>
  <c r="E605" i="429" s="1"/>
  <c r="E606" i="429" s="1"/>
  <c r="E607" i="429" s="1"/>
  <c r="E608" i="429" s="1"/>
  <c r="E609" i="429" s="1"/>
  <c r="E610" i="429" s="1"/>
  <c r="E611" i="429" s="1"/>
  <c r="E612" i="429" s="1"/>
  <c r="E613" i="429" s="1"/>
  <c r="E614" i="429" s="1"/>
  <c r="E615" i="429" s="1"/>
  <c r="E616" i="429" s="1"/>
  <c r="E617" i="429" s="1"/>
  <c r="E618" i="429" s="1"/>
  <c r="E619" i="429" s="1"/>
  <c r="E620" i="429" s="1"/>
  <c r="E621" i="429" s="1"/>
  <c r="E622" i="429" s="1"/>
  <c r="E623" i="429" s="1"/>
  <c r="E624" i="429" s="1"/>
  <c r="E625" i="429" s="1"/>
  <c r="E626" i="429" s="1"/>
  <c r="E627" i="429" s="1"/>
  <c r="E628" i="429" s="1"/>
  <c r="E629" i="429" s="1"/>
  <c r="E630" i="429" s="1"/>
  <c r="E631" i="429" s="1"/>
  <c r="E632" i="429" s="1"/>
  <c r="E633" i="429" s="1"/>
  <c r="E634" i="429" s="1"/>
  <c r="E635" i="429" s="1"/>
  <c r="E636" i="429" s="1"/>
  <c r="E637" i="429" s="1"/>
  <c r="E638" i="429" s="1"/>
  <c r="E639" i="429" s="1"/>
  <c r="E640" i="429" s="1"/>
  <c r="E641" i="429" s="1"/>
  <c r="E642" i="429" s="1"/>
  <c r="E643" i="429" s="1"/>
  <c r="E644" i="429" s="1"/>
  <c r="E645" i="429" s="1"/>
  <c r="E646" i="429" s="1"/>
  <c r="E647" i="429" s="1"/>
  <c r="E648" i="429" s="1"/>
  <c r="E649" i="429" s="1"/>
  <c r="E650" i="429" s="1"/>
  <c r="E651" i="429" s="1"/>
  <c r="E652" i="429" s="1"/>
  <c r="E653" i="429" s="1"/>
  <c r="E654" i="429" s="1"/>
  <c r="E655" i="429" s="1"/>
  <c r="E656" i="429" s="1"/>
  <c r="E657" i="429" s="1"/>
  <c r="E658" i="429" s="1"/>
  <c r="E659" i="429" s="1"/>
  <c r="E660" i="429" s="1"/>
  <c r="E661" i="429" s="1"/>
  <c r="E662" i="429" s="1"/>
  <c r="E663" i="429" s="1"/>
  <c r="E664" i="429" s="1"/>
  <c r="E665" i="429" s="1"/>
  <c r="E666" i="429" s="1"/>
  <c r="E667" i="429" s="1"/>
  <c r="E668" i="429" s="1"/>
  <c r="E669" i="429" s="1"/>
  <c r="E670" i="429" s="1"/>
  <c r="E671" i="429" s="1"/>
  <c r="E672" i="429" s="1"/>
  <c r="E673" i="429" s="1"/>
  <c r="E674" i="429" s="1"/>
  <c r="E675" i="429" s="1"/>
  <c r="E676" i="429" s="1"/>
  <c r="E677" i="429" s="1"/>
  <c r="E678" i="429" s="1"/>
  <c r="E679" i="429" s="1"/>
  <c r="E680" i="429" s="1"/>
  <c r="E681" i="429" s="1"/>
  <c r="E682" i="429" s="1"/>
  <c r="E683" i="429" s="1"/>
  <c r="E684" i="429" s="1"/>
  <c r="E685" i="429" s="1"/>
  <c r="E686" i="429" s="1"/>
  <c r="E687" i="429" s="1"/>
  <c r="E688" i="429" s="1"/>
  <c r="E689" i="429" s="1"/>
  <c r="E690" i="429" s="1"/>
  <c r="E691" i="429" s="1"/>
  <c r="E692" i="429" s="1"/>
  <c r="E693" i="429" s="1"/>
  <c r="E694" i="429" s="1"/>
  <c r="E695" i="429" s="1"/>
  <c r="E696" i="429" s="1"/>
  <c r="E697" i="429" s="1"/>
  <c r="E698" i="429" s="1"/>
  <c r="E699" i="429" s="1"/>
  <c r="E700" i="429" s="1"/>
  <c r="E701" i="429" s="1"/>
  <c r="E702" i="429" s="1"/>
  <c r="E703" i="429" s="1"/>
  <c r="E704" i="429" s="1"/>
  <c r="E705" i="429" s="1"/>
  <c r="E706" i="429" s="1"/>
  <c r="E707" i="429" s="1"/>
  <c r="E708" i="429" s="1"/>
  <c r="N68" i="429"/>
  <c r="N56" i="429"/>
  <c r="N55" i="429"/>
  <c r="N54" i="429"/>
  <c r="N48" i="429"/>
  <c r="N39" i="429"/>
  <c r="N27" i="429"/>
  <c r="N21" i="429"/>
  <c r="C10" i="436" l="1"/>
  <c r="C11" i="436" s="1"/>
  <c r="C12" i="436" s="1"/>
  <c r="C13" i="436" s="1"/>
  <c r="C14" i="436" s="1"/>
  <c r="C15" i="436" s="1"/>
  <c r="C16" i="436" s="1"/>
  <c r="C17" i="436" s="1"/>
  <c r="C18" i="436" s="1"/>
  <c r="C19" i="436" s="1"/>
  <c r="C20" i="436" s="1"/>
  <c r="C21" i="436" s="1"/>
  <c r="C22" i="436" s="1"/>
  <c r="C23" i="436" s="1"/>
  <c r="C24" i="436" s="1"/>
  <c r="C25" i="436" s="1"/>
  <c r="C26" i="436" s="1"/>
  <c r="C27" i="436" s="1"/>
  <c r="C28" i="436" s="1"/>
  <c r="C29" i="436" s="1"/>
  <c r="C30" i="436" s="1"/>
  <c r="C31" i="436" s="1"/>
  <c r="C32" i="436" s="1"/>
  <c r="C33" i="436" s="1"/>
  <c r="C34" i="436" s="1"/>
  <c r="B12" i="447"/>
  <c r="E62" i="429"/>
  <c r="E66" i="429" s="1"/>
  <c r="D46" i="429"/>
  <c r="D47" i="429" s="1"/>
  <c r="D48" i="429" s="1"/>
  <c r="D49" i="429" s="1"/>
  <c r="D50" i="429" s="1"/>
  <c r="D51" i="429" s="1"/>
  <c r="D52" i="429" s="1"/>
  <c r="D53" i="429" s="1"/>
  <c r="D54" i="429" s="1"/>
  <c r="D55" i="429" s="1"/>
  <c r="D56" i="429" s="1"/>
  <c r="D57" i="429" s="1"/>
  <c r="D58" i="429" s="1"/>
  <c r="D59" i="429" s="1"/>
  <c r="D60" i="429" s="1"/>
  <c r="D61" i="429" s="1"/>
  <c r="D41" i="429"/>
  <c r="D42" i="429" s="1"/>
  <c r="C41" i="429"/>
  <c r="C42" i="429" s="1"/>
  <c r="D18" i="429"/>
  <c r="D19" i="429" s="1"/>
  <c r="D20" i="429" s="1"/>
  <c r="D21" i="429" s="1"/>
  <c r="D22" i="429" s="1"/>
  <c r="D23" i="429" s="1"/>
  <c r="I5" i="429"/>
  <c r="I5" i="436" s="1"/>
  <c r="I4" i="429"/>
  <c r="I4" i="436" s="1"/>
  <c r="D12" i="447" l="1"/>
  <c r="D62" i="429"/>
  <c r="D63" i="429" l="1"/>
  <c r="D64" i="429" s="1"/>
  <c r="D65" i="429" s="1"/>
  <c r="C43" i="429"/>
  <c r="C44" i="429" s="1"/>
  <c r="C45" i="429" s="1"/>
  <c r="C13" i="424"/>
  <c r="C14" i="424"/>
  <c r="C15" i="424"/>
  <c r="E1" i="438"/>
  <c r="E2" i="438"/>
  <c r="E3" i="438"/>
  <c r="Q7" i="438"/>
  <c r="Q89" i="438"/>
  <c r="A89" i="438"/>
  <c r="U88" i="438"/>
  <c r="S88" i="438"/>
  <c r="T88" i="438" s="1"/>
  <c r="M88" i="438"/>
  <c r="R88" i="438" s="1"/>
  <c r="J88" i="438"/>
  <c r="L88" i="438" s="1"/>
  <c r="U83" i="438"/>
  <c r="S83" i="438"/>
  <c r="T83" i="438" s="1"/>
  <c r="M83" i="438"/>
  <c r="R83" i="438" s="1"/>
  <c r="J83" i="438"/>
  <c r="L83" i="438" s="1"/>
  <c r="U82" i="438"/>
  <c r="S82" i="438"/>
  <c r="T82" i="438" s="1"/>
  <c r="M82" i="438"/>
  <c r="R82" i="438" s="1"/>
  <c r="J82" i="438"/>
  <c r="L82" i="438" s="1"/>
  <c r="U81" i="438"/>
  <c r="S81" i="438"/>
  <c r="T81" i="438" s="1"/>
  <c r="M81" i="438"/>
  <c r="R81" i="438" s="1"/>
  <c r="J81" i="438"/>
  <c r="L81" i="438" s="1"/>
  <c r="U80" i="438"/>
  <c r="S80" i="438"/>
  <c r="T80" i="438" s="1"/>
  <c r="M80" i="438"/>
  <c r="R80" i="438" s="1"/>
  <c r="J80" i="438"/>
  <c r="L80" i="438" s="1"/>
  <c r="U79" i="438"/>
  <c r="S79" i="438"/>
  <c r="T79" i="438" s="1"/>
  <c r="M79" i="438"/>
  <c r="R79" i="438" s="1"/>
  <c r="J79" i="438"/>
  <c r="L79" i="438" s="1"/>
  <c r="U78" i="438"/>
  <c r="S78" i="438"/>
  <c r="T78" i="438" s="1"/>
  <c r="M78" i="438"/>
  <c r="R78" i="438" s="1"/>
  <c r="J78" i="438"/>
  <c r="L78" i="438" s="1"/>
  <c r="U77" i="438"/>
  <c r="S77" i="438"/>
  <c r="T77" i="438" s="1"/>
  <c r="M77" i="438"/>
  <c r="R77" i="438" s="1"/>
  <c r="J77" i="438"/>
  <c r="L77" i="438" s="1"/>
  <c r="U76" i="438"/>
  <c r="S76" i="438"/>
  <c r="T76" i="438" s="1"/>
  <c r="M76" i="438"/>
  <c r="R76" i="438" s="1"/>
  <c r="J76" i="438"/>
  <c r="L76" i="438" s="1"/>
  <c r="U75" i="438"/>
  <c r="S75" i="438"/>
  <c r="T75" i="438" s="1"/>
  <c r="M75" i="438"/>
  <c r="R75" i="438" s="1"/>
  <c r="J75" i="438"/>
  <c r="L75" i="438" s="1"/>
  <c r="U74" i="438"/>
  <c r="S74" i="438"/>
  <c r="T74" i="438" s="1"/>
  <c r="M74" i="438"/>
  <c r="R74" i="438" s="1"/>
  <c r="J74" i="438"/>
  <c r="L74" i="438" s="1"/>
  <c r="U73" i="438"/>
  <c r="S73" i="438"/>
  <c r="T73" i="438" s="1"/>
  <c r="M73" i="438"/>
  <c r="R73" i="438" s="1"/>
  <c r="J73" i="438"/>
  <c r="L73" i="438" s="1"/>
  <c r="U72" i="438"/>
  <c r="S72" i="438"/>
  <c r="M72" i="438"/>
  <c r="R72" i="438" s="1"/>
  <c r="J72" i="438"/>
  <c r="L72" i="438" s="1"/>
  <c r="Q64" i="438"/>
  <c r="U60" i="438"/>
  <c r="S60" i="438"/>
  <c r="T60" i="438" s="1"/>
  <c r="M60" i="438"/>
  <c r="R60" i="438" s="1"/>
  <c r="J60" i="438"/>
  <c r="L60" i="438" s="1"/>
  <c r="U59" i="438"/>
  <c r="S59" i="438"/>
  <c r="T59" i="438" s="1"/>
  <c r="M59" i="438"/>
  <c r="R59" i="438" s="1"/>
  <c r="J59" i="438"/>
  <c r="L59" i="438" s="1"/>
  <c r="S58" i="438"/>
  <c r="T58" i="438" s="1"/>
  <c r="J58" i="438"/>
  <c r="L58" i="438" s="1"/>
  <c r="M58" i="438"/>
  <c r="R58" i="438" s="1"/>
  <c r="S57" i="438"/>
  <c r="T57" i="438" s="1"/>
  <c r="M57" i="438"/>
  <c r="R57" i="438" s="1"/>
  <c r="J57" i="438"/>
  <c r="U57" i="438"/>
  <c r="S56" i="438"/>
  <c r="J56" i="438"/>
  <c r="U55" i="438"/>
  <c r="S55" i="438"/>
  <c r="T55" i="438" s="1"/>
  <c r="M55" i="438"/>
  <c r="R55" i="438" s="1"/>
  <c r="J55" i="438"/>
  <c r="L55" i="438" s="1"/>
  <c r="U54" i="438"/>
  <c r="S54" i="438"/>
  <c r="T54" i="438" s="1"/>
  <c r="M54" i="438"/>
  <c r="R54" i="438" s="1"/>
  <c r="J54" i="438"/>
  <c r="L54" i="438" s="1"/>
  <c r="U53" i="438"/>
  <c r="S53" i="438"/>
  <c r="T53" i="438" s="1"/>
  <c r="M53" i="438"/>
  <c r="R53" i="438" s="1"/>
  <c r="J53" i="438"/>
  <c r="L53" i="438" s="1"/>
  <c r="S52" i="438"/>
  <c r="J52" i="438"/>
  <c r="M52" i="438"/>
  <c r="R52" i="438" s="1"/>
  <c r="U51" i="438"/>
  <c r="S51" i="438"/>
  <c r="T51" i="438" s="1"/>
  <c r="M51" i="438"/>
  <c r="R51" i="438" s="1"/>
  <c r="J51" i="438"/>
  <c r="L51" i="438" s="1"/>
  <c r="U50" i="438"/>
  <c r="S50" i="438"/>
  <c r="J50" i="438"/>
  <c r="U49" i="438"/>
  <c r="S49" i="438"/>
  <c r="T49" i="438" s="1"/>
  <c r="M49" i="438"/>
  <c r="R49" i="438" s="1"/>
  <c r="J49" i="438"/>
  <c r="L49" i="438" s="1"/>
  <c r="U48" i="438"/>
  <c r="S48" i="438"/>
  <c r="T48" i="438" s="1"/>
  <c r="M48" i="438"/>
  <c r="R48" i="438" s="1"/>
  <c r="J48" i="438"/>
  <c r="L48" i="438" s="1"/>
  <c r="S47" i="438"/>
  <c r="T47" i="438" s="1"/>
  <c r="J47" i="438"/>
  <c r="U47" i="438"/>
  <c r="S46" i="438"/>
  <c r="T46" i="438" s="1"/>
  <c r="M46" i="438"/>
  <c r="R46" i="438" s="1"/>
  <c r="J46" i="438"/>
  <c r="U46" i="438"/>
  <c r="U45" i="438"/>
  <c r="S45" i="438"/>
  <c r="T45" i="438" s="1"/>
  <c r="M45" i="438"/>
  <c r="R45" i="438" s="1"/>
  <c r="J45" i="438"/>
  <c r="L45" i="438" s="1"/>
  <c r="U44" i="438"/>
  <c r="S44" i="438"/>
  <c r="T44" i="438" s="1"/>
  <c r="M44" i="438"/>
  <c r="R44" i="438" s="1"/>
  <c r="J44" i="438"/>
  <c r="L44" i="438" s="1"/>
  <c r="S43" i="438"/>
  <c r="M43" i="438"/>
  <c r="R43" i="438" s="1"/>
  <c r="J43" i="438"/>
  <c r="U43" i="438"/>
  <c r="U42" i="438"/>
  <c r="S42" i="438"/>
  <c r="T42" i="438" s="1"/>
  <c r="M42" i="438"/>
  <c r="R42" i="438" s="1"/>
  <c r="J42" i="438"/>
  <c r="L42" i="438" s="1"/>
  <c r="S41" i="438"/>
  <c r="J41" i="438"/>
  <c r="M41" i="438"/>
  <c r="R41" i="438" s="1"/>
  <c r="U40" i="438"/>
  <c r="S40" i="438"/>
  <c r="M40" i="438"/>
  <c r="J40" i="438"/>
  <c r="L40" i="438" s="1"/>
  <c r="Q31" i="438"/>
  <c r="A31" i="438"/>
  <c r="U25" i="438"/>
  <c r="S25" i="438"/>
  <c r="R25" i="438"/>
  <c r="M25" i="438"/>
  <c r="J25" i="438"/>
  <c r="L25" i="438" s="1"/>
  <c r="U24" i="438"/>
  <c r="S24" i="438"/>
  <c r="R24" i="438"/>
  <c r="M24" i="438"/>
  <c r="J24" i="438"/>
  <c r="L24" i="438" s="1"/>
  <c r="U23" i="438"/>
  <c r="S23" i="438"/>
  <c r="R23" i="438"/>
  <c r="M23" i="438"/>
  <c r="J23" i="438"/>
  <c r="L23" i="438" s="1"/>
  <c r="U22" i="438"/>
  <c r="S22" i="438"/>
  <c r="R22" i="438"/>
  <c r="M22" i="438"/>
  <c r="J22" i="438"/>
  <c r="L22" i="438" s="1"/>
  <c r="U21" i="438"/>
  <c r="S21" i="438"/>
  <c r="R21" i="438"/>
  <c r="M21" i="438"/>
  <c r="J21" i="438"/>
  <c r="L21" i="438" s="1"/>
  <c r="U20" i="438"/>
  <c r="S20" i="438"/>
  <c r="R20" i="438"/>
  <c r="M20" i="438"/>
  <c r="J20" i="438"/>
  <c r="L20" i="438" s="1"/>
  <c r="U19" i="438"/>
  <c r="S19" i="438"/>
  <c r="R19" i="438"/>
  <c r="M19" i="438"/>
  <c r="J19" i="438"/>
  <c r="L19" i="438" s="1"/>
  <c r="U18" i="438"/>
  <c r="S18" i="438"/>
  <c r="R18" i="438"/>
  <c r="M18" i="438"/>
  <c r="J18" i="438"/>
  <c r="L18" i="438" s="1"/>
  <c r="U17" i="438"/>
  <c r="S17" i="438"/>
  <c r="R17" i="438"/>
  <c r="M17" i="438"/>
  <c r="J17" i="438"/>
  <c r="L17" i="438" s="1"/>
  <c r="U16" i="438"/>
  <c r="S16" i="438"/>
  <c r="R16" i="438"/>
  <c r="M16" i="438"/>
  <c r="J16" i="438"/>
  <c r="L16" i="438" s="1"/>
  <c r="S15" i="438"/>
  <c r="R7" i="438"/>
  <c r="O7" i="438"/>
  <c r="O5" i="429"/>
  <c r="N71" i="436"/>
  <c r="N56" i="436"/>
  <c r="D8" i="436"/>
  <c r="D13" i="434"/>
  <c r="B3" i="434"/>
  <c r="B2" i="434"/>
  <c r="B1" i="434"/>
  <c r="D12" i="434"/>
  <c r="R40" i="438" l="1"/>
  <c r="T40" i="438"/>
  <c r="S64" i="438"/>
  <c r="U31" i="438"/>
  <c r="S31" i="438"/>
  <c r="L31" i="438"/>
  <c r="M31" i="438"/>
  <c r="R31" i="438"/>
  <c r="L7" i="438" s="1"/>
  <c r="N12" i="429"/>
  <c r="N17" i="429"/>
  <c r="N16" i="429"/>
  <c r="C46" i="429"/>
  <c r="C47" i="429" s="1"/>
  <c r="C48" i="429" s="1"/>
  <c r="C49" i="429" s="1"/>
  <c r="C50" i="429" s="1"/>
  <c r="C51" i="429" s="1"/>
  <c r="C52" i="429" s="1"/>
  <c r="C53" i="429" s="1"/>
  <c r="C54" i="429" s="1"/>
  <c r="C55" i="429" s="1"/>
  <c r="C56" i="429" s="1"/>
  <c r="C57" i="429" s="1"/>
  <c r="C58" i="429" s="1"/>
  <c r="C59" i="429" s="1"/>
  <c r="N145" i="436"/>
  <c r="N52" i="429"/>
  <c r="N42" i="429"/>
  <c r="N20" i="429"/>
  <c r="N47" i="429"/>
  <c r="N26" i="429"/>
  <c r="N50" i="429"/>
  <c r="N37" i="429"/>
  <c r="N51" i="429"/>
  <c r="N49" i="429"/>
  <c r="N54" i="438"/>
  <c r="O54" i="438" s="1"/>
  <c r="N53" i="438"/>
  <c r="O53" i="438" s="1"/>
  <c r="N79" i="438"/>
  <c r="O79" i="438" s="1"/>
  <c r="N59" i="438"/>
  <c r="O59" i="438" s="1"/>
  <c r="N78" i="438"/>
  <c r="O78" i="438" s="1"/>
  <c r="N77" i="438"/>
  <c r="O77" i="438" s="1"/>
  <c r="N73" i="438"/>
  <c r="O73" i="438" s="1"/>
  <c r="T43" i="438"/>
  <c r="U58" i="438"/>
  <c r="N58" i="438" s="1"/>
  <c r="O58" i="438" s="1"/>
  <c r="U89" i="438"/>
  <c r="L47" i="438"/>
  <c r="N47" i="438" s="1"/>
  <c r="O47" i="438" s="1"/>
  <c r="T56" i="438"/>
  <c r="L43" i="438"/>
  <c r="N43" i="438" s="1"/>
  <c r="O43" i="438" s="1"/>
  <c r="L46" i="438"/>
  <c r="M47" i="438"/>
  <c r="R47" i="438" s="1"/>
  <c r="T50" i="438"/>
  <c r="L57" i="438"/>
  <c r="N21" i="438"/>
  <c r="O21" i="438" s="1"/>
  <c r="N18" i="438"/>
  <c r="O18" i="438" s="1"/>
  <c r="N23" i="438"/>
  <c r="O23" i="438" s="1"/>
  <c r="N20" i="438"/>
  <c r="O20" i="438" s="1"/>
  <c r="N17" i="438"/>
  <c r="O17" i="438" s="1"/>
  <c r="N25" i="438"/>
  <c r="O25" i="438" s="1"/>
  <c r="N60" i="438"/>
  <c r="O60" i="438" s="1"/>
  <c r="N22" i="438"/>
  <c r="O22" i="438" s="1"/>
  <c r="N19" i="438"/>
  <c r="O19" i="438" s="1"/>
  <c r="N44" i="438"/>
  <c r="O44" i="438" s="1"/>
  <c r="N16" i="438"/>
  <c r="N24" i="438"/>
  <c r="O24" i="438" s="1"/>
  <c r="S89" i="438"/>
  <c r="T72" i="438"/>
  <c r="T89" i="438" s="1"/>
  <c r="N76" i="438"/>
  <c r="O76" i="438" s="1"/>
  <c r="N49" i="438"/>
  <c r="O49" i="438" s="1"/>
  <c r="M56" i="438"/>
  <c r="R56" i="438" s="1"/>
  <c r="L56" i="438"/>
  <c r="N81" i="438"/>
  <c r="O81" i="438" s="1"/>
  <c r="N88" i="438"/>
  <c r="O88" i="438" s="1"/>
  <c r="N48" i="438"/>
  <c r="O48" i="438" s="1"/>
  <c r="N72" i="438"/>
  <c r="L89" i="438"/>
  <c r="N74" i="438"/>
  <c r="O74" i="438" s="1"/>
  <c r="N80" i="438"/>
  <c r="O80" i="438" s="1"/>
  <c r="N42" i="438"/>
  <c r="O42" i="438" s="1"/>
  <c r="M50" i="438"/>
  <c r="R50" i="438" s="1"/>
  <c r="L50" i="438"/>
  <c r="N55" i="438"/>
  <c r="O55" i="438" s="1"/>
  <c r="U56" i="438"/>
  <c r="M89" i="438"/>
  <c r="N45" i="438"/>
  <c r="O45" i="438" s="1"/>
  <c r="R89" i="438"/>
  <c r="N82" i="438"/>
  <c r="O82" i="438" s="1"/>
  <c r="T41" i="438"/>
  <c r="T52" i="438"/>
  <c r="U41" i="438"/>
  <c r="U52" i="438"/>
  <c r="N40" i="438"/>
  <c r="L41" i="438"/>
  <c r="N51" i="438"/>
  <c r="O51" i="438" s="1"/>
  <c r="L52" i="438"/>
  <c r="N75" i="438"/>
  <c r="O75" i="438" s="1"/>
  <c r="N83" i="438"/>
  <c r="O83" i="438" s="1"/>
  <c r="N74" i="436"/>
  <c r="N144" i="436"/>
  <c r="N40" i="429"/>
  <c r="L64" i="438" l="1"/>
  <c r="G7" i="438" s="1"/>
  <c r="U64" i="438"/>
  <c r="T64" i="438"/>
  <c r="N7" i="438" s="1"/>
  <c r="L134" i="436" s="1"/>
  <c r="O40" i="438"/>
  <c r="R64" i="438"/>
  <c r="M64" i="438"/>
  <c r="H7" i="438" s="1"/>
  <c r="N31" i="438"/>
  <c r="O16" i="438"/>
  <c r="O31" i="438" s="1"/>
  <c r="N18" i="429"/>
  <c r="N11" i="429"/>
  <c r="N30" i="429"/>
  <c r="N15" i="429"/>
  <c r="N58" i="429"/>
  <c r="N59" i="429"/>
  <c r="N31" i="429"/>
  <c r="N29" i="429"/>
  <c r="N14" i="429"/>
  <c r="N28" i="429"/>
  <c r="N45" i="429"/>
  <c r="C60" i="429"/>
  <c r="C61" i="429" s="1"/>
  <c r="P7" i="438"/>
  <c r="S7" i="438"/>
  <c r="N57" i="438"/>
  <c r="O57" i="438" s="1"/>
  <c r="N46" i="438"/>
  <c r="O46" i="438" s="1"/>
  <c r="N52" i="438"/>
  <c r="O52" i="438" s="1"/>
  <c r="N89" i="438"/>
  <c r="N56" i="438"/>
  <c r="O56" i="438" s="1"/>
  <c r="N41" i="438"/>
  <c r="O41" i="438" s="1"/>
  <c r="O72" i="438"/>
  <c r="O89" i="438" s="1"/>
  <c r="N50" i="438"/>
  <c r="O50" i="438" s="1"/>
  <c r="N64" i="438" l="1"/>
  <c r="I7" i="438" s="1"/>
  <c r="O64" i="438"/>
  <c r="J7" i="438" s="1"/>
  <c r="C62" i="429"/>
  <c r="L13" i="436"/>
  <c r="N13" i="436" s="1"/>
  <c r="L16" i="436"/>
  <c r="N16" i="436" s="1"/>
  <c r="N134" i="436" l="1"/>
  <c r="L143" i="436"/>
  <c r="N143" i="436" s="1"/>
  <c r="C63" i="429"/>
  <c r="C64" i="429" s="1"/>
  <c r="A8" i="436"/>
  <c r="L14" i="436"/>
  <c r="N14" i="436" s="1"/>
  <c r="L18" i="436"/>
  <c r="N18" i="436" s="1"/>
  <c r="A9" i="436" l="1"/>
  <c r="A12" i="436" s="1"/>
  <c r="M77" i="429"/>
  <c r="A8" i="429"/>
  <c r="B8" i="429"/>
  <c r="B9" i="429" s="1"/>
  <c r="B10" i="429" s="1"/>
  <c r="B11" i="429" s="1"/>
  <c r="B12" i="429" s="1"/>
  <c r="B13" i="429" s="1"/>
  <c r="B14" i="429" s="1"/>
  <c r="B15" i="429" s="1"/>
  <c r="B16" i="429" s="1"/>
  <c r="B17" i="429" s="1"/>
  <c r="C8" i="429"/>
  <c r="C9" i="429" s="1"/>
  <c r="C10" i="429" s="1"/>
  <c r="C11" i="429" s="1"/>
  <c r="C12" i="429" s="1"/>
  <c r="C13" i="429" s="1"/>
  <c r="C14" i="429" s="1"/>
  <c r="C15" i="429" s="1"/>
  <c r="C16" i="429" s="1"/>
  <c r="C17" i="429" s="1"/>
  <c r="D8" i="429"/>
  <c r="E8" i="429"/>
  <c r="E9" i="429" s="1"/>
  <c r="A11" i="436" l="1"/>
  <c r="A13" i="436" s="1"/>
  <c r="B18" i="429"/>
  <c r="C18" i="429"/>
  <c r="C19" i="429" s="1"/>
  <c r="C20" i="429" s="1"/>
  <c r="C21" i="429" s="1"/>
  <c r="C22" i="429" s="1"/>
  <c r="C23" i="429" s="1"/>
  <c r="C24" i="429" s="1"/>
  <c r="C25" i="429" s="1"/>
  <c r="C26" i="429" s="1"/>
  <c r="C27" i="429" s="1"/>
  <c r="C28" i="429" s="1"/>
  <c r="C29" i="429" s="1"/>
  <c r="C30" i="429" s="1"/>
  <c r="C31" i="429" s="1"/>
  <c r="C32" i="429" s="1"/>
  <c r="C33" i="429" s="1"/>
  <c r="A9" i="429"/>
  <c r="A10" i="429" s="1"/>
  <c r="I8" i="429"/>
  <c r="A14" i="436" l="1"/>
  <c r="I18" i="429"/>
  <c r="B19" i="429"/>
  <c r="B20" i="429" s="1"/>
  <c r="B21" i="429" s="1"/>
  <c r="B22" i="429" s="1"/>
  <c r="B23" i="429" s="1"/>
  <c r="B24" i="429" s="1"/>
  <c r="B25" i="429" s="1"/>
  <c r="B26" i="429" s="1"/>
  <c r="B27" i="429" s="1"/>
  <c r="B28" i="429" s="1"/>
  <c r="B29" i="429" s="1"/>
  <c r="B30" i="429" s="1"/>
  <c r="B31" i="429" s="1"/>
  <c r="B32" i="429" s="1"/>
  <c r="B33" i="429" s="1"/>
  <c r="B34" i="429" s="1"/>
  <c r="B35" i="429" s="1"/>
  <c r="B36" i="429" s="1"/>
  <c r="B37" i="429" s="1"/>
  <c r="B38" i="429" s="1"/>
  <c r="B39" i="429" s="1"/>
  <c r="B40" i="429" s="1"/>
  <c r="I40" i="429" s="1"/>
  <c r="I9" i="429"/>
  <c r="A15" i="436" l="1"/>
  <c r="A16" i="436" s="1"/>
  <c r="A11" i="429"/>
  <c r="I10" i="429"/>
  <c r="A17" i="436" l="1"/>
  <c r="A18" i="436" s="1"/>
  <c r="B41" i="429"/>
  <c r="B42" i="429" s="1"/>
  <c r="A12" i="429"/>
  <c r="A19" i="436" l="1"/>
  <c r="A13" i="429"/>
  <c r="I11" i="429"/>
  <c r="A20" i="436" l="1"/>
  <c r="B43" i="429"/>
  <c r="B44" i="429" s="1"/>
  <c r="B45" i="429" s="1"/>
  <c r="A21" i="436" l="1"/>
  <c r="A14" i="429"/>
  <c r="I9" i="404"/>
  <c r="A22" i="436" l="1"/>
  <c r="A23" i="436" s="1"/>
  <c r="A24" i="436" s="1"/>
  <c r="A25" i="436" s="1"/>
  <c r="A26" i="436" s="1"/>
  <c r="A27" i="436" s="1"/>
  <c r="A28" i="436" s="1"/>
  <c r="A29" i="436" s="1"/>
  <c r="A30" i="436" s="1"/>
  <c r="A31" i="436" s="1"/>
  <c r="A32" i="436" s="1"/>
  <c r="A33" i="436" s="1"/>
  <c r="A34" i="436" s="1"/>
  <c r="A35" i="436" s="1"/>
  <c r="A36" i="436" s="1"/>
  <c r="A37" i="436" s="1"/>
  <c r="A38" i="436" s="1"/>
  <c r="A39" i="436" s="1"/>
  <c r="A40" i="436" s="1"/>
  <c r="A41" i="436" s="1"/>
  <c r="A42" i="436" s="1"/>
  <c r="A43" i="436" s="1"/>
  <c r="A44" i="436" s="1"/>
  <c r="A45" i="436" s="1"/>
  <c r="A46" i="436" s="1"/>
  <c r="A47" i="436" s="1"/>
  <c r="A48" i="436" s="1"/>
  <c r="A49" i="436" s="1"/>
  <c r="A50" i="436" s="1"/>
  <c r="A51" i="436" s="1"/>
  <c r="A52" i="436" s="1"/>
  <c r="A53" i="436" s="1"/>
  <c r="A54" i="436" s="1"/>
  <c r="A55" i="436" s="1"/>
  <c r="A56" i="436" s="1"/>
  <c r="A57" i="436" s="1"/>
  <c r="A58" i="436" s="1"/>
  <c r="A59" i="436" s="1"/>
  <c r="A60" i="436" s="1"/>
  <c r="A61" i="436" s="1"/>
  <c r="A62" i="436" s="1"/>
  <c r="A63" i="436" s="1"/>
  <c r="A64" i="436" s="1"/>
  <c r="A65" i="436" s="1"/>
  <c r="A66" i="436" s="1"/>
  <c r="A67" i="436" s="1"/>
  <c r="A68" i="436" s="1"/>
  <c r="A69" i="436" s="1"/>
  <c r="A70" i="436" s="1"/>
  <c r="A71" i="436" s="1"/>
  <c r="A72" i="436" s="1"/>
  <c r="A73" i="436" s="1"/>
  <c r="A74" i="436" s="1"/>
  <c r="A75" i="436" s="1"/>
  <c r="A76" i="436" s="1"/>
  <c r="A77" i="436" s="1"/>
  <c r="A78" i="436" s="1"/>
  <c r="A79" i="436" s="1"/>
  <c r="B46" i="429"/>
  <c r="B47" i="429" s="1"/>
  <c r="B48" i="429" s="1"/>
  <c r="B49" i="429" s="1"/>
  <c r="B50" i="429" s="1"/>
  <c r="B51" i="429" s="1"/>
  <c r="B52" i="429" s="1"/>
  <c r="B53" i="429" s="1"/>
  <c r="B54" i="429" s="1"/>
  <c r="B55" i="429" s="1"/>
  <c r="B56" i="429" s="1"/>
  <c r="B57" i="429" s="1"/>
  <c r="B58" i="429" s="1"/>
  <c r="B59" i="429" s="1"/>
  <c r="B60" i="429" s="1"/>
  <c r="B61" i="429" s="1"/>
  <c r="B8" i="436"/>
  <c r="B9" i="436" s="1"/>
  <c r="A15" i="429"/>
  <c r="A16" i="429" s="1"/>
  <c r="A17" i="429" s="1"/>
  <c r="I12" i="429"/>
  <c r="B10" i="436" l="1"/>
  <c r="A81" i="436"/>
  <c r="A80" i="436"/>
  <c r="I61" i="429"/>
  <c r="I60" i="429"/>
  <c r="B62" i="429"/>
  <c r="I62" i="429" s="1"/>
  <c r="A19" i="429"/>
  <c r="A18" i="429"/>
  <c r="I8" i="436"/>
  <c r="B11" i="436" l="1"/>
  <c r="I10" i="436"/>
  <c r="A82" i="436"/>
  <c r="A20" i="429"/>
  <c r="A21" i="429" s="1"/>
  <c r="A22" i="429" s="1"/>
  <c r="A23" i="429" s="1"/>
  <c r="A24" i="429" s="1"/>
  <c r="A25" i="429" s="1"/>
  <c r="A26" i="429" s="1"/>
  <c r="A27" i="429" s="1"/>
  <c r="A28" i="429" s="1"/>
  <c r="A29" i="429" s="1"/>
  <c r="A30" i="429" s="1"/>
  <c r="A31" i="429" s="1"/>
  <c r="A32" i="429" s="1"/>
  <c r="A33" i="429" s="1"/>
  <c r="A34" i="429" s="1"/>
  <c r="A35" i="429" s="1"/>
  <c r="A36" i="429" s="1"/>
  <c r="A37" i="429" s="1"/>
  <c r="A38" i="429" s="1"/>
  <c r="A39" i="429" s="1"/>
  <c r="A40" i="429" s="1"/>
  <c r="I13" i="429"/>
  <c r="I9" i="436"/>
  <c r="I11" i="436" l="1"/>
  <c r="B12" i="436"/>
  <c r="B13" i="436" s="1"/>
  <c r="B14" i="436" s="1"/>
  <c r="B15" i="436" s="1"/>
  <c r="B16" i="436" s="1"/>
  <c r="B17" i="436" s="1"/>
  <c r="B18" i="436" s="1"/>
  <c r="B19" i="436" s="1"/>
  <c r="B20" i="436" s="1"/>
  <c r="B21" i="436" s="1"/>
  <c r="B22" i="436" s="1"/>
  <c r="A83" i="436"/>
  <c r="A41" i="429"/>
  <c r="E16" i="211"/>
  <c r="L25" i="436" s="1"/>
  <c r="N25" i="436" s="1"/>
  <c r="F16" i="211"/>
  <c r="L26" i="436" s="1"/>
  <c r="N26" i="436" s="1"/>
  <c r="H16" i="211"/>
  <c r="L28" i="436" s="1"/>
  <c r="N28" i="436" s="1"/>
  <c r="I16" i="211"/>
  <c r="J16" i="211"/>
  <c r="K16" i="211"/>
  <c r="L16" i="211"/>
  <c r="M16" i="211"/>
  <c r="O13" i="211"/>
  <c r="N13" i="211"/>
  <c r="N9" i="211"/>
  <c r="O9" i="211"/>
  <c r="N7" i="211"/>
  <c r="O7" i="211"/>
  <c r="G10" i="344"/>
  <c r="H10" i="344" s="1"/>
  <c r="F10" i="344"/>
  <c r="L29" i="436" l="1"/>
  <c r="N29" i="436" s="1"/>
  <c r="L21" i="436"/>
  <c r="N21" i="436" s="1"/>
  <c r="B23" i="436"/>
  <c r="B24" i="436" s="1"/>
  <c r="B25" i="436" s="1"/>
  <c r="B26" i="436" s="1"/>
  <c r="B27" i="436" s="1"/>
  <c r="B28" i="436" s="1"/>
  <c r="B29" i="436" s="1"/>
  <c r="B30" i="436" s="1"/>
  <c r="I22" i="436"/>
  <c r="A84" i="436"/>
  <c r="B63" i="429"/>
  <c r="I63" i="429" s="1"/>
  <c r="A42" i="429"/>
  <c r="C16" i="211"/>
  <c r="I10" i="344"/>
  <c r="B31" i="436" l="1"/>
  <c r="I30" i="436"/>
  <c r="A85" i="436"/>
  <c r="B64" i="429"/>
  <c r="I64" i="429" s="1"/>
  <c r="A43" i="429"/>
  <c r="I14" i="429"/>
  <c r="J10" i="344"/>
  <c r="K10" i="344"/>
  <c r="B32" i="436" l="1"/>
  <c r="B33" i="436" s="1"/>
  <c r="B34" i="436" s="1"/>
  <c r="B35" i="436" s="1"/>
  <c r="B36" i="436" s="1"/>
  <c r="B37" i="436" s="1"/>
  <c r="B38" i="436" s="1"/>
  <c r="B39" i="436" s="1"/>
  <c r="B40" i="436" s="1"/>
  <c r="B41" i="436" s="1"/>
  <c r="A86" i="436"/>
  <c r="B65" i="429"/>
  <c r="B66" i="429" s="1"/>
  <c r="B67" i="429" s="1"/>
  <c r="B68" i="429" s="1"/>
  <c r="A44" i="429"/>
  <c r="M10" i="344"/>
  <c r="N10" i="344"/>
  <c r="E40" i="424"/>
  <c r="B69" i="429" l="1"/>
  <c r="B42" i="436"/>
  <c r="I41" i="436"/>
  <c r="A87" i="436"/>
  <c r="A45" i="429"/>
  <c r="I15" i="429"/>
  <c r="O10" i="344"/>
  <c r="I69" i="429" l="1"/>
  <c r="B70" i="429"/>
  <c r="B43" i="436"/>
  <c r="B44" i="436" s="1"/>
  <c r="A88" i="436"/>
  <c r="A46" i="429"/>
  <c r="I12" i="436"/>
  <c r="E39" i="424"/>
  <c r="E38" i="424" s="1"/>
  <c r="I70" i="429" l="1"/>
  <c r="B71" i="429"/>
  <c r="B45" i="436"/>
  <c r="I44" i="436"/>
  <c r="A89" i="436"/>
  <c r="A47" i="429"/>
  <c r="A48" i="429" s="1"/>
  <c r="A49" i="429" s="1"/>
  <c r="A50" i="429" s="1"/>
  <c r="A51" i="429" s="1"/>
  <c r="A52" i="429" s="1"/>
  <c r="A53" i="429" s="1"/>
  <c r="A54" i="429" s="1"/>
  <c r="A55" i="429" s="1"/>
  <c r="A56" i="429" s="1"/>
  <c r="A57" i="429" s="1"/>
  <c r="A58" i="429" s="1"/>
  <c r="A59" i="429" s="1"/>
  <c r="A60" i="429" s="1"/>
  <c r="A61" i="429" s="1"/>
  <c r="I16" i="429"/>
  <c r="I13" i="436"/>
  <c r="B72" i="429" l="1"/>
  <c r="B46" i="436"/>
  <c r="B47" i="436" s="1"/>
  <c r="B48" i="436" s="1"/>
  <c r="B49" i="436" s="1"/>
  <c r="B50" i="436" s="1"/>
  <c r="B51" i="436" s="1"/>
  <c r="B52" i="436" s="1"/>
  <c r="B53" i="436" s="1"/>
  <c r="B54" i="436" s="1"/>
  <c r="B55" i="436" s="1"/>
  <c r="B56" i="436" s="1"/>
  <c r="B57" i="436" s="1"/>
  <c r="B58" i="436" s="1"/>
  <c r="B59" i="436" s="1"/>
  <c r="B60" i="436" s="1"/>
  <c r="B61" i="436" s="1"/>
  <c r="B62" i="436" s="1"/>
  <c r="B63" i="436" s="1"/>
  <c r="B64" i="436" s="1"/>
  <c r="B65" i="436" s="1"/>
  <c r="B66" i="436" s="1"/>
  <c r="B67" i="436" s="1"/>
  <c r="B68" i="436" s="1"/>
  <c r="B69" i="436" s="1"/>
  <c r="B70" i="436" s="1"/>
  <c r="B71" i="436" s="1"/>
  <c r="B72" i="436" s="1"/>
  <c r="B73" i="436" s="1"/>
  <c r="B74" i="436" s="1"/>
  <c r="B75" i="436" s="1"/>
  <c r="B76" i="436" s="1"/>
  <c r="B77" i="436" s="1"/>
  <c r="B78" i="436" s="1"/>
  <c r="B79" i="436" s="1"/>
  <c r="B80" i="436" s="1"/>
  <c r="A90" i="436"/>
  <c r="A62" i="429"/>
  <c r="I14" i="436"/>
  <c r="E31" i="424"/>
  <c r="B73" i="429" l="1"/>
  <c r="I52" i="436"/>
  <c r="I80" i="436"/>
  <c r="B81" i="436"/>
  <c r="B82" i="436" s="1"/>
  <c r="B83" i="436" s="1"/>
  <c r="B84" i="436" s="1"/>
  <c r="B85" i="436" s="1"/>
  <c r="B86" i="436" s="1"/>
  <c r="B87" i="436" s="1"/>
  <c r="B88" i="436" s="1"/>
  <c r="B89" i="436" s="1"/>
  <c r="B90" i="436" s="1"/>
  <c r="B91" i="436" s="1"/>
  <c r="B92" i="436" s="1"/>
  <c r="B93" i="436" s="1"/>
  <c r="B94" i="436" s="1"/>
  <c r="B95" i="436" s="1"/>
  <c r="B96" i="436" s="1"/>
  <c r="B97" i="436" s="1"/>
  <c r="B98" i="436" s="1"/>
  <c r="B99" i="436" s="1"/>
  <c r="B100" i="436" s="1"/>
  <c r="B101" i="436" s="1"/>
  <c r="B102" i="436" s="1"/>
  <c r="B103" i="436" s="1"/>
  <c r="B104" i="436" s="1"/>
  <c r="B105" i="436" s="1"/>
  <c r="B106" i="436" s="1"/>
  <c r="B107" i="436" s="1"/>
  <c r="B108" i="436" s="1"/>
  <c r="B109" i="436" s="1"/>
  <c r="B110" i="436" s="1"/>
  <c r="B111" i="436" s="1"/>
  <c r="A91" i="436"/>
  <c r="A63" i="429"/>
  <c r="A64" i="429" s="1"/>
  <c r="A65" i="429" s="1"/>
  <c r="I17" i="429"/>
  <c r="B74" i="429" l="1"/>
  <c r="I111" i="436"/>
  <c r="B112" i="436"/>
  <c r="A92" i="436"/>
  <c r="A93" i="436" s="1"/>
  <c r="A94" i="436" s="1"/>
  <c r="A95" i="436" s="1"/>
  <c r="A96" i="436" s="1"/>
  <c r="A97" i="436" s="1"/>
  <c r="A98" i="436" s="1"/>
  <c r="A99" i="436" s="1"/>
  <c r="A100" i="436" s="1"/>
  <c r="A101" i="436" s="1"/>
  <c r="A102" i="436" s="1"/>
  <c r="A103" i="436" s="1"/>
  <c r="A104" i="436" s="1"/>
  <c r="A105" i="436" s="1"/>
  <c r="A106" i="436" s="1"/>
  <c r="A107" i="436" s="1"/>
  <c r="A108" i="436" s="1"/>
  <c r="A109" i="436" s="1"/>
  <c r="A110" i="436" s="1"/>
  <c r="A66" i="429"/>
  <c r="A67" i="429" s="1"/>
  <c r="A68" i="429" s="1"/>
  <c r="I19" i="429"/>
  <c r="I15" i="436"/>
  <c r="A71" i="429" l="1"/>
  <c r="A69" i="429"/>
  <c r="A70" i="429" s="1"/>
  <c r="B75" i="429"/>
  <c r="B113" i="436"/>
  <c r="I112" i="436"/>
  <c r="A113" i="436"/>
  <c r="A111" i="436"/>
  <c r="A112" i="436" s="1"/>
  <c r="I17" i="436"/>
  <c r="I20" i="429"/>
  <c r="I16" i="436"/>
  <c r="A72" i="429" l="1"/>
  <c r="A73" i="429" s="1"/>
  <c r="A74" i="429" s="1"/>
  <c r="A75" i="429" s="1"/>
  <c r="A76" i="429" s="1"/>
  <c r="A77" i="429" s="1"/>
  <c r="A78" i="429" s="1"/>
  <c r="A79" i="429" s="1"/>
  <c r="A80" i="429" s="1"/>
  <c r="A81" i="429" s="1"/>
  <c r="A82" i="429" s="1"/>
  <c r="A83" i="429" s="1"/>
  <c r="A84" i="429" s="1"/>
  <c r="A85" i="429" s="1"/>
  <c r="A86" i="429" s="1"/>
  <c r="A87" i="429" s="1"/>
  <c r="A88" i="429" s="1"/>
  <c r="A89" i="429" s="1"/>
  <c r="A90" i="429" s="1"/>
  <c r="A91" i="429" s="1"/>
  <c r="A92" i="429" s="1"/>
  <c r="A93" i="429" s="1"/>
  <c r="A94" i="429" s="1"/>
  <c r="A95" i="429" s="1"/>
  <c r="A96" i="429" s="1"/>
  <c r="A97" i="429" s="1"/>
  <c r="A98" i="429" s="1"/>
  <c r="A99" i="429" s="1"/>
  <c r="A100" i="429" s="1"/>
  <c r="A101" i="429" s="1"/>
  <c r="A102" i="429" s="1"/>
  <c r="A103" i="429" s="1"/>
  <c r="A104" i="429" s="1"/>
  <c r="A105" i="429" s="1"/>
  <c r="A106" i="429" s="1"/>
  <c r="A107" i="429" s="1"/>
  <c r="A108" i="429" s="1"/>
  <c r="A109" i="429" s="1"/>
  <c r="A110" i="429" s="1"/>
  <c r="A111" i="429" s="1"/>
  <c r="A112" i="429" s="1"/>
  <c r="A113" i="429" s="1"/>
  <c r="A114" i="429" s="1"/>
  <c r="A115" i="429" s="1"/>
  <c r="A116" i="429" s="1"/>
  <c r="A117" i="429" s="1"/>
  <c r="A118" i="429" s="1"/>
  <c r="A119" i="429" s="1"/>
  <c r="A120" i="429" s="1"/>
  <c r="A121" i="429" s="1"/>
  <c r="A122" i="429" s="1"/>
  <c r="A123" i="429" s="1"/>
  <c r="A124" i="429" s="1"/>
  <c r="A125" i="429" s="1"/>
  <c r="A126" i="429" s="1"/>
  <c r="A127" i="429" s="1"/>
  <c r="A128" i="429" s="1"/>
  <c r="A129" i="429" s="1"/>
  <c r="A130" i="429" s="1"/>
  <c r="A131" i="429" s="1"/>
  <c r="A132" i="429" s="1"/>
  <c r="A133" i="429" s="1"/>
  <c r="A134" i="429" s="1"/>
  <c r="A135" i="429" s="1"/>
  <c r="A136" i="429" s="1"/>
  <c r="A137" i="429" s="1"/>
  <c r="A138" i="429" s="1"/>
  <c r="A139" i="429" s="1"/>
  <c r="A140" i="429" s="1"/>
  <c r="A141" i="429" s="1"/>
  <c r="A142" i="429" s="1"/>
  <c r="A143" i="429" s="1"/>
  <c r="A144" i="429" s="1"/>
  <c r="A145" i="429" s="1"/>
  <c r="A146" i="429" s="1"/>
  <c r="A147" i="429" s="1"/>
  <c r="A148" i="429" s="1"/>
  <c r="A149" i="429" s="1"/>
  <c r="A150" i="429" s="1"/>
  <c r="A151" i="429" s="1"/>
  <c r="A152" i="429" s="1"/>
  <c r="A153" i="429" s="1"/>
  <c r="A154" i="429" s="1"/>
  <c r="A155" i="429" s="1"/>
  <c r="A156" i="429" s="1"/>
  <c r="A157" i="429" s="1"/>
  <c r="A158" i="429" s="1"/>
  <c r="A159" i="429" s="1"/>
  <c r="A160" i="429" s="1"/>
  <c r="A161" i="429" s="1"/>
  <c r="A162" i="429" s="1"/>
  <c r="A163" i="429" s="1"/>
  <c r="A164" i="429" s="1"/>
  <c r="A165" i="429" s="1"/>
  <c r="A166" i="429" s="1"/>
  <c r="A167" i="429" s="1"/>
  <c r="A168" i="429" s="1"/>
  <c r="A169" i="429" s="1"/>
  <c r="A170" i="429" s="1"/>
  <c r="A171" i="429" s="1"/>
  <c r="A172" i="429" s="1"/>
  <c r="A173" i="429" s="1"/>
  <c r="A174" i="429" s="1"/>
  <c r="A175" i="429" s="1"/>
  <c r="A176" i="429" s="1"/>
  <c r="A177" i="429" s="1"/>
  <c r="A178" i="429" s="1"/>
  <c r="A179" i="429" s="1"/>
  <c r="A180" i="429" s="1"/>
  <c r="A181" i="429" s="1"/>
  <c r="A182" i="429" s="1"/>
  <c r="A183" i="429" s="1"/>
  <c r="A184" i="429" s="1"/>
  <c r="A185" i="429" s="1"/>
  <c r="A186" i="429" s="1"/>
  <c r="A187" i="429" s="1"/>
  <c r="A188" i="429" s="1"/>
  <c r="A189" i="429" s="1"/>
  <c r="A190" i="429" s="1"/>
  <c r="A191" i="429" s="1"/>
  <c r="A192" i="429" s="1"/>
  <c r="A193" i="429" s="1"/>
  <c r="A194" i="429" s="1"/>
  <c r="A195" i="429" s="1"/>
  <c r="A196" i="429" s="1"/>
  <c r="A197" i="429" s="1"/>
  <c r="A198" i="429" s="1"/>
  <c r="A199" i="429" s="1"/>
  <c r="A200" i="429" s="1"/>
  <c r="A201" i="429" s="1"/>
  <c r="A202" i="429" s="1"/>
  <c r="A203" i="429" s="1"/>
  <c r="A204" i="429" s="1"/>
  <c r="A205" i="429" s="1"/>
  <c r="A206" i="429" s="1"/>
  <c r="A207" i="429" s="1"/>
  <c r="A208" i="429" s="1"/>
  <c r="A209" i="429" s="1"/>
  <c r="A210" i="429" s="1"/>
  <c r="A211" i="429" s="1"/>
  <c r="A212" i="429" s="1"/>
  <c r="A213" i="429" s="1"/>
  <c r="A214" i="429" s="1"/>
  <c r="A215" i="429" s="1"/>
  <c r="A216" i="429" s="1"/>
  <c r="A217" i="429" s="1"/>
  <c r="A218" i="429" s="1"/>
  <c r="A219" i="429" s="1"/>
  <c r="A220" i="429" s="1"/>
  <c r="A221" i="429" s="1"/>
  <c r="A222" i="429" s="1"/>
  <c r="A223" i="429" s="1"/>
  <c r="A224" i="429" s="1"/>
  <c r="A225" i="429" s="1"/>
  <c r="A226" i="429" s="1"/>
  <c r="A227" i="429" s="1"/>
  <c r="A228" i="429" s="1"/>
  <c r="A229" i="429" s="1"/>
  <c r="A230" i="429" s="1"/>
  <c r="A231" i="429" s="1"/>
  <c r="A232" i="429" s="1"/>
  <c r="A233" i="429" s="1"/>
  <c r="A234" i="429" s="1"/>
  <c r="A235" i="429" s="1"/>
  <c r="A236" i="429" s="1"/>
  <c r="A237" i="429" s="1"/>
  <c r="A238" i="429" s="1"/>
  <c r="A239" i="429" s="1"/>
  <c r="A240" i="429" s="1"/>
  <c r="A241" i="429" s="1"/>
  <c r="A242" i="429" s="1"/>
  <c r="A243" i="429" s="1"/>
  <c r="A244" i="429" s="1"/>
  <c r="A245" i="429" s="1"/>
  <c r="A246" i="429" s="1"/>
  <c r="A247" i="429" s="1"/>
  <c r="A248" i="429" s="1"/>
  <c r="A249" i="429" s="1"/>
  <c r="A250" i="429" s="1"/>
  <c r="A251" i="429" s="1"/>
  <c r="A252" i="429" s="1"/>
  <c r="A253" i="429" s="1"/>
  <c r="A254" i="429" s="1"/>
  <c r="A255" i="429" s="1"/>
  <c r="A256" i="429" s="1"/>
  <c r="A257" i="429" s="1"/>
  <c r="A258" i="429" s="1"/>
  <c r="A259" i="429" s="1"/>
  <c r="A260" i="429" s="1"/>
  <c r="A261" i="429" s="1"/>
  <c r="A262" i="429" s="1"/>
  <c r="A263" i="429" s="1"/>
  <c r="A264" i="429" s="1"/>
  <c r="A265" i="429" s="1"/>
  <c r="A266" i="429" s="1"/>
  <c r="A267" i="429" s="1"/>
  <c r="A268" i="429" s="1"/>
  <c r="A269" i="429" s="1"/>
  <c r="A270" i="429" s="1"/>
  <c r="A271" i="429" s="1"/>
  <c r="A272" i="429" s="1"/>
  <c r="A273" i="429" s="1"/>
  <c r="A274" i="429" s="1"/>
  <c r="A275" i="429" s="1"/>
  <c r="A276" i="429" s="1"/>
  <c r="A277" i="429" s="1"/>
  <c r="A278" i="429" s="1"/>
  <c r="A279" i="429" s="1"/>
  <c r="A280" i="429" s="1"/>
  <c r="A281" i="429" s="1"/>
  <c r="A282" i="429" s="1"/>
  <c r="A283" i="429" s="1"/>
  <c r="A284" i="429" s="1"/>
  <c r="A285" i="429" s="1"/>
  <c r="A286" i="429" s="1"/>
  <c r="A287" i="429" s="1"/>
  <c r="A288" i="429" s="1"/>
  <c r="A289" i="429" s="1"/>
  <c r="A290" i="429" s="1"/>
  <c r="A291" i="429" s="1"/>
  <c r="A292" i="429" s="1"/>
  <c r="A293" i="429" s="1"/>
  <c r="A294" i="429" s="1"/>
  <c r="A295" i="429" s="1"/>
  <c r="A296" i="429" s="1"/>
  <c r="A297" i="429" s="1"/>
  <c r="A298" i="429" s="1"/>
  <c r="A299" i="429" s="1"/>
  <c r="A300" i="429" s="1"/>
  <c r="A301" i="429" s="1"/>
  <c r="A302" i="429" s="1"/>
  <c r="A303" i="429" s="1"/>
  <c r="A304" i="429" s="1"/>
  <c r="A305" i="429" s="1"/>
  <c r="A306" i="429" s="1"/>
  <c r="A307" i="429" s="1"/>
  <c r="A308" i="429" s="1"/>
  <c r="A309" i="429" s="1"/>
  <c r="A310" i="429" s="1"/>
  <c r="A311" i="429" s="1"/>
  <c r="A312" i="429" s="1"/>
  <c r="A313" i="429" s="1"/>
  <c r="A314" i="429" s="1"/>
  <c r="A315" i="429" s="1"/>
  <c r="A316" i="429" s="1"/>
  <c r="A317" i="429" s="1"/>
  <c r="A318" i="429" s="1"/>
  <c r="A319" i="429" s="1"/>
  <c r="A320" i="429" s="1"/>
  <c r="A321" i="429" s="1"/>
  <c r="A322" i="429" s="1"/>
  <c r="A323" i="429" s="1"/>
  <c r="A324" i="429" s="1"/>
  <c r="A325" i="429" s="1"/>
  <c r="A326" i="429" s="1"/>
  <c r="A327" i="429" s="1"/>
  <c r="A328" i="429" s="1"/>
  <c r="A329" i="429" s="1"/>
  <c r="A330" i="429" s="1"/>
  <c r="A331" i="429" s="1"/>
  <c r="A332" i="429" s="1"/>
  <c r="A333" i="429" s="1"/>
  <c r="A334" i="429" s="1"/>
  <c r="A335" i="429" s="1"/>
  <c r="A336" i="429" s="1"/>
  <c r="A337" i="429" s="1"/>
  <c r="A338" i="429" s="1"/>
  <c r="A339" i="429" s="1"/>
  <c r="A340" i="429" s="1"/>
  <c r="A341" i="429" s="1"/>
  <c r="A342" i="429" s="1"/>
  <c r="A343" i="429" s="1"/>
  <c r="A344" i="429" s="1"/>
  <c r="A345" i="429" s="1"/>
  <c r="A346" i="429" s="1"/>
  <c r="A347" i="429" s="1"/>
  <c r="A348" i="429" s="1"/>
  <c r="A349" i="429" s="1"/>
  <c r="A350" i="429" s="1"/>
  <c r="A351" i="429" s="1"/>
  <c r="A352" i="429" s="1"/>
  <c r="A353" i="429" s="1"/>
  <c r="A354" i="429" s="1"/>
  <c r="A355" i="429" s="1"/>
  <c r="A356" i="429" s="1"/>
  <c r="A357" i="429" s="1"/>
  <c r="A358" i="429" s="1"/>
  <c r="A359" i="429" s="1"/>
  <c r="A360" i="429" s="1"/>
  <c r="A361" i="429" s="1"/>
  <c r="A362" i="429" s="1"/>
  <c r="A363" i="429" s="1"/>
  <c r="A364" i="429" s="1"/>
  <c r="A365" i="429" s="1"/>
  <c r="A366" i="429" s="1"/>
  <c r="A367" i="429" s="1"/>
  <c r="A368" i="429" s="1"/>
  <c r="A369" i="429" s="1"/>
  <c r="A370" i="429" s="1"/>
  <c r="A371" i="429" s="1"/>
  <c r="A372" i="429" s="1"/>
  <c r="A373" i="429" s="1"/>
  <c r="A374" i="429" s="1"/>
  <c r="A375" i="429" s="1"/>
  <c r="A376" i="429" s="1"/>
  <c r="A377" i="429" s="1"/>
  <c r="A378" i="429" s="1"/>
  <c r="A379" i="429" s="1"/>
  <c r="A380" i="429" s="1"/>
  <c r="A381" i="429" s="1"/>
  <c r="A382" i="429" s="1"/>
  <c r="A383" i="429" s="1"/>
  <c r="A384" i="429" s="1"/>
  <c r="A385" i="429" s="1"/>
  <c r="A386" i="429" s="1"/>
  <c r="A387" i="429" s="1"/>
  <c r="A388" i="429" s="1"/>
  <c r="A389" i="429" s="1"/>
  <c r="A390" i="429" s="1"/>
  <c r="A391" i="429" s="1"/>
  <c r="A392" i="429" s="1"/>
  <c r="A393" i="429" s="1"/>
  <c r="A394" i="429" s="1"/>
  <c r="A395" i="429" s="1"/>
  <c r="A396" i="429" s="1"/>
  <c r="A397" i="429" s="1"/>
  <c r="A398" i="429" s="1"/>
  <c r="A399" i="429" s="1"/>
  <c r="A400" i="429" s="1"/>
  <c r="A401" i="429" s="1"/>
  <c r="A402" i="429" s="1"/>
  <c r="A403" i="429" s="1"/>
  <c r="A404" i="429" s="1"/>
  <c r="A405" i="429" s="1"/>
  <c r="A406" i="429" s="1"/>
  <c r="A407" i="429" s="1"/>
  <c r="A408" i="429" s="1"/>
  <c r="A409" i="429" s="1"/>
  <c r="A410" i="429" s="1"/>
  <c r="A411" i="429" s="1"/>
  <c r="A412" i="429" s="1"/>
  <c r="A413" i="429" s="1"/>
  <c r="A414" i="429" s="1"/>
  <c r="A415" i="429" s="1"/>
  <c r="A416" i="429" s="1"/>
  <c r="A417" i="429" s="1"/>
  <c r="A418" i="429" s="1"/>
  <c r="A419" i="429" s="1"/>
  <c r="A420" i="429" s="1"/>
  <c r="A421" i="429" s="1"/>
  <c r="A422" i="429" s="1"/>
  <c r="A423" i="429" s="1"/>
  <c r="A424" i="429" s="1"/>
  <c r="A425" i="429" s="1"/>
  <c r="A426" i="429" s="1"/>
  <c r="A427" i="429" s="1"/>
  <c r="A428" i="429" s="1"/>
  <c r="A429" i="429" s="1"/>
  <c r="A430" i="429" s="1"/>
  <c r="A431" i="429" s="1"/>
  <c r="A432" i="429" s="1"/>
  <c r="A433" i="429" s="1"/>
  <c r="A434" i="429" s="1"/>
  <c r="A435" i="429" s="1"/>
  <c r="A436" i="429" s="1"/>
  <c r="A437" i="429" s="1"/>
  <c r="A438" i="429" s="1"/>
  <c r="A439" i="429" s="1"/>
  <c r="A440" i="429" s="1"/>
  <c r="A441" i="429" s="1"/>
  <c r="A442" i="429" s="1"/>
  <c r="A443" i="429" s="1"/>
  <c r="A444" i="429" s="1"/>
  <c r="A445" i="429" s="1"/>
  <c r="A446" i="429" s="1"/>
  <c r="A447" i="429" s="1"/>
  <c r="A448" i="429" s="1"/>
  <c r="A449" i="429" s="1"/>
  <c r="A450" i="429" s="1"/>
  <c r="A451" i="429" s="1"/>
  <c r="A452" i="429" s="1"/>
  <c r="A453" i="429" s="1"/>
  <c r="A454" i="429" s="1"/>
  <c r="A455" i="429" s="1"/>
  <c r="A456" i="429" s="1"/>
  <c r="A457" i="429" s="1"/>
  <c r="A458" i="429" s="1"/>
  <c r="A459" i="429" s="1"/>
  <c r="A460" i="429" s="1"/>
  <c r="A461" i="429" s="1"/>
  <c r="A462" i="429" s="1"/>
  <c r="A463" i="429" s="1"/>
  <c r="A464" i="429" s="1"/>
  <c r="A465" i="429" s="1"/>
  <c r="A466" i="429" s="1"/>
  <c r="A467" i="429" s="1"/>
  <c r="A468" i="429" s="1"/>
  <c r="A469" i="429" s="1"/>
  <c r="A470" i="429" s="1"/>
  <c r="A471" i="429" s="1"/>
  <c r="A472" i="429" s="1"/>
  <c r="A473" i="429" s="1"/>
  <c r="A474" i="429" s="1"/>
  <c r="A475" i="429" s="1"/>
  <c r="A476" i="429" s="1"/>
  <c r="A477" i="429" s="1"/>
  <c r="A478" i="429" s="1"/>
  <c r="A479" i="429" s="1"/>
  <c r="A480" i="429" s="1"/>
  <c r="A481" i="429" s="1"/>
  <c r="A482" i="429" s="1"/>
  <c r="A483" i="429" s="1"/>
  <c r="A484" i="429" s="1"/>
  <c r="A485" i="429" s="1"/>
  <c r="A486" i="429" s="1"/>
  <c r="A487" i="429" s="1"/>
  <c r="A488" i="429" s="1"/>
  <c r="A489" i="429" s="1"/>
  <c r="A490" i="429" s="1"/>
  <c r="A491" i="429" s="1"/>
  <c r="A492" i="429" s="1"/>
  <c r="A493" i="429" s="1"/>
  <c r="A494" i="429" s="1"/>
  <c r="A495" i="429" s="1"/>
  <c r="A496" i="429" s="1"/>
  <c r="A497" i="429" s="1"/>
  <c r="A498" i="429" s="1"/>
  <c r="A499" i="429" s="1"/>
  <c r="A500" i="429" s="1"/>
  <c r="A501" i="429" s="1"/>
  <c r="A502" i="429" s="1"/>
  <c r="A503" i="429" s="1"/>
  <c r="A504" i="429" s="1"/>
  <c r="A505" i="429" s="1"/>
  <c r="A506" i="429" s="1"/>
  <c r="A507" i="429" s="1"/>
  <c r="A508" i="429" s="1"/>
  <c r="A509" i="429" s="1"/>
  <c r="A510" i="429" s="1"/>
  <c r="A511" i="429" s="1"/>
  <c r="A512" i="429" s="1"/>
  <c r="A513" i="429" s="1"/>
  <c r="A514" i="429" s="1"/>
  <c r="A515" i="429" s="1"/>
  <c r="A516" i="429" s="1"/>
  <c r="A517" i="429" s="1"/>
  <c r="A518" i="429" s="1"/>
  <c r="A519" i="429" s="1"/>
  <c r="A520" i="429" s="1"/>
  <c r="A521" i="429" s="1"/>
  <c r="A522" i="429" s="1"/>
  <c r="A523" i="429" s="1"/>
  <c r="A524" i="429" s="1"/>
  <c r="A525" i="429" s="1"/>
  <c r="A526" i="429" s="1"/>
  <c r="A527" i="429" s="1"/>
  <c r="A528" i="429" s="1"/>
  <c r="A529" i="429" s="1"/>
  <c r="A530" i="429" s="1"/>
  <c r="A531" i="429" s="1"/>
  <c r="A532" i="429" s="1"/>
  <c r="A533" i="429" s="1"/>
  <c r="A534" i="429" s="1"/>
  <c r="A535" i="429" s="1"/>
  <c r="A536" i="429" s="1"/>
  <c r="A537" i="429" s="1"/>
  <c r="A538" i="429" s="1"/>
  <c r="A539" i="429" s="1"/>
  <c r="A540" i="429" s="1"/>
  <c r="A541" i="429" s="1"/>
  <c r="A542" i="429" s="1"/>
  <c r="A543" i="429" s="1"/>
  <c r="A544" i="429" s="1"/>
  <c r="A545" i="429" s="1"/>
  <c r="A546" i="429" s="1"/>
  <c r="A547" i="429" s="1"/>
  <c r="A548" i="429" s="1"/>
  <c r="A549" i="429" s="1"/>
  <c r="A550" i="429" s="1"/>
  <c r="A551" i="429" s="1"/>
  <c r="A552" i="429" s="1"/>
  <c r="A553" i="429" s="1"/>
  <c r="A554" i="429" s="1"/>
  <c r="A555" i="429" s="1"/>
  <c r="A556" i="429" s="1"/>
  <c r="A557" i="429" s="1"/>
  <c r="A558" i="429" s="1"/>
  <c r="A559" i="429" s="1"/>
  <c r="A560" i="429" s="1"/>
  <c r="A561" i="429" s="1"/>
  <c r="A562" i="429" s="1"/>
  <c r="A563" i="429" s="1"/>
  <c r="A564" i="429" s="1"/>
  <c r="A565" i="429" s="1"/>
  <c r="A566" i="429" s="1"/>
  <c r="A567" i="429" s="1"/>
  <c r="A568" i="429" s="1"/>
  <c r="A569" i="429" s="1"/>
  <c r="A570" i="429" s="1"/>
  <c r="A571" i="429" s="1"/>
  <c r="A572" i="429" s="1"/>
  <c r="A573" i="429" s="1"/>
  <c r="A574" i="429" s="1"/>
  <c r="A575" i="429" s="1"/>
  <c r="A576" i="429" s="1"/>
  <c r="A577" i="429" s="1"/>
  <c r="A578" i="429" s="1"/>
  <c r="A579" i="429" s="1"/>
  <c r="A580" i="429" s="1"/>
  <c r="A581" i="429" s="1"/>
  <c r="A582" i="429" s="1"/>
  <c r="A583" i="429" s="1"/>
  <c r="A584" i="429" s="1"/>
  <c r="A585" i="429" s="1"/>
  <c r="A586" i="429" s="1"/>
  <c r="A587" i="429" s="1"/>
  <c r="A588" i="429" s="1"/>
  <c r="A589" i="429" s="1"/>
  <c r="A590" i="429" s="1"/>
  <c r="A591" i="429" s="1"/>
  <c r="A592" i="429" s="1"/>
  <c r="A593" i="429" s="1"/>
  <c r="A594" i="429" s="1"/>
  <c r="A595" i="429" s="1"/>
  <c r="A596" i="429" s="1"/>
  <c r="A597" i="429" s="1"/>
  <c r="A598" i="429" s="1"/>
  <c r="A599" i="429" s="1"/>
  <c r="A600" i="429" s="1"/>
  <c r="A601" i="429" s="1"/>
  <c r="A602" i="429" s="1"/>
  <c r="A603" i="429" s="1"/>
  <c r="A604" i="429" s="1"/>
  <c r="A605" i="429" s="1"/>
  <c r="A606" i="429" s="1"/>
  <c r="A607" i="429" s="1"/>
  <c r="A608" i="429" s="1"/>
  <c r="A609" i="429" s="1"/>
  <c r="A610" i="429" s="1"/>
  <c r="A611" i="429" s="1"/>
  <c r="A612" i="429" s="1"/>
  <c r="A613" i="429" s="1"/>
  <c r="A614" i="429" s="1"/>
  <c r="A615" i="429" s="1"/>
  <c r="A616" i="429" s="1"/>
  <c r="A617" i="429" s="1"/>
  <c r="A618" i="429" s="1"/>
  <c r="A619" i="429" s="1"/>
  <c r="A620" i="429" s="1"/>
  <c r="A621" i="429" s="1"/>
  <c r="A622" i="429" s="1"/>
  <c r="A623" i="429" s="1"/>
  <c r="A624" i="429" s="1"/>
  <c r="A625" i="429" s="1"/>
  <c r="A626" i="429" s="1"/>
  <c r="A627" i="429" s="1"/>
  <c r="A628" i="429" s="1"/>
  <c r="A629" i="429" s="1"/>
  <c r="A630" i="429" s="1"/>
  <c r="A631" i="429" s="1"/>
  <c r="A632" i="429" s="1"/>
  <c r="A633" i="429" s="1"/>
  <c r="A634" i="429" s="1"/>
  <c r="A635" i="429" s="1"/>
  <c r="A636" i="429" s="1"/>
  <c r="A637" i="429" s="1"/>
  <c r="A638" i="429" s="1"/>
  <c r="A639" i="429" s="1"/>
  <c r="A640" i="429" s="1"/>
  <c r="A641" i="429" s="1"/>
  <c r="A642" i="429" s="1"/>
  <c r="A643" i="429" s="1"/>
  <c r="A644" i="429" s="1"/>
  <c r="A645" i="429" s="1"/>
  <c r="A646" i="429" s="1"/>
  <c r="A647" i="429" s="1"/>
  <c r="A648" i="429" s="1"/>
  <c r="A649" i="429" s="1"/>
  <c r="A650" i="429" s="1"/>
  <c r="A651" i="429" s="1"/>
  <c r="A652" i="429" s="1"/>
  <c r="A653" i="429" s="1"/>
  <c r="A654" i="429" s="1"/>
  <c r="A655" i="429" s="1"/>
  <c r="A656" i="429" s="1"/>
  <c r="A657" i="429" s="1"/>
  <c r="A658" i="429" s="1"/>
  <c r="A659" i="429" s="1"/>
  <c r="A660" i="429" s="1"/>
  <c r="A661" i="429" s="1"/>
  <c r="A662" i="429" s="1"/>
  <c r="A663" i="429" s="1"/>
  <c r="A664" i="429" s="1"/>
  <c r="A665" i="429" s="1"/>
  <c r="A666" i="429" s="1"/>
  <c r="A667" i="429" s="1"/>
  <c r="A668" i="429" s="1"/>
  <c r="A669" i="429" s="1"/>
  <c r="A670" i="429" s="1"/>
  <c r="A671" i="429" s="1"/>
  <c r="A672" i="429" s="1"/>
  <c r="A673" i="429" s="1"/>
  <c r="A674" i="429" s="1"/>
  <c r="A675" i="429" s="1"/>
  <c r="A676" i="429" s="1"/>
  <c r="A677" i="429" s="1"/>
  <c r="A678" i="429" s="1"/>
  <c r="A679" i="429" s="1"/>
  <c r="A680" i="429" s="1"/>
  <c r="A681" i="429" s="1"/>
  <c r="A682" i="429" s="1"/>
  <c r="A683" i="429" s="1"/>
  <c r="A684" i="429" s="1"/>
  <c r="A685" i="429" s="1"/>
  <c r="A686" i="429" s="1"/>
  <c r="A687" i="429" s="1"/>
  <c r="A688" i="429" s="1"/>
  <c r="A689" i="429" s="1"/>
  <c r="A690" i="429" s="1"/>
  <c r="A691" i="429" s="1"/>
  <c r="A692" i="429" s="1"/>
  <c r="A693" i="429" s="1"/>
  <c r="A694" i="429" s="1"/>
  <c r="A695" i="429" s="1"/>
  <c r="A696" i="429" s="1"/>
  <c r="A697" i="429" s="1"/>
  <c r="A698" i="429" s="1"/>
  <c r="A699" i="429" s="1"/>
  <c r="A700" i="429" s="1"/>
  <c r="A701" i="429" s="1"/>
  <c r="A702" i="429" s="1"/>
  <c r="A703" i="429" s="1"/>
  <c r="A704" i="429" s="1"/>
  <c r="A705" i="429" s="1"/>
  <c r="A706" i="429" s="1"/>
  <c r="A707" i="429" s="1"/>
  <c r="A708" i="429" s="1"/>
  <c r="B76" i="429"/>
  <c r="B114" i="436"/>
  <c r="B115" i="436" s="1"/>
  <c r="B116" i="436" s="1"/>
  <c r="B117" i="436" s="1"/>
  <c r="B118" i="436" s="1"/>
  <c r="B119" i="436" s="1"/>
  <c r="B120" i="436" s="1"/>
  <c r="B121" i="436" s="1"/>
  <c r="B122" i="436" s="1"/>
  <c r="A114" i="436"/>
  <c r="A115" i="436" s="1"/>
  <c r="A116" i="436" s="1"/>
  <c r="A117" i="436" s="1"/>
  <c r="A118" i="436" s="1"/>
  <c r="A119" i="436" s="1"/>
  <c r="A120" i="436" s="1"/>
  <c r="A121" i="436" s="1"/>
  <c r="A122" i="436" s="1"/>
  <c r="A123" i="436" s="1"/>
  <c r="A124" i="436" s="1"/>
  <c r="A125" i="436" s="1"/>
  <c r="A126" i="436" s="1"/>
  <c r="A127" i="436" s="1"/>
  <c r="A128" i="436" s="1"/>
  <c r="A129" i="436" s="1"/>
  <c r="A130" i="436" s="1"/>
  <c r="A131" i="436" s="1"/>
  <c r="A132" i="436" s="1"/>
  <c r="A133" i="436" s="1"/>
  <c r="A134" i="436" s="1"/>
  <c r="A135" i="436" s="1"/>
  <c r="A136" i="436" s="1"/>
  <c r="A137" i="436" s="1"/>
  <c r="A138" i="436" s="1"/>
  <c r="A139" i="436" s="1"/>
  <c r="A140" i="436" s="1"/>
  <c r="A142" i="436" l="1"/>
  <c r="A141" i="436"/>
  <c r="B77" i="429"/>
  <c r="I122" i="436"/>
  <c r="I18" i="436"/>
  <c r="I21" i="429"/>
  <c r="A143" i="436" l="1"/>
  <c r="A144" i="436" s="1"/>
  <c r="A145" i="436" s="1"/>
  <c r="A146" i="436" s="1"/>
  <c r="A147" i="436" s="1"/>
  <c r="A148" i="436" s="1"/>
  <c r="A149" i="436" s="1"/>
  <c r="A150" i="436" s="1"/>
  <c r="A151" i="436" s="1"/>
  <c r="A152" i="436" s="1"/>
  <c r="A153" i="436" s="1"/>
  <c r="A154" i="436" s="1"/>
  <c r="A155" i="436" s="1"/>
  <c r="A156" i="436" s="1"/>
  <c r="A157" i="436" s="1"/>
  <c r="A158" i="436" s="1"/>
  <c r="A159" i="436" s="1"/>
  <c r="A160" i="436" s="1"/>
  <c r="A161" i="436" s="1"/>
  <c r="A162" i="436" s="1"/>
  <c r="A163" i="436" s="1"/>
  <c r="A164" i="436" s="1"/>
  <c r="A165" i="436" s="1"/>
  <c r="A166" i="436" s="1"/>
  <c r="A167" i="436" s="1"/>
  <c r="A168" i="436" s="1"/>
  <c r="A169" i="436" s="1"/>
  <c r="A170" i="436" s="1"/>
  <c r="A171" i="436" s="1"/>
  <c r="A172" i="436" s="1"/>
  <c r="A173" i="436" s="1"/>
  <c r="A174" i="436" s="1"/>
  <c r="A175" i="436" s="1"/>
  <c r="A176" i="436" s="1"/>
  <c r="A177" i="436" s="1"/>
  <c r="A178" i="436" s="1"/>
  <c r="A179" i="436" s="1"/>
  <c r="A180" i="436" s="1"/>
  <c r="A181" i="436" s="1"/>
  <c r="A182" i="436" s="1"/>
  <c r="A183" i="436" s="1"/>
  <c r="A184" i="436" s="1"/>
  <c r="A185" i="436" s="1"/>
  <c r="A186" i="436" s="1"/>
  <c r="A187" i="436" s="1"/>
  <c r="A188" i="436" s="1"/>
  <c r="A189" i="436" s="1"/>
  <c r="A190" i="436" s="1"/>
  <c r="A191" i="436" s="1"/>
  <c r="A192" i="436" s="1"/>
  <c r="A193" i="436" s="1"/>
  <c r="A194" i="436" s="1"/>
  <c r="A195" i="436" s="1"/>
  <c r="A196" i="436" s="1"/>
  <c r="A197" i="436" s="1"/>
  <c r="A198" i="436" s="1"/>
  <c r="A199" i="436" s="1"/>
  <c r="A200" i="436" s="1"/>
  <c r="A201" i="436" s="1"/>
  <c r="A202" i="436" s="1"/>
  <c r="A203" i="436" s="1"/>
  <c r="A204" i="436" s="1"/>
  <c r="A205" i="436" s="1"/>
  <c r="A206" i="436" s="1"/>
  <c r="A207" i="436" s="1"/>
  <c r="A208" i="436" s="1"/>
  <c r="A209" i="436" s="1"/>
  <c r="A210" i="436" s="1"/>
  <c r="A211" i="436" s="1"/>
  <c r="A212" i="436" s="1"/>
  <c r="A213" i="436" s="1"/>
  <c r="A214" i="436" s="1"/>
  <c r="A215" i="436" s="1"/>
  <c r="A216" i="436" s="1"/>
  <c r="A217" i="436" s="1"/>
  <c r="A218" i="436" s="1"/>
  <c r="A219" i="436" s="1"/>
  <c r="A220" i="436" s="1"/>
  <c r="A221" i="436" s="1"/>
  <c r="A222" i="436" s="1"/>
  <c r="A223" i="436" s="1"/>
  <c r="A224" i="436" s="1"/>
  <c r="A225" i="436" s="1"/>
  <c r="A226" i="436" s="1"/>
  <c r="A227" i="436" s="1"/>
  <c r="A228" i="436" s="1"/>
  <c r="A229" i="436" s="1"/>
  <c r="A230" i="436" s="1"/>
  <c r="A231" i="436" s="1"/>
  <c r="A232" i="436" s="1"/>
  <c r="A233" i="436" s="1"/>
  <c r="A234" i="436" s="1"/>
  <c r="A235" i="436" s="1"/>
  <c r="A236" i="436" s="1"/>
  <c r="A237" i="436" s="1"/>
  <c r="A238" i="436" s="1"/>
  <c r="A239" i="436" s="1"/>
  <c r="A240" i="436" s="1"/>
  <c r="A241" i="436" s="1"/>
  <c r="A242" i="436" s="1"/>
  <c r="A243" i="436" s="1"/>
  <c r="A244" i="436" s="1"/>
  <c r="A245" i="436" s="1"/>
  <c r="A246" i="436" s="1"/>
  <c r="A247" i="436" s="1"/>
  <c r="A248" i="436" s="1"/>
  <c r="A249" i="436" s="1"/>
  <c r="A250" i="436" s="1"/>
  <c r="A251" i="436" s="1"/>
  <c r="A252" i="436" s="1"/>
  <c r="A253" i="436" s="1"/>
  <c r="A254" i="436" s="1"/>
  <c r="A255" i="436" s="1"/>
  <c r="A256" i="436" s="1"/>
  <c r="A257" i="436" s="1"/>
  <c r="A258" i="436" s="1"/>
  <c r="A259" i="436" s="1"/>
  <c r="A260" i="436" s="1"/>
  <c r="A261" i="436" s="1"/>
  <c r="A262" i="436" s="1"/>
  <c r="A263" i="436" s="1"/>
  <c r="A264" i="436" s="1"/>
  <c r="A265" i="436" s="1"/>
  <c r="A266" i="436" s="1"/>
  <c r="A267" i="436" s="1"/>
  <c r="A268" i="436" s="1"/>
  <c r="A269" i="436" s="1"/>
  <c r="A270" i="436" s="1"/>
  <c r="A271" i="436" s="1"/>
  <c r="A272" i="436" s="1"/>
  <c r="A273" i="436" s="1"/>
  <c r="A274" i="436" s="1"/>
  <c r="A275" i="436" s="1"/>
  <c r="A276" i="436" s="1"/>
  <c r="A277" i="436" s="1"/>
  <c r="A278" i="436" s="1"/>
  <c r="A279" i="436" s="1"/>
  <c r="A280" i="436" s="1"/>
  <c r="A281" i="436" s="1"/>
  <c r="A282" i="436" s="1"/>
  <c r="A283" i="436" s="1"/>
  <c r="A284" i="436" s="1"/>
  <c r="A285" i="436" s="1"/>
  <c r="A286" i="436" s="1"/>
  <c r="A287" i="436" s="1"/>
  <c r="A288" i="436" s="1"/>
  <c r="A289" i="436" s="1"/>
  <c r="A290" i="436" s="1"/>
  <c r="A291" i="436" s="1"/>
  <c r="A292" i="436" s="1"/>
  <c r="A293" i="436" s="1"/>
  <c r="A294" i="436" s="1"/>
  <c r="A295" i="436" s="1"/>
  <c r="A296" i="436" s="1"/>
  <c r="A297" i="436" s="1"/>
  <c r="A298" i="436" s="1"/>
  <c r="A299" i="436" s="1"/>
  <c r="A300" i="436" s="1"/>
  <c r="A301" i="436" s="1"/>
  <c r="A302" i="436" s="1"/>
  <c r="A303" i="436" s="1"/>
  <c r="A304" i="436" s="1"/>
  <c r="A305" i="436" s="1"/>
  <c r="A306" i="436" s="1"/>
  <c r="A307" i="436" s="1"/>
  <c r="A308" i="436" s="1"/>
  <c r="A309" i="436" s="1"/>
  <c r="A310" i="436" s="1"/>
  <c r="A311" i="436" s="1"/>
  <c r="A312" i="436" s="1"/>
  <c r="A313" i="436" s="1"/>
  <c r="A314" i="436" s="1"/>
  <c r="A315" i="436" s="1"/>
  <c r="A316" i="436" s="1"/>
  <c r="A317" i="436" s="1"/>
  <c r="A318" i="436" s="1"/>
  <c r="A319" i="436" s="1"/>
  <c r="A320" i="436" s="1"/>
  <c r="A321" i="436" s="1"/>
  <c r="A322" i="436" s="1"/>
  <c r="A323" i="436" s="1"/>
  <c r="A324" i="436" s="1"/>
  <c r="A325" i="436" s="1"/>
  <c r="A326" i="436" s="1"/>
  <c r="A327" i="436" s="1"/>
  <c r="A328" i="436" s="1"/>
  <c r="A329" i="436" s="1"/>
  <c r="A330" i="436" s="1"/>
  <c r="A331" i="436" s="1"/>
  <c r="A332" i="436" s="1"/>
  <c r="A333" i="436" s="1"/>
  <c r="A334" i="436" s="1"/>
  <c r="A335" i="436" s="1"/>
  <c r="A336" i="436" s="1"/>
  <c r="A337" i="436" s="1"/>
  <c r="A338" i="436" s="1"/>
  <c r="A339" i="436" s="1"/>
  <c r="A340" i="436" s="1"/>
  <c r="A341" i="436" s="1"/>
  <c r="A342" i="436" s="1"/>
  <c r="A343" i="436" s="1"/>
  <c r="A344" i="436" s="1"/>
  <c r="A345" i="436" s="1"/>
  <c r="A346" i="436" s="1"/>
  <c r="A347" i="436" s="1"/>
  <c r="A348" i="436" s="1"/>
  <c r="A349" i="436" s="1"/>
  <c r="A350" i="436" s="1"/>
  <c r="A351" i="436" s="1"/>
  <c r="A352" i="436" s="1"/>
  <c r="A353" i="436" s="1"/>
  <c r="A354" i="436" s="1"/>
  <c r="A355" i="436" s="1"/>
  <c r="A356" i="436" s="1"/>
  <c r="A357" i="436" s="1"/>
  <c r="A358" i="436" s="1"/>
  <c r="A359" i="436" s="1"/>
  <c r="A360" i="436" s="1"/>
  <c r="A361" i="436" s="1"/>
  <c r="A362" i="436" s="1"/>
  <c r="A363" i="436" s="1"/>
  <c r="A364" i="436" s="1"/>
  <c r="A365" i="436" s="1"/>
  <c r="A366" i="436" s="1"/>
  <c r="A367" i="436" s="1"/>
  <c r="A368" i="436" s="1"/>
  <c r="A369" i="436" s="1"/>
  <c r="A370" i="436" s="1"/>
  <c r="A371" i="436" s="1"/>
  <c r="A372" i="436" s="1"/>
  <c r="A373" i="436" s="1"/>
  <c r="A374" i="436" s="1"/>
  <c r="A375" i="436" s="1"/>
  <c r="A376" i="436" s="1"/>
  <c r="A377" i="436" s="1"/>
  <c r="A378" i="436" s="1"/>
  <c r="A379" i="436" s="1"/>
  <c r="A380" i="436" s="1"/>
  <c r="A381" i="436" s="1"/>
  <c r="A382" i="436" s="1"/>
  <c r="A383" i="436" s="1"/>
  <c r="A384" i="436" s="1"/>
  <c r="A385" i="436" s="1"/>
  <c r="A386" i="436" s="1"/>
  <c r="A387" i="436" s="1"/>
  <c r="A388" i="436" s="1"/>
  <c r="A389" i="436" s="1"/>
  <c r="A390" i="436" s="1"/>
  <c r="A391" i="436" s="1"/>
  <c r="A392" i="436" s="1"/>
  <c r="A393" i="436" s="1"/>
  <c r="A394" i="436" s="1"/>
  <c r="A395" i="436" s="1"/>
  <c r="A396" i="436" s="1"/>
  <c r="A397" i="436" s="1"/>
  <c r="A398" i="436" s="1"/>
  <c r="A399" i="436" s="1"/>
  <c r="A400" i="436" s="1"/>
  <c r="A401" i="436" s="1"/>
  <c r="A402" i="436" s="1"/>
  <c r="A403" i="436" s="1"/>
  <c r="A404" i="436" s="1"/>
  <c r="A405" i="436" s="1"/>
  <c r="A406" i="436" s="1"/>
  <c r="A407" i="436" s="1"/>
  <c r="A408" i="436" s="1"/>
  <c r="A409" i="436" s="1"/>
  <c r="A410" i="436" s="1"/>
  <c r="A411" i="436" s="1"/>
  <c r="A412" i="436" s="1"/>
  <c r="A413" i="436" s="1"/>
  <c r="A414" i="436" s="1"/>
  <c r="A415" i="436" s="1"/>
  <c r="A416" i="436" s="1"/>
  <c r="A417" i="436" s="1"/>
  <c r="A418" i="436" s="1"/>
  <c r="A419" i="436" s="1"/>
  <c r="A420" i="436" s="1"/>
  <c r="A421" i="436" s="1"/>
  <c r="A422" i="436" s="1"/>
  <c r="A423" i="436" s="1"/>
  <c r="A424" i="436" s="1"/>
  <c r="A425" i="436" s="1"/>
  <c r="A426" i="436" s="1"/>
  <c r="A427" i="436" s="1"/>
  <c r="A428" i="436" s="1"/>
  <c r="A429" i="436" s="1"/>
  <c r="A430" i="436" s="1"/>
  <c r="A431" i="436" s="1"/>
  <c r="A432" i="436" s="1"/>
  <c r="A433" i="436" s="1"/>
  <c r="A434" i="436" s="1"/>
  <c r="A435" i="436" s="1"/>
  <c r="A436" i="436" s="1"/>
  <c r="A437" i="436" s="1"/>
  <c r="A438" i="436" s="1"/>
  <c r="A439" i="436" s="1"/>
  <c r="A440" i="436" s="1"/>
  <c r="A441" i="436" s="1"/>
  <c r="A442" i="436" s="1"/>
  <c r="A443" i="436" s="1"/>
  <c r="A444" i="436" s="1"/>
  <c r="A445" i="436" s="1"/>
  <c r="A446" i="436" s="1"/>
  <c r="A447" i="436" s="1"/>
  <c r="A448" i="436" s="1"/>
  <c r="A449" i="436" s="1"/>
  <c r="A450" i="436" s="1"/>
  <c r="A451" i="436" s="1"/>
  <c r="A452" i="436" s="1"/>
  <c r="A453" i="436" s="1"/>
  <c r="A454" i="436" s="1"/>
  <c r="A455" i="436" s="1"/>
  <c r="A456" i="436" s="1"/>
  <c r="A457" i="436" s="1"/>
  <c r="A458" i="436" s="1"/>
  <c r="A459" i="436" s="1"/>
  <c r="A460" i="436" s="1"/>
  <c r="A461" i="436" s="1"/>
  <c r="A462" i="436" s="1"/>
  <c r="A463" i="436" s="1"/>
  <c r="A464" i="436" s="1"/>
  <c r="A465" i="436" s="1"/>
  <c r="A466" i="436" s="1"/>
  <c r="A467" i="436" s="1"/>
  <c r="A468" i="436" s="1"/>
  <c r="A469" i="436" s="1"/>
  <c r="A470" i="436" s="1"/>
  <c r="A471" i="436" s="1"/>
  <c r="A472" i="436" s="1"/>
  <c r="A473" i="436" s="1"/>
  <c r="A474" i="436" s="1"/>
  <c r="A475" i="436" s="1"/>
  <c r="A476" i="436" s="1"/>
  <c r="A477" i="436" s="1"/>
  <c r="A478" i="436" s="1"/>
  <c r="A479" i="436" s="1"/>
  <c r="A480" i="436" s="1"/>
  <c r="A481" i="436" s="1"/>
  <c r="A482" i="436" s="1"/>
  <c r="A483" i="436" s="1"/>
  <c r="A484" i="436" s="1"/>
  <c r="A485" i="436" s="1"/>
  <c r="A486" i="436" s="1"/>
  <c r="A487" i="436" s="1"/>
  <c r="A488" i="436" s="1"/>
  <c r="A489" i="436" s="1"/>
  <c r="A490" i="436" s="1"/>
  <c r="A491" i="436" s="1"/>
  <c r="A492" i="436" s="1"/>
  <c r="A493" i="436" s="1"/>
  <c r="A494" i="436" s="1"/>
  <c r="A495" i="436" s="1"/>
  <c r="A496" i="436" s="1"/>
  <c r="A497" i="436" s="1"/>
  <c r="A498" i="436" s="1"/>
  <c r="A499" i="436" s="1"/>
  <c r="A500" i="436" s="1"/>
  <c r="A501" i="436" s="1"/>
  <c r="A502" i="436" s="1"/>
  <c r="A503" i="436" s="1"/>
  <c r="A504" i="436" s="1"/>
  <c r="A505" i="436" s="1"/>
  <c r="A506" i="436" s="1"/>
  <c r="A507" i="436" s="1"/>
  <c r="A508" i="436" s="1"/>
  <c r="A509" i="436" s="1"/>
  <c r="A510" i="436" s="1"/>
  <c r="A511" i="436" s="1"/>
  <c r="A512" i="436" s="1"/>
  <c r="A513" i="436" s="1"/>
  <c r="A514" i="436" s="1"/>
  <c r="A515" i="436" s="1"/>
  <c r="A516" i="436" s="1"/>
  <c r="A517" i="436" s="1"/>
  <c r="A518" i="436" s="1"/>
  <c r="A519" i="436" s="1"/>
  <c r="A520" i="436" s="1"/>
  <c r="A521" i="436" s="1"/>
  <c r="A522" i="436" s="1"/>
  <c r="A523" i="436" s="1"/>
  <c r="A524" i="436" s="1"/>
  <c r="A525" i="436" s="1"/>
  <c r="A526" i="436" s="1"/>
  <c r="A527" i="436" s="1"/>
  <c r="A528" i="436" s="1"/>
  <c r="A529" i="436" s="1"/>
  <c r="A530" i="436" s="1"/>
  <c r="A531" i="436" s="1"/>
  <c r="A532" i="436" s="1"/>
  <c r="A533" i="436" s="1"/>
  <c r="A534" i="436" s="1"/>
  <c r="A535" i="436" s="1"/>
  <c r="A536" i="436" s="1"/>
  <c r="A537" i="436" s="1"/>
  <c r="A538" i="436" s="1"/>
  <c r="A539" i="436" s="1"/>
  <c r="A540" i="436" s="1"/>
  <c r="A541" i="436" s="1"/>
  <c r="A542" i="436" s="1"/>
  <c r="A543" i="436" s="1"/>
  <c r="A544" i="436" s="1"/>
  <c r="A545" i="436" s="1"/>
  <c r="A546" i="436" s="1"/>
  <c r="A547" i="436" s="1"/>
  <c r="A548" i="436" s="1"/>
  <c r="A549" i="436" s="1"/>
  <c r="A550" i="436" s="1"/>
  <c r="A551" i="436" s="1"/>
  <c r="A552" i="436" s="1"/>
  <c r="A553" i="436" s="1"/>
  <c r="A554" i="436" s="1"/>
  <c r="A555" i="436" s="1"/>
  <c r="A556" i="436" s="1"/>
  <c r="A557" i="436" s="1"/>
  <c r="A558" i="436" s="1"/>
  <c r="A559" i="436" s="1"/>
  <c r="A560" i="436" s="1"/>
  <c r="A561" i="436" s="1"/>
  <c r="A562" i="436" s="1"/>
  <c r="A563" i="436" s="1"/>
  <c r="A564" i="436" s="1"/>
  <c r="A565" i="436" s="1"/>
  <c r="A566" i="436" s="1"/>
  <c r="A567" i="436" s="1"/>
  <c r="A568" i="436" s="1"/>
  <c r="A569" i="436" s="1"/>
  <c r="A570" i="436" s="1"/>
  <c r="A571" i="436" s="1"/>
  <c r="A572" i="436" s="1"/>
  <c r="A573" i="436" s="1"/>
  <c r="A574" i="436" s="1"/>
  <c r="A575" i="436" s="1"/>
  <c r="A576" i="436" s="1"/>
  <c r="A577" i="436" s="1"/>
  <c r="A578" i="436" s="1"/>
  <c r="A579" i="436" s="1"/>
  <c r="A580" i="436" s="1"/>
  <c r="A581" i="436" s="1"/>
  <c r="A582" i="436" s="1"/>
  <c r="A583" i="436" s="1"/>
  <c r="A584" i="436" s="1"/>
  <c r="A585" i="436" s="1"/>
  <c r="A586" i="436" s="1"/>
  <c r="A587" i="436" s="1"/>
  <c r="A588" i="436" s="1"/>
  <c r="A589" i="436" s="1"/>
  <c r="A590" i="436" s="1"/>
  <c r="A591" i="436" s="1"/>
  <c r="A592" i="436" s="1"/>
  <c r="A593" i="436" s="1"/>
  <c r="A594" i="436" s="1"/>
  <c r="A595" i="436" s="1"/>
  <c r="A596" i="436" s="1"/>
  <c r="A597" i="436" s="1"/>
  <c r="A598" i="436" s="1"/>
  <c r="A599" i="436" s="1"/>
  <c r="A600" i="436" s="1"/>
  <c r="A601" i="436" s="1"/>
  <c r="A602" i="436" s="1"/>
  <c r="A603" i="436" s="1"/>
  <c r="A604" i="436" s="1"/>
  <c r="A605" i="436" s="1"/>
  <c r="A606" i="436" s="1"/>
  <c r="A607" i="436" s="1"/>
  <c r="A608" i="436" s="1"/>
  <c r="A609" i="436" s="1"/>
  <c r="A610" i="436" s="1"/>
  <c r="A611" i="436" s="1"/>
  <c r="A612" i="436" s="1"/>
  <c r="A613" i="436" s="1"/>
  <c r="A614" i="436" s="1"/>
  <c r="A615" i="436" s="1"/>
  <c r="A616" i="436" s="1"/>
  <c r="A617" i="436" s="1"/>
  <c r="A618" i="436" s="1"/>
  <c r="A619" i="436" s="1"/>
  <c r="A620" i="436" s="1"/>
  <c r="A621" i="436" s="1"/>
  <c r="A622" i="436" s="1"/>
  <c r="A623" i="436" s="1"/>
  <c r="A624" i="436" s="1"/>
  <c r="A625" i="436" s="1"/>
  <c r="A626" i="436" s="1"/>
  <c r="A627" i="436" s="1"/>
  <c r="A628" i="436" s="1"/>
  <c r="A629" i="436" s="1"/>
  <c r="A630" i="436" s="1"/>
  <c r="A631" i="436" s="1"/>
  <c r="A632" i="436" s="1"/>
  <c r="A633" i="436" s="1"/>
  <c r="A634" i="436" s="1"/>
  <c r="A635" i="436" s="1"/>
  <c r="A636" i="436" s="1"/>
  <c r="A637" i="436" s="1"/>
  <c r="A638" i="436" s="1"/>
  <c r="A639" i="436" s="1"/>
  <c r="A640" i="436" s="1"/>
  <c r="A641" i="436" s="1"/>
  <c r="A642" i="436" s="1"/>
  <c r="A643" i="436" s="1"/>
  <c r="A644" i="436" s="1"/>
  <c r="A645" i="436" s="1"/>
  <c r="A646" i="436" s="1"/>
  <c r="A647" i="436" s="1"/>
  <c r="A648" i="436" s="1"/>
  <c r="A649" i="436" s="1"/>
  <c r="A650" i="436" s="1"/>
  <c r="A651" i="436" s="1"/>
  <c r="A652" i="436" s="1"/>
  <c r="A653" i="436" s="1"/>
  <c r="A654" i="436" s="1"/>
  <c r="A655" i="436" s="1"/>
  <c r="A656" i="436" s="1"/>
  <c r="A657" i="436" s="1"/>
  <c r="A658" i="436" s="1"/>
  <c r="A659" i="436" s="1"/>
  <c r="A660" i="436" s="1"/>
  <c r="A661" i="436" s="1"/>
  <c r="A662" i="436" s="1"/>
  <c r="A663" i="436" s="1"/>
  <c r="A664" i="436" s="1"/>
  <c r="A665" i="436" s="1"/>
  <c r="A666" i="436" s="1"/>
  <c r="A667" i="436" s="1"/>
  <c r="A668" i="436" s="1"/>
  <c r="A669" i="436" s="1"/>
  <c r="A670" i="436" s="1"/>
  <c r="A671" i="436" s="1"/>
  <c r="A672" i="436" s="1"/>
  <c r="A673" i="436" s="1"/>
  <c r="A674" i="436" s="1"/>
  <c r="A675" i="436" s="1"/>
  <c r="A676" i="436" s="1"/>
  <c r="A677" i="436" s="1"/>
  <c r="A678" i="436" s="1"/>
  <c r="A679" i="436" s="1"/>
  <c r="A680" i="436" s="1"/>
  <c r="A681" i="436" s="1"/>
  <c r="A682" i="436" s="1"/>
  <c r="A683" i="436" s="1"/>
  <c r="A684" i="436" s="1"/>
  <c r="A685" i="436" s="1"/>
  <c r="A686" i="436" s="1"/>
  <c r="A687" i="436" s="1"/>
  <c r="A688" i="436" s="1"/>
  <c r="A689" i="436" s="1"/>
  <c r="A690" i="436" s="1"/>
  <c r="A691" i="436" s="1"/>
  <c r="A692" i="436" s="1"/>
  <c r="A693" i="436" s="1"/>
  <c r="A694" i="436" s="1"/>
  <c r="A695" i="436" s="1"/>
  <c r="A696" i="436" s="1"/>
  <c r="A697" i="436" s="1"/>
  <c r="A698" i="436" s="1"/>
  <c r="A699" i="436" s="1"/>
  <c r="A700" i="436" s="1"/>
  <c r="A701" i="436" s="1"/>
  <c r="A702" i="436" s="1"/>
  <c r="A703" i="436" s="1"/>
  <c r="A704" i="436" s="1"/>
  <c r="A705" i="436" s="1"/>
  <c r="A706" i="436" s="1"/>
  <c r="A707" i="436" s="1"/>
  <c r="A708" i="436" s="1"/>
  <c r="A709" i="436" s="1"/>
  <c r="A710" i="436" s="1"/>
  <c r="A711" i="436" s="1"/>
  <c r="A712" i="436" s="1"/>
  <c r="A713" i="436" s="1"/>
  <c r="A714" i="436" s="1"/>
  <c r="A715" i="436" s="1"/>
  <c r="A716" i="436" s="1"/>
  <c r="A717" i="436" s="1"/>
  <c r="A718" i="436" s="1"/>
  <c r="A719" i="436" s="1"/>
  <c r="A720" i="436" s="1"/>
  <c r="A721" i="436" s="1"/>
  <c r="A722" i="436" s="1"/>
  <c r="A723" i="436" s="1"/>
  <c r="A724" i="436" s="1"/>
  <c r="A725" i="436" s="1"/>
  <c r="A726" i="436" s="1"/>
  <c r="A727" i="436" s="1"/>
  <c r="A728" i="436" s="1"/>
  <c r="A729" i="436" s="1"/>
  <c r="A730" i="436" s="1"/>
  <c r="A731" i="436" s="1"/>
  <c r="A732" i="436" s="1"/>
  <c r="A733" i="436" s="1"/>
  <c r="A734" i="436" s="1"/>
  <c r="A735" i="436" s="1"/>
  <c r="A736" i="436" s="1"/>
  <c r="A737" i="436" s="1"/>
  <c r="A738" i="436" s="1"/>
  <c r="A739" i="436" s="1"/>
  <c r="A740" i="436" s="1"/>
  <c r="A741" i="436" s="1"/>
  <c r="A742" i="436" s="1"/>
  <c r="A743" i="436" s="1"/>
  <c r="A744" i="436" s="1"/>
  <c r="A745" i="436" s="1"/>
  <c r="A746" i="436" s="1"/>
  <c r="A747" i="436" s="1"/>
  <c r="A748" i="436" s="1"/>
  <c r="A749" i="436" s="1"/>
  <c r="A750" i="436" s="1"/>
  <c r="A751" i="436" s="1"/>
  <c r="A752" i="436" s="1"/>
  <c r="A753" i="436" s="1"/>
  <c r="A754" i="436" s="1"/>
  <c r="A755" i="436" s="1"/>
  <c r="A756" i="436" s="1"/>
  <c r="A757" i="436" s="1"/>
  <c r="A758" i="436" s="1"/>
  <c r="A759" i="436" s="1"/>
  <c r="A760" i="436" s="1"/>
  <c r="A761" i="436" s="1"/>
  <c r="A762" i="436" s="1"/>
  <c r="A763" i="436" s="1"/>
  <c r="A764" i="436" s="1"/>
  <c r="A765" i="436" s="1"/>
  <c r="A766" i="436" s="1"/>
  <c r="A767" i="436" s="1"/>
  <c r="A768" i="436" s="1"/>
  <c r="A769" i="436" s="1"/>
  <c r="A770" i="436" s="1"/>
  <c r="A771" i="436" s="1"/>
  <c r="A772" i="436" s="1"/>
  <c r="A773" i="436" s="1"/>
  <c r="A774" i="436" s="1"/>
  <c r="A775" i="436" s="1"/>
  <c r="A776" i="436" s="1"/>
  <c r="A777" i="436" s="1"/>
  <c r="A778" i="436" s="1"/>
  <c r="A779" i="436" s="1"/>
  <c r="A780" i="436" s="1"/>
  <c r="A781" i="436" s="1"/>
  <c r="A782" i="436" s="1"/>
  <c r="A783" i="436" s="1"/>
  <c r="A784" i="436" s="1"/>
  <c r="A785" i="436" s="1"/>
  <c r="A786" i="436" s="1"/>
  <c r="A787" i="436" s="1"/>
  <c r="A788" i="436" s="1"/>
  <c r="A789" i="436" s="1"/>
  <c r="A790" i="436" s="1"/>
  <c r="A791" i="436" s="1"/>
  <c r="A792" i="436" s="1"/>
  <c r="A793" i="436" s="1"/>
  <c r="A794" i="436" s="1"/>
  <c r="A795" i="436" s="1"/>
  <c r="A796" i="436" s="1"/>
  <c r="A797" i="436" s="1"/>
  <c r="A798" i="436" s="1"/>
  <c r="A799" i="436" s="1"/>
  <c r="A800" i="436" s="1"/>
  <c r="A801" i="436" s="1"/>
  <c r="A802" i="436" s="1"/>
  <c r="A803" i="436" s="1"/>
  <c r="A804" i="436" s="1"/>
  <c r="A805" i="436" s="1"/>
  <c r="A806" i="436" s="1"/>
  <c r="A807" i="436" s="1"/>
  <c r="A808" i="436" s="1"/>
  <c r="A809" i="436" s="1"/>
  <c r="A810" i="436" s="1"/>
  <c r="A811" i="436" s="1"/>
  <c r="A812" i="436" s="1"/>
  <c r="A813" i="436" s="1"/>
  <c r="A814" i="436" s="1"/>
  <c r="A815" i="436" s="1"/>
  <c r="A816" i="436" s="1"/>
  <c r="A817" i="436" s="1"/>
  <c r="A818" i="436" s="1"/>
  <c r="A819" i="436" s="1"/>
  <c r="A820" i="436" s="1"/>
  <c r="A821" i="436" s="1"/>
  <c r="A822" i="436" s="1"/>
  <c r="A823" i="436" s="1"/>
  <c r="A824" i="436" s="1"/>
  <c r="A825" i="436" s="1"/>
  <c r="A826" i="436" s="1"/>
  <c r="A827" i="436" s="1"/>
  <c r="A828" i="436" s="1"/>
  <c r="A829" i="436" s="1"/>
  <c r="A830" i="436" s="1"/>
  <c r="A831" i="436" s="1"/>
  <c r="A832" i="436" s="1"/>
  <c r="A833" i="436" s="1"/>
  <c r="A834" i="436" s="1"/>
  <c r="A835" i="436" s="1"/>
  <c r="A836" i="436" s="1"/>
  <c r="A837" i="436" s="1"/>
  <c r="A838" i="436" s="1"/>
  <c r="A839" i="436" s="1"/>
  <c r="A840" i="436" s="1"/>
  <c r="A841" i="436" s="1"/>
  <c r="A842" i="436" s="1"/>
  <c r="A843" i="436" s="1"/>
  <c r="A844" i="436" s="1"/>
  <c r="A845" i="436" s="1"/>
  <c r="A846" i="436" s="1"/>
  <c r="A847" i="436" s="1"/>
  <c r="A848" i="436" s="1"/>
  <c r="A849" i="436" s="1"/>
  <c r="A850" i="436" s="1"/>
  <c r="A851" i="436" s="1"/>
  <c r="A852" i="436" s="1"/>
  <c r="A853" i="436" s="1"/>
  <c r="A854" i="436" s="1"/>
  <c r="A855" i="436" s="1"/>
  <c r="A856" i="436" s="1"/>
  <c r="A857" i="436" s="1"/>
  <c r="A858" i="436" s="1"/>
  <c r="A859" i="436" s="1"/>
  <c r="A860" i="436" s="1"/>
  <c r="A861" i="436" s="1"/>
  <c r="A862" i="436" s="1"/>
  <c r="A863" i="436" s="1"/>
  <c r="A864" i="436" s="1"/>
  <c r="A865" i="436" s="1"/>
  <c r="A866" i="436" s="1"/>
  <c r="A867" i="436" s="1"/>
  <c r="A868" i="436" s="1"/>
  <c r="A869" i="436" s="1"/>
  <c r="A870" i="436" s="1"/>
  <c r="A871" i="436" s="1"/>
  <c r="A872" i="436" s="1"/>
  <c r="A873" i="436" s="1"/>
  <c r="A874" i="436" s="1"/>
  <c r="A875" i="436" s="1"/>
  <c r="A876" i="436" s="1"/>
  <c r="A877" i="436" s="1"/>
  <c r="A878" i="436" s="1"/>
  <c r="A879" i="436" s="1"/>
  <c r="A880" i="436" s="1"/>
  <c r="A881" i="436" s="1"/>
  <c r="A882" i="436" s="1"/>
  <c r="A883" i="436" s="1"/>
  <c r="A884" i="436" s="1"/>
  <c r="A885" i="436" s="1"/>
  <c r="A886" i="436" s="1"/>
  <c r="A887" i="436" s="1"/>
  <c r="A888" i="436" s="1"/>
  <c r="A889" i="436" s="1"/>
  <c r="A890" i="436" s="1"/>
  <c r="A891" i="436" s="1"/>
  <c r="B78" i="429"/>
  <c r="B123" i="436"/>
  <c r="B124" i="436" s="1"/>
  <c r="B125" i="436" s="1"/>
  <c r="B126" i="436" s="1"/>
  <c r="B127" i="436" s="1"/>
  <c r="B128" i="436" s="1"/>
  <c r="B129" i="436" s="1"/>
  <c r="B130" i="436" s="1"/>
  <c r="B131" i="436" s="1"/>
  <c r="B132" i="436" s="1"/>
  <c r="B133" i="436" s="1"/>
  <c r="B134" i="436" s="1"/>
  <c r="B135" i="436" s="1"/>
  <c r="B136" i="436" s="1"/>
  <c r="B137" i="436" s="1"/>
  <c r="B138" i="436" s="1"/>
  <c r="B139" i="436" s="1"/>
  <c r="B140" i="436" s="1"/>
  <c r="I20" i="436"/>
  <c r="I19" i="436"/>
  <c r="I21" i="436"/>
  <c r="B141" i="436" l="1"/>
  <c r="I141" i="436" s="1"/>
  <c r="B79" i="429"/>
  <c r="B80" i="429" s="1"/>
  <c r="B81" i="429" s="1"/>
  <c r="B82" i="429" s="1"/>
  <c r="B83" i="429" s="1"/>
  <c r="B84" i="429" s="1"/>
  <c r="B85" i="429" s="1"/>
  <c r="B86" i="429" s="1"/>
  <c r="B87" i="429" s="1"/>
  <c r="B88" i="429" s="1"/>
  <c r="B89" i="429" s="1"/>
  <c r="B90" i="429" s="1"/>
  <c r="B91" i="429" s="1"/>
  <c r="B92" i="429" s="1"/>
  <c r="B93" i="429" s="1"/>
  <c r="B94" i="429" s="1"/>
  <c r="B95" i="429" s="1"/>
  <c r="B96" i="429" s="1"/>
  <c r="B97" i="429" s="1"/>
  <c r="B98" i="429" s="1"/>
  <c r="B99" i="429" s="1"/>
  <c r="B100" i="429" s="1"/>
  <c r="B101" i="429" s="1"/>
  <c r="B102" i="429" s="1"/>
  <c r="B103" i="429" s="1"/>
  <c r="B104" i="429" s="1"/>
  <c r="B105" i="429" s="1"/>
  <c r="B106" i="429" s="1"/>
  <c r="B107" i="429" s="1"/>
  <c r="B108" i="429" s="1"/>
  <c r="B109" i="429" s="1"/>
  <c r="B110" i="429" s="1"/>
  <c r="B111" i="429" s="1"/>
  <c r="B112" i="429" s="1"/>
  <c r="B113" i="429" s="1"/>
  <c r="B114" i="429" s="1"/>
  <c r="B115" i="429" s="1"/>
  <c r="B116" i="429" s="1"/>
  <c r="B117" i="429" s="1"/>
  <c r="B118" i="429" s="1"/>
  <c r="B119" i="429" s="1"/>
  <c r="B120" i="429" s="1"/>
  <c r="B121" i="429" s="1"/>
  <c r="B122" i="429" s="1"/>
  <c r="B123" i="429" s="1"/>
  <c r="B124" i="429" s="1"/>
  <c r="B125" i="429" s="1"/>
  <c r="B126" i="429" s="1"/>
  <c r="B127" i="429" s="1"/>
  <c r="B128" i="429" s="1"/>
  <c r="B129" i="429" s="1"/>
  <c r="B130" i="429" s="1"/>
  <c r="B131" i="429" s="1"/>
  <c r="B132" i="429" s="1"/>
  <c r="B133" i="429" s="1"/>
  <c r="B134" i="429" s="1"/>
  <c r="B135" i="429" s="1"/>
  <c r="B136" i="429" s="1"/>
  <c r="B137" i="429" s="1"/>
  <c r="B138" i="429" s="1"/>
  <c r="B139" i="429" s="1"/>
  <c r="B140" i="429" s="1"/>
  <c r="B141" i="429" s="1"/>
  <c r="B142" i="429" s="1"/>
  <c r="B143" i="429" s="1"/>
  <c r="B144" i="429" s="1"/>
  <c r="B145" i="429" s="1"/>
  <c r="B146" i="429" s="1"/>
  <c r="B147" i="429" s="1"/>
  <c r="B148" i="429" s="1"/>
  <c r="B149" i="429" s="1"/>
  <c r="B150" i="429" s="1"/>
  <c r="B151" i="429" s="1"/>
  <c r="B152" i="429" s="1"/>
  <c r="B153" i="429" s="1"/>
  <c r="B154" i="429" s="1"/>
  <c r="B155" i="429" s="1"/>
  <c r="B156" i="429" s="1"/>
  <c r="B157" i="429" s="1"/>
  <c r="B158" i="429" s="1"/>
  <c r="B159" i="429" s="1"/>
  <c r="B160" i="429" s="1"/>
  <c r="B161" i="429" s="1"/>
  <c r="B162" i="429" s="1"/>
  <c r="B163" i="429" s="1"/>
  <c r="B164" i="429" s="1"/>
  <c r="B165" i="429" s="1"/>
  <c r="B166" i="429" s="1"/>
  <c r="B167" i="429" s="1"/>
  <c r="B168" i="429" s="1"/>
  <c r="B169" i="429" s="1"/>
  <c r="B170" i="429" s="1"/>
  <c r="B171" i="429" s="1"/>
  <c r="B172" i="429" s="1"/>
  <c r="B173" i="429" s="1"/>
  <c r="B174" i="429" s="1"/>
  <c r="B175" i="429" s="1"/>
  <c r="B176" i="429" s="1"/>
  <c r="B177" i="429" s="1"/>
  <c r="B178" i="429" s="1"/>
  <c r="B179" i="429" s="1"/>
  <c r="B180" i="429" s="1"/>
  <c r="B181" i="429" s="1"/>
  <c r="B182" i="429" s="1"/>
  <c r="B183" i="429" s="1"/>
  <c r="B184" i="429" s="1"/>
  <c r="B185" i="429" s="1"/>
  <c r="B186" i="429" s="1"/>
  <c r="B187" i="429" s="1"/>
  <c r="B188" i="429" s="1"/>
  <c r="B189" i="429" s="1"/>
  <c r="B190" i="429" s="1"/>
  <c r="B191" i="429" s="1"/>
  <c r="B192" i="429" s="1"/>
  <c r="B193" i="429" s="1"/>
  <c r="B194" i="429" s="1"/>
  <c r="B195" i="429" s="1"/>
  <c r="B196" i="429" s="1"/>
  <c r="B197" i="429" s="1"/>
  <c r="B198" i="429" s="1"/>
  <c r="B199" i="429" s="1"/>
  <c r="B200" i="429" s="1"/>
  <c r="B201" i="429" s="1"/>
  <c r="B202" i="429" s="1"/>
  <c r="B203" i="429" s="1"/>
  <c r="B204" i="429" s="1"/>
  <c r="B205" i="429" s="1"/>
  <c r="B206" i="429" s="1"/>
  <c r="B207" i="429" s="1"/>
  <c r="B208" i="429" s="1"/>
  <c r="B209" i="429" s="1"/>
  <c r="B210" i="429" s="1"/>
  <c r="B211" i="429" s="1"/>
  <c r="B212" i="429" s="1"/>
  <c r="B213" i="429" s="1"/>
  <c r="B214" i="429" s="1"/>
  <c r="B215" i="429" s="1"/>
  <c r="B216" i="429" s="1"/>
  <c r="B217" i="429" s="1"/>
  <c r="B218" i="429" s="1"/>
  <c r="B219" i="429" s="1"/>
  <c r="B220" i="429" s="1"/>
  <c r="B221" i="429" s="1"/>
  <c r="B222" i="429" s="1"/>
  <c r="B223" i="429" s="1"/>
  <c r="B224" i="429" s="1"/>
  <c r="B225" i="429" s="1"/>
  <c r="B226" i="429" s="1"/>
  <c r="B227" i="429" s="1"/>
  <c r="B228" i="429" s="1"/>
  <c r="B229" i="429" s="1"/>
  <c r="B230" i="429" s="1"/>
  <c r="B231" i="429" s="1"/>
  <c r="B232" i="429" s="1"/>
  <c r="B233" i="429" s="1"/>
  <c r="B234" i="429" s="1"/>
  <c r="B235" i="429" s="1"/>
  <c r="B236" i="429" s="1"/>
  <c r="B237" i="429" s="1"/>
  <c r="B238" i="429" s="1"/>
  <c r="B239" i="429" s="1"/>
  <c r="B240" i="429" s="1"/>
  <c r="B241" i="429" s="1"/>
  <c r="B242" i="429" s="1"/>
  <c r="B243" i="429" s="1"/>
  <c r="B244" i="429" s="1"/>
  <c r="B245" i="429" s="1"/>
  <c r="B246" i="429" s="1"/>
  <c r="B247" i="429" s="1"/>
  <c r="B248" i="429" s="1"/>
  <c r="B249" i="429" s="1"/>
  <c r="B250" i="429" s="1"/>
  <c r="B251" i="429" s="1"/>
  <c r="B252" i="429" s="1"/>
  <c r="B253" i="429" s="1"/>
  <c r="B254" i="429" s="1"/>
  <c r="B255" i="429" s="1"/>
  <c r="B256" i="429" s="1"/>
  <c r="B257" i="429" s="1"/>
  <c r="B258" i="429" s="1"/>
  <c r="B259" i="429" s="1"/>
  <c r="B260" i="429" s="1"/>
  <c r="B261" i="429" s="1"/>
  <c r="B262" i="429" s="1"/>
  <c r="B263" i="429" s="1"/>
  <c r="B264" i="429" s="1"/>
  <c r="B265" i="429" s="1"/>
  <c r="B266" i="429" s="1"/>
  <c r="B267" i="429" s="1"/>
  <c r="B268" i="429" s="1"/>
  <c r="B269" i="429" s="1"/>
  <c r="B270" i="429" s="1"/>
  <c r="B271" i="429" s="1"/>
  <c r="B272" i="429" s="1"/>
  <c r="B273" i="429" s="1"/>
  <c r="B274" i="429" s="1"/>
  <c r="B275" i="429" s="1"/>
  <c r="B276" i="429" s="1"/>
  <c r="B277" i="429" s="1"/>
  <c r="B278" i="429" s="1"/>
  <c r="B279" i="429" s="1"/>
  <c r="B280" i="429" s="1"/>
  <c r="B281" i="429" s="1"/>
  <c r="B282" i="429" s="1"/>
  <c r="B283" i="429" s="1"/>
  <c r="B284" i="429" s="1"/>
  <c r="B285" i="429" s="1"/>
  <c r="B286" i="429" s="1"/>
  <c r="B287" i="429" s="1"/>
  <c r="B288" i="429" s="1"/>
  <c r="B289" i="429" s="1"/>
  <c r="B290" i="429" s="1"/>
  <c r="B291" i="429" s="1"/>
  <c r="B292" i="429" s="1"/>
  <c r="B293" i="429" s="1"/>
  <c r="B294" i="429" s="1"/>
  <c r="B295" i="429" s="1"/>
  <c r="B296" i="429" s="1"/>
  <c r="B297" i="429" s="1"/>
  <c r="B298" i="429" s="1"/>
  <c r="B299" i="429" s="1"/>
  <c r="B300" i="429" s="1"/>
  <c r="B301" i="429" s="1"/>
  <c r="B302" i="429" s="1"/>
  <c r="B303" i="429" s="1"/>
  <c r="B304" i="429" s="1"/>
  <c r="B305" i="429" s="1"/>
  <c r="B306" i="429" s="1"/>
  <c r="B307" i="429" s="1"/>
  <c r="B308" i="429" s="1"/>
  <c r="B309" i="429" s="1"/>
  <c r="B310" i="429" s="1"/>
  <c r="B311" i="429" s="1"/>
  <c r="B312" i="429" s="1"/>
  <c r="B313" i="429" s="1"/>
  <c r="B314" i="429" s="1"/>
  <c r="B315" i="429" s="1"/>
  <c r="B316" i="429" s="1"/>
  <c r="B317" i="429" s="1"/>
  <c r="B318" i="429" s="1"/>
  <c r="B319" i="429" s="1"/>
  <c r="B320" i="429" s="1"/>
  <c r="B321" i="429" s="1"/>
  <c r="B322" i="429" s="1"/>
  <c r="B323" i="429" s="1"/>
  <c r="B324" i="429" s="1"/>
  <c r="B325" i="429" s="1"/>
  <c r="B326" i="429" s="1"/>
  <c r="B327" i="429" s="1"/>
  <c r="B328" i="429" s="1"/>
  <c r="B329" i="429" s="1"/>
  <c r="B330" i="429" s="1"/>
  <c r="B331" i="429" s="1"/>
  <c r="B332" i="429" s="1"/>
  <c r="B333" i="429" s="1"/>
  <c r="B334" i="429" s="1"/>
  <c r="B335" i="429" s="1"/>
  <c r="B336" i="429" s="1"/>
  <c r="B337" i="429" s="1"/>
  <c r="B338" i="429" s="1"/>
  <c r="B339" i="429" s="1"/>
  <c r="B340" i="429" s="1"/>
  <c r="B341" i="429" s="1"/>
  <c r="B342" i="429" s="1"/>
  <c r="B343" i="429" s="1"/>
  <c r="B344" i="429" s="1"/>
  <c r="B345" i="429" s="1"/>
  <c r="B346" i="429" s="1"/>
  <c r="B347" i="429" s="1"/>
  <c r="B348" i="429" s="1"/>
  <c r="B349" i="429" s="1"/>
  <c r="B350" i="429" s="1"/>
  <c r="B351" i="429" s="1"/>
  <c r="B352" i="429" s="1"/>
  <c r="B353" i="429" s="1"/>
  <c r="B354" i="429" s="1"/>
  <c r="B355" i="429" s="1"/>
  <c r="B356" i="429" s="1"/>
  <c r="B357" i="429" s="1"/>
  <c r="B358" i="429" s="1"/>
  <c r="B359" i="429" s="1"/>
  <c r="B360" i="429" s="1"/>
  <c r="B361" i="429" s="1"/>
  <c r="B362" i="429" s="1"/>
  <c r="B363" i="429" s="1"/>
  <c r="B364" i="429" s="1"/>
  <c r="B365" i="429" s="1"/>
  <c r="B366" i="429" s="1"/>
  <c r="B367" i="429" s="1"/>
  <c r="B368" i="429" s="1"/>
  <c r="N61" i="429" s="1"/>
  <c r="I22" i="429"/>
  <c r="I23" i="436"/>
  <c r="B142" i="436" l="1"/>
  <c r="N60" i="429"/>
  <c r="N63" i="429"/>
  <c r="B369" i="429"/>
  <c r="B370" i="429" s="1"/>
  <c r="B371" i="429" s="1"/>
  <c r="B372" i="429" s="1"/>
  <c r="B373" i="429" s="1"/>
  <c r="B374" i="429" s="1"/>
  <c r="B375" i="429" s="1"/>
  <c r="B376" i="429" s="1"/>
  <c r="B377" i="429" s="1"/>
  <c r="B378" i="429" s="1"/>
  <c r="B379" i="429" s="1"/>
  <c r="B380" i="429" s="1"/>
  <c r="B381" i="429" s="1"/>
  <c r="B382" i="429" s="1"/>
  <c r="B383" i="429" s="1"/>
  <c r="B384" i="429" s="1"/>
  <c r="B385" i="429" s="1"/>
  <c r="B386" i="429" s="1"/>
  <c r="B387" i="429" s="1"/>
  <c r="B388" i="429" s="1"/>
  <c r="B389" i="429" s="1"/>
  <c r="B390" i="429" s="1"/>
  <c r="B391" i="429" s="1"/>
  <c r="B392" i="429" s="1"/>
  <c r="B393" i="429" s="1"/>
  <c r="B394" i="429" s="1"/>
  <c r="B395" i="429" s="1"/>
  <c r="B396" i="429" s="1"/>
  <c r="B397" i="429" s="1"/>
  <c r="B398" i="429" s="1"/>
  <c r="B399" i="429" s="1"/>
  <c r="B400" i="429" s="1"/>
  <c r="B401" i="429" s="1"/>
  <c r="B402" i="429" s="1"/>
  <c r="B403" i="429" s="1"/>
  <c r="B404" i="429" s="1"/>
  <c r="B405" i="429" s="1"/>
  <c r="B406" i="429" s="1"/>
  <c r="B407" i="429" s="1"/>
  <c r="B408" i="429" s="1"/>
  <c r="B409" i="429" s="1"/>
  <c r="B410" i="429" s="1"/>
  <c r="B411" i="429" s="1"/>
  <c r="B412" i="429" s="1"/>
  <c r="B413" i="429" s="1"/>
  <c r="B414" i="429" s="1"/>
  <c r="B415" i="429" s="1"/>
  <c r="B416" i="429" s="1"/>
  <c r="B417" i="429" s="1"/>
  <c r="B418" i="429" s="1"/>
  <c r="B419" i="429" s="1"/>
  <c r="B420" i="429" s="1"/>
  <c r="B421" i="429" s="1"/>
  <c r="B422" i="429" s="1"/>
  <c r="B423" i="429" s="1"/>
  <c r="B424" i="429" s="1"/>
  <c r="B425" i="429" s="1"/>
  <c r="B426" i="429" s="1"/>
  <c r="B427" i="429" s="1"/>
  <c r="B428" i="429" s="1"/>
  <c r="B429" i="429" s="1"/>
  <c r="B430" i="429" s="1"/>
  <c r="B431" i="429" s="1"/>
  <c r="B432" i="429" s="1"/>
  <c r="B433" i="429" s="1"/>
  <c r="B434" i="429" s="1"/>
  <c r="B435" i="429" s="1"/>
  <c r="B436" i="429" s="1"/>
  <c r="B437" i="429" s="1"/>
  <c r="B438" i="429" s="1"/>
  <c r="B439" i="429" s="1"/>
  <c r="B440" i="429" s="1"/>
  <c r="B441" i="429" s="1"/>
  <c r="B442" i="429" s="1"/>
  <c r="B443" i="429" s="1"/>
  <c r="B444" i="429" s="1"/>
  <c r="B445" i="429" s="1"/>
  <c r="B446" i="429" s="1"/>
  <c r="B447" i="429" s="1"/>
  <c r="B448" i="429" s="1"/>
  <c r="B449" i="429" s="1"/>
  <c r="B450" i="429" s="1"/>
  <c r="B451" i="429" s="1"/>
  <c r="B452" i="429" s="1"/>
  <c r="B453" i="429" s="1"/>
  <c r="B454" i="429" s="1"/>
  <c r="B455" i="429" s="1"/>
  <c r="B456" i="429" s="1"/>
  <c r="B457" i="429" s="1"/>
  <c r="B458" i="429" s="1"/>
  <c r="B459" i="429" s="1"/>
  <c r="B460" i="429" s="1"/>
  <c r="B461" i="429" s="1"/>
  <c r="B462" i="429" s="1"/>
  <c r="B463" i="429" s="1"/>
  <c r="B464" i="429" s="1"/>
  <c r="B465" i="429" s="1"/>
  <c r="B466" i="429" s="1"/>
  <c r="B467" i="429" s="1"/>
  <c r="B468" i="429" s="1"/>
  <c r="B469" i="429" s="1"/>
  <c r="B470" i="429" s="1"/>
  <c r="B471" i="429" s="1"/>
  <c r="B472" i="429" s="1"/>
  <c r="B473" i="429" s="1"/>
  <c r="B474" i="429" s="1"/>
  <c r="B475" i="429" s="1"/>
  <c r="B476" i="429" s="1"/>
  <c r="B477" i="429" s="1"/>
  <c r="B478" i="429" s="1"/>
  <c r="B479" i="429" s="1"/>
  <c r="B480" i="429" s="1"/>
  <c r="B481" i="429" s="1"/>
  <c r="B482" i="429" s="1"/>
  <c r="B483" i="429" s="1"/>
  <c r="B484" i="429" s="1"/>
  <c r="B485" i="429" s="1"/>
  <c r="B486" i="429" s="1"/>
  <c r="B487" i="429" s="1"/>
  <c r="B488" i="429" s="1"/>
  <c r="B489" i="429" s="1"/>
  <c r="B490" i="429" s="1"/>
  <c r="B491" i="429" s="1"/>
  <c r="B492" i="429" s="1"/>
  <c r="B493" i="429" s="1"/>
  <c r="B494" i="429" s="1"/>
  <c r="B495" i="429" s="1"/>
  <c r="B496" i="429" s="1"/>
  <c r="B497" i="429" s="1"/>
  <c r="B498" i="429" s="1"/>
  <c r="B499" i="429" s="1"/>
  <c r="B500" i="429" s="1"/>
  <c r="B501" i="429" s="1"/>
  <c r="B502" i="429" s="1"/>
  <c r="B503" i="429" s="1"/>
  <c r="B504" i="429" s="1"/>
  <c r="B505" i="429" s="1"/>
  <c r="B506" i="429" s="1"/>
  <c r="B507" i="429" s="1"/>
  <c r="B508" i="429" s="1"/>
  <c r="B509" i="429" s="1"/>
  <c r="B510" i="429" s="1"/>
  <c r="B511" i="429" s="1"/>
  <c r="B512" i="429" s="1"/>
  <c r="B513" i="429" s="1"/>
  <c r="B514" i="429" s="1"/>
  <c r="B515" i="429" s="1"/>
  <c r="B516" i="429" s="1"/>
  <c r="B517" i="429" s="1"/>
  <c r="B518" i="429" s="1"/>
  <c r="B519" i="429" s="1"/>
  <c r="B520" i="429" s="1"/>
  <c r="B521" i="429" s="1"/>
  <c r="B522" i="429" s="1"/>
  <c r="B523" i="429" s="1"/>
  <c r="B524" i="429" s="1"/>
  <c r="B525" i="429" s="1"/>
  <c r="B526" i="429" s="1"/>
  <c r="B527" i="429" s="1"/>
  <c r="B528" i="429" s="1"/>
  <c r="B529" i="429" s="1"/>
  <c r="B530" i="429" s="1"/>
  <c r="B531" i="429" s="1"/>
  <c r="B532" i="429" s="1"/>
  <c r="B533" i="429" s="1"/>
  <c r="B534" i="429" s="1"/>
  <c r="B535" i="429" s="1"/>
  <c r="B536" i="429" s="1"/>
  <c r="B537" i="429" s="1"/>
  <c r="B538" i="429" s="1"/>
  <c r="B539" i="429" s="1"/>
  <c r="B540" i="429" s="1"/>
  <c r="B541" i="429" s="1"/>
  <c r="B542" i="429" s="1"/>
  <c r="B543" i="429" s="1"/>
  <c r="B544" i="429" s="1"/>
  <c r="B545" i="429" s="1"/>
  <c r="B546" i="429" s="1"/>
  <c r="B547" i="429" s="1"/>
  <c r="B548" i="429" s="1"/>
  <c r="B549" i="429" s="1"/>
  <c r="B550" i="429" s="1"/>
  <c r="B551" i="429" s="1"/>
  <c r="B552" i="429" s="1"/>
  <c r="B553" i="429" s="1"/>
  <c r="B554" i="429" s="1"/>
  <c r="B555" i="429" s="1"/>
  <c r="B556" i="429" s="1"/>
  <c r="B557" i="429" s="1"/>
  <c r="B558" i="429" s="1"/>
  <c r="B559" i="429" s="1"/>
  <c r="B560" i="429" s="1"/>
  <c r="B561" i="429" s="1"/>
  <c r="B562" i="429" s="1"/>
  <c r="B563" i="429" s="1"/>
  <c r="B564" i="429" s="1"/>
  <c r="B565" i="429" s="1"/>
  <c r="B566" i="429" s="1"/>
  <c r="B567" i="429" s="1"/>
  <c r="B568" i="429" s="1"/>
  <c r="B569" i="429" s="1"/>
  <c r="B570" i="429" s="1"/>
  <c r="B571" i="429" s="1"/>
  <c r="B572" i="429" s="1"/>
  <c r="B573" i="429" s="1"/>
  <c r="B574" i="429" s="1"/>
  <c r="B575" i="429" s="1"/>
  <c r="B576" i="429" s="1"/>
  <c r="B577" i="429" s="1"/>
  <c r="B578" i="429" s="1"/>
  <c r="B579" i="429" s="1"/>
  <c r="B580" i="429" s="1"/>
  <c r="B581" i="429" s="1"/>
  <c r="B582" i="429" s="1"/>
  <c r="B583" i="429" s="1"/>
  <c r="B584" i="429" s="1"/>
  <c r="B585" i="429" s="1"/>
  <c r="B586" i="429" s="1"/>
  <c r="B587" i="429" s="1"/>
  <c r="B588" i="429" s="1"/>
  <c r="B589" i="429" s="1"/>
  <c r="B590" i="429" s="1"/>
  <c r="B591" i="429" s="1"/>
  <c r="B592" i="429" s="1"/>
  <c r="B593" i="429" s="1"/>
  <c r="B594" i="429" s="1"/>
  <c r="B595" i="429" s="1"/>
  <c r="B596" i="429" s="1"/>
  <c r="B597" i="429" s="1"/>
  <c r="B598" i="429" s="1"/>
  <c r="B599" i="429" s="1"/>
  <c r="B600" i="429" s="1"/>
  <c r="B601" i="429" s="1"/>
  <c r="B602" i="429" s="1"/>
  <c r="B603" i="429" s="1"/>
  <c r="B604" i="429" s="1"/>
  <c r="B605" i="429" s="1"/>
  <c r="B606" i="429" s="1"/>
  <c r="B607" i="429" s="1"/>
  <c r="B608" i="429" s="1"/>
  <c r="B609" i="429" s="1"/>
  <c r="B610" i="429" s="1"/>
  <c r="B611" i="429" s="1"/>
  <c r="B612" i="429" s="1"/>
  <c r="B613" i="429" s="1"/>
  <c r="B614" i="429" s="1"/>
  <c r="B615" i="429" s="1"/>
  <c r="B616" i="429" s="1"/>
  <c r="B617" i="429" s="1"/>
  <c r="B618" i="429" s="1"/>
  <c r="B619" i="429" s="1"/>
  <c r="B620" i="429" s="1"/>
  <c r="B621" i="429" s="1"/>
  <c r="B622" i="429" s="1"/>
  <c r="B623" i="429" s="1"/>
  <c r="B624" i="429" s="1"/>
  <c r="B625" i="429" s="1"/>
  <c r="B626" i="429" s="1"/>
  <c r="B627" i="429" s="1"/>
  <c r="B628" i="429" s="1"/>
  <c r="B629" i="429" s="1"/>
  <c r="B630" i="429" s="1"/>
  <c r="B631" i="429" s="1"/>
  <c r="B632" i="429" s="1"/>
  <c r="B633" i="429" s="1"/>
  <c r="B634" i="429" s="1"/>
  <c r="B635" i="429" s="1"/>
  <c r="B636" i="429" s="1"/>
  <c r="B637" i="429" s="1"/>
  <c r="B638" i="429" s="1"/>
  <c r="B639" i="429" s="1"/>
  <c r="B640" i="429" s="1"/>
  <c r="B641" i="429" s="1"/>
  <c r="B642" i="429" s="1"/>
  <c r="B643" i="429" s="1"/>
  <c r="B644" i="429" s="1"/>
  <c r="B645" i="429" s="1"/>
  <c r="B646" i="429" s="1"/>
  <c r="B647" i="429" s="1"/>
  <c r="B648" i="429" s="1"/>
  <c r="B649" i="429" s="1"/>
  <c r="B650" i="429" s="1"/>
  <c r="B651" i="429" s="1"/>
  <c r="B652" i="429" s="1"/>
  <c r="B653" i="429" s="1"/>
  <c r="B654" i="429" s="1"/>
  <c r="B655" i="429" s="1"/>
  <c r="B656" i="429" s="1"/>
  <c r="B657" i="429" s="1"/>
  <c r="B658" i="429" s="1"/>
  <c r="B659" i="429" s="1"/>
  <c r="B660" i="429" s="1"/>
  <c r="B661" i="429" s="1"/>
  <c r="B662" i="429" s="1"/>
  <c r="B663" i="429" s="1"/>
  <c r="B664" i="429" s="1"/>
  <c r="B665" i="429" s="1"/>
  <c r="B666" i="429" s="1"/>
  <c r="B667" i="429" s="1"/>
  <c r="B668" i="429" s="1"/>
  <c r="B669" i="429" s="1"/>
  <c r="B670" i="429" s="1"/>
  <c r="B671" i="429" s="1"/>
  <c r="B672" i="429" s="1"/>
  <c r="B673" i="429" s="1"/>
  <c r="B674" i="429" s="1"/>
  <c r="B675" i="429" s="1"/>
  <c r="B676" i="429" s="1"/>
  <c r="B677" i="429" s="1"/>
  <c r="B678" i="429" s="1"/>
  <c r="B679" i="429" s="1"/>
  <c r="B680" i="429" s="1"/>
  <c r="B681" i="429" s="1"/>
  <c r="B682" i="429" s="1"/>
  <c r="B683" i="429" s="1"/>
  <c r="B684" i="429" s="1"/>
  <c r="B685" i="429" s="1"/>
  <c r="B686" i="429" s="1"/>
  <c r="B687" i="429" s="1"/>
  <c r="B688" i="429" s="1"/>
  <c r="B689" i="429" s="1"/>
  <c r="B690" i="429" s="1"/>
  <c r="B691" i="429" s="1"/>
  <c r="B692" i="429" s="1"/>
  <c r="B693" i="429" s="1"/>
  <c r="B694" i="429" s="1"/>
  <c r="B695" i="429" s="1"/>
  <c r="B696" i="429" s="1"/>
  <c r="B697" i="429" s="1"/>
  <c r="B698" i="429" s="1"/>
  <c r="B699" i="429" s="1"/>
  <c r="B700" i="429" s="1"/>
  <c r="B701" i="429" s="1"/>
  <c r="B702" i="429" s="1"/>
  <c r="B703" i="429" s="1"/>
  <c r="B704" i="429" s="1"/>
  <c r="B705" i="429" s="1"/>
  <c r="B706" i="429" s="1"/>
  <c r="B707" i="429" s="1"/>
  <c r="B708" i="429" s="1"/>
  <c r="N69" i="429"/>
  <c r="I23" i="429"/>
  <c r="I24" i="436"/>
  <c r="E33" i="424"/>
  <c r="E30" i="424"/>
  <c r="E25" i="424"/>
  <c r="M80" i="436" l="1"/>
  <c r="N80" i="436" s="1"/>
  <c r="B143" i="436"/>
  <c r="B144" i="436" s="1"/>
  <c r="B145" i="436" s="1"/>
  <c r="B146" i="436" s="1"/>
  <c r="B147" i="436" s="1"/>
  <c r="B148" i="436" s="1"/>
  <c r="B149" i="436" s="1"/>
  <c r="B150" i="436" s="1"/>
  <c r="B151" i="436" s="1"/>
  <c r="B152" i="436" s="1"/>
  <c r="B153" i="436" s="1"/>
  <c r="B154" i="436" s="1"/>
  <c r="B155" i="436" s="1"/>
  <c r="B156" i="436" s="1"/>
  <c r="B157" i="436" s="1"/>
  <c r="B158" i="436" s="1"/>
  <c r="B159" i="436" s="1"/>
  <c r="B160" i="436" s="1"/>
  <c r="B161" i="436" s="1"/>
  <c r="B162" i="436" s="1"/>
  <c r="B163" i="436" s="1"/>
  <c r="B164" i="436" s="1"/>
  <c r="B165" i="436" s="1"/>
  <c r="B166" i="436" s="1"/>
  <c r="B167" i="436" s="1"/>
  <c r="B168" i="436" s="1"/>
  <c r="B169" i="436" s="1"/>
  <c r="B170" i="436" s="1"/>
  <c r="B171" i="436" s="1"/>
  <c r="B172" i="436" s="1"/>
  <c r="B173" i="436" s="1"/>
  <c r="B174" i="436" s="1"/>
  <c r="B175" i="436" s="1"/>
  <c r="B176" i="436" s="1"/>
  <c r="B177" i="436" s="1"/>
  <c r="B178" i="436" s="1"/>
  <c r="B179" i="436" s="1"/>
  <c r="B180" i="436" s="1"/>
  <c r="B181" i="436" s="1"/>
  <c r="B182" i="436" s="1"/>
  <c r="B183" i="436" s="1"/>
  <c r="B184" i="436" s="1"/>
  <c r="B185" i="436" s="1"/>
  <c r="B186" i="436" s="1"/>
  <c r="B187" i="436" s="1"/>
  <c r="B188" i="436" s="1"/>
  <c r="B189" i="436" s="1"/>
  <c r="B190" i="436" s="1"/>
  <c r="B191" i="436" s="1"/>
  <c r="B192" i="436" s="1"/>
  <c r="B193" i="436" s="1"/>
  <c r="B194" i="436" s="1"/>
  <c r="B195" i="436" s="1"/>
  <c r="B196" i="436" s="1"/>
  <c r="B197" i="436" s="1"/>
  <c r="B198" i="436" s="1"/>
  <c r="B199" i="436" s="1"/>
  <c r="B200" i="436" s="1"/>
  <c r="B201" i="436" s="1"/>
  <c r="B202" i="436" s="1"/>
  <c r="B203" i="436" s="1"/>
  <c r="B204" i="436" s="1"/>
  <c r="B205" i="436" s="1"/>
  <c r="B206" i="436" s="1"/>
  <c r="B207" i="436" s="1"/>
  <c r="B208" i="436" s="1"/>
  <c r="B209" i="436" s="1"/>
  <c r="B210" i="436" s="1"/>
  <c r="B211" i="436" s="1"/>
  <c r="B212" i="436" s="1"/>
  <c r="B213" i="436" s="1"/>
  <c r="B214" i="436" s="1"/>
  <c r="B215" i="436" s="1"/>
  <c r="B216" i="436" s="1"/>
  <c r="B217" i="436" s="1"/>
  <c r="B218" i="436" s="1"/>
  <c r="B219" i="436" s="1"/>
  <c r="B220" i="436" s="1"/>
  <c r="B221" i="436" s="1"/>
  <c r="B222" i="436" s="1"/>
  <c r="B223" i="436" s="1"/>
  <c r="B224" i="436" s="1"/>
  <c r="B225" i="436" s="1"/>
  <c r="B226" i="436" s="1"/>
  <c r="B227" i="436" s="1"/>
  <c r="B228" i="436" s="1"/>
  <c r="B229" i="436" s="1"/>
  <c r="B230" i="436" s="1"/>
  <c r="B231" i="436" s="1"/>
  <c r="B232" i="436" s="1"/>
  <c r="B233" i="436" s="1"/>
  <c r="B234" i="436" s="1"/>
  <c r="B235" i="436" s="1"/>
  <c r="B236" i="436" s="1"/>
  <c r="B237" i="436" s="1"/>
  <c r="B238" i="436" s="1"/>
  <c r="B239" i="436" s="1"/>
  <c r="B240" i="436" s="1"/>
  <c r="B241" i="436" s="1"/>
  <c r="B242" i="436" s="1"/>
  <c r="B243" i="436" s="1"/>
  <c r="B244" i="436" s="1"/>
  <c r="B245" i="436" s="1"/>
  <c r="B246" i="436" s="1"/>
  <c r="B247" i="436" s="1"/>
  <c r="B248" i="436" s="1"/>
  <c r="B249" i="436" s="1"/>
  <c r="B250" i="436" s="1"/>
  <c r="B251" i="436" s="1"/>
  <c r="B252" i="436" s="1"/>
  <c r="B253" i="436" s="1"/>
  <c r="B254" i="436" s="1"/>
  <c r="B255" i="436" s="1"/>
  <c r="B256" i="436" s="1"/>
  <c r="B257" i="436" s="1"/>
  <c r="B258" i="436" s="1"/>
  <c r="B259" i="436" s="1"/>
  <c r="B260" i="436" s="1"/>
  <c r="B261" i="436" s="1"/>
  <c r="B262" i="436" s="1"/>
  <c r="B263" i="436" s="1"/>
  <c r="B264" i="436" s="1"/>
  <c r="B265" i="436" s="1"/>
  <c r="B266" i="436" s="1"/>
  <c r="B267" i="436" s="1"/>
  <c r="B268" i="436" s="1"/>
  <c r="B269" i="436" s="1"/>
  <c r="B270" i="436" s="1"/>
  <c r="B271" i="436" s="1"/>
  <c r="B272" i="436" s="1"/>
  <c r="B273" i="436" s="1"/>
  <c r="B274" i="436" s="1"/>
  <c r="B275" i="436" s="1"/>
  <c r="B276" i="436" s="1"/>
  <c r="B277" i="436" s="1"/>
  <c r="B278" i="436" s="1"/>
  <c r="B279" i="436" s="1"/>
  <c r="B280" i="436" s="1"/>
  <c r="B281" i="436" s="1"/>
  <c r="B282" i="436" s="1"/>
  <c r="B283" i="436" s="1"/>
  <c r="B284" i="436" s="1"/>
  <c r="B285" i="436" s="1"/>
  <c r="B286" i="436" s="1"/>
  <c r="B287" i="436" s="1"/>
  <c r="B288" i="436" s="1"/>
  <c r="B289" i="436" s="1"/>
  <c r="B290" i="436" s="1"/>
  <c r="B291" i="436" s="1"/>
  <c r="B292" i="436" s="1"/>
  <c r="B293" i="436" s="1"/>
  <c r="B294" i="436" s="1"/>
  <c r="B295" i="436" s="1"/>
  <c r="B296" i="436" s="1"/>
  <c r="B297" i="436" s="1"/>
  <c r="B298" i="436" s="1"/>
  <c r="B299" i="436" s="1"/>
  <c r="B300" i="436" s="1"/>
  <c r="B301" i="436" s="1"/>
  <c r="B302" i="436" s="1"/>
  <c r="B303" i="436" s="1"/>
  <c r="B304" i="436" s="1"/>
  <c r="B305" i="436" s="1"/>
  <c r="B306" i="436" s="1"/>
  <c r="B307" i="436" s="1"/>
  <c r="B308" i="436" s="1"/>
  <c r="B309" i="436" s="1"/>
  <c r="B310" i="436" s="1"/>
  <c r="B311" i="436" s="1"/>
  <c r="B312" i="436" s="1"/>
  <c r="B313" i="436" s="1"/>
  <c r="B314" i="436" s="1"/>
  <c r="B315" i="436" s="1"/>
  <c r="B316" i="436" s="1"/>
  <c r="B317" i="436" s="1"/>
  <c r="B318" i="436" s="1"/>
  <c r="B319" i="436" s="1"/>
  <c r="B320" i="436" s="1"/>
  <c r="B321" i="436" s="1"/>
  <c r="B322" i="436" s="1"/>
  <c r="B323" i="436" s="1"/>
  <c r="B324" i="436" s="1"/>
  <c r="B325" i="436" s="1"/>
  <c r="B326" i="436" s="1"/>
  <c r="B327" i="436" s="1"/>
  <c r="B328" i="436" s="1"/>
  <c r="B329" i="436" s="1"/>
  <c r="B330" i="436" s="1"/>
  <c r="B331" i="436" s="1"/>
  <c r="B332" i="436" s="1"/>
  <c r="B333" i="436" s="1"/>
  <c r="B334" i="436" s="1"/>
  <c r="B335" i="436" s="1"/>
  <c r="B336" i="436" s="1"/>
  <c r="B337" i="436" s="1"/>
  <c r="B338" i="436" s="1"/>
  <c r="B339" i="436" s="1"/>
  <c r="B340" i="436" s="1"/>
  <c r="B341" i="436" s="1"/>
  <c r="B342" i="436" s="1"/>
  <c r="B343" i="436" s="1"/>
  <c r="B344" i="436" s="1"/>
  <c r="B345" i="436" s="1"/>
  <c r="B346" i="436" s="1"/>
  <c r="B347" i="436" s="1"/>
  <c r="B348" i="436" s="1"/>
  <c r="B349" i="436" s="1"/>
  <c r="B350" i="436" s="1"/>
  <c r="B351" i="436" s="1"/>
  <c r="B352" i="436" s="1"/>
  <c r="B353" i="436" s="1"/>
  <c r="B354" i="436" s="1"/>
  <c r="B355" i="436" s="1"/>
  <c r="B356" i="436" s="1"/>
  <c r="B357" i="436" s="1"/>
  <c r="B358" i="436" s="1"/>
  <c r="B359" i="436" s="1"/>
  <c r="B360" i="436" s="1"/>
  <c r="B361" i="436" s="1"/>
  <c r="B362" i="436" s="1"/>
  <c r="B363" i="436" s="1"/>
  <c r="B364" i="436" s="1"/>
  <c r="B365" i="436" s="1"/>
  <c r="B366" i="436" s="1"/>
  <c r="B367" i="436" s="1"/>
  <c r="B368" i="436" s="1"/>
  <c r="B369" i="436" s="1"/>
  <c r="B370" i="436" s="1"/>
  <c r="B371" i="436" s="1"/>
  <c r="B372" i="436" s="1"/>
  <c r="B373" i="436" s="1"/>
  <c r="B374" i="436" s="1"/>
  <c r="B375" i="436" s="1"/>
  <c r="B376" i="436" s="1"/>
  <c r="B377" i="436" s="1"/>
  <c r="B378" i="436" s="1"/>
  <c r="B379" i="436" s="1"/>
  <c r="B380" i="436" s="1"/>
  <c r="B381" i="436" s="1"/>
  <c r="B382" i="436" s="1"/>
  <c r="B383" i="436" s="1"/>
  <c r="B384" i="436" s="1"/>
  <c r="B385" i="436" s="1"/>
  <c r="B386" i="436" s="1"/>
  <c r="B387" i="436" s="1"/>
  <c r="B388" i="436" s="1"/>
  <c r="B389" i="436" s="1"/>
  <c r="B390" i="436" s="1"/>
  <c r="B391" i="436" s="1"/>
  <c r="B392" i="436" s="1"/>
  <c r="B393" i="436" s="1"/>
  <c r="B394" i="436" s="1"/>
  <c r="B395" i="436" s="1"/>
  <c r="B396" i="436" s="1"/>
  <c r="B397" i="436" s="1"/>
  <c r="B398" i="436" s="1"/>
  <c r="B399" i="436" s="1"/>
  <c r="B400" i="436" s="1"/>
  <c r="B401" i="436" s="1"/>
  <c r="B402" i="436" s="1"/>
  <c r="B403" i="436" s="1"/>
  <c r="B404" i="436" s="1"/>
  <c r="B405" i="436" s="1"/>
  <c r="B406" i="436" s="1"/>
  <c r="B407" i="436" s="1"/>
  <c r="B408" i="436" s="1"/>
  <c r="B409" i="436" s="1"/>
  <c r="B410" i="436" s="1"/>
  <c r="B411" i="436" s="1"/>
  <c r="B412" i="436" s="1"/>
  <c r="B413" i="436" s="1"/>
  <c r="B414" i="436" s="1"/>
  <c r="B415" i="436" s="1"/>
  <c r="B416" i="436" s="1"/>
  <c r="B417" i="436" s="1"/>
  <c r="B418" i="436" s="1"/>
  <c r="B419" i="436" s="1"/>
  <c r="B420" i="436" s="1"/>
  <c r="B421" i="436" s="1"/>
  <c r="B422" i="436" s="1"/>
  <c r="B423" i="436" s="1"/>
  <c r="B424" i="436" s="1"/>
  <c r="B425" i="436" s="1"/>
  <c r="B426" i="436" s="1"/>
  <c r="B427" i="436" s="1"/>
  <c r="B428" i="436" s="1"/>
  <c r="B429" i="436" s="1"/>
  <c r="B430" i="436" s="1"/>
  <c r="B431" i="436" s="1"/>
  <c r="B432" i="436" s="1"/>
  <c r="B433" i="436" s="1"/>
  <c r="B434" i="436" s="1"/>
  <c r="B435" i="436" s="1"/>
  <c r="B436" i="436" s="1"/>
  <c r="B437" i="436" s="1"/>
  <c r="B438" i="436" s="1"/>
  <c r="B439" i="436" s="1"/>
  <c r="B440" i="436" s="1"/>
  <c r="B441" i="436" s="1"/>
  <c r="B442" i="436" s="1"/>
  <c r="B443" i="436" s="1"/>
  <c r="B444" i="436" s="1"/>
  <c r="B445" i="436" s="1"/>
  <c r="B446" i="436" s="1"/>
  <c r="B447" i="436" s="1"/>
  <c r="B448" i="436" s="1"/>
  <c r="B449" i="436" s="1"/>
  <c r="B450" i="436" s="1"/>
  <c r="B451" i="436" s="1"/>
  <c r="B452" i="436" s="1"/>
  <c r="B453" i="436" s="1"/>
  <c r="B454" i="436" s="1"/>
  <c r="B455" i="436" s="1"/>
  <c r="B456" i="436" s="1"/>
  <c r="B457" i="436" s="1"/>
  <c r="B458" i="436" s="1"/>
  <c r="B459" i="436" s="1"/>
  <c r="B460" i="436" s="1"/>
  <c r="B461" i="436" s="1"/>
  <c r="B462" i="436" s="1"/>
  <c r="B463" i="436" s="1"/>
  <c r="B464" i="436" s="1"/>
  <c r="B465" i="436" s="1"/>
  <c r="B466" i="436" s="1"/>
  <c r="B467" i="436" s="1"/>
  <c r="B468" i="436" s="1"/>
  <c r="B469" i="436" s="1"/>
  <c r="B470" i="436" s="1"/>
  <c r="B471" i="436" s="1"/>
  <c r="B472" i="436" s="1"/>
  <c r="B473" i="436" s="1"/>
  <c r="B474" i="436" s="1"/>
  <c r="B475" i="436" s="1"/>
  <c r="B476" i="436" s="1"/>
  <c r="B477" i="436" s="1"/>
  <c r="B478" i="436" s="1"/>
  <c r="B479" i="436" s="1"/>
  <c r="B480" i="436" s="1"/>
  <c r="B481" i="436" s="1"/>
  <c r="B482" i="436" s="1"/>
  <c r="B483" i="436" s="1"/>
  <c r="B484" i="436" s="1"/>
  <c r="B485" i="436" s="1"/>
  <c r="B486" i="436" s="1"/>
  <c r="B487" i="436" s="1"/>
  <c r="B488" i="436" s="1"/>
  <c r="B489" i="436" s="1"/>
  <c r="B490" i="436" s="1"/>
  <c r="B491" i="436" s="1"/>
  <c r="B492" i="436" s="1"/>
  <c r="B493" i="436" s="1"/>
  <c r="B494" i="436" s="1"/>
  <c r="B495" i="436" s="1"/>
  <c r="B496" i="436" s="1"/>
  <c r="B497" i="436" s="1"/>
  <c r="B498" i="436" s="1"/>
  <c r="B499" i="436" s="1"/>
  <c r="B500" i="436" s="1"/>
  <c r="B501" i="436" s="1"/>
  <c r="B502" i="436" s="1"/>
  <c r="B503" i="436" s="1"/>
  <c r="B504" i="436" s="1"/>
  <c r="B505" i="436" s="1"/>
  <c r="B506" i="436" s="1"/>
  <c r="B507" i="436" s="1"/>
  <c r="B508" i="436" s="1"/>
  <c r="B509" i="436" s="1"/>
  <c r="B510" i="436" s="1"/>
  <c r="B511" i="436" s="1"/>
  <c r="B512" i="436" s="1"/>
  <c r="B513" i="436" s="1"/>
  <c r="B514" i="436" s="1"/>
  <c r="B515" i="436" s="1"/>
  <c r="B516" i="436" s="1"/>
  <c r="B517" i="436" s="1"/>
  <c r="B518" i="436" s="1"/>
  <c r="B519" i="436" s="1"/>
  <c r="B520" i="436" s="1"/>
  <c r="B521" i="436" s="1"/>
  <c r="B522" i="436" s="1"/>
  <c r="B523" i="436" s="1"/>
  <c r="B524" i="436" s="1"/>
  <c r="B525" i="436" s="1"/>
  <c r="B526" i="436" s="1"/>
  <c r="B527" i="436" s="1"/>
  <c r="B528" i="436" s="1"/>
  <c r="B529" i="436" s="1"/>
  <c r="B530" i="436" s="1"/>
  <c r="B531" i="436" s="1"/>
  <c r="B532" i="436" s="1"/>
  <c r="B533" i="436" s="1"/>
  <c r="B534" i="436" s="1"/>
  <c r="B535" i="436" s="1"/>
  <c r="B536" i="436" s="1"/>
  <c r="B537" i="436" s="1"/>
  <c r="B538" i="436" s="1"/>
  <c r="B539" i="436" s="1"/>
  <c r="B540" i="436" s="1"/>
  <c r="B541" i="436" s="1"/>
  <c r="B542" i="436" s="1"/>
  <c r="B543" i="436" s="1"/>
  <c r="B544" i="436" s="1"/>
  <c r="B545" i="436" s="1"/>
  <c r="B546" i="436" s="1"/>
  <c r="B547" i="436" s="1"/>
  <c r="B548" i="436" s="1"/>
  <c r="B549" i="436" s="1"/>
  <c r="B550" i="436" s="1"/>
  <c r="B551" i="436" s="1"/>
  <c r="B552" i="436" s="1"/>
  <c r="B553" i="436" s="1"/>
  <c r="B554" i="436" s="1"/>
  <c r="B555" i="436" s="1"/>
  <c r="B556" i="436" s="1"/>
  <c r="B557" i="436" s="1"/>
  <c r="B558" i="436" s="1"/>
  <c r="B559" i="436" s="1"/>
  <c r="B560" i="436" s="1"/>
  <c r="B561" i="436" s="1"/>
  <c r="B562" i="436" s="1"/>
  <c r="B563" i="436" s="1"/>
  <c r="B564" i="436" s="1"/>
  <c r="B565" i="436" s="1"/>
  <c r="B566" i="436" s="1"/>
  <c r="B567" i="436" s="1"/>
  <c r="B568" i="436" s="1"/>
  <c r="B569" i="436" s="1"/>
  <c r="B570" i="436" s="1"/>
  <c r="B571" i="436" s="1"/>
  <c r="B572" i="436" s="1"/>
  <c r="B573" i="436" s="1"/>
  <c r="B574" i="436" s="1"/>
  <c r="B575" i="436" s="1"/>
  <c r="B576" i="436" s="1"/>
  <c r="B577" i="436" s="1"/>
  <c r="B578" i="436" s="1"/>
  <c r="B579" i="436" s="1"/>
  <c r="B580" i="436" s="1"/>
  <c r="B581" i="436" s="1"/>
  <c r="B582" i="436" s="1"/>
  <c r="B583" i="436" s="1"/>
  <c r="B584" i="436" s="1"/>
  <c r="B585" i="436" s="1"/>
  <c r="B586" i="436" s="1"/>
  <c r="B587" i="436" s="1"/>
  <c r="B588" i="436" s="1"/>
  <c r="B589" i="436" s="1"/>
  <c r="B590" i="436" s="1"/>
  <c r="B591" i="436" s="1"/>
  <c r="B592" i="436" s="1"/>
  <c r="B593" i="436" s="1"/>
  <c r="B594" i="436" s="1"/>
  <c r="B595" i="436" s="1"/>
  <c r="B596" i="436" s="1"/>
  <c r="B597" i="436" s="1"/>
  <c r="B598" i="436" s="1"/>
  <c r="B599" i="436" s="1"/>
  <c r="B600" i="436" s="1"/>
  <c r="B601" i="436" s="1"/>
  <c r="B602" i="436" s="1"/>
  <c r="B603" i="436" s="1"/>
  <c r="B604" i="436" s="1"/>
  <c r="B605" i="436" s="1"/>
  <c r="B606" i="436" s="1"/>
  <c r="B607" i="436" s="1"/>
  <c r="B608" i="436" s="1"/>
  <c r="B609" i="436" s="1"/>
  <c r="B610" i="436" s="1"/>
  <c r="B611" i="436" s="1"/>
  <c r="B612" i="436" s="1"/>
  <c r="B613" i="436" s="1"/>
  <c r="B614" i="436" s="1"/>
  <c r="B615" i="436" s="1"/>
  <c r="B616" i="436" s="1"/>
  <c r="B617" i="436" s="1"/>
  <c r="B618" i="436" s="1"/>
  <c r="B619" i="436" s="1"/>
  <c r="B620" i="436" s="1"/>
  <c r="B621" i="436" s="1"/>
  <c r="B622" i="436" s="1"/>
  <c r="B623" i="436" s="1"/>
  <c r="B624" i="436" s="1"/>
  <c r="B625" i="436" s="1"/>
  <c r="B626" i="436" s="1"/>
  <c r="B627" i="436" s="1"/>
  <c r="B628" i="436" s="1"/>
  <c r="B629" i="436" s="1"/>
  <c r="B630" i="436" s="1"/>
  <c r="B631" i="436" s="1"/>
  <c r="B632" i="436" s="1"/>
  <c r="B633" i="436" s="1"/>
  <c r="B634" i="436" s="1"/>
  <c r="B635" i="436" s="1"/>
  <c r="B636" i="436" s="1"/>
  <c r="B637" i="436" s="1"/>
  <c r="B638" i="436" s="1"/>
  <c r="B639" i="436" s="1"/>
  <c r="B640" i="436" s="1"/>
  <c r="B641" i="436" s="1"/>
  <c r="B642" i="436" s="1"/>
  <c r="B643" i="436" s="1"/>
  <c r="B644" i="436" s="1"/>
  <c r="B645" i="436" s="1"/>
  <c r="B646" i="436" s="1"/>
  <c r="B647" i="436" s="1"/>
  <c r="B648" i="436" s="1"/>
  <c r="B649" i="436" s="1"/>
  <c r="B650" i="436" s="1"/>
  <c r="B651" i="436" s="1"/>
  <c r="B652" i="436" s="1"/>
  <c r="B653" i="436" s="1"/>
  <c r="B654" i="436" s="1"/>
  <c r="B655" i="436" s="1"/>
  <c r="B656" i="436" s="1"/>
  <c r="B657" i="436" s="1"/>
  <c r="B658" i="436" s="1"/>
  <c r="B659" i="436" s="1"/>
  <c r="B660" i="436" s="1"/>
  <c r="B661" i="436" s="1"/>
  <c r="B662" i="436" s="1"/>
  <c r="B663" i="436" s="1"/>
  <c r="B664" i="436" s="1"/>
  <c r="B665" i="436" s="1"/>
  <c r="B666" i="436" s="1"/>
  <c r="B667" i="436" s="1"/>
  <c r="B668" i="436" s="1"/>
  <c r="B669" i="436" s="1"/>
  <c r="B670" i="436" s="1"/>
  <c r="B671" i="436" s="1"/>
  <c r="B672" i="436" s="1"/>
  <c r="B673" i="436" s="1"/>
  <c r="B674" i="436" s="1"/>
  <c r="B675" i="436" s="1"/>
  <c r="B676" i="436" s="1"/>
  <c r="B677" i="436" s="1"/>
  <c r="B678" i="436" s="1"/>
  <c r="B679" i="436" s="1"/>
  <c r="B680" i="436" s="1"/>
  <c r="B681" i="436" s="1"/>
  <c r="B682" i="436" s="1"/>
  <c r="B683" i="436" s="1"/>
  <c r="B684" i="436" s="1"/>
  <c r="B685" i="436" s="1"/>
  <c r="B686" i="436" s="1"/>
  <c r="B687" i="436" s="1"/>
  <c r="B688" i="436" s="1"/>
  <c r="B689" i="436" s="1"/>
  <c r="B690" i="436" s="1"/>
  <c r="B691" i="436" s="1"/>
  <c r="B692" i="436" s="1"/>
  <c r="B693" i="436" s="1"/>
  <c r="B694" i="436" s="1"/>
  <c r="B695" i="436" s="1"/>
  <c r="B696" i="436" s="1"/>
  <c r="B697" i="436" s="1"/>
  <c r="B698" i="436" s="1"/>
  <c r="B699" i="436" s="1"/>
  <c r="B700" i="436" s="1"/>
  <c r="B701" i="436" s="1"/>
  <c r="B702" i="436" s="1"/>
  <c r="B703" i="436" s="1"/>
  <c r="B704" i="436" s="1"/>
  <c r="B705" i="436" s="1"/>
  <c r="B706" i="436" s="1"/>
  <c r="B707" i="436" s="1"/>
  <c r="B708" i="436" s="1"/>
  <c r="B709" i="436" s="1"/>
  <c r="B710" i="436" s="1"/>
  <c r="B711" i="436" s="1"/>
  <c r="B712" i="436" s="1"/>
  <c r="B713" i="436" s="1"/>
  <c r="B714" i="436" s="1"/>
  <c r="B715" i="436" s="1"/>
  <c r="B716" i="436" s="1"/>
  <c r="B717" i="436" s="1"/>
  <c r="B718" i="436" s="1"/>
  <c r="B719" i="436" s="1"/>
  <c r="B720" i="436" s="1"/>
  <c r="B721" i="436" s="1"/>
  <c r="B722" i="436" s="1"/>
  <c r="B723" i="436" s="1"/>
  <c r="B724" i="436" s="1"/>
  <c r="B725" i="436" s="1"/>
  <c r="B726" i="436" s="1"/>
  <c r="B727" i="436" s="1"/>
  <c r="B728" i="436" s="1"/>
  <c r="B729" i="436" s="1"/>
  <c r="B730" i="436" s="1"/>
  <c r="B731" i="436" s="1"/>
  <c r="B732" i="436" s="1"/>
  <c r="B733" i="436" s="1"/>
  <c r="B734" i="436" s="1"/>
  <c r="B735" i="436" s="1"/>
  <c r="B736" i="436" s="1"/>
  <c r="B737" i="436" s="1"/>
  <c r="B738" i="436" s="1"/>
  <c r="B739" i="436" s="1"/>
  <c r="B740" i="436" s="1"/>
  <c r="B741" i="436" s="1"/>
  <c r="B742" i="436" s="1"/>
  <c r="B743" i="436" s="1"/>
  <c r="B744" i="436" s="1"/>
  <c r="B745" i="436" s="1"/>
  <c r="B746" i="436" s="1"/>
  <c r="B747" i="436" s="1"/>
  <c r="B748" i="436" s="1"/>
  <c r="B749" i="436" s="1"/>
  <c r="B750" i="436" s="1"/>
  <c r="B751" i="436" s="1"/>
  <c r="B752" i="436" s="1"/>
  <c r="B753" i="436" s="1"/>
  <c r="B754" i="436" s="1"/>
  <c r="B755" i="436" s="1"/>
  <c r="B756" i="436" s="1"/>
  <c r="B757" i="436" s="1"/>
  <c r="B758" i="436" s="1"/>
  <c r="B759" i="436" s="1"/>
  <c r="B760" i="436" s="1"/>
  <c r="B761" i="436" s="1"/>
  <c r="B762" i="436" s="1"/>
  <c r="B763" i="436" s="1"/>
  <c r="B764" i="436" s="1"/>
  <c r="B765" i="436" s="1"/>
  <c r="B766" i="436" s="1"/>
  <c r="B767" i="436" s="1"/>
  <c r="B768" i="436" s="1"/>
  <c r="B769" i="436" s="1"/>
  <c r="B770" i="436" s="1"/>
  <c r="B771" i="436" s="1"/>
  <c r="B772" i="436" s="1"/>
  <c r="B773" i="436" s="1"/>
  <c r="B774" i="436" s="1"/>
  <c r="B775" i="436" s="1"/>
  <c r="B776" i="436" s="1"/>
  <c r="B777" i="436" s="1"/>
  <c r="B778" i="436" s="1"/>
  <c r="B779" i="436" s="1"/>
  <c r="B780" i="436" s="1"/>
  <c r="B781" i="436" s="1"/>
  <c r="B782" i="436" s="1"/>
  <c r="B783" i="436" s="1"/>
  <c r="B784" i="436" s="1"/>
  <c r="B785" i="436" s="1"/>
  <c r="B786" i="436" s="1"/>
  <c r="B787" i="436" s="1"/>
  <c r="B788" i="436" s="1"/>
  <c r="B789" i="436" s="1"/>
  <c r="B790" i="436" s="1"/>
  <c r="B791" i="436" s="1"/>
  <c r="B792" i="436" s="1"/>
  <c r="B793" i="436" s="1"/>
  <c r="B794" i="436" s="1"/>
  <c r="B795" i="436" s="1"/>
  <c r="B796" i="436" s="1"/>
  <c r="B797" i="436" s="1"/>
  <c r="B798" i="436" s="1"/>
  <c r="B799" i="436" s="1"/>
  <c r="B800" i="436" s="1"/>
  <c r="B801" i="436" s="1"/>
  <c r="B802" i="436" s="1"/>
  <c r="B803" i="436" s="1"/>
  <c r="B804" i="436" s="1"/>
  <c r="B805" i="436" s="1"/>
  <c r="B806" i="436" s="1"/>
  <c r="B807" i="436" s="1"/>
  <c r="B808" i="436" s="1"/>
  <c r="B809" i="436" s="1"/>
  <c r="B810" i="436" s="1"/>
  <c r="B811" i="436" s="1"/>
  <c r="B812" i="436" s="1"/>
  <c r="B813" i="436" s="1"/>
  <c r="B814" i="436" s="1"/>
  <c r="B815" i="436" s="1"/>
  <c r="B816" i="436" s="1"/>
  <c r="B817" i="436" s="1"/>
  <c r="B818" i="436" s="1"/>
  <c r="B819" i="436" s="1"/>
  <c r="B820" i="436" s="1"/>
  <c r="B821" i="436" s="1"/>
  <c r="B822" i="436" s="1"/>
  <c r="B823" i="436" s="1"/>
  <c r="B824" i="436" s="1"/>
  <c r="B825" i="436" s="1"/>
  <c r="B826" i="436" s="1"/>
  <c r="B827" i="436" s="1"/>
  <c r="B828" i="436" s="1"/>
  <c r="B829" i="436" s="1"/>
  <c r="B830" i="436" s="1"/>
  <c r="B831" i="436" s="1"/>
  <c r="B832" i="436" s="1"/>
  <c r="B833" i="436" s="1"/>
  <c r="B834" i="436" s="1"/>
  <c r="B835" i="436" s="1"/>
  <c r="B836" i="436" s="1"/>
  <c r="B837" i="436" s="1"/>
  <c r="B838" i="436" s="1"/>
  <c r="B839" i="436" s="1"/>
  <c r="B840" i="436" s="1"/>
  <c r="B841" i="436" s="1"/>
  <c r="B842" i="436" s="1"/>
  <c r="B843" i="436" s="1"/>
  <c r="B844" i="436" s="1"/>
  <c r="B845" i="436" s="1"/>
  <c r="B846" i="436" s="1"/>
  <c r="B847" i="436" s="1"/>
  <c r="B848" i="436" s="1"/>
  <c r="B849" i="436" s="1"/>
  <c r="B850" i="436" s="1"/>
  <c r="B851" i="436" s="1"/>
  <c r="B852" i="436" s="1"/>
  <c r="B853" i="436" s="1"/>
  <c r="B854" i="436" s="1"/>
  <c r="B855" i="436" s="1"/>
  <c r="B856" i="436" s="1"/>
  <c r="B857" i="436" s="1"/>
  <c r="B858" i="436" s="1"/>
  <c r="B859" i="436" s="1"/>
  <c r="B860" i="436" s="1"/>
  <c r="B861" i="436" s="1"/>
  <c r="B862" i="436" s="1"/>
  <c r="B863" i="436" s="1"/>
  <c r="B864" i="436" s="1"/>
  <c r="B865" i="436" s="1"/>
  <c r="B866" i="436" s="1"/>
  <c r="B867" i="436" s="1"/>
  <c r="B868" i="436" s="1"/>
  <c r="B869" i="436" s="1"/>
  <c r="B870" i="436" s="1"/>
  <c r="B871" i="436" s="1"/>
  <c r="B872" i="436" s="1"/>
  <c r="B873" i="436" s="1"/>
  <c r="B874" i="436" s="1"/>
  <c r="B875" i="436" s="1"/>
  <c r="B876" i="436" s="1"/>
  <c r="B877" i="436" s="1"/>
  <c r="B878" i="436" s="1"/>
  <c r="B879" i="436" s="1"/>
  <c r="B880" i="436" s="1"/>
  <c r="B881" i="436" s="1"/>
  <c r="B882" i="436" s="1"/>
  <c r="B883" i="436" s="1"/>
  <c r="B884" i="436" s="1"/>
  <c r="B885" i="436" s="1"/>
  <c r="B886" i="436" s="1"/>
  <c r="B887" i="436" s="1"/>
  <c r="B888" i="436" s="1"/>
  <c r="B889" i="436" s="1"/>
  <c r="B890" i="436" s="1"/>
  <c r="B891" i="436" s="1"/>
  <c r="M98" i="436"/>
  <c r="N98" i="436" s="1"/>
  <c r="I24" i="429"/>
  <c r="I25" i="436"/>
  <c r="E29" i="424"/>
  <c r="E28" i="424"/>
  <c r="E21" i="424"/>
  <c r="E19" i="424"/>
  <c r="E20" i="424"/>
  <c r="M90" i="436" s="1"/>
  <c r="N90" i="436" s="1"/>
  <c r="E22" i="424"/>
  <c r="M92" i="436" s="1"/>
  <c r="N92" i="436" s="1"/>
  <c r="E24" i="424"/>
  <c r="M96" i="436" s="1"/>
  <c r="N96" i="436" s="1"/>
  <c r="E23" i="424"/>
  <c r="M94" i="436" s="1"/>
  <c r="N94" i="436" s="1"/>
  <c r="E27" i="424" l="1"/>
  <c r="M79" i="436"/>
  <c r="N79" i="436" s="1"/>
  <c r="N111" i="436"/>
  <c r="N10" i="436"/>
  <c r="E18" i="424"/>
  <c r="M88" i="436"/>
  <c r="N88" i="436" s="1"/>
  <c r="I25" i="429"/>
  <c r="I26" i="436"/>
  <c r="I26" i="429" l="1"/>
  <c r="I27" i="436"/>
  <c r="I28" i="436" l="1"/>
  <c r="C11" i="344" l="1"/>
  <c r="H12" i="344"/>
  <c r="I29" i="436" l="1"/>
  <c r="I31" i="436" l="1"/>
  <c r="F33" i="412"/>
  <c r="D47" i="412" s="1"/>
  <c r="F47" i="412" s="1"/>
  <c r="F32" i="412"/>
  <c r="F31" i="412"/>
  <c r="D59" i="412" s="1"/>
  <c r="F59" i="412" s="1"/>
  <c r="F30" i="412"/>
  <c r="F62" i="412" s="1"/>
  <c r="F29" i="412"/>
  <c r="F28" i="412"/>
  <c r="F27" i="412"/>
  <c r="D50" i="412" s="1"/>
  <c r="F50" i="412" s="1"/>
  <c r="F26" i="412"/>
  <c r="F20" i="412"/>
  <c r="F19" i="412"/>
  <c r="F18" i="412"/>
  <c r="F11" i="412"/>
  <c r="F10" i="412"/>
  <c r="F9" i="412"/>
  <c r="F8" i="412"/>
  <c r="F39" i="412" s="1"/>
  <c r="C10" i="404"/>
  <c r="H9" i="404"/>
  <c r="F9" i="404"/>
  <c r="N25" i="401"/>
  <c r="M25" i="401"/>
  <c r="L25" i="401"/>
  <c r="K25" i="401"/>
  <c r="J25" i="401"/>
  <c r="I25" i="401"/>
  <c r="H25" i="401"/>
  <c r="G25" i="401"/>
  <c r="F25" i="401"/>
  <c r="E25" i="401"/>
  <c r="D25" i="401"/>
  <c r="C25" i="401"/>
  <c r="B25" i="401"/>
  <c r="N21" i="401"/>
  <c r="M21" i="401"/>
  <c r="L21" i="401"/>
  <c r="L29" i="401" s="1"/>
  <c r="K21" i="401"/>
  <c r="J21" i="401"/>
  <c r="I21" i="401"/>
  <c r="H21" i="401"/>
  <c r="G21" i="401"/>
  <c r="F21" i="401"/>
  <c r="E21" i="401"/>
  <c r="D21" i="401"/>
  <c r="C21" i="401"/>
  <c r="B21" i="401"/>
  <c r="M13" i="401"/>
  <c r="F13" i="401"/>
  <c r="D13" i="401"/>
  <c r="C13" i="401"/>
  <c r="J13" i="401"/>
  <c r="L13" i="401"/>
  <c r="K13" i="401"/>
  <c r="I13" i="401"/>
  <c r="H13" i="401"/>
  <c r="G13" i="401"/>
  <c r="E13" i="401"/>
  <c r="N8" i="401"/>
  <c r="M8" i="401"/>
  <c r="F8" i="401"/>
  <c r="D8" i="401"/>
  <c r="B8" i="401"/>
  <c r="L8" i="401"/>
  <c r="L17" i="401" s="1"/>
  <c r="K8" i="401"/>
  <c r="K17" i="401" s="1"/>
  <c r="I8" i="401"/>
  <c r="I17" i="401" s="1"/>
  <c r="H8" i="401"/>
  <c r="G8" i="401"/>
  <c r="E8" i="401"/>
  <c r="C8" i="401"/>
  <c r="C17" i="401" s="1"/>
  <c r="B29" i="401" l="1"/>
  <c r="C29" i="401"/>
  <c r="C30" i="401" s="1"/>
  <c r="C31" i="401" s="1"/>
  <c r="L47" i="436" s="1"/>
  <c r="N47" i="436" s="1"/>
  <c r="F17" i="401"/>
  <c r="L30" i="401"/>
  <c r="L31" i="401" s="1"/>
  <c r="E29" i="401"/>
  <c r="K29" i="401"/>
  <c r="K30" i="401" s="1"/>
  <c r="K31" i="401" s="1"/>
  <c r="E17" i="401"/>
  <c r="G17" i="401"/>
  <c r="M29" i="401"/>
  <c r="D17" i="401"/>
  <c r="D29" i="401"/>
  <c r="D30" i="401" s="1"/>
  <c r="D31" i="401" s="1"/>
  <c r="L48" i="436" s="1"/>
  <c r="N48" i="436" s="1"/>
  <c r="F29" i="401"/>
  <c r="F30" i="401" s="1"/>
  <c r="F31" i="401" s="1"/>
  <c r="L50" i="436" s="1"/>
  <c r="N50" i="436" s="1"/>
  <c r="G29" i="401"/>
  <c r="G30" i="401" s="1"/>
  <c r="G31" i="401" s="1"/>
  <c r="L51" i="436" s="1"/>
  <c r="N51" i="436" s="1"/>
  <c r="H29" i="401"/>
  <c r="H30" i="401" s="1"/>
  <c r="H31" i="401" s="1"/>
  <c r="I29" i="401"/>
  <c r="I30" i="401" s="1"/>
  <c r="I31" i="401" s="1"/>
  <c r="J29" i="401"/>
  <c r="J30" i="401" s="1"/>
  <c r="J31" i="401" s="1"/>
  <c r="H17" i="401"/>
  <c r="N29" i="401"/>
  <c r="D60" i="412"/>
  <c r="F60" i="412" s="1"/>
  <c r="D54" i="412"/>
  <c r="F54" i="412" s="1"/>
  <c r="D55" i="412"/>
  <c r="F55" i="412" s="1"/>
  <c r="D51" i="412"/>
  <c r="F51" i="412" s="1"/>
  <c r="D53" i="412"/>
  <c r="F53" i="412" s="1"/>
  <c r="D43" i="412"/>
  <c r="F43" i="412" s="1"/>
  <c r="F45" i="412" s="1"/>
  <c r="D46" i="412"/>
  <c r="F46" i="412" s="1"/>
  <c r="F61" i="412" s="1"/>
  <c r="F63" i="412" s="1"/>
  <c r="M82" i="436" s="1"/>
  <c r="N82" i="436" s="1"/>
  <c r="D44" i="412"/>
  <c r="F44" i="412" s="1"/>
  <c r="D48" i="412"/>
  <c r="F48" i="412" s="1"/>
  <c r="M17" i="401"/>
  <c r="I27" i="429"/>
  <c r="I32" i="436"/>
  <c r="J9" i="404"/>
  <c r="J8" i="404" s="1"/>
  <c r="J10" i="404" s="1"/>
  <c r="L67" i="436" s="1"/>
  <c r="J8" i="401"/>
  <c r="J17" i="401" s="1"/>
  <c r="B13" i="401"/>
  <c r="B17" i="401" s="1"/>
  <c r="N13" i="401"/>
  <c r="M30" i="401" l="1"/>
  <c r="M31" i="401" s="1"/>
  <c r="E30" i="401"/>
  <c r="E31" i="401" s="1"/>
  <c r="L49" i="436" s="1"/>
  <c r="N49" i="436" s="1"/>
  <c r="N17" i="401"/>
  <c r="N30" i="401" s="1"/>
  <c r="N31" i="401" s="1"/>
  <c r="O16" i="401"/>
  <c r="D35" i="401" s="1"/>
  <c r="O14" i="401"/>
  <c r="D33" i="401" s="1"/>
  <c r="O15" i="401"/>
  <c r="D34" i="401" s="1"/>
  <c r="B30" i="401"/>
  <c r="B31" i="401" s="1"/>
  <c r="L46" i="436" s="1"/>
  <c r="N46" i="436" s="1"/>
  <c r="L75" i="436"/>
  <c r="N75" i="436" s="1"/>
  <c r="N67" i="436"/>
  <c r="I28" i="429"/>
  <c r="E9" i="440" l="1"/>
  <c r="L58" i="436"/>
  <c r="N58" i="436" s="1"/>
  <c r="N54" i="436"/>
  <c r="I29" i="429"/>
  <c r="I33" i="436"/>
  <c r="F9" i="440" l="1"/>
  <c r="I34" i="436"/>
  <c r="I30" i="429" l="1"/>
  <c r="I35" i="436"/>
  <c r="I31" i="429" l="1"/>
  <c r="I36" i="436"/>
  <c r="I32" i="429" l="1"/>
  <c r="I37" i="436"/>
  <c r="I38" i="436" l="1"/>
  <c r="I39" i="436" l="1"/>
  <c r="I33" i="429" l="1"/>
  <c r="I40" i="436"/>
  <c r="I34" i="429" l="1"/>
  <c r="I42" i="436"/>
  <c r="I35" i="429" l="1"/>
  <c r="I43" i="436"/>
  <c r="I36" i="429" l="1"/>
  <c r="I45" i="436" l="1"/>
  <c r="L6" i="393"/>
  <c r="M6" i="393" s="1"/>
  <c r="I46" i="436" l="1"/>
  <c r="I37" i="429" l="1"/>
  <c r="I47" i="436"/>
  <c r="I38" i="429" l="1"/>
  <c r="I48" i="436"/>
  <c r="I49" i="436" l="1"/>
  <c r="I50" i="436" l="1"/>
  <c r="P46" i="364"/>
  <c r="S46" i="364" s="1"/>
  <c r="N46" i="364"/>
  <c r="I46" i="364"/>
  <c r="L46" i="364" s="1"/>
  <c r="E46" i="364"/>
  <c r="H46" i="364" s="1"/>
  <c r="P45" i="364"/>
  <c r="S45" i="364" s="1"/>
  <c r="N45" i="364"/>
  <c r="I45" i="364"/>
  <c r="L45" i="364" s="1"/>
  <c r="E45" i="364"/>
  <c r="H45" i="364" s="1"/>
  <c r="P44" i="364"/>
  <c r="S44" i="364" s="1"/>
  <c r="N44" i="364"/>
  <c r="I44" i="364"/>
  <c r="L44" i="364" s="1"/>
  <c r="E44" i="364"/>
  <c r="H44" i="364" s="1"/>
  <c r="P43" i="364"/>
  <c r="S43" i="364" s="1"/>
  <c r="N43" i="364"/>
  <c r="I43" i="364"/>
  <c r="L43" i="364" s="1"/>
  <c r="E43" i="364"/>
  <c r="H43" i="364" s="1"/>
  <c r="P42" i="364"/>
  <c r="S42" i="364" s="1"/>
  <c r="N42" i="364"/>
  <c r="I42" i="364"/>
  <c r="L42" i="364" s="1"/>
  <c r="E42" i="364"/>
  <c r="H42" i="364" s="1"/>
  <c r="P41" i="364"/>
  <c r="S41" i="364" s="1"/>
  <c r="N41" i="364"/>
  <c r="I41" i="364"/>
  <c r="L41" i="364" s="1"/>
  <c r="E41" i="364"/>
  <c r="H41" i="364" s="1"/>
  <c r="P40" i="364"/>
  <c r="S40" i="364" s="1"/>
  <c r="N40" i="364"/>
  <c r="I40" i="364"/>
  <c r="L40" i="364" s="1"/>
  <c r="E40" i="364"/>
  <c r="H40" i="364" s="1"/>
  <c r="P39" i="364"/>
  <c r="S39" i="364" s="1"/>
  <c r="N39" i="364"/>
  <c r="I39" i="364"/>
  <c r="L39" i="364" s="1"/>
  <c r="E39" i="364"/>
  <c r="H39" i="364" s="1"/>
  <c r="P38" i="364"/>
  <c r="S38" i="364" s="1"/>
  <c r="N38" i="364"/>
  <c r="I38" i="364"/>
  <c r="L38" i="364" s="1"/>
  <c r="E38" i="364"/>
  <c r="H38" i="364" s="1"/>
  <c r="P37" i="364"/>
  <c r="S37" i="364" s="1"/>
  <c r="N37" i="364"/>
  <c r="I37" i="364"/>
  <c r="L37" i="364" s="1"/>
  <c r="E37" i="364"/>
  <c r="H37" i="364" s="1"/>
  <c r="P36" i="364"/>
  <c r="S36" i="364" s="1"/>
  <c r="N36" i="364"/>
  <c r="I36" i="364"/>
  <c r="L36" i="364" s="1"/>
  <c r="E36" i="364"/>
  <c r="H36" i="364" s="1"/>
  <c r="P35" i="364"/>
  <c r="S35" i="364" s="1"/>
  <c r="N35" i="364"/>
  <c r="I35" i="364"/>
  <c r="L35" i="364" s="1"/>
  <c r="E35" i="364"/>
  <c r="H35" i="364" s="1"/>
  <c r="S34" i="364"/>
  <c r="P34" i="364"/>
  <c r="N34" i="364"/>
  <c r="I34" i="364"/>
  <c r="L34" i="364" s="1"/>
  <c r="E34" i="364"/>
  <c r="H34" i="364" s="1"/>
  <c r="P33" i="364"/>
  <c r="S33" i="364" s="1"/>
  <c r="N33" i="364"/>
  <c r="I33" i="364"/>
  <c r="L33" i="364" s="1"/>
  <c r="E33" i="364"/>
  <c r="H33" i="364" s="1"/>
  <c r="P32" i="364"/>
  <c r="S32" i="364" s="1"/>
  <c r="N32" i="364"/>
  <c r="I32" i="364"/>
  <c r="L32" i="364" s="1"/>
  <c r="E32" i="364"/>
  <c r="H32" i="364" s="1"/>
  <c r="P31" i="364"/>
  <c r="S31" i="364" s="1"/>
  <c r="N31" i="364"/>
  <c r="I31" i="364"/>
  <c r="L31" i="364" s="1"/>
  <c r="E31" i="364"/>
  <c r="H31" i="364" s="1"/>
  <c r="P30" i="364"/>
  <c r="S30" i="364" s="1"/>
  <c r="N30" i="364"/>
  <c r="I30" i="364"/>
  <c r="L30" i="364" s="1"/>
  <c r="E30" i="364"/>
  <c r="H30" i="364" s="1"/>
  <c r="P29" i="364"/>
  <c r="S29" i="364" s="1"/>
  <c r="N29" i="364"/>
  <c r="I29" i="364"/>
  <c r="L29" i="364" s="1"/>
  <c r="E29" i="364"/>
  <c r="H29" i="364" s="1"/>
  <c r="P28" i="364"/>
  <c r="S28" i="364" s="1"/>
  <c r="N28" i="364"/>
  <c r="I28" i="364"/>
  <c r="L28" i="364" s="1"/>
  <c r="E28" i="364"/>
  <c r="H28" i="364" s="1"/>
  <c r="P27" i="364"/>
  <c r="S27" i="364" s="1"/>
  <c r="N27" i="364"/>
  <c r="I27" i="364"/>
  <c r="L27" i="364" s="1"/>
  <c r="E27" i="364"/>
  <c r="H27" i="364" s="1"/>
  <c r="J27" i="364" s="1"/>
  <c r="K27" i="364" s="1"/>
  <c r="P26" i="364"/>
  <c r="S26" i="364" s="1"/>
  <c r="N26" i="364"/>
  <c r="I26" i="364"/>
  <c r="L26" i="364" s="1"/>
  <c r="E26" i="364"/>
  <c r="H26" i="364" s="1"/>
  <c r="P25" i="364"/>
  <c r="S25" i="364" s="1"/>
  <c r="N25" i="364"/>
  <c r="I25" i="364"/>
  <c r="L25" i="364" s="1"/>
  <c r="E25" i="364"/>
  <c r="H25" i="364" s="1"/>
  <c r="P24" i="364"/>
  <c r="S24" i="364" s="1"/>
  <c r="N24" i="364"/>
  <c r="I24" i="364"/>
  <c r="L24" i="364" s="1"/>
  <c r="E24" i="364"/>
  <c r="H24" i="364" s="1"/>
  <c r="P23" i="364"/>
  <c r="S23" i="364" s="1"/>
  <c r="N23" i="364"/>
  <c r="I23" i="364"/>
  <c r="L23" i="364" s="1"/>
  <c r="E23" i="364"/>
  <c r="H23" i="364" s="1"/>
  <c r="P22" i="364"/>
  <c r="S22" i="364" s="1"/>
  <c r="N22" i="364"/>
  <c r="I22" i="364"/>
  <c r="L22" i="364" s="1"/>
  <c r="E22" i="364"/>
  <c r="H22" i="364" s="1"/>
  <c r="P21" i="364"/>
  <c r="S21" i="364" s="1"/>
  <c r="N21" i="364"/>
  <c r="I21" i="364"/>
  <c r="L21" i="364" s="1"/>
  <c r="E21" i="364"/>
  <c r="H21" i="364" s="1"/>
  <c r="P20" i="364"/>
  <c r="S20" i="364" s="1"/>
  <c r="N20" i="364"/>
  <c r="I20" i="364"/>
  <c r="L20" i="364" s="1"/>
  <c r="E20" i="364"/>
  <c r="H20" i="364" s="1"/>
  <c r="P19" i="364"/>
  <c r="S19" i="364" s="1"/>
  <c r="N19" i="364"/>
  <c r="I19" i="364"/>
  <c r="L19" i="364" s="1"/>
  <c r="E19" i="364"/>
  <c r="H19" i="364" s="1"/>
  <c r="P18" i="364"/>
  <c r="S18" i="364" s="1"/>
  <c r="N18" i="364"/>
  <c r="I18" i="364"/>
  <c r="L18" i="364" s="1"/>
  <c r="E18" i="364"/>
  <c r="H18" i="364" s="1"/>
  <c r="P17" i="364"/>
  <c r="S17" i="364" s="1"/>
  <c r="N17" i="364"/>
  <c r="I17" i="364"/>
  <c r="L17" i="364" s="1"/>
  <c r="E17" i="364"/>
  <c r="H17" i="364" s="1"/>
  <c r="P16" i="364"/>
  <c r="S16" i="364" s="1"/>
  <c r="N16" i="364"/>
  <c r="I16" i="364"/>
  <c r="L16" i="364" s="1"/>
  <c r="E16" i="364"/>
  <c r="H16" i="364" s="1"/>
  <c r="P15" i="364"/>
  <c r="S15" i="364" s="1"/>
  <c r="N15" i="364"/>
  <c r="I15" i="364"/>
  <c r="L15" i="364" s="1"/>
  <c r="E15" i="364"/>
  <c r="H15" i="364" s="1"/>
  <c r="P14" i="364"/>
  <c r="S14" i="364" s="1"/>
  <c r="N14" i="364"/>
  <c r="I14" i="364"/>
  <c r="L14" i="364" s="1"/>
  <c r="E14" i="364"/>
  <c r="H14" i="364" s="1"/>
  <c r="P13" i="364"/>
  <c r="S13" i="364" s="1"/>
  <c r="N13" i="364"/>
  <c r="I13" i="364"/>
  <c r="L13" i="364" s="1"/>
  <c r="E13" i="364"/>
  <c r="H13" i="364" s="1"/>
  <c r="J13" i="364" s="1"/>
  <c r="P12" i="364"/>
  <c r="S12" i="364" s="1"/>
  <c r="N12" i="364"/>
  <c r="I12" i="364"/>
  <c r="L12" i="364" s="1"/>
  <c r="E12" i="364"/>
  <c r="H12" i="364" s="1"/>
  <c r="P11" i="364"/>
  <c r="S11" i="364" s="1"/>
  <c r="N11" i="364"/>
  <c r="I11" i="364"/>
  <c r="L11" i="364" s="1"/>
  <c r="E11" i="364"/>
  <c r="H11" i="364" s="1"/>
  <c r="P10" i="364"/>
  <c r="S10" i="364" s="1"/>
  <c r="N10" i="364"/>
  <c r="I10" i="364"/>
  <c r="L10" i="364" s="1"/>
  <c r="E10" i="364"/>
  <c r="H10" i="364" s="1"/>
  <c r="P9" i="364"/>
  <c r="S9" i="364" s="1"/>
  <c r="N9" i="364"/>
  <c r="I9" i="364"/>
  <c r="L9" i="364" s="1"/>
  <c r="E9" i="364"/>
  <c r="H9" i="364" s="1"/>
  <c r="C2" i="344"/>
  <c r="C1" i="344"/>
  <c r="I39" i="429" l="1"/>
  <c r="I51" i="436"/>
  <c r="J11" i="364"/>
  <c r="K11" i="364" s="1"/>
  <c r="J19" i="364"/>
  <c r="K19" i="364" s="1"/>
  <c r="J21" i="364"/>
  <c r="K21" i="364" s="1"/>
  <c r="K13" i="364"/>
  <c r="J40" i="364"/>
  <c r="K40" i="364" s="1"/>
  <c r="J45" i="364"/>
  <c r="K45" i="364" s="1"/>
  <c r="J24" i="364"/>
  <c r="K24" i="364" s="1"/>
  <c r="J32" i="364"/>
  <c r="K32" i="364" s="1"/>
  <c r="J37" i="364"/>
  <c r="K37" i="364" s="1"/>
  <c r="J42" i="364"/>
  <c r="K42" i="364" s="1"/>
  <c r="J35" i="364"/>
  <c r="K35" i="364" s="1"/>
  <c r="J20" i="364"/>
  <c r="K20" i="364" s="1"/>
  <c r="J31" i="364"/>
  <c r="K31" i="364" s="1"/>
  <c r="J44" i="364"/>
  <c r="K44" i="364" s="1"/>
  <c r="J10" i="364"/>
  <c r="K10" i="364" s="1"/>
  <c r="K29" i="364"/>
  <c r="J29" i="364"/>
  <c r="J16" i="364"/>
  <c r="K16" i="364" s="1"/>
  <c r="J36" i="364"/>
  <c r="K36" i="364" s="1"/>
  <c r="J39" i="364"/>
  <c r="K39" i="364" s="1"/>
  <c r="J12" i="364"/>
  <c r="K12" i="364" s="1"/>
  <c r="J28" i="364"/>
  <c r="K28" i="364" s="1"/>
  <c r="J26" i="364"/>
  <c r="K26" i="364" s="1"/>
  <c r="J34" i="364"/>
  <c r="K34" i="364" s="1"/>
  <c r="J23" i="364"/>
  <c r="K23" i="364" s="1"/>
  <c r="J15" i="364"/>
  <c r="K15" i="364" s="1"/>
  <c r="J18" i="364"/>
  <c r="K18" i="364" s="1"/>
  <c r="J43" i="364"/>
  <c r="K43" i="364" s="1"/>
  <c r="J14" i="364"/>
  <c r="K14" i="364" s="1"/>
  <c r="J22" i="364"/>
  <c r="K22" i="364" s="1"/>
  <c r="J30" i="364"/>
  <c r="K30" i="364" s="1"/>
  <c r="J38" i="364"/>
  <c r="K38" i="364" s="1"/>
  <c r="J46" i="364"/>
  <c r="K46" i="364" s="1"/>
  <c r="J9" i="364"/>
  <c r="K9" i="364" s="1"/>
  <c r="J17" i="364"/>
  <c r="K17" i="364" s="1"/>
  <c r="J25" i="364"/>
  <c r="K25" i="364" s="1"/>
  <c r="J33" i="364"/>
  <c r="K33" i="364" s="1"/>
  <c r="J41" i="364"/>
  <c r="K41" i="364" s="1"/>
  <c r="I53" i="436" l="1"/>
  <c r="I65" i="436" l="1"/>
  <c r="I54" i="436"/>
  <c r="I55" i="436" l="1"/>
  <c r="I41" i="429" l="1"/>
  <c r="I56" i="436" l="1"/>
  <c r="I57" i="436" l="1"/>
  <c r="T55" i="364"/>
  <c r="Q55" i="364"/>
  <c r="O55" i="364"/>
  <c r="C55" i="364"/>
  <c r="P54" i="364"/>
  <c r="S54" i="364" s="1"/>
  <c r="N54" i="364"/>
  <c r="I54" i="364"/>
  <c r="L54" i="364" s="1"/>
  <c r="E54" i="364"/>
  <c r="H54" i="364" s="1"/>
  <c r="P53" i="364"/>
  <c r="S53" i="364" s="1"/>
  <c r="N53" i="364"/>
  <c r="I53" i="364"/>
  <c r="L53" i="364" s="1"/>
  <c r="E53" i="364"/>
  <c r="H53" i="364" s="1"/>
  <c r="P52" i="364"/>
  <c r="S52" i="364" s="1"/>
  <c r="N52" i="364"/>
  <c r="I52" i="364"/>
  <c r="L52" i="364" s="1"/>
  <c r="E52" i="364"/>
  <c r="H52" i="364" s="1"/>
  <c r="P51" i="364"/>
  <c r="S51" i="364" s="1"/>
  <c r="N51" i="364"/>
  <c r="I51" i="364"/>
  <c r="L51" i="364" s="1"/>
  <c r="E51" i="364"/>
  <c r="H51" i="364" s="1"/>
  <c r="P50" i="364"/>
  <c r="S50" i="364" s="1"/>
  <c r="N50" i="364"/>
  <c r="I50" i="364"/>
  <c r="L50" i="364" s="1"/>
  <c r="E50" i="364"/>
  <c r="H50" i="364" s="1"/>
  <c r="P48" i="364"/>
  <c r="S48" i="364" s="1"/>
  <c r="N48" i="364"/>
  <c r="I48" i="364"/>
  <c r="L48" i="364" s="1"/>
  <c r="E48" i="364"/>
  <c r="H48" i="364" s="1"/>
  <c r="V12" i="364"/>
  <c r="V11" i="364"/>
  <c r="V10" i="364"/>
  <c r="V9" i="364"/>
  <c r="V8" i="364"/>
  <c r="C2" i="364"/>
  <c r="C1" i="364"/>
  <c r="O17" i="363"/>
  <c r="O19" i="363" s="1"/>
  <c r="N17" i="363"/>
  <c r="N19" i="363" s="1"/>
  <c r="M17" i="363"/>
  <c r="M19" i="363" s="1"/>
  <c r="L17" i="363"/>
  <c r="L19" i="363" s="1"/>
  <c r="J17" i="363"/>
  <c r="J19" i="363" s="1"/>
  <c r="C2" i="363"/>
  <c r="C1" i="363"/>
  <c r="I58" i="436" l="1"/>
  <c r="J54" i="364"/>
  <c r="K54" i="364" s="1"/>
  <c r="N55" i="364"/>
  <c r="B59" i="364" s="1"/>
  <c r="V14" i="364"/>
  <c r="J50" i="364"/>
  <c r="K50" i="364" s="1"/>
  <c r="J52" i="364"/>
  <c r="K52" i="364" s="1"/>
  <c r="L55" i="364"/>
  <c r="J51" i="364"/>
  <c r="K51" i="364" s="1"/>
  <c r="J48" i="364"/>
  <c r="K48" i="364" s="1"/>
  <c r="J53" i="364"/>
  <c r="K53" i="364" s="1"/>
  <c r="H17" i="363"/>
  <c r="H19" i="363" s="1"/>
  <c r="D17" i="363"/>
  <c r="I17" i="363"/>
  <c r="I19" i="363" s="1"/>
  <c r="K17" i="363"/>
  <c r="K19" i="363" s="1"/>
  <c r="F17" i="363"/>
  <c r="F19" i="363" s="1"/>
  <c r="E17" i="363"/>
  <c r="E19" i="363" s="1"/>
  <c r="G17" i="363"/>
  <c r="G19" i="363" s="1"/>
  <c r="S55" i="364" l="1"/>
  <c r="I55" i="364"/>
  <c r="P55" i="364"/>
  <c r="H55" i="364"/>
  <c r="C17" i="363"/>
  <c r="D19" i="363"/>
  <c r="I42" i="429" l="1"/>
  <c r="I59" i="436"/>
  <c r="C19" i="363"/>
  <c r="K55" i="364"/>
  <c r="J55" i="364"/>
  <c r="W14" i="364"/>
  <c r="I60" i="436" l="1"/>
  <c r="O11" i="211"/>
  <c r="N11" i="211"/>
  <c r="C2" i="211"/>
  <c r="C1" i="211"/>
  <c r="C2" i="359"/>
  <c r="C1" i="359"/>
  <c r="I61" i="436" l="1"/>
  <c r="E8" i="440" l="1"/>
  <c r="N32" i="436"/>
  <c r="I62" i="436"/>
  <c r="F8" i="440" l="1"/>
  <c r="E10" i="440"/>
  <c r="F10" i="440" s="1"/>
  <c r="I63" i="436"/>
  <c r="F6" i="440" l="1"/>
  <c r="F12" i="440" s="1"/>
  <c r="M23" i="429" s="1"/>
  <c r="N23" i="429" s="1"/>
  <c r="I43" i="429"/>
  <c r="I64" i="436"/>
  <c r="I44" i="429" l="1"/>
  <c r="I66" i="436"/>
  <c r="I45" i="429" l="1"/>
  <c r="I67" i="436"/>
  <c r="K18" i="344"/>
  <c r="I68" i="436" l="1"/>
  <c r="H11" i="144"/>
  <c r="H10" i="144"/>
  <c r="I69" i="436" l="1"/>
  <c r="O22" i="137"/>
  <c r="N22" i="137"/>
  <c r="K22" i="137"/>
  <c r="J22" i="137"/>
  <c r="I22" i="137"/>
  <c r="H22" i="137"/>
  <c r="N21" i="137"/>
  <c r="O21" i="137" s="1"/>
  <c r="J21" i="137"/>
  <c r="K21" i="137" s="1"/>
  <c r="H21" i="137"/>
  <c r="I21" i="137" s="1"/>
  <c r="N20" i="137"/>
  <c r="O20" i="137" s="1"/>
  <c r="J20" i="137"/>
  <c r="K20" i="137" s="1"/>
  <c r="H20" i="137"/>
  <c r="I20" i="137" s="1"/>
  <c r="O19" i="137"/>
  <c r="N19" i="137"/>
  <c r="K19" i="137"/>
  <c r="J19" i="137"/>
  <c r="I19" i="137"/>
  <c r="H19" i="137"/>
  <c r="O18" i="137"/>
  <c r="N18" i="137"/>
  <c r="K18" i="137"/>
  <c r="J18" i="137"/>
  <c r="I18" i="137"/>
  <c r="H18" i="137"/>
  <c r="N17" i="137"/>
  <c r="O17" i="137" s="1"/>
  <c r="J17" i="137"/>
  <c r="K17" i="137" s="1"/>
  <c r="H17" i="137"/>
  <c r="I17" i="137" s="1"/>
  <c r="N16" i="137"/>
  <c r="O16" i="137" s="1"/>
  <c r="J16" i="137"/>
  <c r="K16" i="137" s="1"/>
  <c r="H16" i="137"/>
  <c r="I16" i="137" s="1"/>
  <c r="N15" i="137"/>
  <c r="O15" i="137" s="1"/>
  <c r="J15" i="137"/>
  <c r="K15" i="137" s="1"/>
  <c r="H15" i="137"/>
  <c r="I15" i="137" s="1"/>
  <c r="O14" i="137"/>
  <c r="N14" i="137"/>
  <c r="K14" i="137"/>
  <c r="J14" i="137"/>
  <c r="I14" i="137"/>
  <c r="H14" i="137"/>
  <c r="O13" i="137"/>
  <c r="N13" i="137"/>
  <c r="K13" i="137"/>
  <c r="J13" i="137"/>
  <c r="I13" i="137"/>
  <c r="H13" i="137"/>
  <c r="N12" i="137"/>
  <c r="O12" i="137" s="1"/>
  <c r="J12" i="137"/>
  <c r="K12" i="137" s="1"/>
  <c r="H12" i="137"/>
  <c r="I12" i="137" s="1"/>
  <c r="N11" i="137"/>
  <c r="O11" i="137" s="1"/>
  <c r="J11" i="137"/>
  <c r="K11" i="137" s="1"/>
  <c r="H11" i="137"/>
  <c r="I11" i="137" s="1"/>
  <c r="O10" i="137"/>
  <c r="N10" i="137"/>
  <c r="K10" i="137"/>
  <c r="J10" i="137"/>
  <c r="I10" i="137"/>
  <c r="H10" i="137"/>
  <c r="O9" i="137"/>
  <c r="N9" i="137"/>
  <c r="K9" i="137"/>
  <c r="J9" i="137"/>
  <c r="I9" i="137"/>
  <c r="H9" i="137"/>
  <c r="N8" i="137"/>
  <c r="O8" i="137" s="1"/>
  <c r="J8" i="137"/>
  <c r="K8" i="137" s="1"/>
  <c r="H8" i="137"/>
  <c r="I8" i="137" s="1"/>
  <c r="N7" i="137"/>
  <c r="O7" i="137" s="1"/>
  <c r="J7" i="137"/>
  <c r="K7" i="137" s="1"/>
  <c r="H7" i="137"/>
  <c r="I7" i="137" s="1"/>
  <c r="I20" i="147"/>
  <c r="I19" i="147"/>
  <c r="I18" i="147"/>
  <c r="I16" i="147"/>
  <c r="I15" i="147"/>
  <c r="I14" i="147"/>
  <c r="I12" i="147"/>
  <c r="I11" i="147"/>
  <c r="I10" i="147"/>
  <c r="I9" i="147"/>
  <c r="I8" i="147"/>
  <c r="P10" i="147"/>
  <c r="O10" i="147"/>
  <c r="M10" i="147"/>
  <c r="L10" i="147"/>
  <c r="P11" i="147"/>
  <c r="O11" i="147"/>
  <c r="M11" i="147"/>
  <c r="L11" i="147"/>
  <c r="I70" i="436" l="1"/>
  <c r="Q11" i="147"/>
  <c r="N11" i="147"/>
  <c r="N10" i="147"/>
  <c r="Q10" i="147"/>
  <c r="I46" i="429" l="1"/>
  <c r="I71" i="436"/>
  <c r="G11" i="144"/>
  <c r="G10" i="144"/>
  <c r="G9" i="144"/>
  <c r="H9" i="144" s="1"/>
  <c r="G8" i="144"/>
  <c r="H8" i="144" s="1"/>
  <c r="I47" i="429" l="1"/>
  <c r="I72" i="436"/>
  <c r="Q12" i="137"/>
  <c r="I48" i="429" l="1"/>
  <c r="I73" i="436"/>
  <c r="P11" i="144"/>
  <c r="O11" i="144"/>
  <c r="P10" i="144"/>
  <c r="O10" i="144"/>
  <c r="P9" i="144"/>
  <c r="O9" i="144"/>
  <c r="L11" i="144"/>
  <c r="K11" i="144"/>
  <c r="J11" i="144"/>
  <c r="I11" i="144"/>
  <c r="L10" i="144"/>
  <c r="K10" i="144"/>
  <c r="J10" i="144"/>
  <c r="I10" i="144"/>
  <c r="K9" i="144"/>
  <c r="L9" i="144" s="1"/>
  <c r="J9" i="144"/>
  <c r="I9" i="144"/>
  <c r="P8" i="144"/>
  <c r="O8" i="144"/>
  <c r="J8" i="144"/>
  <c r="I8" i="144"/>
  <c r="K8" i="144"/>
  <c r="L8" i="144"/>
  <c r="I49" i="429" l="1"/>
  <c r="I74" i="436"/>
  <c r="O12" i="144"/>
  <c r="G12" i="144"/>
  <c r="I75" i="436" l="1"/>
  <c r="I50" i="429" l="1"/>
  <c r="F9" i="344"/>
  <c r="I51" i="429" l="1"/>
  <c r="I52" i="429" l="1"/>
  <c r="K20" i="344"/>
  <c r="K19" i="344"/>
  <c r="K17" i="344"/>
  <c r="K15" i="344"/>
  <c r="K13" i="344"/>
  <c r="H20" i="344"/>
  <c r="H19" i="344"/>
  <c r="G9" i="344"/>
  <c r="K12" i="344"/>
  <c r="H9" i="344" l="1"/>
  <c r="H13" i="344"/>
  <c r="H18" i="344"/>
  <c r="H17" i="344"/>
  <c r="H15" i="344"/>
  <c r="H16" i="344"/>
  <c r="I9" i="344" l="1"/>
  <c r="K9" i="344" s="1"/>
  <c r="H14" i="344"/>
  <c r="J9" i="344"/>
  <c r="H11" i="344"/>
  <c r="K16" i="344"/>
  <c r="K14" i="344"/>
  <c r="I11" i="344" l="1"/>
  <c r="N9" i="344"/>
  <c r="N11" i="344" s="1"/>
  <c r="M9" i="344"/>
  <c r="J11" i="344"/>
  <c r="K11" i="344"/>
  <c r="O7" i="344" l="1"/>
  <c r="M11" i="344"/>
  <c r="O9" i="344"/>
  <c r="O11" i="344" s="1"/>
  <c r="O13" i="344"/>
  <c r="C12" i="144"/>
  <c r="Q17" i="137" l="1"/>
  <c r="Q8" i="137" l="1"/>
  <c r="J145" i="320" l="1"/>
  <c r="J144" i="320"/>
  <c r="J143" i="320"/>
  <c r="J142" i="320"/>
  <c r="J141" i="320"/>
  <c r="J140" i="320"/>
  <c r="I74" i="320"/>
  <c r="G74" i="320"/>
  <c r="E74" i="320"/>
  <c r="I73" i="320"/>
  <c r="G73" i="320"/>
  <c r="E73" i="320"/>
  <c r="I67" i="320"/>
  <c r="G67" i="320"/>
  <c r="E67" i="320"/>
  <c r="H18" i="320"/>
  <c r="H19" i="320"/>
  <c r="H20" i="320"/>
  <c r="H21" i="320"/>
  <c r="H17" i="320"/>
  <c r="H22" i="320"/>
  <c r="G21" i="320"/>
  <c r="E21" i="320"/>
  <c r="G22" i="320"/>
  <c r="G20" i="320"/>
  <c r="G19" i="320"/>
  <c r="G18" i="320"/>
  <c r="G17" i="320"/>
  <c r="H13" i="320"/>
  <c r="H14" i="320"/>
  <c r="H15" i="320"/>
  <c r="H16" i="320"/>
  <c r="H12" i="320"/>
  <c r="E22" i="320"/>
  <c r="E20" i="320"/>
  <c r="E19" i="320"/>
  <c r="E18" i="320"/>
  <c r="E17" i="320"/>
  <c r="I53" i="429" l="1"/>
  <c r="I19" i="320"/>
  <c r="I22" i="320"/>
  <c r="I21" i="320"/>
  <c r="I20" i="320"/>
  <c r="I17" i="320"/>
  <c r="I18" i="320"/>
  <c r="I54" i="429" l="1"/>
  <c r="I52" i="320"/>
  <c r="G52" i="320"/>
  <c r="E52" i="320"/>
  <c r="J137" i="320" l="1"/>
  <c r="J136" i="320"/>
  <c r="J135" i="320"/>
  <c r="J134" i="320"/>
  <c r="J130" i="320"/>
  <c r="J129" i="320"/>
  <c r="J128" i="320"/>
  <c r="J127" i="320"/>
  <c r="J126" i="320"/>
  <c r="J125" i="320"/>
  <c r="J124" i="320"/>
  <c r="J123" i="320"/>
  <c r="J122" i="320"/>
  <c r="J121" i="320"/>
  <c r="J120" i="320"/>
  <c r="J119" i="320"/>
  <c r="J118" i="320"/>
  <c r="J117" i="320"/>
  <c r="J116" i="320"/>
  <c r="J115" i="320"/>
  <c r="J114" i="320"/>
  <c r="J113" i="320"/>
  <c r="J105" i="320"/>
  <c r="J104" i="320"/>
  <c r="J103" i="320"/>
  <c r="J102" i="320"/>
  <c r="J101" i="320"/>
  <c r="J100" i="320"/>
  <c r="J99" i="320"/>
  <c r="J98" i="320"/>
  <c r="J97" i="320"/>
  <c r="J96" i="320"/>
  <c r="J95" i="320"/>
  <c r="J94" i="320"/>
  <c r="J93" i="320"/>
  <c r="J92" i="320"/>
  <c r="J91" i="320"/>
  <c r="J90" i="320"/>
  <c r="J89" i="320"/>
  <c r="J88" i="320"/>
  <c r="J87" i="320"/>
  <c r="J86" i="320"/>
  <c r="J85" i="320"/>
  <c r="J84" i="320"/>
  <c r="J83" i="320"/>
  <c r="J82" i="320"/>
  <c r="J81" i="320"/>
  <c r="J80" i="320"/>
  <c r="J79" i="320"/>
  <c r="J78" i="320"/>
  <c r="J77" i="320"/>
  <c r="J76" i="320"/>
  <c r="J75" i="320"/>
  <c r="J71" i="320"/>
  <c r="J69" i="320"/>
  <c r="J65" i="320"/>
  <c r="J64" i="320"/>
  <c r="J61" i="320"/>
  <c r="J58" i="320"/>
  <c r="J41" i="320"/>
  <c r="J40" i="320"/>
  <c r="J39" i="320"/>
  <c r="J34" i="320"/>
  <c r="J33" i="320"/>
  <c r="J32" i="320"/>
  <c r="J31" i="320"/>
  <c r="J30" i="320"/>
  <c r="J29" i="320"/>
  <c r="J28" i="320"/>
  <c r="J27" i="320"/>
  <c r="J26" i="320"/>
  <c r="J25" i="320"/>
  <c r="J24" i="320"/>
  <c r="J23" i="320"/>
  <c r="I130" i="320"/>
  <c r="I105" i="320"/>
  <c r="I34" i="320"/>
  <c r="I55" i="429" l="1"/>
  <c r="E120" i="320"/>
  <c r="E119" i="320"/>
  <c r="E117" i="320"/>
  <c r="E118" i="320"/>
  <c r="E116" i="320"/>
  <c r="E115" i="320"/>
  <c r="E114" i="320"/>
  <c r="E113" i="320"/>
  <c r="E112" i="320"/>
  <c r="E111" i="320"/>
  <c r="E110" i="320"/>
  <c r="E109" i="320"/>
  <c r="E108" i="320"/>
  <c r="E107" i="320"/>
  <c r="G43" i="320"/>
  <c r="G44" i="320"/>
  <c r="G45" i="320"/>
  <c r="G46" i="320"/>
  <c r="G47" i="320"/>
  <c r="G48" i="320"/>
  <c r="G49" i="320"/>
  <c r="G50" i="320"/>
  <c r="G51" i="320"/>
  <c r="G53" i="320"/>
  <c r="G54" i="320"/>
  <c r="G55" i="320"/>
  <c r="G56" i="320"/>
  <c r="G57" i="320"/>
  <c r="G58" i="320"/>
  <c r="G59" i="320"/>
  <c r="G60" i="320"/>
  <c r="G61" i="320"/>
  <c r="G62" i="320"/>
  <c r="G63" i="320"/>
  <c r="G64" i="320"/>
  <c r="G65" i="320"/>
  <c r="G66" i="320"/>
  <c r="G68" i="320"/>
  <c r="G69" i="320"/>
  <c r="G70" i="320"/>
  <c r="G71" i="320"/>
  <c r="A3" i="320"/>
  <c r="E104" i="320"/>
  <c r="E103" i="320"/>
  <c r="E102" i="320"/>
  <c r="E101" i="320"/>
  <c r="E100" i="320"/>
  <c r="E99" i="320"/>
  <c r="E98" i="320"/>
  <c r="E97" i="320"/>
  <c r="E96" i="320"/>
  <c r="E95" i="320"/>
  <c r="E94" i="320"/>
  <c r="E93" i="320"/>
  <c r="E92" i="320"/>
  <c r="E91" i="320"/>
  <c r="E90" i="320"/>
  <c r="E89" i="320"/>
  <c r="E88" i="320"/>
  <c r="E87" i="320"/>
  <c r="E86" i="320"/>
  <c r="E85" i="320"/>
  <c r="E84" i="320"/>
  <c r="E83" i="320"/>
  <c r="E82" i="320"/>
  <c r="E81" i="320"/>
  <c r="E80" i="320"/>
  <c r="E79" i="320"/>
  <c r="E78" i="320"/>
  <c r="E77" i="320"/>
  <c r="E76" i="320"/>
  <c r="E75" i="320"/>
  <c r="E72" i="320"/>
  <c r="E71" i="320"/>
  <c r="E70" i="320"/>
  <c r="E69" i="320"/>
  <c r="E68" i="320"/>
  <c r="E66" i="320"/>
  <c r="E65" i="320"/>
  <c r="E64" i="320"/>
  <c r="E63" i="320"/>
  <c r="E62" i="320"/>
  <c r="E61" i="320"/>
  <c r="E60" i="320"/>
  <c r="E59" i="320"/>
  <c r="E58" i="320"/>
  <c r="E57" i="320"/>
  <c r="J57" i="320" s="1"/>
  <c r="E56" i="320"/>
  <c r="E55" i="320"/>
  <c r="E54" i="320"/>
  <c r="E53" i="320"/>
  <c r="E51" i="320"/>
  <c r="E50" i="320"/>
  <c r="E49" i="320"/>
  <c r="E48" i="320"/>
  <c r="E47" i="320"/>
  <c r="E46" i="320"/>
  <c r="E45" i="320"/>
  <c r="E44" i="320"/>
  <c r="E43" i="320"/>
  <c r="E40" i="320"/>
  <c r="E39" i="320"/>
  <c r="E38" i="320"/>
  <c r="E37" i="320"/>
  <c r="E36" i="320"/>
  <c r="E33" i="320"/>
  <c r="E32" i="320"/>
  <c r="E31" i="320"/>
  <c r="E30" i="320"/>
  <c r="E29" i="320"/>
  <c r="E28" i="320"/>
  <c r="E27" i="320"/>
  <c r="E26" i="320"/>
  <c r="E25" i="320"/>
  <c r="E24" i="320"/>
  <c r="E23" i="320"/>
  <c r="E16" i="320"/>
  <c r="E15" i="320"/>
  <c r="E14" i="320"/>
  <c r="E13" i="320"/>
  <c r="E12" i="320"/>
  <c r="E11" i="320"/>
  <c r="E10" i="320"/>
  <c r="E9" i="320"/>
  <c r="E8" i="320"/>
  <c r="E7" i="320"/>
  <c r="G7" i="320"/>
  <c r="I129" i="320"/>
  <c r="G129" i="320"/>
  <c r="I128" i="320"/>
  <c r="G128" i="320"/>
  <c r="I115" i="320"/>
  <c r="G115" i="320"/>
  <c r="I114" i="320"/>
  <c r="G114" i="320"/>
  <c r="I113" i="320"/>
  <c r="G113" i="320"/>
  <c r="I112" i="320"/>
  <c r="G112" i="320"/>
  <c r="I111" i="320"/>
  <c r="G111" i="320"/>
  <c r="I110" i="320"/>
  <c r="G110" i="320"/>
  <c r="I109" i="320"/>
  <c r="G109" i="320"/>
  <c r="I108" i="320"/>
  <c r="G108" i="320"/>
  <c r="I107" i="320"/>
  <c r="G107" i="320"/>
  <c r="I104" i="320"/>
  <c r="G104" i="320"/>
  <c r="I103" i="320"/>
  <c r="G103" i="320"/>
  <c r="I102" i="320"/>
  <c r="G102" i="320"/>
  <c r="I101" i="320"/>
  <c r="G101" i="320"/>
  <c r="I100" i="320"/>
  <c r="G100" i="320"/>
  <c r="I99" i="320"/>
  <c r="G99" i="320"/>
  <c r="I98" i="320"/>
  <c r="G98" i="320"/>
  <c r="I97" i="320"/>
  <c r="G97" i="320"/>
  <c r="I96" i="320"/>
  <c r="G96" i="320"/>
  <c r="I95" i="320"/>
  <c r="G95" i="320"/>
  <c r="I94" i="320"/>
  <c r="G94" i="320"/>
  <c r="I93" i="320"/>
  <c r="G93" i="320"/>
  <c r="I92" i="320"/>
  <c r="G92" i="320"/>
  <c r="I91" i="320"/>
  <c r="G91" i="320"/>
  <c r="I90" i="320"/>
  <c r="G90" i="320"/>
  <c r="I89" i="320"/>
  <c r="G89" i="320"/>
  <c r="I88" i="320"/>
  <c r="G88" i="320"/>
  <c r="I87" i="320"/>
  <c r="G87" i="320"/>
  <c r="I86" i="320"/>
  <c r="G86" i="320"/>
  <c r="I85" i="320"/>
  <c r="G85" i="320"/>
  <c r="I84" i="320"/>
  <c r="G84" i="320"/>
  <c r="I83" i="320"/>
  <c r="G83" i="320"/>
  <c r="I82" i="320"/>
  <c r="G82" i="320"/>
  <c r="I81" i="320"/>
  <c r="G81" i="320"/>
  <c r="I80" i="320"/>
  <c r="G80" i="320"/>
  <c r="I79" i="320"/>
  <c r="G79" i="320"/>
  <c r="I78" i="320"/>
  <c r="G78" i="320"/>
  <c r="I77" i="320"/>
  <c r="G77" i="320"/>
  <c r="I76" i="320"/>
  <c r="G76" i="320"/>
  <c r="I75" i="320"/>
  <c r="G75" i="320"/>
  <c r="I72" i="320"/>
  <c r="G72" i="320"/>
  <c r="I71" i="320"/>
  <c r="I70" i="320"/>
  <c r="I69" i="320"/>
  <c r="I68" i="320"/>
  <c r="I66" i="320"/>
  <c r="I65" i="320"/>
  <c r="I64" i="320"/>
  <c r="I63" i="320"/>
  <c r="I62" i="320"/>
  <c r="I61" i="320"/>
  <c r="I60" i="320"/>
  <c r="I59" i="320"/>
  <c r="I58" i="320"/>
  <c r="I57" i="320"/>
  <c r="I56" i="320"/>
  <c r="I55" i="320"/>
  <c r="I54" i="320"/>
  <c r="I53" i="320"/>
  <c r="I51" i="320"/>
  <c r="I50" i="320"/>
  <c r="I49" i="320"/>
  <c r="I48" i="320"/>
  <c r="I47" i="320"/>
  <c r="I46" i="320"/>
  <c r="I45" i="320"/>
  <c r="I44" i="320"/>
  <c r="I43" i="320"/>
  <c r="I33" i="320"/>
  <c r="G33" i="320"/>
  <c r="I32" i="320"/>
  <c r="G32" i="320"/>
  <c r="I31" i="320"/>
  <c r="G31" i="320"/>
  <c r="I30" i="320"/>
  <c r="G30" i="320"/>
  <c r="I29" i="320"/>
  <c r="G29" i="320"/>
  <c r="I28" i="320"/>
  <c r="G28" i="320"/>
  <c r="I27" i="320"/>
  <c r="G27" i="320"/>
  <c r="I26" i="320"/>
  <c r="G26" i="320"/>
  <c r="I25" i="320"/>
  <c r="G25" i="320"/>
  <c r="I24" i="320"/>
  <c r="G24" i="320"/>
  <c r="I23" i="320"/>
  <c r="G23" i="320"/>
  <c r="I16" i="320"/>
  <c r="G16" i="320"/>
  <c r="I15" i="320"/>
  <c r="G15" i="320"/>
  <c r="I14" i="320"/>
  <c r="G14" i="320"/>
  <c r="I13" i="320"/>
  <c r="G13" i="320"/>
  <c r="I12" i="320"/>
  <c r="G12" i="320"/>
  <c r="I11" i="320"/>
  <c r="G11" i="320"/>
  <c r="I10" i="320"/>
  <c r="G10" i="320"/>
  <c r="I9" i="320"/>
  <c r="G9" i="320"/>
  <c r="I8" i="320"/>
  <c r="G8" i="320"/>
  <c r="I7" i="320"/>
  <c r="J50" i="320" l="1"/>
  <c r="J108" i="320"/>
  <c r="J59" i="320"/>
  <c r="J47" i="320"/>
  <c r="J60" i="320"/>
  <c r="J74" i="320"/>
  <c r="J68" i="320"/>
  <c r="J70" i="320"/>
  <c r="J54" i="320"/>
  <c r="J62" i="320"/>
  <c r="J55" i="320"/>
  <c r="J63" i="320"/>
  <c r="J56" i="320"/>
  <c r="J111" i="320"/>
  <c r="J109" i="320"/>
  <c r="J48" i="320"/>
  <c r="J73" i="320"/>
  <c r="J9" i="320" l="1"/>
  <c r="J12" i="320"/>
  <c r="J67" i="320"/>
  <c r="J21" i="320"/>
  <c r="J13" i="320"/>
  <c r="J20" i="320"/>
  <c r="J17" i="320"/>
  <c r="J19" i="320"/>
  <c r="J22" i="320"/>
  <c r="J18" i="320"/>
  <c r="J15" i="320"/>
  <c r="J52" i="320"/>
  <c r="J16" i="320"/>
  <c r="J37" i="320"/>
  <c r="J139" i="320"/>
  <c r="J133" i="320"/>
  <c r="J49" i="320"/>
  <c r="J11" i="320"/>
  <c r="J46" i="320"/>
  <c r="J7" i="320"/>
  <c r="J53" i="320"/>
  <c r="J8" i="320"/>
  <c r="J43" i="320"/>
  <c r="J112" i="320"/>
  <c r="J66" i="320"/>
  <c r="J45" i="320"/>
  <c r="J51" i="320"/>
  <c r="J107" i="320"/>
  <c r="J72" i="320"/>
  <c r="J36" i="320"/>
  <c r="J10" i="320"/>
  <c r="J44" i="320"/>
  <c r="J14" i="320"/>
  <c r="J38" i="320"/>
  <c r="J132" i="320"/>
  <c r="J110" i="320"/>
  <c r="I56" i="429" l="1"/>
  <c r="J138" i="320"/>
  <c r="J131" i="320"/>
  <c r="I57" i="429" l="1"/>
  <c r="S8" i="144"/>
  <c r="S9" i="144"/>
  <c r="S11" i="144"/>
  <c r="S12" i="144"/>
  <c r="S7" i="144"/>
  <c r="I58" i="429" l="1"/>
  <c r="M7" i="212"/>
  <c r="M8" i="212"/>
  <c r="M9" i="212"/>
  <c r="M10" i="212"/>
  <c r="M12" i="212"/>
  <c r="M13" i="212"/>
  <c r="M14" i="212"/>
  <c r="I59" i="429" l="1"/>
  <c r="A3" i="215"/>
  <c r="T10" i="147"/>
  <c r="T12" i="147"/>
  <c r="T13" i="147"/>
  <c r="T7" i="147"/>
  <c r="A3" i="147"/>
  <c r="Q20" i="137"/>
  <c r="Q13" i="137"/>
  <c r="Q11" i="137"/>
  <c r="Q9" i="137"/>
  <c r="T8" i="137"/>
  <c r="T9" i="137"/>
  <c r="T11" i="137"/>
  <c r="T12" i="137"/>
  <c r="T6" i="137"/>
  <c r="A3" i="137"/>
  <c r="J10" i="143"/>
  <c r="K10" i="143" s="1"/>
  <c r="H10" i="143"/>
  <c r="I10" i="143" s="1"/>
  <c r="N8" i="143"/>
  <c r="N9" i="143"/>
  <c r="N11" i="143"/>
  <c r="N12" i="143"/>
  <c r="N6" i="143"/>
  <c r="A3" i="143"/>
  <c r="A3" i="212"/>
  <c r="I65" i="429" l="1"/>
  <c r="I76" i="436"/>
  <c r="P12" i="147"/>
  <c r="O12" i="147"/>
  <c r="M12" i="147"/>
  <c r="L12" i="147"/>
  <c r="P9" i="147"/>
  <c r="O9" i="147"/>
  <c r="M9" i="147"/>
  <c r="L9" i="147"/>
  <c r="P8" i="147"/>
  <c r="O8" i="147"/>
  <c r="M8" i="147"/>
  <c r="L8" i="147"/>
  <c r="I66" i="429" l="1"/>
  <c r="I77" i="436"/>
  <c r="Q9" i="147"/>
  <c r="N9" i="147"/>
  <c r="Q8" i="147"/>
  <c r="Q12" i="147"/>
  <c r="N12" i="147"/>
  <c r="N8" i="147"/>
  <c r="I67" i="429" l="1"/>
  <c r="I78" i="436"/>
  <c r="N24" i="147"/>
  <c r="T9" i="147"/>
  <c r="I68" i="429" l="1"/>
  <c r="I79" i="436"/>
  <c r="I58" i="212"/>
  <c r="J58" i="212" s="1"/>
  <c r="G58" i="212"/>
  <c r="H58" i="212" s="1"/>
  <c r="J31" i="143"/>
  <c r="K31" i="143" s="1"/>
  <c r="H31" i="143"/>
  <c r="I31" i="143" s="1"/>
  <c r="J30" i="143"/>
  <c r="K30" i="143" s="1"/>
  <c r="H30" i="143"/>
  <c r="I30" i="143" s="1"/>
  <c r="J29" i="143"/>
  <c r="K29" i="143" s="1"/>
  <c r="H29" i="143"/>
  <c r="I29" i="143" s="1"/>
  <c r="I81" i="436" l="1"/>
  <c r="Q21" i="137"/>
  <c r="I82" i="436" l="1"/>
  <c r="I25" i="137"/>
  <c r="D7" i="215" l="1"/>
  <c r="L8" i="215" s="1"/>
  <c r="M8" i="215" s="1"/>
  <c r="O8" i="215" s="1"/>
  <c r="L7" i="215"/>
  <c r="M7" i="215" s="1"/>
  <c r="O7" i="215" s="1"/>
  <c r="N9" i="429" l="1"/>
  <c r="N10" i="429"/>
  <c r="N13" i="429"/>
  <c r="N19" i="429"/>
  <c r="N22" i="429"/>
  <c r="N25" i="429"/>
  <c r="N34" i="429"/>
  <c r="Q34" i="429" s="1"/>
  <c r="N36" i="429"/>
  <c r="N35" i="429"/>
  <c r="N38" i="429"/>
  <c r="N41" i="429"/>
  <c r="N43" i="429"/>
  <c r="N44" i="429"/>
  <c r="N46" i="429"/>
  <c r="N53" i="429"/>
  <c r="N57" i="429"/>
  <c r="N65" i="429"/>
  <c r="N67" i="429"/>
  <c r="N66" i="429"/>
  <c r="L14" i="215"/>
  <c r="M14" i="215" s="1"/>
  <c r="O14" i="215" s="1"/>
  <c r="L15" i="215"/>
  <c r="M15" i="215" s="1"/>
  <c r="O15" i="215" s="1"/>
  <c r="D9" i="215"/>
  <c r="L16" i="215"/>
  <c r="M16" i="215" s="1"/>
  <c r="O16" i="215" s="1"/>
  <c r="D10" i="215"/>
  <c r="L11" i="215"/>
  <c r="M11" i="215" s="1"/>
  <c r="O11" i="215" s="1"/>
  <c r="D17" i="215"/>
  <c r="D15" i="215"/>
  <c r="D13" i="215"/>
  <c r="E13" i="215" s="1"/>
  <c r="G13" i="215" s="1"/>
  <c r="L12" i="215"/>
  <c r="M12" i="215" s="1"/>
  <c r="O12" i="215" s="1"/>
  <c r="L17" i="215"/>
  <c r="M17" i="215" s="1"/>
  <c r="O17" i="215" s="1"/>
  <c r="D8" i="215"/>
  <c r="D16" i="215"/>
  <c r="L13" i="215"/>
  <c r="M13" i="215" s="1"/>
  <c r="O13" i="215" s="1"/>
  <c r="L10" i="215"/>
  <c r="M10" i="215" s="1"/>
  <c r="O10" i="215" s="1"/>
  <c r="L9" i="215"/>
  <c r="M9" i="215" s="1"/>
  <c r="O9" i="215" s="1"/>
  <c r="D12" i="215"/>
  <c r="D14" i="215"/>
  <c r="E14" i="215" s="1"/>
  <c r="G14" i="215" s="1"/>
  <c r="D11" i="215"/>
  <c r="O18" i="215" l="1"/>
  <c r="M18" i="215"/>
  <c r="L18" i="147" l="1"/>
  <c r="Q7" i="137"/>
  <c r="J17" i="143"/>
  <c r="K17" i="143" s="1"/>
  <c r="H17" i="143"/>
  <c r="I17" i="143" s="1"/>
  <c r="P20" i="147" l="1"/>
  <c r="O20" i="147"/>
  <c r="M20" i="147"/>
  <c r="L20" i="147"/>
  <c r="P19" i="147"/>
  <c r="O19" i="147"/>
  <c r="M19" i="147"/>
  <c r="L19" i="147"/>
  <c r="P18" i="147"/>
  <c r="O18" i="147"/>
  <c r="M18" i="147"/>
  <c r="I83" i="436" l="1"/>
  <c r="Q19" i="147"/>
  <c r="N20" i="147"/>
  <c r="N19" i="147"/>
  <c r="Q18" i="147"/>
  <c r="Q20" i="147"/>
  <c r="N18" i="147"/>
  <c r="I84" i="436" l="1"/>
  <c r="C23" i="137"/>
  <c r="I56" i="212"/>
  <c r="J56" i="212" s="1"/>
  <c r="G56" i="212"/>
  <c r="H56" i="212" s="1"/>
  <c r="I55" i="212"/>
  <c r="J55" i="212" s="1"/>
  <c r="G55" i="212"/>
  <c r="H55" i="212" s="1"/>
  <c r="I54" i="212"/>
  <c r="J54" i="212" s="1"/>
  <c r="G54" i="212"/>
  <c r="H54" i="212" s="1"/>
  <c r="I53" i="212"/>
  <c r="J53" i="212" s="1"/>
  <c r="G53" i="212"/>
  <c r="H53" i="212" s="1"/>
  <c r="I52" i="212"/>
  <c r="J52" i="212" s="1"/>
  <c r="G52" i="212"/>
  <c r="H52" i="212" s="1"/>
  <c r="I51" i="212"/>
  <c r="J51" i="212" s="1"/>
  <c r="G51" i="212"/>
  <c r="H51" i="212" s="1"/>
  <c r="I50" i="212"/>
  <c r="J50" i="212" s="1"/>
  <c r="G50" i="212"/>
  <c r="H50" i="212" s="1"/>
  <c r="I49" i="212"/>
  <c r="J49" i="212" s="1"/>
  <c r="G49" i="212"/>
  <c r="H49" i="212" s="1"/>
  <c r="I48" i="212"/>
  <c r="J48" i="212" s="1"/>
  <c r="G48" i="212"/>
  <c r="H48" i="212" s="1"/>
  <c r="I47" i="212"/>
  <c r="J47" i="212" s="1"/>
  <c r="G47" i="212"/>
  <c r="H47" i="212" s="1"/>
  <c r="I46" i="212"/>
  <c r="J46" i="212" s="1"/>
  <c r="G46" i="212"/>
  <c r="H46" i="212" s="1"/>
  <c r="I45" i="212"/>
  <c r="J45" i="212" s="1"/>
  <c r="G45" i="212"/>
  <c r="H45" i="212" s="1"/>
  <c r="J13" i="143"/>
  <c r="H13" i="143"/>
  <c r="I13" i="143" s="1"/>
  <c r="J26" i="143"/>
  <c r="K26" i="143" s="1"/>
  <c r="H26" i="143"/>
  <c r="J24" i="143"/>
  <c r="K24" i="143" s="1"/>
  <c r="H24" i="143"/>
  <c r="I24" i="143" s="1"/>
  <c r="J23" i="143"/>
  <c r="K23" i="143" s="1"/>
  <c r="H23" i="143"/>
  <c r="I23" i="143" s="1"/>
  <c r="J22" i="143"/>
  <c r="K22" i="143" s="1"/>
  <c r="H22" i="143"/>
  <c r="I22" i="143" s="1"/>
  <c r="J21" i="143"/>
  <c r="K21" i="143" s="1"/>
  <c r="H21" i="143"/>
  <c r="I21" i="143" s="1"/>
  <c r="J20" i="143"/>
  <c r="K20" i="143" s="1"/>
  <c r="H20" i="143"/>
  <c r="I20" i="143" s="1"/>
  <c r="J19" i="143"/>
  <c r="K19" i="143" s="1"/>
  <c r="H19" i="143"/>
  <c r="I19" i="143" s="1"/>
  <c r="J11" i="143"/>
  <c r="K11" i="143" s="1"/>
  <c r="H11" i="143"/>
  <c r="I11" i="143" s="1"/>
  <c r="J9" i="143"/>
  <c r="K9" i="143" s="1"/>
  <c r="H9" i="143"/>
  <c r="I9" i="143" s="1"/>
  <c r="J8" i="143"/>
  <c r="K8" i="143" s="1"/>
  <c r="H8" i="143"/>
  <c r="I8" i="143" s="1"/>
  <c r="J7" i="143"/>
  <c r="K7" i="143" s="1"/>
  <c r="H7" i="143"/>
  <c r="I7" i="143" s="1"/>
  <c r="G9" i="212"/>
  <c r="H9" i="212" s="1"/>
  <c r="I9" i="212"/>
  <c r="J9" i="212" s="1"/>
  <c r="G10" i="212"/>
  <c r="H10" i="212" s="1"/>
  <c r="I10" i="212"/>
  <c r="J10" i="212" s="1"/>
  <c r="G11" i="212"/>
  <c r="H11" i="212" s="1"/>
  <c r="I11" i="212"/>
  <c r="J11" i="212" s="1"/>
  <c r="G12" i="212"/>
  <c r="H12" i="212" s="1"/>
  <c r="I12" i="212"/>
  <c r="J12" i="212" s="1"/>
  <c r="G13" i="212"/>
  <c r="H13" i="212" s="1"/>
  <c r="I13" i="212"/>
  <c r="J13" i="212" s="1"/>
  <c r="G14" i="212"/>
  <c r="H14" i="212" s="1"/>
  <c r="I14" i="212"/>
  <c r="J14" i="212" s="1"/>
  <c r="G15" i="212"/>
  <c r="H15" i="212" s="1"/>
  <c r="I15" i="212"/>
  <c r="J15" i="212" s="1"/>
  <c r="G16" i="212"/>
  <c r="H16" i="212" s="1"/>
  <c r="I16" i="212"/>
  <c r="J16" i="212" s="1"/>
  <c r="G17" i="212"/>
  <c r="H17" i="212" s="1"/>
  <c r="I17" i="212"/>
  <c r="J17" i="212" s="1"/>
  <c r="G19" i="212"/>
  <c r="H19" i="212" s="1"/>
  <c r="I19" i="212"/>
  <c r="J19" i="212" s="1"/>
  <c r="G20" i="212"/>
  <c r="H20" i="212" s="1"/>
  <c r="I20" i="212"/>
  <c r="J20" i="212" s="1"/>
  <c r="G21" i="212"/>
  <c r="H21" i="212" s="1"/>
  <c r="I21" i="212"/>
  <c r="J21" i="212" s="1"/>
  <c r="G22" i="212"/>
  <c r="H22" i="212" s="1"/>
  <c r="I22" i="212"/>
  <c r="J22" i="212" s="1"/>
  <c r="G23" i="212"/>
  <c r="H23" i="212" s="1"/>
  <c r="I23" i="212"/>
  <c r="J23" i="212" s="1"/>
  <c r="G24" i="212"/>
  <c r="H24" i="212" s="1"/>
  <c r="I24" i="212"/>
  <c r="J24" i="212" s="1"/>
  <c r="G25" i="212"/>
  <c r="H25" i="212" s="1"/>
  <c r="I25" i="212"/>
  <c r="J25" i="212" s="1"/>
  <c r="G26" i="212"/>
  <c r="H26" i="212" s="1"/>
  <c r="I26" i="212"/>
  <c r="J26" i="212" s="1"/>
  <c r="G27" i="212"/>
  <c r="H27" i="212" s="1"/>
  <c r="I27" i="212"/>
  <c r="J27" i="212" s="1"/>
  <c r="G28" i="212"/>
  <c r="H28" i="212" s="1"/>
  <c r="I28" i="212"/>
  <c r="J28" i="212" s="1"/>
  <c r="G30" i="212"/>
  <c r="H30" i="212" s="1"/>
  <c r="I30" i="212"/>
  <c r="J30" i="212" s="1"/>
  <c r="G31" i="212"/>
  <c r="H31" i="212" s="1"/>
  <c r="I31" i="212"/>
  <c r="J31" i="212" s="1"/>
  <c r="G32" i="212"/>
  <c r="H32" i="212" s="1"/>
  <c r="I32" i="212"/>
  <c r="J32" i="212" s="1"/>
  <c r="G33" i="212"/>
  <c r="H33" i="212" s="1"/>
  <c r="I33" i="212"/>
  <c r="J33" i="212" s="1"/>
  <c r="G34" i="212"/>
  <c r="H34" i="212" s="1"/>
  <c r="I34" i="212"/>
  <c r="J34" i="212" s="1"/>
  <c r="G35" i="212"/>
  <c r="H35" i="212" s="1"/>
  <c r="I35" i="212"/>
  <c r="J35" i="212" s="1"/>
  <c r="G36" i="212"/>
  <c r="H36" i="212" s="1"/>
  <c r="I36" i="212"/>
  <c r="J36" i="212" s="1"/>
  <c r="G37" i="212"/>
  <c r="H37" i="212" s="1"/>
  <c r="I37" i="212"/>
  <c r="J37" i="212" s="1"/>
  <c r="G38" i="212"/>
  <c r="H38" i="212" s="1"/>
  <c r="I38" i="212"/>
  <c r="J38" i="212" s="1"/>
  <c r="G39" i="212"/>
  <c r="H39" i="212" s="1"/>
  <c r="I39" i="212"/>
  <c r="J39" i="212" s="1"/>
  <c r="G40" i="212"/>
  <c r="H40" i="212" s="1"/>
  <c r="I40" i="212"/>
  <c r="J40" i="212" s="1"/>
  <c r="G41" i="212"/>
  <c r="H41" i="212" s="1"/>
  <c r="I41" i="212"/>
  <c r="J41" i="212" s="1"/>
  <c r="G42" i="212"/>
  <c r="H42" i="212" s="1"/>
  <c r="I42" i="212"/>
  <c r="J42" i="212" s="1"/>
  <c r="G43" i="212"/>
  <c r="H43" i="212" s="1"/>
  <c r="I43" i="212"/>
  <c r="J43" i="212" s="1"/>
  <c r="G59" i="212"/>
  <c r="H59" i="212" s="1"/>
  <c r="I59" i="212"/>
  <c r="J59" i="212" s="1"/>
  <c r="I8" i="212"/>
  <c r="J8" i="212" s="1"/>
  <c r="G8" i="212"/>
  <c r="H8" i="212" s="1"/>
  <c r="I101" i="436" l="1"/>
  <c r="I85" i="436"/>
  <c r="H62" i="212"/>
  <c r="Q15" i="137"/>
  <c r="Q16" i="137"/>
  <c r="M11" i="212"/>
  <c r="N7" i="143"/>
  <c r="K13" i="143"/>
  <c r="H60" i="212"/>
  <c r="J60" i="212"/>
  <c r="I26" i="143"/>
  <c r="I102" i="436" l="1"/>
  <c r="I86" i="436"/>
  <c r="M15" i="212"/>
  <c r="N15" i="212" s="1"/>
  <c r="P16" i="147"/>
  <c r="O16" i="147"/>
  <c r="M16" i="147"/>
  <c r="L16" i="147"/>
  <c r="P15" i="147"/>
  <c r="O15" i="147"/>
  <c r="M15" i="147"/>
  <c r="L15" i="147"/>
  <c r="J16" i="143"/>
  <c r="K16" i="143" s="1"/>
  <c r="H16" i="143"/>
  <c r="I16" i="143" s="1"/>
  <c r="J15" i="143"/>
  <c r="K15" i="143" s="1"/>
  <c r="H15" i="143"/>
  <c r="I15" i="143" s="1"/>
  <c r="J14" i="143"/>
  <c r="H14" i="143"/>
  <c r="I14" i="143" s="1"/>
  <c r="I103" i="436" l="1"/>
  <c r="I87" i="436"/>
  <c r="I35" i="143"/>
  <c r="I33" i="143"/>
  <c r="K14" i="143"/>
  <c r="N15" i="147"/>
  <c r="N16" i="147"/>
  <c r="Q15" i="147"/>
  <c r="Q16" i="147"/>
  <c r="I88" i="436" l="1"/>
  <c r="N10" i="143"/>
  <c r="K33" i="143"/>
  <c r="I89" i="436" l="1"/>
  <c r="N13" i="143"/>
  <c r="O13" i="143" s="1"/>
  <c r="I104" i="436" l="1"/>
  <c r="I90" i="436"/>
  <c r="I91" i="436" l="1"/>
  <c r="T7" i="137"/>
  <c r="I105" i="436" l="1"/>
  <c r="I92" i="436"/>
  <c r="I107" i="436" l="1"/>
  <c r="I106" i="436"/>
  <c r="I93" i="436"/>
  <c r="I108" i="436" l="1"/>
  <c r="I94" i="436"/>
  <c r="I109" i="436" l="1"/>
  <c r="I95" i="436"/>
  <c r="I110" i="436" l="1"/>
  <c r="I96" i="436"/>
  <c r="Q18" i="137"/>
  <c r="I97" i="436" l="1"/>
  <c r="I98" i="436" l="1"/>
  <c r="E15" i="215"/>
  <c r="G15" i="215" s="1"/>
  <c r="E8" i="215"/>
  <c r="G8" i="215" s="1"/>
  <c r="I99" i="436" l="1"/>
  <c r="E9" i="215"/>
  <c r="G9" i="215" s="1"/>
  <c r="E10" i="215"/>
  <c r="G10" i="215" s="1"/>
  <c r="E11" i="215"/>
  <c r="G11" i="215" s="1"/>
  <c r="E12" i="215"/>
  <c r="G12" i="215" s="1"/>
  <c r="E16" i="215"/>
  <c r="G16" i="215" s="1"/>
  <c r="E17" i="215"/>
  <c r="G17" i="215" s="1"/>
  <c r="E7" i="215"/>
  <c r="I100" i="436" l="1"/>
  <c r="G7" i="215"/>
  <c r="G18" i="215" s="1"/>
  <c r="E18" i="215"/>
  <c r="P12" i="144" l="1"/>
  <c r="P14" i="147"/>
  <c r="O14" i="147"/>
  <c r="M14" i="147"/>
  <c r="L14" i="147"/>
  <c r="I12" i="144" l="1"/>
  <c r="J12" i="144"/>
  <c r="O23" i="137"/>
  <c r="Q14" i="147"/>
  <c r="N14" i="147"/>
  <c r="N21" i="147" s="1"/>
  <c r="Q21" i="147" l="1"/>
  <c r="T8" i="147"/>
  <c r="S10" i="144"/>
  <c r="T11" i="147"/>
  <c r="T14" i="147" s="1"/>
  <c r="U14" i="147" s="1"/>
  <c r="K23" i="137"/>
  <c r="I23" i="137"/>
  <c r="K12" i="144"/>
  <c r="L12" i="144"/>
  <c r="S13" i="144" l="1"/>
  <c r="T13" i="144" s="1"/>
  <c r="T10" i="137"/>
  <c r="T13" i="137" l="1"/>
  <c r="U13" i="137" s="1"/>
  <c r="H12" i="144" l="1"/>
  <c r="I120" i="436" l="1"/>
  <c r="I119" i="436"/>
  <c r="I121" i="436" l="1"/>
  <c r="I113" i="436" l="1"/>
  <c r="I114" i="436" l="1"/>
  <c r="I115" i="436" l="1"/>
  <c r="I116" i="436" l="1"/>
  <c r="I117" i="436" l="1"/>
  <c r="I118" i="436" l="1"/>
  <c r="M253" i="436" l="1"/>
  <c r="N253" i="436" s="1"/>
  <c r="M257" i="436" s="1"/>
  <c r="I123" i="436" l="1"/>
  <c r="I124" i="436" l="1"/>
  <c r="I126" i="436" l="1"/>
  <c r="I125" i="436"/>
  <c r="I127" i="436" l="1"/>
  <c r="I128" i="436" l="1"/>
  <c r="I129" i="436" l="1"/>
  <c r="I130" i="436" l="1"/>
  <c r="I131" i="436" l="1"/>
  <c r="I132" i="436" l="1"/>
  <c r="I133" i="436" l="1"/>
  <c r="I134" i="436" l="1"/>
  <c r="I135" i="436" l="1"/>
  <c r="I136" i="436" l="1"/>
  <c r="I137" i="436" l="1"/>
  <c r="I138" i="436" l="1"/>
  <c r="I140" i="436" l="1"/>
  <c r="I142" i="436" l="1"/>
  <c r="I143" i="436" l="1"/>
  <c r="I144" i="436" l="1"/>
  <c r="I145" i="436" l="1"/>
  <c r="I146" i="436" l="1"/>
  <c r="I147" i="436" l="1"/>
  <c r="I148" i="436" l="1"/>
  <c r="I149" i="436" l="1"/>
  <c r="I150" i="436" l="1"/>
  <c r="I151" i="436" l="1"/>
  <c r="I152" i="436" l="1"/>
  <c r="I153" i="436" l="1"/>
  <c r="I154" i="436" l="1"/>
  <c r="I155" i="436" l="1"/>
  <c r="I156" i="436" l="1"/>
  <c r="I157" i="436" l="1"/>
  <c r="I158" i="436" l="1"/>
  <c r="I159" i="436" l="1"/>
  <c r="I160" i="436" l="1"/>
  <c r="I161" i="436" l="1"/>
  <c r="I162" i="436" l="1"/>
  <c r="I163" i="436" l="1"/>
  <c r="I164" i="436" l="1"/>
  <c r="I165" i="436" l="1"/>
  <c r="I166" i="436" l="1"/>
  <c r="I167" i="436" l="1"/>
  <c r="I168" i="436" l="1"/>
  <c r="I169" i="436" l="1"/>
  <c r="I170" i="436" l="1"/>
  <c r="I171" i="436" l="1"/>
  <c r="I172" i="436" l="1"/>
  <c r="I173" i="436" l="1"/>
  <c r="I174" i="436" l="1"/>
  <c r="I175" i="436" l="1"/>
  <c r="I176" i="436" l="1"/>
  <c r="I177" i="436" l="1"/>
  <c r="I178" i="436" l="1"/>
  <c r="I179" i="436" l="1"/>
  <c r="I180" i="436" l="1"/>
  <c r="I181" i="436" l="1"/>
  <c r="I182" i="436" l="1"/>
  <c r="I183" i="436" l="1"/>
  <c r="I184" i="436" l="1"/>
  <c r="I185" i="436" l="1"/>
  <c r="I186" i="436" l="1"/>
  <c r="I187" i="436" l="1"/>
  <c r="I188" i="436" l="1"/>
  <c r="I189" i="436" l="1"/>
  <c r="I190" i="436" l="1"/>
  <c r="I191" i="436" l="1"/>
  <c r="I192" i="436" l="1"/>
  <c r="I193" i="436" l="1"/>
  <c r="I194" i="436" l="1"/>
  <c r="I195" i="436" l="1"/>
  <c r="I196" i="436" l="1"/>
  <c r="I197" i="436" l="1"/>
  <c r="I198" i="436" l="1"/>
  <c r="I199" i="436" l="1"/>
  <c r="I200" i="436" l="1"/>
  <c r="I201" i="436" l="1"/>
  <c r="I202" i="436" l="1"/>
  <c r="I203" i="436" l="1"/>
  <c r="I204" i="436" l="1"/>
  <c r="I205" i="436" l="1"/>
  <c r="I206" i="436" l="1"/>
  <c r="I207" i="436" l="1"/>
  <c r="I208" i="436" l="1"/>
  <c r="I209" i="436" l="1"/>
  <c r="I210" i="436" l="1"/>
  <c r="I211" i="436" l="1"/>
  <c r="I212" i="436" l="1"/>
  <c r="I213" i="436" l="1"/>
  <c r="I214" i="436" l="1"/>
  <c r="I215" i="436" l="1"/>
  <c r="I216" i="436" l="1"/>
  <c r="I217" i="436" l="1"/>
  <c r="I218" i="436" l="1"/>
  <c r="I219" i="436" l="1"/>
  <c r="I220" i="436" l="1"/>
  <c r="I221" i="436" l="1"/>
  <c r="I222" i="436" l="1"/>
  <c r="I223" i="436" l="1"/>
  <c r="I224" i="436" l="1"/>
  <c r="I225" i="436" l="1"/>
  <c r="I226" i="436" l="1"/>
  <c r="I227" i="436" l="1"/>
  <c r="I228" i="436" l="1"/>
  <c r="I229" i="436" l="1"/>
  <c r="I230" i="436" l="1"/>
  <c r="I231" i="436" l="1"/>
  <c r="I232" i="436" l="1"/>
  <c r="I233" i="436" l="1"/>
  <c r="I234" i="436" l="1"/>
  <c r="I235" i="436" l="1"/>
  <c r="I236" i="436" l="1"/>
  <c r="I237" i="436" l="1"/>
  <c r="I238" i="436" l="1"/>
  <c r="I239" i="436" l="1"/>
  <c r="I240" i="436" l="1"/>
  <c r="I241" i="436" l="1"/>
  <c r="I242" i="436" l="1"/>
  <c r="I243" i="436" l="1"/>
  <c r="I244" i="436" l="1"/>
  <c r="I245" i="436" l="1"/>
  <c r="I246" i="436" l="1"/>
  <c r="I247" i="436" l="1"/>
  <c r="I248" i="436" l="1"/>
  <c r="I249" i="436" l="1"/>
  <c r="I250" i="436" l="1"/>
  <c r="I251" i="436" l="1"/>
  <c r="I252" i="436" l="1"/>
  <c r="I253" i="436" l="1"/>
  <c r="N251" i="436" l="1"/>
  <c r="N161" i="436" l="1"/>
  <c r="N163" i="436"/>
  <c r="N165" i="436"/>
  <c r="N97" i="436"/>
  <c r="B10" i="447" s="1"/>
  <c r="N8" i="436"/>
  <c r="N60" i="436"/>
  <c r="N178" i="436"/>
  <c r="N53" i="436"/>
  <c r="N102" i="436"/>
  <c r="N89" i="436"/>
  <c r="N149" i="436"/>
  <c r="N81" i="436"/>
  <c r="B23" i="447" s="1"/>
  <c r="N17" i="436"/>
  <c r="N252" i="436"/>
  <c r="N242" i="436"/>
  <c r="N20" i="436"/>
  <c r="O20" i="436" s="1"/>
  <c r="N156" i="436"/>
  <c r="N181" i="436"/>
  <c r="N19" i="436"/>
  <c r="N115" i="436"/>
  <c r="N226" i="436"/>
  <c r="B21" i="447" s="1"/>
  <c r="N69" i="436"/>
  <c r="N236" i="436"/>
  <c r="N185" i="436"/>
  <c r="N103" i="436"/>
  <c r="N108" i="436"/>
  <c r="N133" i="436"/>
  <c r="N57" i="436"/>
  <c r="N12" i="436"/>
  <c r="N15" i="436"/>
  <c r="N114" i="436"/>
  <c r="N243" i="436"/>
  <c r="N176" i="436"/>
  <c r="N77" i="436"/>
  <c r="N193" i="436"/>
  <c r="N101" i="436"/>
  <c r="O101" i="436" s="1"/>
  <c r="N248" i="436"/>
  <c r="N218" i="436"/>
  <c r="B20" i="447" s="1"/>
  <c r="N95" i="436"/>
  <c r="N206" i="436"/>
  <c r="O206" i="436" s="1"/>
  <c r="N35" i="436"/>
  <c r="N55" i="436"/>
  <c r="N199" i="436"/>
  <c r="N85" i="436"/>
  <c r="O85" i="436" s="1"/>
  <c r="N189" i="436"/>
  <c r="N83" i="436"/>
  <c r="N159" i="436"/>
  <c r="N87" i="436"/>
  <c r="N61" i="436"/>
  <c r="N131" i="436"/>
  <c r="N198" i="436"/>
  <c r="O198" i="436" s="1"/>
  <c r="N213" i="436"/>
  <c r="O213" i="436" s="1"/>
  <c r="N23" i="436"/>
  <c r="O23" i="436" s="1"/>
  <c r="N142" i="436"/>
  <c r="N37" i="436"/>
  <c r="N31" i="436"/>
  <c r="O31" i="436" s="1"/>
  <c r="N235" i="436"/>
  <c r="N45" i="436"/>
  <c r="N36" i="436"/>
  <c r="N214" i="436"/>
  <c r="N105" i="436"/>
  <c r="N113" i="436"/>
  <c r="N107" i="436"/>
  <c r="N59" i="436"/>
  <c r="N78" i="436"/>
  <c r="N148" i="436"/>
  <c r="N188" i="436"/>
  <c r="N66" i="436"/>
  <c r="N33" i="436"/>
  <c r="O33" i="436" s="1"/>
  <c r="N250" i="436"/>
  <c r="N231" i="436"/>
  <c r="N187" i="436"/>
  <c r="N86" i="436"/>
  <c r="N211" i="436"/>
  <c r="N245" i="436"/>
  <c r="N9" i="436"/>
  <c r="O9" i="436" s="1"/>
  <c r="N76" i="436"/>
  <c r="N207" i="436"/>
  <c r="N217" i="436"/>
  <c r="N99" i="436"/>
  <c r="N119" i="436"/>
  <c r="N204" i="436"/>
  <c r="N93" i="436"/>
  <c r="N216" i="436"/>
  <c r="N126" i="436"/>
  <c r="N138" i="436"/>
  <c r="N109" i="436"/>
  <c r="N197" i="436"/>
  <c r="N202" i="436"/>
  <c r="N174" i="436"/>
  <c r="N123" i="436"/>
  <c r="N150" i="436"/>
  <c r="N132" i="436"/>
  <c r="N234" i="436"/>
  <c r="N239" i="436"/>
  <c r="N222" i="436"/>
  <c r="N73" i="436"/>
  <c r="N175" i="436"/>
  <c r="N91" i="436"/>
  <c r="B19" i="447" l="1"/>
  <c r="B25" i="447"/>
  <c r="B16" i="447"/>
  <c r="B17" i="447"/>
  <c r="B15" i="447"/>
  <c r="D20" i="447"/>
  <c r="C45" i="432"/>
  <c r="O234" i="436"/>
  <c r="C35" i="432"/>
  <c r="O59" i="436"/>
  <c r="B6" i="447"/>
  <c r="C40" i="432"/>
  <c r="O148" i="436"/>
  <c r="D21" i="447"/>
  <c r="C36" i="432"/>
  <c r="B7" i="447"/>
  <c r="O76" i="436"/>
  <c r="B4" i="447"/>
  <c r="O19" i="436"/>
  <c r="B3" i="447"/>
  <c r="M255" i="436"/>
  <c r="O113" i="436"/>
  <c r="C38" i="432"/>
  <c r="B13" i="447"/>
  <c r="C33" i="432"/>
  <c r="O8" i="436"/>
  <c r="M254" i="436"/>
  <c r="C37" i="432"/>
  <c r="O107" i="436"/>
  <c r="B8" i="447"/>
  <c r="D10" i="447"/>
  <c r="C44" i="432"/>
  <c r="O197" i="436"/>
  <c r="B22" i="447"/>
  <c r="M256" i="436"/>
  <c r="O131" i="436"/>
  <c r="B14" i="447"/>
  <c r="C39" i="432"/>
  <c r="C41" i="432"/>
  <c r="O174" i="436"/>
  <c r="B18" i="447"/>
  <c r="C42" i="432"/>
  <c r="O187" i="436"/>
  <c r="B5" i="447"/>
  <c r="C34" i="432"/>
  <c r="O35" i="436"/>
  <c r="O250" i="436"/>
  <c r="C46" i="432"/>
  <c r="B26" i="447"/>
  <c r="D23" i="447"/>
  <c r="O216" i="436"/>
  <c r="C43" i="432"/>
  <c r="D16" i="447" l="1"/>
  <c r="D5" i="447"/>
  <c r="D19" i="447"/>
  <c r="D17" i="447"/>
  <c r="D15" i="447"/>
  <c r="D4" i="447"/>
  <c r="M33" i="429"/>
  <c r="N33" i="429" s="1"/>
  <c r="C53" i="432"/>
  <c r="C54" i="432" s="1"/>
  <c r="M258" i="436"/>
  <c r="E40" i="432"/>
  <c r="E46" i="432"/>
  <c r="E33" i="432"/>
  <c r="D14" i="447"/>
  <c r="D25" i="447"/>
  <c r="E45" i="432"/>
  <c r="E34" i="432"/>
  <c r="D22" i="447"/>
  <c r="E41" i="432"/>
  <c r="D7" i="447"/>
  <c r="D9" i="447"/>
  <c r="D26" i="447"/>
  <c r="E39" i="432"/>
  <c r="E36" i="432"/>
  <c r="D6" i="447"/>
  <c r="E35" i="432"/>
  <c r="E37" i="432"/>
  <c r="D13" i="447"/>
  <c r="E44" i="432"/>
  <c r="D3" i="447"/>
  <c r="E38" i="432"/>
  <c r="E43" i="432"/>
  <c r="D8" i="447"/>
  <c r="E42" i="432"/>
  <c r="D18" i="447"/>
  <c r="M75" i="429" l="1"/>
  <c r="N8" i="429"/>
  <c r="Q8" i="429" s="1"/>
  <c r="N24" i="429"/>
  <c r="M73" i="429" s="1"/>
  <c r="N32" i="429"/>
  <c r="M74" i="429" s="1"/>
  <c r="N71" i="429" l="1"/>
  <c r="C32" i="432" s="1"/>
  <c r="M72" i="429"/>
  <c r="B2" i="447" l="1"/>
  <c r="M76" i="429"/>
  <c r="E32" i="432"/>
  <c r="E47" i="432" s="1"/>
  <c r="E48" i="432" s="1"/>
  <c r="C47" i="432"/>
  <c r="D32" i="432" l="1"/>
  <c r="D42" i="432"/>
  <c r="D41" i="432"/>
  <c r="D39" i="432"/>
  <c r="D35" i="432"/>
  <c r="D36" i="432"/>
  <c r="D34" i="432"/>
  <c r="D44" i="432"/>
  <c r="D46" i="432"/>
  <c r="D37" i="432"/>
  <c r="D33" i="432"/>
  <c r="D43" i="432"/>
  <c r="D45" i="432"/>
  <c r="D38" i="432"/>
  <c r="D40" i="432"/>
  <c r="D2" i="447"/>
  <c r="D27" i="447" s="1"/>
  <c r="D28" i="447" s="1"/>
  <c r="B27" i="447"/>
  <c r="C2" i="447" s="1"/>
  <c r="C22" i="447" l="1"/>
  <c r="C25" i="447"/>
  <c r="C12" i="447"/>
  <c r="C3" i="447"/>
  <c r="C11" i="447"/>
  <c r="C5" i="447"/>
  <c r="C24" i="447"/>
  <c r="C20" i="447"/>
  <c r="C14" i="447"/>
  <c r="C10" i="447"/>
  <c r="C8" i="447"/>
  <c r="C21" i="447"/>
  <c r="C6" i="447"/>
  <c r="C23" i="447"/>
  <c r="C7" i="447"/>
  <c r="C4" i="447"/>
  <c r="C17" i="447"/>
  <c r="C15" i="447"/>
  <c r="C13" i="447"/>
  <c r="C16" i="447"/>
  <c r="C26" i="447"/>
  <c r="C9" i="447"/>
  <c r="C19" i="447"/>
  <c r="C18" i="447"/>
  <c r="D47" i="432"/>
  <c r="C27" i="447" l="1"/>
  <c r="H2464" i="442" l="1" a="1"/>
  <c r="H2464" i="442"/>
  <c r="H2465" i="442" a="1"/>
  <c r="H2465" i="4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E17" authorId="0" shapeId="0" xr:uid="{E1383262-78B1-4979-BECB-29D5CD663F77}">
      <text>
        <r>
          <rPr>
            <b/>
            <sz val="9"/>
            <color indexed="81"/>
            <rFont val="Segoe UI"/>
            <family val="2"/>
          </rPr>
          <t>Win10:</t>
        </r>
        <r>
          <rPr>
            <sz val="9"/>
            <color indexed="81"/>
            <rFont val="Segoe UI"/>
            <family val="2"/>
          </rPr>
          <t xml:space="preserve">
Área de projeção topo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D8" authorId="0" shapeId="0" xr:uid="{31663F3F-EF31-4C09-9244-9BAF68086C6E}">
      <text>
        <r>
          <rPr>
            <b/>
            <sz val="9"/>
            <color indexed="81"/>
            <rFont val="Segoe UI"/>
            <family val="2"/>
          </rPr>
          <t>Win10:</t>
        </r>
        <r>
          <rPr>
            <sz val="9"/>
            <color indexed="81"/>
            <rFont val="Segoe UI"/>
            <family val="2"/>
          </rPr>
          <t xml:space="preserve">
Rever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Valquiria Vansquelhe</author>
  </authors>
  <commentList>
    <comment ref="F205" authorId="0" shapeId="0" xr:uid="{4C66BA9C-7A0B-42CD-803E-D2CB3BFAA661}">
      <text>
        <r>
          <rPr>
            <b/>
            <sz val="9"/>
            <color indexed="81"/>
            <rFont val="Segoe UI"/>
            <family val="2"/>
          </rPr>
          <t>Valquiria:</t>
        </r>
        <r>
          <rPr>
            <sz val="9"/>
            <color indexed="81"/>
            <rFont val="Segoe UI"/>
            <family val="2"/>
          </rPr>
          <t xml:space="preserve">
nº equipamentos x áreas</t>
        </r>
      </text>
    </comment>
    <comment ref="F206" authorId="0" shapeId="0" xr:uid="{6B4AA9E8-29FC-418F-85F3-6BCBDC3DBAA7}">
      <text>
        <r>
          <rPr>
            <b/>
            <sz val="9"/>
            <color indexed="81"/>
            <rFont val="Segoe UI"/>
            <family val="2"/>
          </rPr>
          <t>Valquiria:</t>
        </r>
        <r>
          <rPr>
            <sz val="9"/>
            <color indexed="81"/>
            <rFont val="Segoe UI"/>
            <family val="2"/>
          </rPr>
          <t xml:space="preserve">
nº equipamentos x áreas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Freo</author>
    <author>Win10</author>
  </authors>
  <commentList>
    <comment ref="S14" authorId="0" shapeId="0" xr:uid="{B54353B4-0AC7-4B85-9F12-06AB3B56C1C3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  <comment ref="P16" authorId="1" shapeId="0" xr:uid="{D0734447-38A4-4583-A5F9-CA4499A381EC}">
      <text>
        <r>
          <rPr>
            <sz val="9"/>
            <color indexed="81"/>
            <rFont val="Segoe UI"/>
            <family val="2"/>
          </rPr>
          <t>Lastro de 4cm fck 15MPa</t>
        </r>
      </text>
    </comment>
    <comment ref="S38" authorId="0" shapeId="0" xr:uid="{2076F5DF-2DAC-4051-BC4A-F6462072F3A4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  <comment ref="S70" authorId="0" shapeId="0" xr:uid="{A447408A-DDCB-4396-80F9-BD01DFDCC1F3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N12" authorId="0" shapeId="0" xr:uid="{C97AF330-C2E4-4A75-B65D-26F0A680C808}">
      <text>
        <r>
          <rPr>
            <b/>
            <sz val="9"/>
            <color indexed="81"/>
            <rFont val="Segoe UI"/>
            <family val="2"/>
          </rPr>
          <t>Win10:</t>
        </r>
        <r>
          <rPr>
            <sz val="9"/>
            <color indexed="81"/>
            <rFont val="Segoe UI"/>
            <family val="2"/>
          </rPr>
          <t xml:space="preserve">
Doc: AGM.Preformas.R02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N24" authorId="0" shapeId="0" xr:uid="{2F0CEF71-B489-41AA-8F28-38BB303F87D5}">
      <text>
        <r>
          <rPr>
            <b/>
            <sz val="9"/>
            <color indexed="81"/>
            <rFont val="Segoe UI"/>
            <family val="2"/>
          </rPr>
          <t>Win10:</t>
        </r>
        <r>
          <rPr>
            <sz val="9"/>
            <color indexed="81"/>
            <rFont val="Segoe UI"/>
            <family val="2"/>
          </rPr>
          <t xml:space="preserve">
Quantidade ausente, estimado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renatamarques</author>
  </authors>
  <commentList>
    <comment ref="E6" authorId="0" shapeId="0" xr:uid="{7BCF2508-69A0-4EDB-91B8-44E08C3B34A4}">
      <text>
        <r>
          <rPr>
            <sz val="8"/>
            <color indexed="81"/>
            <rFont val="Tahoma"/>
            <family val="2"/>
          </rPr>
          <t>Folga total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</authors>
  <commentList>
    <comment ref="G5" authorId="0" shapeId="0" xr:uid="{00000000-0006-0000-1800-000001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Considerando a borda (perimetral) com 2cm a mais</t>
        </r>
      </text>
    </comment>
    <comment ref="F6" authorId="0" shapeId="0" xr:uid="{00000000-0006-0000-1800-000002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Para descontos, inserir a quantidade negativa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H62" authorId="0" shapeId="0" xr:uid="{00000000-0006-0000-1D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I35" authorId="0" shapeId="0" xr:uid="{00000000-0006-0000-1F00-000001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  <author>Michelle Oliveira Santana</author>
  </authors>
  <commentList>
    <comment ref="G4" authorId="0" shapeId="0" xr:uid="{00000000-0006-0000-2100-000001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Considerando a borda (perimetral) com 2cm a mais</t>
        </r>
      </text>
    </comment>
    <comment ref="F5" authorId="0" shapeId="0" xr:uid="{00000000-0006-0000-2100-000002000000}">
      <text>
        <r>
          <rPr>
            <b/>
            <sz val="8"/>
            <color indexed="81"/>
            <rFont val="Segoe UI"/>
            <family val="2"/>
          </rPr>
          <t>Michelle Oliveira:</t>
        </r>
        <r>
          <rPr>
            <sz val="8"/>
            <color indexed="81"/>
            <rFont val="Segoe UI"/>
            <family val="2"/>
          </rPr>
          <t xml:space="preserve">
Para descontos, inserir a quantidade negativa</t>
        </r>
      </text>
    </comment>
    <comment ref="I25" authorId="1" shapeId="0" xr:uid="{00000000-0006-0000-2100-000003000000}">
      <text>
        <r>
          <rPr>
            <sz val="9"/>
            <color indexed="81"/>
            <rFont val="Segoe UI"/>
            <family val="2"/>
          </rPr>
          <t>Verificar fórmula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J5" authorId="0" shapeId="0" xr:uid="{00000000-0006-0000-2300-000001000000}">
      <text>
        <r>
          <rPr>
            <b/>
            <sz val="9"/>
            <color indexed="81"/>
            <rFont val="Segoe UI"/>
            <family val="2"/>
          </rPr>
          <t>Quant. degraus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<sst xmlns="http://schemas.openxmlformats.org/spreadsheetml/2006/main" count="13377" uniqueCount="2654">
  <si>
    <t>Descrição</t>
  </si>
  <si>
    <t>m2</t>
  </si>
  <si>
    <t>un</t>
  </si>
  <si>
    <t>m</t>
  </si>
  <si>
    <t>m3</t>
  </si>
  <si>
    <t>kg</t>
  </si>
  <si>
    <t>ESQUADRIAS DE MADEIRA</t>
  </si>
  <si>
    <t>ITEM</t>
  </si>
  <si>
    <t>H</t>
  </si>
  <si>
    <t>DATA:</t>
  </si>
  <si>
    <t>TOTAL</t>
  </si>
  <si>
    <t>TIPO</t>
  </si>
  <si>
    <t>PEÇA</t>
  </si>
  <si>
    <t>ÁREA</t>
  </si>
  <si>
    <t>S</t>
  </si>
  <si>
    <t>m²</t>
  </si>
  <si>
    <t>Total</t>
  </si>
  <si>
    <t>M2</t>
  </si>
  <si>
    <t>REVISÃO:</t>
  </si>
  <si>
    <t>x</t>
  </si>
  <si>
    <t>TOTAL GERAL</t>
  </si>
  <si>
    <t>Item</t>
  </si>
  <si>
    <t>QUANT</t>
  </si>
  <si>
    <t xml:space="preserve">TOTAL </t>
  </si>
  <si>
    <t>CA-60 - m</t>
  </si>
  <si>
    <t>TOTAL - M</t>
  </si>
  <si>
    <t>PESO kg/m</t>
  </si>
  <si>
    <t>TOTAL - kg</t>
  </si>
  <si>
    <t>TABELA DE AÇO</t>
  </si>
  <si>
    <t>CA-50</t>
  </si>
  <si>
    <t>CA-60</t>
  </si>
  <si>
    <t>Ø - mm</t>
  </si>
  <si>
    <t>kg/m</t>
  </si>
  <si>
    <t>pol</t>
  </si>
  <si>
    <t>1/4"</t>
  </si>
  <si>
    <t>5/16"</t>
  </si>
  <si>
    <t>3/8"</t>
  </si>
  <si>
    <t>1/2"</t>
  </si>
  <si>
    <t>5/8"</t>
  </si>
  <si>
    <t>3/4"</t>
  </si>
  <si>
    <t>1"</t>
  </si>
  <si>
    <t>1 1/4"</t>
  </si>
  <si>
    <t>1 5/8"</t>
  </si>
  <si>
    <t>PROJETO</t>
  </si>
  <si>
    <t>DIMENSÕES UNITÁRIAS</t>
  </si>
  <si>
    <t>ESCAV</t>
  </si>
  <si>
    <t>Adição</t>
  </si>
  <si>
    <t>APILOA</t>
  </si>
  <si>
    <t>REATER</t>
  </si>
  <si>
    <t>BOTA FORA</t>
  </si>
  <si>
    <t>LASTRO</t>
  </si>
  <si>
    <t>FORMA</t>
  </si>
  <si>
    <t>TAXA AÇO (KG/M3)</t>
  </si>
  <si>
    <t>IMPERM</t>
  </si>
  <si>
    <t>A</t>
  </si>
  <si>
    <t>B</t>
  </si>
  <si>
    <t>C</t>
  </si>
  <si>
    <t>lados</t>
  </si>
  <si>
    <t>DETALHE TÍPICO</t>
  </si>
  <si>
    <t>UNIT</t>
  </si>
  <si>
    <t>LAJE / MOLDE</t>
  </si>
  <si>
    <t>ESCORAMENTO</t>
  </si>
  <si>
    <t>LARG</t>
  </si>
  <si>
    <t>COMPR</t>
  </si>
  <si>
    <t>ALT</t>
  </si>
  <si>
    <t>PD</t>
  </si>
  <si>
    <t>COMP</t>
  </si>
  <si>
    <t>Lados</t>
  </si>
  <si>
    <t>MOLDADA IN LOCO</t>
  </si>
  <si>
    <t>LAJE PISO</t>
  </si>
  <si>
    <t>DEGRAUS / ESPELHO</t>
  </si>
  <si>
    <t>D</t>
  </si>
  <si>
    <t>E</t>
  </si>
  <si>
    <t>F</t>
  </si>
  <si>
    <t>G</t>
  </si>
  <si>
    <t>DETALHE DA ESCADA MEDIDAS A SEREM FORNECIDAS</t>
  </si>
  <si>
    <t>MA02</t>
  </si>
  <si>
    <t>QUANTITATIVO PROJETISTA</t>
  </si>
  <si>
    <t>Área</t>
  </si>
  <si>
    <t>Descontos</t>
  </si>
  <si>
    <t>COEF</t>
  </si>
  <si>
    <t>QUANTIDADE POR ITEM CA-50 - m</t>
  </si>
  <si>
    <t>DIMENSÕES UNITÁRIAS - m</t>
  </si>
  <si>
    <t>ALTURA</t>
  </si>
  <si>
    <t>SEÇÃO 1</t>
  </si>
  <si>
    <t>SEÇÃO 2</t>
  </si>
  <si>
    <t>LADOS</t>
  </si>
  <si>
    <t>ESPESS</t>
  </si>
  <si>
    <t>BASE</t>
  </si>
  <si>
    <t>DEGRAUS</t>
  </si>
  <si>
    <t>FUNDO S/N</t>
  </si>
  <si>
    <t>m³</t>
  </si>
  <si>
    <t>COBERTURA</t>
  </si>
  <si>
    <t>1º lance</t>
  </si>
  <si>
    <t>Térreo - 1° pavto</t>
  </si>
  <si>
    <t>Tipo</t>
  </si>
  <si>
    <t>Unidade</t>
  </si>
  <si>
    <t>FERRAGENS</t>
  </si>
  <si>
    <t xml:space="preserve">Patamar </t>
  </si>
  <si>
    <t>2º lance</t>
  </si>
  <si>
    <t>3º lance</t>
  </si>
  <si>
    <t>Laje Piso 1º Pav</t>
  </si>
  <si>
    <t>L10cm</t>
  </si>
  <si>
    <t>Laje Cobertura</t>
  </si>
  <si>
    <t>Laje barrilete</t>
  </si>
  <si>
    <t>BARRILETE</t>
  </si>
  <si>
    <t>CORRIMÃO</t>
  </si>
  <si>
    <t>MA01</t>
  </si>
  <si>
    <t>MA03</t>
  </si>
  <si>
    <t>Laje Tipo</t>
  </si>
  <si>
    <t>Quantidade</t>
  </si>
  <si>
    <t>Bloco</t>
  </si>
  <si>
    <t>canaleta</t>
  </si>
  <si>
    <t>Dimensões</t>
  </si>
  <si>
    <t>Indice</t>
  </si>
  <si>
    <t>Indice + Perda</t>
  </si>
  <si>
    <t>L20cm</t>
  </si>
  <si>
    <t>14x19x39</t>
  </si>
  <si>
    <t>14x19x34</t>
  </si>
  <si>
    <t>14x19x04</t>
  </si>
  <si>
    <t>14x19x09</t>
  </si>
  <si>
    <t>14x19x19</t>
  </si>
  <si>
    <t>14x19x54</t>
  </si>
  <si>
    <t>Perda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</si>
  <si>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</si>
  <si>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</si>
  <si>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</si>
  <si>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</si>
  <si>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</si>
  <si>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</si>
  <si>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</si>
  <si>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</si>
  <si>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</si>
  <si>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</si>
  <si>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</si>
  <si>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</si>
  <si>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</si>
  <si>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</si>
  <si>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</si>
  <si>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</si>
  <si>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</si>
  <si>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</si>
  <si>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-</t>
  </si>
  <si>
    <t xml:space="preserve"> Pavimentos Tipo - Torre 1</t>
  </si>
  <si>
    <t>MA04</t>
  </si>
  <si>
    <t>MA05</t>
  </si>
  <si>
    <t>MA06</t>
  </si>
  <si>
    <t>MA07</t>
  </si>
  <si>
    <t>MA08</t>
  </si>
  <si>
    <t>MA09</t>
  </si>
  <si>
    <t>MA10</t>
  </si>
  <si>
    <t xml:space="preserve"> Pavimentos Tipo - Torre 2</t>
  </si>
  <si>
    <t>CONCRETO</t>
  </si>
  <si>
    <t>L15cm</t>
  </si>
  <si>
    <t>1° pavto - 2º pvto</t>
  </si>
  <si>
    <t>2 FOLHAS DE CORRER DE VIDRO LISO + PERSIANA INTEGRADA</t>
  </si>
  <si>
    <t>2 FOLHAS DE CORRER DE VIDRO</t>
  </si>
  <si>
    <t>2 FOLHAS DE CORRER DE VIDRO LISO + BANDEIRA SUPERIOR COM V.P.</t>
  </si>
  <si>
    <t>2 FOLHAS DE CORRER EM VIDRO LISO SUPERIOR E VIDRO DE SEGURANÇA LISO  INFERIOR + VENEZIANA</t>
  </si>
  <si>
    <t>1 FOLHA DE MAXIM-AR COM BANDEIRA INFERIOR E VIDRO FANTASIA COM LIMITADOR DE ABERTURA</t>
  </si>
  <si>
    <t>3 FOLHAS DE CORRER EM VIDRO LISO</t>
  </si>
  <si>
    <t>1 FOLHA VENEZIANA DE ABRIR COM V.P.</t>
  </si>
  <si>
    <t>2 FOLHAS DE ABRIR ASSIMÉTRICAS EM VIDRO LISO SUPERIOR E VIDRO DE SEGURANÇA LISO  INFERIOR</t>
  </si>
  <si>
    <t>2 FOLHAS DE ABRIR SIMÉTRICAS EM VIDRO LISO SUPERIOR E VIDRO DE SEGURANÇA LISO  INFERIOR</t>
  </si>
  <si>
    <t>1 FOLHA FIXA DE VIDRO DE SEGURANÇA</t>
  </si>
  <si>
    <t>1 FOLHA VENEZIANA FIXA COM V.P.</t>
  </si>
  <si>
    <t>2 FOLHAS DE CORRER DE VIDRO + 2 FIXAS</t>
  </si>
  <si>
    <t>VP19</t>
  </si>
  <si>
    <t>VENEZIANA FIXA ( VENTILAÇÃO PERMANENTE)</t>
  </si>
  <si>
    <t>VP20</t>
  </si>
  <si>
    <t>VP21</t>
  </si>
  <si>
    <t>VP22</t>
  </si>
  <si>
    <t>2 FOLHAS DE ABRIR SIMÉTRICAS COM VENEZIANA</t>
  </si>
  <si>
    <t>VP23</t>
  </si>
  <si>
    <t>PR24</t>
  </si>
  <si>
    <t>PR25</t>
  </si>
  <si>
    <t>PR26</t>
  </si>
  <si>
    <t>PR27</t>
  </si>
  <si>
    <t>EMPREENDIMENTO:</t>
  </si>
  <si>
    <t>Local</t>
  </si>
  <si>
    <t>comp</t>
  </si>
  <si>
    <t>altura</t>
  </si>
  <si>
    <t>FE01</t>
  </si>
  <si>
    <t>RESUMO - CONCRETO</t>
  </si>
  <si>
    <t>40 MPa</t>
  </si>
  <si>
    <t xml:space="preserve">CONCRETO </t>
  </si>
  <si>
    <t>RESISTÊNCIA</t>
  </si>
  <si>
    <t>QUANT.
m3</t>
  </si>
  <si>
    <t>DIMENSÕES UNITÁRIAS - METROS</t>
  </si>
  <si>
    <t>IMAGENS LEVANTAMENTO</t>
  </si>
  <si>
    <t>JOGO DE FORMA PARA O RESUMO:</t>
  </si>
  <si>
    <t>14x19x14</t>
  </si>
  <si>
    <t>DATA</t>
  </si>
  <si>
    <t>PERÍMETRO</t>
  </si>
  <si>
    <t>PROJETO:</t>
  </si>
  <si>
    <t>CONCRETO 
m³</t>
  </si>
  <si>
    <t>LONA
m²</t>
  </si>
  <si>
    <t>Atalho</t>
  </si>
  <si>
    <t xml:space="preserve">PROJETO: </t>
  </si>
  <si>
    <t>item</t>
  </si>
  <si>
    <t>código</t>
  </si>
  <si>
    <t>*</t>
  </si>
  <si>
    <t>PORTAS DE MADEIRA EM MARCENARIA (BATENTE/FOLHA/GUARNIÇÃO/FERRAGENS)</t>
  </si>
  <si>
    <t>ESQUADRIAS DE ALUMÍNIO</t>
  </si>
  <si>
    <t>ESQUADRIAS METÁLICAS</t>
  </si>
  <si>
    <t>OBSERVAÇÕES:</t>
  </si>
  <si>
    <t>Não lançar nada em células com fórmulas (todas com formatação em cinza)</t>
  </si>
  <si>
    <t>Atentar aos textos das unidades, o texto deverá estar digitado igualmente, sem espaços para não ocasionar erro de fórmula</t>
  </si>
  <si>
    <t>1 FOLHA DE ABRIR EM MADEIRA COM BATENTE REGULÁVEL DE 15cm + MOLDURA EXTERNA</t>
  </si>
  <si>
    <t>ENTRADA APTOS (TÉRREO E TIPO)</t>
  </si>
  <si>
    <t>1 FOLHA LISA DE ABRIR EM MADEIRA COM BATENTE REGULÁVEL DE 10cm</t>
  </si>
  <si>
    <t>DORMITÓRIOS (TIPO)/ VEST. MASC E FEM. (TÉRREO TORRE 1)/ SALA DE ENTREGA TÉRREO TORRE 1)/DML (TORRE 1 E 2)/ COPA (SALÃO DE FESTAS)</t>
  </si>
  <si>
    <t>BANHO APTO PNE  (TÉRREO E 1º PAV)</t>
  </si>
  <si>
    <t>1 FOLHA LISA DE ABRIR EM MADEIRA COM BATENTE REGULÁVEL DE 15cm</t>
  </si>
  <si>
    <t>BANHO APTO TIPO / WC PORTARIA/ WC ESPAÇO FLEX/ WCS BRINQUEDOTECA/ WC FEM E MASC. (SALÃO DE FESTAS)</t>
  </si>
  <si>
    <t>DORMITÓRIO APTO PNE/ APA (TÉRREO TORRE 1)/ HALL DE SERVIÇO (TORRES 1 E 2)/ ADM (TORRE 2)</t>
  </si>
  <si>
    <t>DORMITÓRIO (TÉRREOS E TIPO)</t>
  </si>
  <si>
    <t>SALA (TÉRREO E TIPO)</t>
  </si>
  <si>
    <t>A.S. (TÉRREO E TIPO)</t>
  </si>
  <si>
    <t>SALA/TERRAÇO (TÉRREO E TIPO)</t>
  </si>
  <si>
    <t>SALA/TERRAÇO APTO PNE (TÉRREO E 1ºPAV)</t>
  </si>
  <si>
    <t>PORTARIA - TÉRREO</t>
  </si>
  <si>
    <t>SALÃO DE FESTAS -IMPLANTAÇÃO</t>
  </si>
  <si>
    <t>F1</t>
  </si>
  <si>
    <t>F2</t>
  </si>
  <si>
    <t>F3</t>
  </si>
  <si>
    <t>FECHADURA EXTERNA - PADO CONCEPT POLIDO 406-30E</t>
  </si>
  <si>
    <t>FECHADURA INTERNA - PADO CONCEPT POLIDO 4061-30I</t>
  </si>
  <si>
    <t>FECHADURA BANHO - PADO CONCEPT POLIDO 406-30B</t>
  </si>
  <si>
    <t>CENTRO MEDIÇÃO(TORRE 2)/ VESTIÁRIO PCD (TORRE 2)/ W.C. PCD(TORRE 1)/ DEPÓSITO LIXO (TORRE 2 - TÉRREO)/ HALL SERVIÇOS (TORRE 1)</t>
  </si>
  <si>
    <t>HALL TORRES/ BRINQUEDOTECA/ LAVANDERIA/ ESPAÇO FLEX/ BICICLETÁRIO (TÉRREO)/ FITNESS</t>
  </si>
  <si>
    <t>BRINQUEDOTECA/LAVANDERIA/ESPAÇO FLEX (TÉRREO)/ FITNESS</t>
  </si>
  <si>
    <t>HALL TORRE (TÉRREO  -TORRE 1)</t>
  </si>
  <si>
    <t>ELEVADOR (BARRILETE)</t>
  </si>
  <si>
    <t>CASA DE BOMBAS</t>
  </si>
  <si>
    <t>CASA DE BOMBAS PISCINA</t>
  </si>
  <si>
    <t>CENTRO DE MEDIÇÃO</t>
  </si>
  <si>
    <t>VENTOKIT</t>
  </si>
  <si>
    <t>SALA DE PRESSURIZAÇÃO ( TÉRREO - TORRE 1)</t>
  </si>
  <si>
    <t>SALA DE PRESSURIZAÇÃO ( TÉRREO - TORRE 2)</t>
  </si>
  <si>
    <t>PORTA CORTA FOGO</t>
  </si>
  <si>
    <t>ESCADA TORRES / SALA DE PRESSURIZAÇÃO / CASA DE BOMBAS BARRILETE</t>
  </si>
  <si>
    <t>FE02</t>
  </si>
  <si>
    <t>ESCADA MARINHEIRO</t>
  </si>
  <si>
    <t>FE03</t>
  </si>
  <si>
    <t>ALÇAPÃO</t>
  </si>
  <si>
    <t>BARRILETE / CASA DE BOMBAS (IMPLANTAÇÃO)</t>
  </si>
  <si>
    <t>FE04</t>
  </si>
  <si>
    <t>GUARDA-CORPO</t>
  </si>
  <si>
    <t>TERRAÇOS APTOS</t>
  </si>
  <si>
    <t>FE05</t>
  </si>
  <si>
    <t>ESCADA MARINHEIRO COM GAIOLA</t>
  </si>
  <si>
    <t>FE06</t>
  </si>
  <si>
    <t xml:space="preserve">CORRIMÃO ESCADAS </t>
  </si>
  <si>
    <t>TORRES</t>
  </si>
  <si>
    <t>FE07</t>
  </si>
  <si>
    <t>PORTÃO BASCULANTE - ACESSO VEÍCULOS</t>
  </si>
  <si>
    <t>IMPLANTAÇÃO</t>
  </si>
  <si>
    <t>FE08</t>
  </si>
  <si>
    <t>GUARDA-CORPO PISCINA</t>
  </si>
  <si>
    <t>FE09</t>
  </si>
  <si>
    <t>FE10</t>
  </si>
  <si>
    <t>PORTÃO ACESSO PEDESTRES</t>
  </si>
  <si>
    <t>PORTARIA - TÉRREO TORRE 1</t>
  </si>
  <si>
    <t>FE11</t>
  </si>
  <si>
    <t>2 FOLHAS DE ABRIR EM FERRO COM VENEZIANA</t>
  </si>
  <si>
    <t xml:space="preserve">HIDRÔMETRO - TÉRREO TORRE 1 </t>
  </si>
  <si>
    <t>FE12</t>
  </si>
  <si>
    <t>1 FOLHA DE ABRIR EM FERRO COM VENEZIANA</t>
  </si>
  <si>
    <t xml:space="preserve">REGISTRO DE GÁS - TÉRREO TORRE 1 </t>
  </si>
  <si>
    <t>FE13</t>
  </si>
  <si>
    <t xml:space="preserve">ABRIGO DE GÁS -  TÉRREO TORRE 1 </t>
  </si>
  <si>
    <t>VP</t>
  </si>
  <si>
    <t>PINTURA ESMALTE EM ESQUADRIAS DE FERRO</t>
  </si>
  <si>
    <t>VP SALA DE PRESSURIZAÇÃO</t>
  </si>
  <si>
    <t>VP2</t>
  </si>
  <si>
    <t>VP3</t>
  </si>
  <si>
    <t>ESCADA</t>
  </si>
  <si>
    <t>Inserir Linhas Acima...</t>
  </si>
  <si>
    <t>LASTRO DE BRITA
m³</t>
  </si>
  <si>
    <t>PEITORIL</t>
  </si>
  <si>
    <t>M</t>
  </si>
  <si>
    <t>D.G. (TÉRRE0)/COPA SALÃO DE FESTAS/ PORTARIA/ SALA DE ENTREGA/ DEP. LIXO (TORRE 1 - TÉRREO)</t>
  </si>
  <si>
    <t>606</t>
  </si>
  <si>
    <t>607</t>
  </si>
  <si>
    <t>608</t>
  </si>
  <si>
    <t>609</t>
  </si>
  <si>
    <t>610</t>
  </si>
  <si>
    <t>Situação</t>
  </si>
  <si>
    <t>ES09A</t>
  </si>
  <si>
    <t>FITNESS</t>
  </si>
  <si>
    <t>MA06A</t>
  </si>
  <si>
    <t>MA07A</t>
  </si>
  <si>
    <t>MA08A</t>
  </si>
  <si>
    <t>MA09A</t>
  </si>
  <si>
    <t>MA10A</t>
  </si>
  <si>
    <t>MA08B</t>
  </si>
  <si>
    <t>SHAFT HIDRÁULICA (TÉRREO TORRE 02  E 1º PAV TORRE 01)</t>
  </si>
  <si>
    <t>SHAFT ELÉTRICA / SISTEMAS  (TÉRREO TORRE 02  E 1º PAV TORRE 01)</t>
  </si>
  <si>
    <t>SHAFT HIDRANTE  (TÉRREO TORRE 02  E 1º PAV TORRE 01)</t>
  </si>
  <si>
    <t>SHAFT ELÉTRICA  (TÉRREO TORRE 02  E 1º PAV TORRE 01)</t>
  </si>
  <si>
    <t>SHAFT ELÉTRICA / SISTEMAS (TÉRREO TORRE 01)</t>
  </si>
  <si>
    <t>2 FOLHAS DE ABRIR DE 63x200cm (CADA) COM FRISOS DECORATIVOS P/ TÉRREO E SEM FRISOS DEMAIS PAVIMENTOS + BANDEIRA FIXA</t>
  </si>
  <si>
    <t>1 FOLHA DE ABRIR DE 0,70x200m COM FRISOS DECORATIVOS P/ TÉRREO E SEM FRISOS DEMAIS PAVIMENTOS + BANDEIRA FIXA</t>
  </si>
  <si>
    <t>1 FOLHA DE ABRIR DE 70x200cm COM FRISOS DECORATIVOS P/ TÉRREO E SEM FRISOS DEMAIS PAVIMENTOS + BANDEIRA FIXA</t>
  </si>
  <si>
    <t>SHAFT HIDRÁULICA (TIPO)</t>
  </si>
  <si>
    <t>SHAFT ELÉTRICA / SISTEMAS (TIPO)</t>
  </si>
  <si>
    <t>SHAFT ELÉTRICA / SISTEMAS (TÉRREO TORRE 01) (TIPO)</t>
  </si>
  <si>
    <t>SHAFT HIDRANTE (TIPO)</t>
  </si>
  <si>
    <t>SHAFT ELÉTRICA  (TIPO)</t>
  </si>
  <si>
    <t>1 FOLHA DE ABRIR DE 57X200cm ABRIR COM FRISOS DECORATIVOS P/ TÉRREO E SEM FRISOS DEMAIS PAVIMENTOS</t>
  </si>
  <si>
    <t>VP23A</t>
  </si>
  <si>
    <t>ESCADA TÉRREO TORRE 02</t>
  </si>
  <si>
    <t xml:space="preserve">R00 </t>
  </si>
  <si>
    <t>ÁREA
m²</t>
  </si>
  <si>
    <t>PERÍMETRO
m</t>
  </si>
  <si>
    <t>ALT
m</t>
  </si>
  <si>
    <t>UNIT
m²</t>
  </si>
  <si>
    <t>TOTAL
m²</t>
  </si>
  <si>
    <t>UNIT
m³</t>
  </si>
  <si>
    <t>TOTAL
m³</t>
  </si>
  <si>
    <t>30 MPa</t>
  </si>
  <si>
    <t>35 MPa</t>
  </si>
  <si>
    <t>25 MPa</t>
  </si>
  <si>
    <t>20 MPa</t>
  </si>
  <si>
    <t>20MPa</t>
  </si>
  <si>
    <t>40MPa</t>
  </si>
  <si>
    <t>25MPa</t>
  </si>
  <si>
    <t>30MPa</t>
  </si>
  <si>
    <t>35MPa</t>
  </si>
  <si>
    <t>CORRIMÃO + GUARDA-CORPO RAMPaS EXTERNAS</t>
  </si>
  <si>
    <t>Piso térreo</t>
  </si>
  <si>
    <t>BOTA-FORA</t>
  </si>
  <si>
    <t>TAXA AÇO</t>
  </si>
  <si>
    <t>C. Topo</t>
  </si>
  <si>
    <t>C. Apoio</t>
  </si>
  <si>
    <t>Ø peça</t>
  </si>
  <si>
    <t>KG/M3</t>
  </si>
  <si>
    <t xml:space="preserve">Hélice diam 60 cm </t>
  </si>
  <si>
    <t xml:space="preserve">Hélice diam 70 cm </t>
  </si>
  <si>
    <t xml:space="preserve">Hélice diam 80 cm </t>
  </si>
  <si>
    <t>Arrasamento</t>
  </si>
  <si>
    <t xml:space="preserve">Hélice diam 40 cm </t>
  </si>
  <si>
    <t xml:space="preserve">Hélice diam 50 cm </t>
  </si>
  <si>
    <t xml:space="preserve">E.P. Hélice diam 70 cm </t>
  </si>
  <si>
    <t xml:space="preserve">R00 - </t>
  </si>
  <si>
    <t>QUANT. PROJETISTA</t>
  </si>
  <si>
    <t>Concreto</t>
  </si>
  <si>
    <t>.... MPa</t>
  </si>
  <si>
    <t>(PCF, Guarda Corpo, Escada Marinheiro e Alçapão)</t>
  </si>
  <si>
    <t>PROJETO: 0002-PD01-EST-EX-612-TOR-ESC_R00</t>
  </si>
  <si>
    <t>PROJETO: 0002-PD01-EST-EX-802-TOR-ESC_R00</t>
  </si>
  <si>
    <t>PROJETO: 0002-PD01-EST-EX-806-TOR-ESC_R00</t>
  </si>
  <si>
    <t xml:space="preserve">Hélice diam 90 cm </t>
  </si>
  <si>
    <t xml:space="preserve">Quant. </t>
  </si>
  <si>
    <t>VB</t>
  </si>
  <si>
    <t>AP</t>
  </si>
  <si>
    <t>Obra</t>
  </si>
  <si>
    <t>Empresa</t>
  </si>
  <si>
    <t>Revisão</t>
  </si>
  <si>
    <t>Lausanne</t>
  </si>
  <si>
    <t>Santo André</t>
  </si>
  <si>
    <t>R00 - Michelle Furlan - 06/02/24</t>
  </si>
  <si>
    <t>ESTACAS</t>
  </si>
  <si>
    <t>ARMAÇÃO FUNDAÇÃO DIRETA</t>
  </si>
  <si>
    <t>ESTRUTURA - PISO ARMADO</t>
  </si>
  <si>
    <t>FUNDAÇÃO PROFUNDA</t>
  </si>
  <si>
    <t>FUNDAÇÃO RASA</t>
  </si>
  <si>
    <t>MOVIMENTAÇÃO DE TERRA</t>
  </si>
  <si>
    <t>Escavação e Reaterro de Valas</t>
  </si>
  <si>
    <t>Movimentação de bota - fora</t>
  </si>
  <si>
    <t>INFRAESTRUTURA</t>
  </si>
  <si>
    <t>Armadura</t>
  </si>
  <si>
    <t>Mão de Obra</t>
  </si>
  <si>
    <t>Forma</t>
  </si>
  <si>
    <t>Armação aço CA-50 ø 8,0mm para infraestrutura (corte e dobra em obra)</t>
  </si>
  <si>
    <t>Armação aço CA-50 ø 10,0mm para infraestrutura (corte e dobra em obra)</t>
  </si>
  <si>
    <t>Armação aço CA-50 ø 16,0mm para infraestrutura (corte e dobra em obra)</t>
  </si>
  <si>
    <t>Considerações</t>
  </si>
  <si>
    <t>GERENCIAMENTO EXECUTIVO</t>
  </si>
  <si>
    <t>Data</t>
  </si>
  <si>
    <t>Site</t>
  </si>
  <si>
    <t>Status</t>
  </si>
  <si>
    <t>E-mail</t>
  </si>
  <si>
    <t>CONTROLE DE COTAÇÕES</t>
  </si>
  <si>
    <t>CUSTO</t>
  </si>
  <si>
    <t>*proposta salva no drive</t>
  </si>
  <si>
    <r>
      <t xml:space="preserve">INFORMAÇÕES IMPORTANTES: </t>
    </r>
    <r>
      <rPr>
        <sz val="9"/>
        <color theme="0"/>
        <rFont val="Calibri"/>
        <family val="2"/>
        <scheme val="minor"/>
      </rPr>
      <t>CNPJ XXXX / XXXXX / Endereço da obra: XXXX</t>
    </r>
  </si>
  <si>
    <t>Projeto</t>
  </si>
  <si>
    <t>EMPRESA:</t>
  </si>
  <si>
    <t>X</t>
  </si>
  <si>
    <t>FORMA (PROJETISTA)</t>
  </si>
  <si>
    <t>CONCRETO (PROJETISTA)</t>
  </si>
  <si>
    <t>IMPERMEABILIZAÇÃO DO BALDRAME</t>
  </si>
  <si>
    <t>CORTINA</t>
  </si>
  <si>
    <t>ARMAÇÃO CORTINA</t>
  </si>
  <si>
    <t>VIGAS  FUNDAÇÃO</t>
  </si>
  <si>
    <t>SUPRAESTRUTURA</t>
  </si>
  <si>
    <t>Complementares</t>
  </si>
  <si>
    <t>Alvenaria de vedação com blocos cerâmicos</t>
  </si>
  <si>
    <t>Serviços complementares para alvenaria de vedação</t>
  </si>
  <si>
    <t>Mão de obra</t>
  </si>
  <si>
    <t>Regularização e proteção mecânica</t>
  </si>
  <si>
    <t>Mão de obra impermeabilização de superfície com manta asfáltica</t>
  </si>
  <si>
    <t>Peitoris</t>
  </si>
  <si>
    <t>Acabamento de gesso em teto</t>
  </si>
  <si>
    <t>Contrapiso</t>
  </si>
  <si>
    <t>Acabamentos cerâmicos em piso</t>
  </si>
  <si>
    <t>Rodapés</t>
  </si>
  <si>
    <t>SISTEMAS DE PINTURA INTERNA</t>
  </si>
  <si>
    <t>PINTURA INTERNA</t>
  </si>
  <si>
    <t>Sistema de pintura em piso</t>
  </si>
  <si>
    <t>Sistema de pintura em parede</t>
  </si>
  <si>
    <t>Sistema de pintura em teto</t>
  </si>
  <si>
    <t>ESQUADRIAS, VIDROS E FERRAGENS</t>
  </si>
  <si>
    <t>Esquadrias de alumínio</t>
  </si>
  <si>
    <t>Esquadrias de madeira</t>
  </si>
  <si>
    <t>Serralheria</t>
  </si>
  <si>
    <t>LOUÇAS E METAIS</t>
  </si>
  <si>
    <t>vb</t>
  </si>
  <si>
    <t>Vaso sanitário deca branco</t>
  </si>
  <si>
    <t>Torneira de jardim</t>
  </si>
  <si>
    <t>Anel de vedação, 100 mm, para saíde de bacia sanitária</t>
  </si>
  <si>
    <t>Engate/ rabicho flexível inóx 1/2"x40mm</t>
  </si>
  <si>
    <t>Parafuso niquelado para fixação de bacia sanitária - tamanho S-10</t>
  </si>
  <si>
    <t>Sifão ajustável multiuso</t>
  </si>
  <si>
    <t>REVESTIMENTOS E ACABAMENTOS EM FACHADA</t>
  </si>
  <si>
    <t>Revestimento argamassado em fachada</t>
  </si>
  <si>
    <t>Pintura e textura em fachada</t>
  </si>
  <si>
    <t>Acabamentos especiais em fachada</t>
  </si>
  <si>
    <t>Mao de obra para reboco externo - inclui chapisco</t>
  </si>
  <si>
    <t>SERVIÇOS COMPLEMENTARES E FINAIS</t>
  </si>
  <si>
    <t>SERVIÇOS COMPLEMENTARES EXTERNOS</t>
  </si>
  <si>
    <t>Calçadas e Passeios</t>
  </si>
  <si>
    <t>Paisagismo</t>
  </si>
  <si>
    <t>Serviços Finais</t>
  </si>
  <si>
    <t>Limpeza final</t>
  </si>
  <si>
    <t>Ligações definitivas</t>
  </si>
  <si>
    <t xml:space="preserve">IMPREVISTOS E CONTINGÊNCIAS </t>
  </si>
  <si>
    <t>Imprevistos e contingências</t>
  </si>
  <si>
    <t>INSTALAÇÕES</t>
  </si>
  <si>
    <t>Valor (R$)</t>
  </si>
  <si>
    <t>SISTEMAS E INSTALAÇÕES ELÉTRICAS</t>
  </si>
  <si>
    <t>Entrada de Energia</t>
  </si>
  <si>
    <t>Quadros e Disjuntores</t>
  </si>
  <si>
    <t>Eletrodutos e Eletrocalhas</t>
  </si>
  <si>
    <t>SISTEMAS E INSTALAÇÕES HIDROSSANITÁRIAS E DRENAGEM</t>
  </si>
  <si>
    <t>Entrada de energia</t>
  </si>
  <si>
    <t>Quadros elétricos e disjuntores</t>
  </si>
  <si>
    <t>Luminárias, lâmpadas e acessórios</t>
  </si>
  <si>
    <t>EQUIPAMENTOS E SISTEMAS ESPECIAIS</t>
  </si>
  <si>
    <t>CLIMATIZAÇÃO, EXAUSTÃO MECÂNICA E PRESSURIZAÇÃO</t>
  </si>
  <si>
    <t>Climatização</t>
  </si>
  <si>
    <t>Cuba de embutir</t>
  </si>
  <si>
    <t xml:space="preserve">R00 - Michelle Furlan - </t>
  </si>
  <si>
    <t xml:space="preserve">R00 - Michelle Furlan </t>
  </si>
  <si>
    <t xml:space="preserve">PROJETO:  </t>
  </si>
  <si>
    <t>Armação aço CA-50 ø 6,3mm para infraestrutura (corte e dobra em obra)</t>
  </si>
  <si>
    <t xml:space="preserve">Armação aço CA-50 ø 12,5mm para infraestrutura (corte e dobra em obra) </t>
  </si>
  <si>
    <t xml:space="preserve">Armação aço CA-50 ø 20,0mm para infraestrutura (corte e dobra em obra) </t>
  </si>
  <si>
    <t xml:space="preserve">Hélice diam 35 cm </t>
  </si>
  <si>
    <t>Preço un</t>
  </si>
  <si>
    <t xml:space="preserve">Armação aço CA-60 ø 5,00mm para infraestrutura (corte e dobra em obra) </t>
  </si>
  <si>
    <t>Reaterro mecanizado de valas para blocos e vigas de fundação, com retroescavadeira</t>
  </si>
  <si>
    <t>TERREO</t>
  </si>
  <si>
    <t>Observações</t>
  </si>
  <si>
    <t>Soleira</t>
  </si>
  <si>
    <t>Unidade Construtiva</t>
  </si>
  <si>
    <t>Célula Construtiva</t>
  </si>
  <si>
    <t>Etapa</t>
  </si>
  <si>
    <t>Subetapa</t>
  </si>
  <si>
    <t>Serviço</t>
  </si>
  <si>
    <t>NIVEL</t>
  </si>
  <si>
    <t>CÉLULA CONSTRUTIVA</t>
  </si>
  <si>
    <t>ETAPA</t>
  </si>
  <si>
    <t>SUBETAPA</t>
  </si>
  <si>
    <t>SERVIÇO</t>
  </si>
  <si>
    <t xml:space="preserve">Concreto </t>
  </si>
  <si>
    <t>Mão de obra para execução de supraestrutura de concreto armado</t>
  </si>
  <si>
    <t>IMPERMEABILIZAÇÃO E TRATAMENTOS</t>
  </si>
  <si>
    <t>EQUIPAMENTOS</t>
  </si>
  <si>
    <t>Cliente</t>
  </si>
  <si>
    <t/>
  </si>
  <si>
    <t>QUADRO DE ÁREAS</t>
  </si>
  <si>
    <t>MESES DE OBRA</t>
  </si>
  <si>
    <t>MÊS</t>
  </si>
  <si>
    <t>ÁREA DO TERRENO</t>
  </si>
  <si>
    <t>ÁREA CONSTRUÍDA</t>
  </si>
  <si>
    <t>2º PAVIMENTO</t>
  </si>
  <si>
    <t>RESERVATÓRIO</t>
  </si>
  <si>
    <t>NÚMERO DE UNIDADES HABITACIONAIS</t>
  </si>
  <si>
    <t>UN</t>
  </si>
  <si>
    <t>ÁREA PRIVATIVA</t>
  </si>
  <si>
    <t>NÚMERO DE PAVIMENTOS</t>
  </si>
  <si>
    <t>VALOR ORÇADO</t>
  </si>
  <si>
    <t>%</t>
  </si>
  <si>
    <t>VALOR / m²</t>
  </si>
  <si>
    <t>GERENCIAMENTO TÉCNICO E ADMINISTRATIVO</t>
  </si>
  <si>
    <t>ALVENARIA</t>
  </si>
  <si>
    <t>INSTALAÇÕES ELÉTRICAS, HIDRÁULICAS, GLP E PREVENTIVAS</t>
  </si>
  <si>
    <t>ACABAMENTOS EM PISOS E PAVIMENTAÇÕES</t>
  </si>
  <si>
    <t>ACABAMENTOS INTERNOS EM TETO</t>
  </si>
  <si>
    <t>REVESTIMENTOS E ACABAMENTOS DE FACHADA</t>
  </si>
  <si>
    <t>SERVIÇOS COMPLEMENTARES</t>
  </si>
  <si>
    <t>CUB/SC</t>
  </si>
  <si>
    <t>Origem</t>
  </si>
  <si>
    <t>6.3</t>
  </si>
  <si>
    <t>12.5</t>
  </si>
  <si>
    <t>Aço</t>
  </si>
  <si>
    <t>Q92</t>
  </si>
  <si>
    <t>Q138</t>
  </si>
  <si>
    <t xml:space="preserve">Forma </t>
  </si>
  <si>
    <t>Area</t>
  </si>
  <si>
    <t>kgf</t>
  </si>
  <si>
    <t xml:space="preserve"> (m³)</t>
  </si>
  <si>
    <t xml:space="preserve"> (m²)</t>
  </si>
  <si>
    <t>Pilares</t>
  </si>
  <si>
    <t>Vigas</t>
  </si>
  <si>
    <t>Lajes</t>
  </si>
  <si>
    <t>Escada</t>
  </si>
  <si>
    <t>TOTAL SUPRA</t>
  </si>
  <si>
    <t>PAVIMENTO</t>
  </si>
  <si>
    <t>VOLUME DE CONCRETO</t>
  </si>
  <si>
    <t>COD.</t>
  </si>
  <si>
    <t>Aesc</t>
  </si>
  <si>
    <t>L1</t>
  </si>
  <si>
    <t>L2</t>
  </si>
  <si>
    <t>e</t>
  </si>
  <si>
    <t>Térreo</t>
  </si>
  <si>
    <t>DADOS</t>
  </si>
  <si>
    <t>Titulo</t>
  </si>
  <si>
    <t>QUANTITATIVO</t>
  </si>
  <si>
    <t>Cidade</t>
  </si>
  <si>
    <t>Endereço</t>
  </si>
  <si>
    <t>QUANTITATIVOS</t>
  </si>
  <si>
    <t>Unid.</t>
  </si>
  <si>
    <t>1.</t>
  </si>
  <si>
    <t>1.1.</t>
  </si>
  <si>
    <t>1.1.1</t>
  </si>
  <si>
    <t>1.2.</t>
  </si>
  <si>
    <t>1.2.1</t>
  </si>
  <si>
    <t>1.3.</t>
  </si>
  <si>
    <t>1.3.1</t>
  </si>
  <si>
    <t>2.</t>
  </si>
  <si>
    <t>2.1.</t>
  </si>
  <si>
    <t>2.1.1</t>
  </si>
  <si>
    <t>.CHAPISCO ARGAMASSADO INTERNO</t>
  </si>
  <si>
    <t>.CHAPISCO ARGAMASSADO PARA ESTRUTURA INTERNO</t>
  </si>
  <si>
    <t>.REBOCO ARGAMASSADO INTERNO</t>
  </si>
  <si>
    <t>3.</t>
  </si>
  <si>
    <t>3.1.</t>
  </si>
  <si>
    <t>3.1.1</t>
  </si>
  <si>
    <t>3.2.</t>
  </si>
  <si>
    <t>3.2.1</t>
  </si>
  <si>
    <t>3.3.</t>
  </si>
  <si>
    <t>3.3.1</t>
  </si>
  <si>
    <t>4.</t>
  </si>
  <si>
    <t>4.1.</t>
  </si>
  <si>
    <t>4.1.1</t>
  </si>
  <si>
    <t>4.2.</t>
  </si>
  <si>
    <t>4.2.1</t>
  </si>
  <si>
    <t>4.3.</t>
  </si>
  <si>
    <t>4.3.1</t>
  </si>
  <si>
    <t>5.</t>
  </si>
  <si>
    <t>5.1.</t>
  </si>
  <si>
    <t>5.1.1</t>
  </si>
  <si>
    <t>5.1.2</t>
  </si>
  <si>
    <t>5.2.</t>
  </si>
  <si>
    <t>5.2.1</t>
  </si>
  <si>
    <t>5.2.2</t>
  </si>
  <si>
    <t>5.3.</t>
  </si>
  <si>
    <t>5.3.1</t>
  </si>
  <si>
    <t>5.3.2</t>
  </si>
  <si>
    <t>REVESTIMENTO INTERNO, PAREDE - PORCELANATO, BANHEIRO</t>
  </si>
  <si>
    <t>6.</t>
  </si>
  <si>
    <t>6.1.</t>
  </si>
  <si>
    <t>6.1.1</t>
  </si>
  <si>
    <t>6.2.</t>
  </si>
  <si>
    <t>6.2.1</t>
  </si>
  <si>
    <t>6.3.</t>
  </si>
  <si>
    <t>6.3.1</t>
  </si>
  <si>
    <t>7.</t>
  </si>
  <si>
    <t>7.1.</t>
  </si>
  <si>
    <t>7.1.1</t>
  </si>
  <si>
    <t>7.2.</t>
  </si>
  <si>
    <t>7.2.1</t>
  </si>
  <si>
    <t>8.</t>
  </si>
  <si>
    <t>8.1.</t>
  </si>
  <si>
    <t>8.1.1</t>
  </si>
  <si>
    <t>8.2.</t>
  </si>
  <si>
    <t>8.2.1</t>
  </si>
  <si>
    <t>8.3.</t>
  </si>
  <si>
    <t>8.3.1</t>
  </si>
  <si>
    <t>9.</t>
  </si>
  <si>
    <t>9.1.</t>
  </si>
  <si>
    <t>9.1.1</t>
  </si>
  <si>
    <t>10.</t>
  </si>
  <si>
    <t>10.1.</t>
  </si>
  <si>
    <t>10.1.1</t>
  </si>
  <si>
    <t>10.2.</t>
  </si>
  <si>
    <t>10.2.1</t>
  </si>
  <si>
    <t>11.</t>
  </si>
  <si>
    <t>11.1.</t>
  </si>
  <si>
    <t>11.1.1</t>
  </si>
  <si>
    <t>12.</t>
  </si>
  <si>
    <t>12.1.</t>
  </si>
  <si>
    <t>12.2.</t>
  </si>
  <si>
    <t>12.2.1</t>
  </si>
  <si>
    <t>GUARDA-CORPO, VIDRO, 110 cm</t>
  </si>
  <si>
    <t>13.</t>
  </si>
  <si>
    <t>13.1.</t>
  </si>
  <si>
    <t>13.1.1</t>
  </si>
  <si>
    <t>14.</t>
  </si>
  <si>
    <t>14.1.</t>
  </si>
  <si>
    <t>14.1.1</t>
  </si>
  <si>
    <t>14.2.</t>
  </si>
  <si>
    <t>14.2.1</t>
  </si>
  <si>
    <t>CHURRASQUERIA</t>
  </si>
  <si>
    <t>CÓDIGO DA CHURRASQUEIRA</t>
  </si>
  <si>
    <t>NUMERO DE CHURRASQUEIRAS</t>
  </si>
  <si>
    <t>LADO A</t>
  </si>
  <si>
    <t>LADO B</t>
  </si>
  <si>
    <t>PERIMETRO</t>
  </si>
  <si>
    <t>AREA DE PISO</t>
  </si>
  <si>
    <t>AREA DA ABERTURA</t>
  </si>
  <si>
    <t>AREA DE REFRATÁRIO</t>
  </si>
  <si>
    <t>NC</t>
  </si>
  <si>
    <t>P</t>
  </si>
  <si>
    <t>a</t>
  </si>
  <si>
    <t>AA</t>
  </si>
  <si>
    <t>AR</t>
  </si>
  <si>
    <t>Tipo 1</t>
  </si>
  <si>
    <t>IMPERMEABILIZAÇÃO</t>
  </si>
  <si>
    <t xml:space="preserve">un </t>
  </si>
  <si>
    <t>DESCRIÇÃO</t>
  </si>
  <si>
    <t>QUANTIDADE</t>
  </si>
  <si>
    <t>CUSTO UNITÁRIO</t>
  </si>
  <si>
    <t>CUSTO TOTAL</t>
  </si>
  <si>
    <t>AMBIENTE</t>
  </si>
  <si>
    <t>UNIDADE</t>
  </si>
  <si>
    <t>REPETIÇÃO</t>
  </si>
  <si>
    <t>Lavabo</t>
  </si>
  <si>
    <t>Bancada em granito</t>
  </si>
  <si>
    <t>LOUÇAS</t>
  </si>
  <si>
    <t>METAIS</t>
  </si>
  <si>
    <t>BANCADA</t>
  </si>
  <si>
    <t>Reboco externo</t>
  </si>
  <si>
    <t>Chapisco externo</t>
  </si>
  <si>
    <t>24.</t>
  </si>
  <si>
    <t>23.</t>
  </si>
  <si>
    <t>22.</t>
  </si>
  <si>
    <t>Acabamentos especiais em piso</t>
  </si>
  <si>
    <t>21.</t>
  </si>
  <si>
    <t>20.</t>
  </si>
  <si>
    <t>19.</t>
  </si>
  <si>
    <t>18.</t>
  </si>
  <si>
    <t>17.</t>
  </si>
  <si>
    <t>15.</t>
  </si>
  <si>
    <t>Reboco Interno</t>
  </si>
  <si>
    <t>Chapisco Interno</t>
  </si>
  <si>
    <t>Impermeabilizaçao e tratamentos</t>
  </si>
  <si>
    <t>REGULARIZAÇAO</t>
  </si>
  <si>
    <t>PROTEÇAO MECANICA</t>
  </si>
  <si>
    <t>Serviços complementares para alvenaria</t>
  </si>
  <si>
    <t>Bandeja de proteção primária</t>
  </si>
  <si>
    <t>Bandeja de proteção secundária</t>
  </si>
  <si>
    <t>Tela fachadeira</t>
  </si>
  <si>
    <t>Instalações de canteiro</t>
  </si>
  <si>
    <t>Produtividade média</t>
  </si>
  <si>
    <t>m2 / mês</t>
  </si>
  <si>
    <t>Pm</t>
  </si>
  <si>
    <t xml:space="preserve">h/m2 </t>
  </si>
  <si>
    <t>Numero de funcionários</t>
  </si>
  <si>
    <t>Equipe administrativa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</si>
  <si>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</si>
  <si>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</si>
  <si>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</si>
  <si>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</si>
  <si>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</si>
  <si>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</si>
  <si>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</si>
  <si>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Descrição/Especificação</t>
  </si>
  <si>
    <t>V. Unit. (R$)</t>
  </si>
  <si>
    <t>Qtde.</t>
  </si>
  <si>
    <t>V. Total
(R$)</t>
  </si>
  <si>
    <t>CONTROLE TECNOLÓGICO  - CONCRETO</t>
  </si>
  <si>
    <t>Laudo e ART</t>
  </si>
  <si>
    <t>unid.</t>
  </si>
  <si>
    <t xml:space="preserve">4 CPs por caminhão betoneira de 8m³ 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</si>
  <si>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</si>
  <si>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</si>
  <si>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</si>
  <si>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</si>
  <si>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t>A cada 5 pav.</t>
    </r>
    <r>
      <rPr>
        <sz val="9"/>
        <color theme="0" tint="-0.499984740745262"/>
        <rFont val="Poppins"/>
      </rPr>
      <t xml:space="preserve"> (e quando houver troca de fornecedor)</t>
    </r>
  </si>
  <si>
    <t>SUBTOTAL:</t>
  </si>
  <si>
    <t>Levantamento Topográfico</t>
  </si>
  <si>
    <t>SERVIÇOS INICIAIS</t>
  </si>
  <si>
    <t>Remoção de entulhos e resíduos</t>
  </si>
  <si>
    <t>ADMINISTRAÇÃO E CANTEIRO DE OBRA</t>
  </si>
  <si>
    <t>Equipe de Gestão e Apoio</t>
  </si>
  <si>
    <t>Ligações Provisórias</t>
  </si>
  <si>
    <t xml:space="preserve">SERVIÇOS TÉCNICOS </t>
  </si>
  <si>
    <t>Estudos</t>
  </si>
  <si>
    <t>Sondagem do terreno</t>
  </si>
  <si>
    <t>Projetos</t>
  </si>
  <si>
    <t>Projeto arquitetônico interiores/ambientação</t>
  </si>
  <si>
    <t>Projeto Estrutura</t>
  </si>
  <si>
    <t>Projeto Fundações</t>
  </si>
  <si>
    <t>Consultorias</t>
  </si>
  <si>
    <t>Orçamento e planejamento</t>
  </si>
  <si>
    <t>Ensaios</t>
  </si>
  <si>
    <t>Controle Tecnologico de Concreto</t>
  </si>
  <si>
    <t>Licenciamentos, Taxas, Impostos, Aprovações e Seguros</t>
  </si>
  <si>
    <t>Despesas de Seguros</t>
  </si>
  <si>
    <t>Taxas de ART</t>
  </si>
  <si>
    <t>Alvará Construção</t>
  </si>
  <si>
    <t>Despesas cartório, licenças, certidões e jurídicas</t>
  </si>
  <si>
    <t>Iptu</t>
  </si>
  <si>
    <t>Alvará Habite-se</t>
  </si>
  <si>
    <t>Documentos</t>
  </si>
  <si>
    <t>Certidão INSS</t>
  </si>
  <si>
    <t>SEGURANÇA, MEIO AMBIENTE E SAÚDE</t>
  </si>
  <si>
    <t>Segurança do Trabalho</t>
  </si>
  <si>
    <t>mes</t>
  </si>
  <si>
    <t>Equipamentos de proteção individual - EPI</t>
  </si>
  <si>
    <t>Guarda-corpo de vãos, fixado em fôrma de madeira, em trama de madeira com tela de polipropileno</t>
  </si>
  <si>
    <t>Instalações Provisórias (central de aço, formas, argamassa, almoxarifado geral, construções temporárias)</t>
  </si>
  <si>
    <t>Meio Ambiente</t>
  </si>
  <si>
    <t>Engenheiro</t>
  </si>
  <si>
    <t>Despesas de Consumo e Manutenção</t>
  </si>
  <si>
    <t>Consumo de água e esgoto</t>
  </si>
  <si>
    <t>Consumo de luz/energia</t>
  </si>
  <si>
    <t>Consumo internet</t>
  </si>
  <si>
    <t>Coleta de lixo</t>
  </si>
  <si>
    <t>Consumo de material de higiene e limpeza</t>
  </si>
  <si>
    <t>Frete</t>
  </si>
  <si>
    <t>Tapume de telha metálica trapezoidal</t>
  </si>
  <si>
    <t>Rede de água fria, esgoto e drenagem</t>
  </si>
  <si>
    <t>Redes elétricas, comunicação e dados</t>
  </si>
  <si>
    <t>Equipamentos de Obra</t>
  </si>
  <si>
    <t>Estimado com base em índices históricos</t>
  </si>
  <si>
    <t>Locação de banheiro químico</t>
  </si>
  <si>
    <t>Mão de obra para instalações elétricas</t>
  </si>
  <si>
    <t>Sistema de bombas</t>
  </si>
  <si>
    <t>Consideração</t>
  </si>
  <si>
    <t>Geral</t>
  </si>
  <si>
    <t>Média</t>
  </si>
  <si>
    <t>Cabos e Fiacoes</t>
  </si>
  <si>
    <t>Pontos de Tomadas e Interruptores</t>
  </si>
  <si>
    <t>Luminarias</t>
  </si>
  <si>
    <t>Sistema de telecomunicação</t>
  </si>
  <si>
    <t>Mao de obra de instalacoes eletricas</t>
  </si>
  <si>
    <t xml:space="preserve">SISTEMAS E INSTALAÇÕES HIDROSSANITÁRIAS | DRENAGEM </t>
  </si>
  <si>
    <t>Instalacoes de Agua Fria</t>
  </si>
  <si>
    <t>Instalacoes de Agua Quente</t>
  </si>
  <si>
    <t>Hidrometros</t>
  </si>
  <si>
    <t>Sistema de tratamento de esgoto</t>
  </si>
  <si>
    <t>Instalações de Gás e GLP</t>
  </si>
  <si>
    <t xml:space="preserve">Instalacoes de Gas </t>
  </si>
  <si>
    <t>Mao de obra de instalacoes de gas (GLP)</t>
  </si>
  <si>
    <t>Instalações de Exaustão Mecânica</t>
  </si>
  <si>
    <t>Infraestrutura para instalacao de ar condicionado</t>
  </si>
  <si>
    <t>Exaustores Churrasqueira - contar pontos</t>
  </si>
  <si>
    <t>Ponto</t>
  </si>
  <si>
    <t>Infraestrutura para instalação de ar condicionado</t>
  </si>
  <si>
    <t>Alvenaria de vedação com blocos de concreto</t>
  </si>
  <si>
    <t>Encunhamento de alvenaria de vedação com argamassa expansiva</t>
  </si>
  <si>
    <t>Verga/contraverga de concreto, moldada in loco</t>
  </si>
  <si>
    <t>Mão de obra para assentamento de blocos cerâmicos</t>
  </si>
  <si>
    <t>R00 - Patricia Bragato - 18/09/24</t>
  </si>
  <si>
    <t>PROJETO:  APARTAMENTS-LC-0-TER-BL-01-6</t>
  </si>
  <si>
    <t xml:space="preserve">QUANTIDADE POR ITEM CA-50 </t>
  </si>
  <si>
    <t>ARRANQUE</t>
  </si>
  <si>
    <t>LAJES</t>
  </si>
  <si>
    <t>TR 08644</t>
  </si>
  <si>
    <t>Alvenaria de vedação com bocos de concreto</t>
  </si>
  <si>
    <t>REVESTIMENTO - PORCELANATO, PISCINA</t>
  </si>
  <si>
    <t>12.1.1</t>
  </si>
  <si>
    <t>15.1.</t>
  </si>
  <si>
    <t>15.1.1</t>
  </si>
  <si>
    <t>15.1.2</t>
  </si>
  <si>
    <t>15.2.</t>
  </si>
  <si>
    <t>15.2.1</t>
  </si>
  <si>
    <t>16.</t>
  </si>
  <si>
    <t>16.1.</t>
  </si>
  <si>
    <t>16.1.1</t>
  </si>
  <si>
    <t>16.1.2</t>
  </si>
  <si>
    <t>16.1.3</t>
  </si>
  <si>
    <t>16.2.</t>
  </si>
  <si>
    <t>16.2.1</t>
  </si>
  <si>
    <t>18.1.</t>
  </si>
  <si>
    <t>18.1.1</t>
  </si>
  <si>
    <t>18.2.</t>
  </si>
  <si>
    <t>18.2.1</t>
  </si>
  <si>
    <t>19.1.</t>
  </si>
  <si>
    <t>19.1.1</t>
  </si>
  <si>
    <t>19.2.</t>
  </si>
  <si>
    <t>19.2.1</t>
  </si>
  <si>
    <t>20.1.</t>
  </si>
  <si>
    <t>20.1.1</t>
  </si>
  <si>
    <t>20.1.2</t>
  </si>
  <si>
    <t>20.2.</t>
  </si>
  <si>
    <t>20.2.1</t>
  </si>
  <si>
    <t>20.2.2</t>
  </si>
  <si>
    <t>21.1.</t>
  </si>
  <si>
    <t>21.1.1</t>
  </si>
  <si>
    <t>21.1.2</t>
  </si>
  <si>
    <t>21.2.</t>
  </si>
  <si>
    <t>21.2.1</t>
  </si>
  <si>
    <t>21.2.2</t>
  </si>
  <si>
    <t>21.3.</t>
  </si>
  <si>
    <t>21.3.1</t>
  </si>
  <si>
    <t>21.3.2</t>
  </si>
  <si>
    <t>21.4.</t>
  </si>
  <si>
    <t>21.4.1</t>
  </si>
  <si>
    <t>22.1.</t>
  </si>
  <si>
    <t>22.1.1</t>
  </si>
  <si>
    <t>22.2.</t>
  </si>
  <si>
    <t>22.2.1</t>
  </si>
  <si>
    <t>23.1.</t>
  </si>
  <si>
    <t>23.1.1</t>
  </si>
  <si>
    <t>23.2.</t>
  </si>
  <si>
    <t>23.2.1</t>
  </si>
  <si>
    <t>23.3.</t>
  </si>
  <si>
    <t>23.3.1</t>
  </si>
  <si>
    <t>24.1.</t>
  </si>
  <si>
    <t>24.1.1</t>
  </si>
  <si>
    <t>24.2.</t>
  </si>
  <si>
    <t>24.2.1</t>
  </si>
  <si>
    <t>ACABAMENTOS INTERNOS EM PAREDE</t>
  </si>
  <si>
    <t>REVESTIMENTO - PEITORIL, PEDRA NATURAL</t>
  </si>
  <si>
    <t>Cobertura</t>
  </si>
  <si>
    <t>Custo Unitário</t>
  </si>
  <si>
    <t>23.1.2</t>
  </si>
  <si>
    <t>23.2.2</t>
  </si>
  <si>
    <t>Projeto elétrico</t>
  </si>
  <si>
    <t>Projeto hidrossanitário</t>
  </si>
  <si>
    <t>Modelagem BIM arquitetônica</t>
  </si>
  <si>
    <t>Un</t>
  </si>
  <si>
    <t>TAXAS E DOCUMENTOS</t>
  </si>
  <si>
    <t>Limpeza da camada vegetal</t>
  </si>
  <si>
    <t>Locação da obra</t>
  </si>
  <si>
    <t>Mobilização/Desmobilização Canteiro</t>
  </si>
  <si>
    <t>SAPATAS</t>
  </si>
  <si>
    <t>Quant.</t>
  </si>
  <si>
    <t>Dimensões Unitárias - m</t>
  </si>
  <si>
    <t>Quantidade de Serviços</t>
  </si>
  <si>
    <t>H0</t>
  </si>
  <si>
    <t>H1</t>
  </si>
  <si>
    <t>largura</t>
  </si>
  <si>
    <t>Escav</t>
  </si>
  <si>
    <t>Apiloam</t>
  </si>
  <si>
    <t>Reaterro</t>
  </si>
  <si>
    <t>Bota-fora</t>
  </si>
  <si>
    <t>Fôrma</t>
  </si>
  <si>
    <t>Imperm</t>
  </si>
  <si>
    <t>esp</t>
  </si>
  <si>
    <r>
      <t xml:space="preserve">Vol. tronco pirâmide </t>
    </r>
    <r>
      <rPr>
        <sz val="9"/>
        <rFont val="Calibri"/>
        <family val="2"/>
        <scheme val="minor"/>
      </rPr>
      <t>= (H2/6) * [ (A*B) + (C*D) + (A+C)*(B+D) ]</t>
    </r>
  </si>
  <si>
    <t>OBRA</t>
  </si>
  <si>
    <t>BASES</t>
  </si>
  <si>
    <t>Imagens</t>
  </si>
  <si>
    <t>M²</t>
  </si>
  <si>
    <t>NÚMERO DE UNIDADES COMERCIAIS</t>
  </si>
  <si>
    <t>REVESTIMENTOS ARGAMASSADOS PISO E PAREDE</t>
  </si>
  <si>
    <t>REVESTIMENTOS ARGAMASSADOS TETO</t>
  </si>
  <si>
    <t>IMPREVISTOS</t>
  </si>
  <si>
    <t>Cobertura para Proteção de Pedestres</t>
  </si>
  <si>
    <t>Pontos de água e esgoto</t>
  </si>
  <si>
    <t>20 funcionários/ponto</t>
  </si>
  <si>
    <t>Externo</t>
  </si>
  <si>
    <t>Bebedouro</t>
  </si>
  <si>
    <t>1 / 5 pav.</t>
  </si>
  <si>
    <t>Sim</t>
  </si>
  <si>
    <t>Não</t>
  </si>
  <si>
    <t>R00</t>
  </si>
  <si>
    <t xml:space="preserve">Armação aço CA-50 ø 25,0mm para infraestrutura (corte e dobra em obra) </t>
  </si>
  <si>
    <t>Armação Aço CA-60, Diâmetro de 5,0mm para Supraestrutura, Corte e Dobra em Obra</t>
  </si>
  <si>
    <t>Quantidade disponibilizada pelo projetista</t>
  </si>
  <si>
    <t>Armação Aço CA-50, Diâmetro de 8,0mm para Supraestrutura, Corte e Dobra em Obra</t>
  </si>
  <si>
    <t>Armação Aço CA-50, Diâmetro de 10,0mm para Supraestrutura, Corte e Dobra em Obra</t>
  </si>
  <si>
    <t>Armação Aço CA-50, Diâmetro de 12,5mm para Supraestrutura, Corte e Dobra em Obra</t>
  </si>
  <si>
    <t>Armação Aço CA-50, Diâmetro de 16,0mm para Supraestrutura, Corte e Dobra em Obra</t>
  </si>
  <si>
    <t>Escoramento de fôrmas para Lajes com escoras de Madeira incluindo travamento, 4 utilizações.</t>
  </si>
  <si>
    <t xml:space="preserve">Mão de obra para assentamento de blocos de Refratário </t>
  </si>
  <si>
    <t>Impermeabilização de Baldrames com Tinta Asfáltica (Neutrol)</t>
  </si>
  <si>
    <t>Mão de obra Instalação Hidráulica</t>
  </si>
  <si>
    <t>Instalações De Gás</t>
  </si>
  <si>
    <t>Mão de obra para instalações gás</t>
  </si>
  <si>
    <t>Chapisco aplicado em estruturas de concreto, de argamassa ACIII, com desempenadeira dentada</t>
  </si>
  <si>
    <t>Chapisco convencional com adesivo sintético de alto desempenho aplicados em alvenaria, aplicação convencional.</t>
  </si>
  <si>
    <t>Massa unica para reboco interno em argamassa estabilizada, espessura de 2,5cm, com execução de taliscas</t>
  </si>
  <si>
    <t>Revestimento de Pedras Naturais em Paredes</t>
  </si>
  <si>
    <t>Revestimento de piso vinilico, nas áreas privativas - Material e Mão de Obra</t>
  </si>
  <si>
    <t>Chapisco externo de argamassa pré-fabricada adesiva de cimento colante - aplicação rolada em paredes externas</t>
  </si>
  <si>
    <t>Massa unica para reboco externo em Argamassa preparada em central / usinada, espessura de 35mm</t>
  </si>
  <si>
    <t>Serviços complementares Entrega obra</t>
  </si>
  <si>
    <t>Central de aço</t>
  </si>
  <si>
    <t>Central de fôrmas</t>
  </si>
  <si>
    <t>Central de Argamassa</t>
  </si>
  <si>
    <t>Armazenamento de cerâmicas*</t>
  </si>
  <si>
    <t>Armazenamento de placas degesso*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</si>
  <si>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</si>
  <si>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</si>
  <si>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</si>
  <si>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</si>
  <si>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</si>
  <si>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</si>
  <si>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</si>
  <si>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</si>
  <si>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Placa indicativa fixada na estrutura por pregos</t>
  </si>
  <si>
    <t>Lavanderia</t>
  </si>
  <si>
    <t>Projeto:</t>
  </si>
  <si>
    <t>Empresa:</t>
  </si>
  <si>
    <t>Revisão:</t>
  </si>
  <si>
    <t>Lona</t>
  </si>
  <si>
    <t>Escavação</t>
  </si>
  <si>
    <t>Apiolamento</t>
  </si>
  <si>
    <t>Bota Fora</t>
  </si>
  <si>
    <t>Lastro
brita</t>
  </si>
  <si>
    <t>Lastro
Concreto</t>
  </si>
  <si>
    <t>Imperm.</t>
  </si>
  <si>
    <t>20 Mpa</t>
  </si>
  <si>
    <t>30 Mpa</t>
  </si>
  <si>
    <t>35 Mpa</t>
  </si>
  <si>
    <t>40 Mpa</t>
  </si>
  <si>
    <t>45 Mpa</t>
  </si>
  <si>
    <t>Total
Concreto Projetista</t>
  </si>
  <si>
    <t>Fundação Rasa</t>
  </si>
  <si>
    <t>Detalhe Típico</t>
  </si>
  <si>
    <t xml:space="preserve">Lastro </t>
  </si>
  <si>
    <t>Brita</t>
  </si>
  <si>
    <t>PILARS  FUNDAÇÃO</t>
  </si>
  <si>
    <t>ENSAIOS</t>
  </si>
  <si>
    <t>Controle Tecnologico Infraestrutura - Coleta materiais da obra</t>
  </si>
  <si>
    <t>Controle Tecnologico Supraestrutura - Coleta materiais da obra</t>
  </si>
  <si>
    <t>AGM.08.VigasTérreo1.R00.pdf</t>
  </si>
  <si>
    <t>AGM.09.VigasTérreo2.R00.pdf</t>
  </si>
  <si>
    <t>PROJETO: AGM.03.PilaresTérreo.R02.pdf</t>
  </si>
  <si>
    <t>PROJETO: AGM.10.LajesTérreo.R00.pdf</t>
  </si>
  <si>
    <t>PROJETO: AGM.02.Sapatas.R01.pdf</t>
  </si>
  <si>
    <t>PROJETO:  AGM.Preformas.R02.dwg</t>
  </si>
  <si>
    <t>SAPATA 1</t>
  </si>
  <si>
    <t>SAPATA 2</t>
  </si>
  <si>
    <t>SAPATA 3</t>
  </si>
  <si>
    <t>SAPATA 4</t>
  </si>
  <si>
    <t>SAPATA 6</t>
  </si>
  <si>
    <t>SAPATA 7</t>
  </si>
  <si>
    <t>SAPATA 10</t>
  </si>
  <si>
    <t>SAPATA 5 E 8</t>
  </si>
  <si>
    <t>SAPATA 11</t>
  </si>
  <si>
    <t>SAPATA 12</t>
  </si>
  <si>
    <t>SAPATA 14</t>
  </si>
  <si>
    <t>SAPATA 15</t>
  </si>
  <si>
    <t>SAPATA 16</t>
  </si>
  <si>
    <t>SAPATA 17</t>
  </si>
  <si>
    <t>SAPATA 24</t>
  </si>
  <si>
    <t>Viga V9 14 X 50</t>
  </si>
  <si>
    <t>Viga V8 14 X 50</t>
  </si>
  <si>
    <t>Viga V7 14 X 50</t>
  </si>
  <si>
    <t>Viga V6 14 X 50</t>
  </si>
  <si>
    <t>Viga V5 19 X 50</t>
  </si>
  <si>
    <t>Viga V4 19 X 50</t>
  </si>
  <si>
    <t>Viga V3 14 X 42</t>
  </si>
  <si>
    <t>Viga V22 14 X 42</t>
  </si>
  <si>
    <t>Viga V21 14 X 50</t>
  </si>
  <si>
    <t>Viga V20 14 X 50</t>
  </si>
  <si>
    <t>Viga V2 19 X 50</t>
  </si>
  <si>
    <t>Viga V19 14 X 50</t>
  </si>
  <si>
    <t>Viga V18 14 X 50</t>
  </si>
  <si>
    <t>Viga V17 14 X 50</t>
  </si>
  <si>
    <t>Viga V16 14 X 50</t>
  </si>
  <si>
    <t>Viga V15 20 X 50</t>
  </si>
  <si>
    <t>Viga V14 14 X 50</t>
  </si>
  <si>
    <t>Viga V13 14 X 50</t>
  </si>
  <si>
    <t>Viga V12 14 X 50</t>
  </si>
  <si>
    <t>Viga V12 14 X 42</t>
  </si>
  <si>
    <t>Viga V11 14 X 50</t>
  </si>
  <si>
    <t>Viga V10 14 X 50</t>
  </si>
  <si>
    <t>Viga V1 14 X 42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</si>
  <si>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</si>
  <si>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</si>
  <si>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</si>
  <si>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</si>
  <si>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</si>
  <si>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</si>
  <si>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</si>
  <si>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</si>
  <si>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</si>
  <si>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</si>
  <si>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</si>
  <si>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</si>
  <si>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</si>
  <si>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</si>
  <si>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</si>
  <si>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</si>
  <si>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P24</t>
  </si>
  <si>
    <t>Mowe</t>
  </si>
  <si>
    <t>R00 - Letícia</t>
  </si>
  <si>
    <t xml:space="preserve">PROJETO: AGM.Preformas.R02.dwg </t>
  </si>
  <si>
    <t>PROJETO: AGM.Preformas.R02.dwg</t>
  </si>
  <si>
    <t>MARTINS|FRANCEZ ENGENHARIA</t>
  </si>
  <si>
    <t>Obra BIM</t>
  </si>
  <si>
    <t>01_TERREO</t>
  </si>
  <si>
    <t>1.1.2</t>
  </si>
  <si>
    <t>1.1.3</t>
  </si>
  <si>
    <t>1.1.4</t>
  </si>
  <si>
    <t>02_SEGUNDO PAVTO</t>
  </si>
  <si>
    <t>1.2.2</t>
  </si>
  <si>
    <t>1.2.3</t>
  </si>
  <si>
    <t>03_COBERTURA</t>
  </si>
  <si>
    <t>3.1.2</t>
  </si>
  <si>
    <t>3.2.2</t>
  </si>
  <si>
    <t>3.3.2</t>
  </si>
  <si>
    <t>.CHAPISCO ARGAMASSADO PARA ESTRUTURA EXTERNO</t>
  </si>
  <si>
    <t>.REBOCO ARGAMASSADO EXTERNO</t>
  </si>
  <si>
    <t>Acabamentos cerâmicos em parede</t>
  </si>
  <si>
    <t>REVESTIMENTO EXTERNO - PORCELANATO PARA FACHADA</t>
  </si>
  <si>
    <t>7.1.2</t>
  </si>
  <si>
    <t>REVESTIMENTO EXTERNO - PORCELANATO PARA FACHADA, EXTRUCTURE</t>
  </si>
  <si>
    <t>7.1.3</t>
  </si>
  <si>
    <t>7.2.2</t>
  </si>
  <si>
    <t>REVESTIMENTO INTERNO, PAREDE - TEXTURA, A. TECNICA.TEXTURA ACRILICA INTERNA</t>
  </si>
  <si>
    <t>8.1.2</t>
  </si>
  <si>
    <t>REVESTIMENTO INTERNO, PAREDE - PINTURA, A. PRIVATIVA.TINTA ACRILICA PARA PINTURA INTERNA</t>
  </si>
  <si>
    <t>REVESTIMENTO EXTERNO - PINTURA PARA FACHADA, COR JASPE CINZA  -  EDICULA</t>
  </si>
  <si>
    <t>9.1.2</t>
  </si>
  <si>
    <t>REVESTIMENTO EXTERNO - PINTURA PARA FACHADA, COR NUVEM DE PAPEL  -  EDICULA</t>
  </si>
  <si>
    <t>9.1.3</t>
  </si>
  <si>
    <t>REVESTIMENTO EXTERNO - PINTURA PARA FACHADA, COR JASPE CINZA  -  MURO EXTERNO</t>
  </si>
  <si>
    <t>9.1.4</t>
  </si>
  <si>
    <t>REVESTIMENTO EXTERNO - PINTURA PARA FACHADA, DIVISA VIZINHO  -  MURO EXTERNO</t>
  </si>
  <si>
    <t>9.1.5</t>
  </si>
  <si>
    <t>REVESTIMENTO EXTERNO - PINTURA PARA FACHADA, COR NUVEM DE PAPEL</t>
  </si>
  <si>
    <t>9.1.6</t>
  </si>
  <si>
    <t>REVESTIMENTO EXTERNO - PINTURA PARA FACHADA, COR MICA JASPE  -  TERREO</t>
  </si>
  <si>
    <t>9.1.7</t>
  </si>
  <si>
    <t>REVESTIMENTO EXTERNO - PINTURA PARA FACHADA, COR NUVEM DE PAPEL  -  TERREO</t>
  </si>
  <si>
    <t>9.2.</t>
  </si>
  <si>
    <t>9.2.1</t>
  </si>
  <si>
    <t>REVESTIMENTO EXTERNO - PINTURA PARA FACHADA, COR MICA JASPE  -  EDICULA</t>
  </si>
  <si>
    <t>9.2.2</t>
  </si>
  <si>
    <t>9.2.3</t>
  </si>
  <si>
    <t>9.2.4</t>
  </si>
  <si>
    <t>9.2.5</t>
  </si>
  <si>
    <t>REVESTIMENTO EXTERNO - PINTURA PARA FACHADA, COR MICA JASPE  -  SEGUNDO PAVIMENTO</t>
  </si>
  <si>
    <t>9.2.6</t>
  </si>
  <si>
    <t>REVESTIMENTO EXTERNO - PINTURA PARA FACHADA, COR NUVEM DE PAPEL  -  SEGUNDO PAVIMENTO</t>
  </si>
  <si>
    <t>9.3.</t>
  </si>
  <si>
    <t>9.3.1</t>
  </si>
  <si>
    <t>REVESTIMENTO EXTERNO - PINTURA PARA FACHADA, COR NUVEM DE PAPEL  -  COBERTURA</t>
  </si>
  <si>
    <t>FORRO DE GESSO ACARTONADO, ÁREA SECA</t>
  </si>
  <si>
    <t>10.1.2</t>
  </si>
  <si>
    <t>FORRO DE GESSO ACARTONADO, ÁREA ÚMIDA</t>
  </si>
  <si>
    <t>10.2.2</t>
  </si>
  <si>
    <t>Acabamentos especiais em teto</t>
  </si>
  <si>
    <t>FORRO DE MADEIRA</t>
  </si>
  <si>
    <t>FORRO EM ACM</t>
  </si>
  <si>
    <t>FORRO EM STEEL FRAME</t>
  </si>
  <si>
    <t>.TINTA ACRILICA PARA PINTURA DE FORRO  -  PINTURA EM TETO</t>
  </si>
  <si>
    <t>.TINTA ACRILICA PARA PINTURA INTERNA PARA TETO  -  PINTURA EM TETO</t>
  </si>
  <si>
    <t>Concrete, Cast-in-Place gray</t>
  </si>
  <si>
    <t>Escada Contra piso</t>
  </si>
  <si>
    <t>Escada Contra piso 2</t>
  </si>
  <si>
    <t>REVESTIMENTO - BLOCO CONCREGRAMA</t>
  </si>
  <si>
    <t>REVESTIMENTO - CONTRA PISO, 4 cm</t>
  </si>
  <si>
    <t>REVESTIMENTO - PISO CIMENTADO CALÇADA</t>
  </si>
  <si>
    <t xml:space="preserve">SOLEIRA - CONTRA PISO </t>
  </si>
  <si>
    <t>13.2.</t>
  </si>
  <si>
    <t>13.2.1</t>
  </si>
  <si>
    <t>REVESTIMENTO - CONTRA PISO ACUSTICO, 5 cm</t>
  </si>
  <si>
    <t>REVESTIMENTO - CONTRA PISO AUTONIVELANTE, 3 cm</t>
  </si>
  <si>
    <t>REVESTIMENTO -    - .PORCELANATO PARA PISCINA  -  Escadas</t>
  </si>
  <si>
    <t>REVESTIMENTO - PORCELANATO, AREA PRIVATIVA EXTERNA</t>
  </si>
  <si>
    <t>REVESTIMENTO - PORCELANATO, AREA PRIVATIVA INTERNA</t>
  </si>
  <si>
    <t>REVESTIMENTO - PORCELANATO, A. TECNICA</t>
  </si>
  <si>
    <t>REVESTIMENTO - PORCELANATO, BANHEIRO</t>
  </si>
  <si>
    <t>REVESTIMENTO - PORCELANATO, LIXEIRA/G.N</t>
  </si>
  <si>
    <t>Escada monolícia com CONTRA PISO e  PEDRA A. PRIVATIVA INTERNA</t>
  </si>
  <si>
    <t>REVESTIMENTO - PEDRA NATURAL, A. PRIVATIVA EXTERNA  -  .PEDRA NATURAL</t>
  </si>
  <si>
    <t>15.1.3</t>
  </si>
  <si>
    <t>REVESTIMENTO - PEDRA NATURAL, HALL EXTERNO  -  .PEDRA NATURAL</t>
  </si>
  <si>
    <t>REVESTIMENTO - VINILICO, AREA PRIVATIVA  -  .VINILICO</t>
  </si>
  <si>
    <t>CONTRAMARCO J01 - JANELA MAXIM-AIR, 1 FOLHA, ALUMÍNIO E VIDRO, 45 x 80 cm</t>
  </si>
  <si>
    <t>CONTRAMARCO J02 - JANELA MAXIM-AIR, 1 FOLHA, ALUMÍNIO E VIDRO, 80 x 60 cm</t>
  </si>
  <si>
    <t>CONTRAMARCO J03 - JANELA DE CORRER, 2 FOLHAS + PEITORIL FIXO, ALUMÍNIO E VIDRO, 210 x 220 cm</t>
  </si>
  <si>
    <t>16.1.4</t>
  </si>
  <si>
    <t>CONTRAMARCO J07 - JANELA DE CORRER, 2 FOLHAS, ALUMÍNIO E VIDRO, 300 x 60 cm</t>
  </si>
  <si>
    <t>16.1.5</t>
  </si>
  <si>
    <t>CONTRAMARCO PORTA P07 - PORTA DE ABRIR, 1 FOLHA, ALUMÍNIO PVC, 60 x 210 cm</t>
  </si>
  <si>
    <t>16.1.6</t>
  </si>
  <si>
    <t>CONTRAMARCO PORTA P08 - PORTA DE ABRIR, 1 FOLHA, ALUMÍNIO PVC, 90 x 210 cm</t>
  </si>
  <si>
    <t>16.1.7</t>
  </si>
  <si>
    <t>CONTRAMARCO PORTA P10 - PORTA DE CORRER, 4 FOLHAS, VIDRO E ALUMÍNIO, 665 x 300 cm</t>
  </si>
  <si>
    <t>CONTRAMARCO PORTA P11 - PORTA DE CORRER, 2 FOLHAS, VIDRO E ALUMÍNIO, 176,2 x 300 cm</t>
  </si>
  <si>
    <t>CONTRAMARCO PORTA PORTA DESLIZANTE, 1 FOLHA, ALUMÍNIO VENEZIANA, 90 x 90 cm</t>
  </si>
  <si>
    <t>J09 - JANELA FIXA, ALUMINIO E VIDRO, 435 X 310 cm  -  ESQUADRIA DE ALUMINIO</t>
  </si>
  <si>
    <t>J01 - JANELA MAXIM-AIR, 1 FOLHA, ALUMÍNIO E VIDRO, 45 x 80 cm</t>
  </si>
  <si>
    <t>J02 - JANELA MAXIM-AIR, 1 FOLHA, ALUMÍNIO E VIDRO, 80 x 60 cm</t>
  </si>
  <si>
    <t>J03 - JANELA DE CORRER, 2 FOLHAS + PEITORIL FIXO, ALUMÍNIO E VIDRO, 210 x 220 cm</t>
  </si>
  <si>
    <t>J07 - JANELA DE CORRER, 2 FOLHAS, ALUMÍNIO E VIDRO, 300 x 60 cm</t>
  </si>
  <si>
    <t>P07 - PORTA DE ABRIR, 1 FOLHA, ALUMÍNIO PVC, 60 x 210 cm</t>
  </si>
  <si>
    <t>P08 - PORTA DE ABRIR, 1 FOLHA, ALUMÍNIO PVC, 90 x 210 cm</t>
  </si>
  <si>
    <t>P10 - PORTA DE CORRER, 4 FOLHAS, VIDRO E ALUMÍNIO, 665 x 300 cm</t>
  </si>
  <si>
    <t>P11 - PORTA DE CORRER, 2 FOLHAS, VIDRO E ALUMÍNIO, 176,2 x 300 cm</t>
  </si>
  <si>
    <t>PILAR METALICO PERGOLADO</t>
  </si>
  <si>
    <t>PORTA DESLIZANTE, 1 FOLHA, ALUMÍNIO VENEZIANA, 90 x 90 cm</t>
  </si>
  <si>
    <t>RIPADO DE ALUMINIO 2 X 2 CM - 270 cm</t>
  </si>
  <si>
    <t>RIPADO DE ALUMINIO 3 X 3 CM - 305 cm</t>
  </si>
  <si>
    <t>16.2.2</t>
  </si>
  <si>
    <t>CONTRAMARCO J04 - JANELA DE CORRER, 2 FOLHAS + PEITORIL FIXO, ALUMÍNIO E VIDRO, 210 x 220 cm</t>
  </si>
  <si>
    <t>16.2.3</t>
  </si>
  <si>
    <t>CONTRAMARCO J05 - JANELA DE CORRER, 2 FOLHAS + PEITORIL FIXO, ALUMÍNIO E VIDRO, 180 x 220 cm</t>
  </si>
  <si>
    <t>CONTRAMARCO J06 - JANELA DE CORRER, 2 FOLHAS, ALUMÍNIO E VIDRO, 165 x 100 cm</t>
  </si>
  <si>
    <t>CONTRAMARCO J08 - JANELA DE CORRER, 2 FOLHAS, ALUMÍNIO E VIDRO, 180 x 60 cm</t>
  </si>
  <si>
    <t>CONTRAMARCO PORTA P09 - PORTA DE CORRER, 2 FOLHAS, VIDRO E ALUMÍNIO, 300 x 240 cm</t>
  </si>
  <si>
    <t>GUARDA-CORPO, VIDRO, 50 cm</t>
  </si>
  <si>
    <t>J04 - JANELA DE CORRER, 2 FOLHAS + PEITORIL FIXO, ALUMÍNIO E VIDRO, 210 x 220 cm</t>
  </si>
  <si>
    <t>J05 - JANELA DE CORRER, 2 FOLHAS + PEITORIL FIXO, ALUMÍNIO E VIDRO, 180 x 220 cm</t>
  </si>
  <si>
    <t>J06 - JANELA DE CORRER, 2 FOLHAS, ALUMÍNIO E VIDRO, 165 x 100 cm</t>
  </si>
  <si>
    <t>J08 - JANELA DE CORRER, 2 FOLHAS, ALUMÍNIO E VIDRO, 180 x 60 cm</t>
  </si>
  <si>
    <t>P09 - PORTA DE CORRER, 2 FOLHAS, VIDRO E ALUMÍNIO, 300 x 240 cm</t>
  </si>
  <si>
    <t>17.1.</t>
  </si>
  <si>
    <t>17.1.1</t>
  </si>
  <si>
    <t>CONTRAMARCO PORTA P02 - PORTA DE ABRIR, 1 FOLHA, MADEIRA, 80 x 210 cm</t>
  </si>
  <si>
    <t>CONTRAMARCO PORTA P04 - PORTA DE ABRIR, 1 FOLHA, MADEIRA, 90 x 210 cm</t>
  </si>
  <si>
    <t>CONTRAMARCO PORTA P05 - PORTA DE ABRIR, 1 FOLHA, PAINEL RIPADO, 90 x 210 cm</t>
  </si>
  <si>
    <t>Muxarabi em ripas de madeira</t>
  </si>
  <si>
    <t>P02 - PORTA DE ABRIR, 1 FOLHA, MADEIRA, 80 x 210 cm</t>
  </si>
  <si>
    <t>P04 - PORTA DE ABRIR, 1 FOLHA, MADEIRA, 90 x 210 cm</t>
  </si>
  <si>
    <t>P05 - PORTA DE ABRIR, 1 FOLHA, PAINEL RIPADO, 90 x 210 cm</t>
  </si>
  <si>
    <t xml:space="preserve">IMPERMEABILIZAÇAO EM ESQUADRIAS </t>
  </si>
  <si>
    <t>18.1.2</t>
  </si>
  <si>
    <t>18.1.3</t>
  </si>
  <si>
    <t>IMPERMEABILIZAÇAO EM TERRAÇOS  -  .IMPERMEABILIZAÇÃO MANTA</t>
  </si>
  <si>
    <t>04_COBERTURA</t>
  </si>
  <si>
    <t>IMPERMEABILIZAÇAO EM TAMPA DE RESERVATÓRIOS  -  .IMPERMEABILIZAÇÃO MANTA</t>
  </si>
  <si>
    <t>REVESTIMENTO - GRAMA</t>
  </si>
  <si>
    <t>REVESTIMENTO - PEITORIL, REVESTIMENTO ARGAMASSADO</t>
  </si>
  <si>
    <t>RODAPE EM POLIESTIRENO, 10 cm</t>
  </si>
  <si>
    <t xml:space="preserve">ENCUNHAMENTO </t>
  </si>
  <si>
    <t xml:space="preserve">TELA </t>
  </si>
  <si>
    <t xml:space="preserve">Verga e contraverga - Janela </t>
  </si>
  <si>
    <t xml:space="preserve">Verga - Porta </t>
  </si>
  <si>
    <t xml:space="preserve">SOLEIRAS </t>
  </si>
  <si>
    <t>Segundo Pavimento</t>
  </si>
  <si>
    <t>Reservatório</t>
  </si>
  <si>
    <t>Camboriu</t>
  </si>
  <si>
    <t xml:space="preserve"> .BLOCO CERAMICO 11,5 cm</t>
  </si>
  <si>
    <t xml:space="preserve"> .BLOCO CERAMICO 14 cm</t>
  </si>
  <si>
    <t xml:space="preserve"> .BLOCO CERAMICO 19 cm</t>
  </si>
  <si>
    <t xml:space="preserve"> .BLOCO CERAMICO 9 cm</t>
  </si>
  <si>
    <t xml:space="preserve"> .BLOCO CONCRETO 9 cm</t>
  </si>
  <si>
    <t>.CHAPISCO ARGAMASSADO EXTERNO</t>
  </si>
  <si>
    <t>REVESTIMENTO INTERNO, PAREDE -  .PORCELANATO PARA PISCINA</t>
  </si>
  <si>
    <t>7.1.4</t>
  </si>
  <si>
    <t>REVESTIMENTO INTERNO, PAREDE - PEDRA NATURAL, A. PRIVATIVA</t>
  </si>
  <si>
    <t>7.1.5</t>
  </si>
  <si>
    <t>REVESTIMENTO INTERNO, PAREDE - PEDRA NATURAL, HALL</t>
  </si>
  <si>
    <t>7.2.3</t>
  </si>
  <si>
    <t>REVESTIMENTO EXTERNO - PINTURA PARA FACHADA, COR A DEFINIR  -  MURO EXTERNO</t>
  </si>
  <si>
    <t>9.1.8</t>
  </si>
  <si>
    <t>Acabamento argamassado em teto</t>
  </si>
  <si>
    <t>REVESTIMENTO ARGAMASSADO COM PINTURA EM TETO</t>
  </si>
  <si>
    <t>12.2.2</t>
  </si>
  <si>
    <t xml:space="preserve">  -  .TINTA ACRILICA COM RESINA PARA PINTURA EXTERNA - COR NUVEM DE PAPEL</t>
  </si>
  <si>
    <t>14.3.</t>
  </si>
  <si>
    <t>14.3.1</t>
  </si>
  <si>
    <t>15.1.4</t>
  </si>
  <si>
    <t>15.1.5</t>
  </si>
  <si>
    <t>15.1.6</t>
  </si>
  <si>
    <t>15.1.7</t>
  </si>
  <si>
    <t>15.2.2</t>
  </si>
  <si>
    <t>15.2.3</t>
  </si>
  <si>
    <t>15.2.4</t>
  </si>
  <si>
    <t>15.3.</t>
  </si>
  <si>
    <t>15.3.1</t>
  </si>
  <si>
    <t>15.3.2</t>
  </si>
  <si>
    <t>REVESTIMENTO EXTERNO - PAREDE VERDE PARA FACHADA  -  EDICULA</t>
  </si>
  <si>
    <t>19.1.2</t>
  </si>
  <si>
    <t>19.1.3</t>
  </si>
  <si>
    <t>19.1.4</t>
  </si>
  <si>
    <t>19.1.5</t>
  </si>
  <si>
    <t>19.1.6</t>
  </si>
  <si>
    <t>19.1.7</t>
  </si>
  <si>
    <t>19.1.8</t>
  </si>
  <si>
    <t>19.1.9</t>
  </si>
  <si>
    <t>19.1.10</t>
  </si>
  <si>
    <t>19.1.11</t>
  </si>
  <si>
    <t>19.1.12</t>
  </si>
  <si>
    <t>19.1.13</t>
  </si>
  <si>
    <t>19.1.14</t>
  </si>
  <si>
    <t>19.1.15</t>
  </si>
  <si>
    <t>19.1.16</t>
  </si>
  <si>
    <t>19.1.17</t>
  </si>
  <si>
    <t>19.1.18</t>
  </si>
  <si>
    <t>19.1.19</t>
  </si>
  <si>
    <t>19.1.20</t>
  </si>
  <si>
    <t>19.1.21</t>
  </si>
  <si>
    <t>19.1.22</t>
  </si>
  <si>
    <t>19.1.23</t>
  </si>
  <si>
    <t>19.2.2</t>
  </si>
  <si>
    <t>19.2.3</t>
  </si>
  <si>
    <t>19.2.4</t>
  </si>
  <si>
    <t>19.2.5</t>
  </si>
  <si>
    <t>19.2.6</t>
  </si>
  <si>
    <t>19.2.7</t>
  </si>
  <si>
    <t>19.2.8</t>
  </si>
  <si>
    <t>19.2.9</t>
  </si>
  <si>
    <t>19.2.10</t>
  </si>
  <si>
    <t>19.2.11</t>
  </si>
  <si>
    <t>19.2.12</t>
  </si>
  <si>
    <t>19.2.13</t>
  </si>
  <si>
    <t>19.2.14</t>
  </si>
  <si>
    <t>19.2.15</t>
  </si>
  <si>
    <t>20.1.3</t>
  </si>
  <si>
    <t>20.1.4</t>
  </si>
  <si>
    <t>20.1.5</t>
  </si>
  <si>
    <t>20.1.6</t>
  </si>
  <si>
    <t>20.1.7</t>
  </si>
  <si>
    <t>20.2.3</t>
  </si>
  <si>
    <t>20.2.4</t>
  </si>
  <si>
    <t>IMPERMEABILIZAÇAO EM AREA DE SERVIÇO .IMPERMEABILIZAÇÃO GENÉRICA</t>
  </si>
  <si>
    <t>21.1.3</t>
  </si>
  <si>
    <t>IMPERMEABILIZAÇAO EM PISCINA .IMPERMEABILIZAÇÃO MANTA</t>
  </si>
  <si>
    <t>21.1.4</t>
  </si>
  <si>
    <t>IMPERMEABILIZAÇAO EM TERRAÇOS .IMPERMEABILIZAÇÃO MANTA</t>
  </si>
  <si>
    <t>21.1.5</t>
  </si>
  <si>
    <t>IMPERMEABILIZAÇAO EM BANHEIRO .IMPERMEABILIZAÇÃO POLIMÉRICA</t>
  </si>
  <si>
    <t>21.1.6</t>
  </si>
  <si>
    <t>IMPERMEABILIZAÇAO EM COZINHA .IMPERMEABILIZAÇÃO POLIMÉRICA</t>
  </si>
  <si>
    <t>IMPERMEABILIZAÇAO EM FLOREIRAS .IMPERMEABILIZAÇÃO MANTA</t>
  </si>
  <si>
    <t>21.2.3</t>
  </si>
  <si>
    <t>21.2.4</t>
  </si>
  <si>
    <t>21.2.5</t>
  </si>
  <si>
    <t>IMPERMEABILIZAÇAO EM BOX DE BANHEIRO .IMPERMEABILIZAÇÃO POLIMÉRICA</t>
  </si>
  <si>
    <t>21.2.6</t>
  </si>
  <si>
    <t>IMPERMEABILIZAÇAO EM SACADA .IMPERMEABILIZAÇÃO POLIMÉRICA</t>
  </si>
  <si>
    <t>IMPERMEABILIZAÇAO EM RESERVATORIOS .IMPERMEABILIZAÇÃO POLIMÉRICA</t>
  </si>
  <si>
    <t>24.1.2</t>
  </si>
  <si>
    <t>24.2.2</t>
  </si>
  <si>
    <t>24.3.</t>
  </si>
  <si>
    <t>24.3.1</t>
  </si>
  <si>
    <t>24.3.2</t>
  </si>
  <si>
    <t>24.4.</t>
  </si>
  <si>
    <t>24.4.1</t>
  </si>
  <si>
    <t>25.</t>
  </si>
  <si>
    <t>25.1.</t>
  </si>
  <si>
    <t>25.1.1</t>
  </si>
  <si>
    <t>25.2.</t>
  </si>
  <si>
    <t>25.2.1</t>
  </si>
  <si>
    <t>26.</t>
  </si>
  <si>
    <t>26.1.</t>
  </si>
  <si>
    <t>26.1.1</t>
  </si>
  <si>
    <t>26.1.2</t>
  </si>
  <si>
    <t>26.1.3</t>
  </si>
  <si>
    <t>26.1.4</t>
  </si>
  <si>
    <t>26.2.</t>
  </si>
  <si>
    <t>26.2.1</t>
  </si>
  <si>
    <t>26.2.2</t>
  </si>
  <si>
    <t>26.2.3</t>
  </si>
  <si>
    <t>26.2.4</t>
  </si>
  <si>
    <t>26.3.</t>
  </si>
  <si>
    <t>26.3.1</t>
  </si>
  <si>
    <t>26.3.2</t>
  </si>
  <si>
    <t>27.</t>
  </si>
  <si>
    <t>27.1.</t>
  </si>
  <si>
    <t>27.1.1</t>
  </si>
  <si>
    <t>27.2.</t>
  </si>
  <si>
    <t>27.2.1</t>
  </si>
  <si>
    <t>LIMPEZA E MOVIMENTAÇÃO DE TERRA</t>
  </si>
  <si>
    <t>Lastro de estrutura de concreto</t>
  </si>
  <si>
    <t>FUNDAÇÃO RASA (SAPATAS E BALDRAMES)</t>
  </si>
  <si>
    <t>ALVENARIA, VEDAÇÕES E DIVISÓRIAS</t>
  </si>
  <si>
    <t>PISCINA</t>
  </si>
  <si>
    <t>Concreto C30</t>
  </si>
  <si>
    <t>Aço, formas e concreto total</t>
  </si>
  <si>
    <t>Superior</t>
  </si>
  <si>
    <t>Concreto Usinado bombeável 30MPa para infraestrutura - incluindo serviço de bombeamento</t>
  </si>
  <si>
    <t>Impermeabilização áreas molhadas</t>
  </si>
  <si>
    <t>Impermeabilização áreas externas</t>
  </si>
  <si>
    <t>00.000.001.001</t>
  </si>
  <si>
    <t xml:space="preserve">Regularização de superfície para impermeabilização </t>
  </si>
  <si>
    <t>Alvenaria de vedacao de blocos ceramicos furados na horizontal de 11.5x19x29cm (espessura 11.5cm) com argamassa industrializada de assentamento</t>
  </si>
  <si>
    <t>Alvenaria de vedacao de blocos ceramicos furados na horizontal de 14x19x29cm (espessura 14cm) com argamassa industrializada de assentamento</t>
  </si>
  <si>
    <t>Alvenaria de vedacao de blocos ceramicos furados na horizontal de 9x19x29cm (espessura 9cm) com argamassa industrializada de assentamento</t>
  </si>
  <si>
    <t>Tijolo refratário para churrasqueiras 2,5x11,5x23cm com argamassa</t>
  </si>
  <si>
    <t>Alvenaria Estrutural Bloco de concreto de 4,0 MPA, com argamassa estabilizada</t>
  </si>
  <si>
    <t>Proteção mecânica de superfície com argamassa de cimento e areia, traço 1:3 E=5cm</t>
  </si>
  <si>
    <t>Hidrossanitário</t>
  </si>
  <si>
    <t>Louças e Metais</t>
  </si>
  <si>
    <t>Fios, cabos, eletrodutos, eletrocalhas e acabamentos</t>
  </si>
  <si>
    <t>Pontos de tomadas e interruptores</t>
  </si>
  <si>
    <t>Instalações de comunicação</t>
  </si>
  <si>
    <t>REVESTIMENTOS ARGAMASSADOS INTERNOS</t>
  </si>
  <si>
    <t>Chapisco e Reboco interno</t>
  </si>
  <si>
    <t>Regularizção/Estucamento</t>
  </si>
  <si>
    <t>INSTALAÇÕES GLP</t>
  </si>
  <si>
    <t>ACABAMENTOS EM PISO E PAREDE</t>
  </si>
  <si>
    <t>Acabamentos de piso</t>
  </si>
  <si>
    <t>Acabamentos de parede</t>
  </si>
  <si>
    <t>Acabamentos de passeio</t>
  </si>
  <si>
    <t>Pingadeiras e Soleiras</t>
  </si>
  <si>
    <t>ACABAMENTOS EM TETO</t>
  </si>
  <si>
    <t>Sistema de pintura em parede e teto</t>
  </si>
  <si>
    <t xml:space="preserve"> Mão de obra</t>
  </si>
  <si>
    <t>Guarda corpo e Brises</t>
  </si>
  <si>
    <t>SERRALHERIA</t>
  </si>
  <si>
    <t>Muros externos</t>
  </si>
  <si>
    <t>Revestimento de Piso Porcelanato Polido, Placa 60x60cm</t>
  </si>
  <si>
    <t>Revestimento em Porcelanato Piso Externo, 60x 60cm com Junta de 3mm</t>
  </si>
  <si>
    <t>Mão de obra para Textura em paredes internas, 1 demãos</t>
  </si>
  <si>
    <t>Mão de obra para pintura em paredes internas, 3 demãos</t>
  </si>
  <si>
    <t>Revestimento de Pedras Naturais em Pisos</t>
  </si>
  <si>
    <t>Revestimento de parede em porcelanato, placa 30x90cm</t>
  </si>
  <si>
    <t>Rodapé de poliestireno h=10cm</t>
  </si>
  <si>
    <t>Peitoril em pedra natural,  esp. 2cm</t>
  </si>
  <si>
    <t>Contrapiso comum em argamassa estabilizada, auto nivelado, espessura 3cm</t>
  </si>
  <si>
    <t>Mão de obra execução de contrapiso comum e Acústico</t>
  </si>
  <si>
    <t>Mão de obra execução Piso de concreto</t>
  </si>
  <si>
    <t>Mão de obra impermeabilização com membrana de polimero</t>
  </si>
  <si>
    <t>Mão de obra para colocação de peitoril e pingadeira</t>
  </si>
  <si>
    <t>Forro de gesso acartonado - áreas secas - Material e Mão de Obra</t>
  </si>
  <si>
    <t>Forro de gesso acartonado - áreas úmidas - Material e Mão de Obra</t>
  </si>
  <si>
    <t>Esquadrias de Alumínio - fornecimento e instalação</t>
  </si>
  <si>
    <t>Guarda Corpo de Vidro e Aluminio - fornecimento e instalação</t>
  </si>
  <si>
    <t>Contramarco de Alumínio, Fixação com Argamassa</t>
  </si>
  <si>
    <t>Porta de madeira de abrir - 80x210cm (kit completo) - fixação com espuma expansiva</t>
  </si>
  <si>
    <t>Porta de madeira de abrir - 90x210cm (kit completo) - fixação com espuma expansiva</t>
  </si>
  <si>
    <t>Brise de Alumínio - Decoração Fachada</t>
  </si>
  <si>
    <t>Mão de obra para instalação de portas de madeira</t>
  </si>
  <si>
    <t>Chapisco externo aplicados em alvenaria, com argamassa estabilizada, aplicação convencional.</t>
  </si>
  <si>
    <t>Mão de obra para aplicação de Pintura em paredes externas - 3 demãos</t>
  </si>
  <si>
    <t>Mão de obra para aplicação de Porcelanato em paredes externas</t>
  </si>
  <si>
    <t>Revestimento de piso em grama</t>
  </si>
  <si>
    <t>Pavimento Superior</t>
  </si>
  <si>
    <t>Cozinha - Cuba / Inox</t>
  </si>
  <si>
    <t>Cuba Pia Cozinha - Lazer</t>
  </si>
  <si>
    <t>Tanque Inox</t>
  </si>
  <si>
    <t>Cozinha</t>
  </si>
  <si>
    <t>Lazer - Área externa</t>
  </si>
  <si>
    <t>Torneira misturador pia cozinha</t>
  </si>
  <si>
    <t>Torneira tanque</t>
  </si>
  <si>
    <t>Torneira Lavatório mesa</t>
  </si>
  <si>
    <t>Chuveiro Monocromado</t>
  </si>
  <si>
    <t>Banheira</t>
  </si>
  <si>
    <t>Acabamento de Registro Pressão</t>
  </si>
  <si>
    <t>Acabamento de Registro Comum</t>
  </si>
  <si>
    <t>Banheiro</t>
  </si>
  <si>
    <t>Locação de guincho de coluna</t>
  </si>
  <si>
    <t>Sinalização geral da obra</t>
  </si>
  <si>
    <t>ESTUDOS, PROJETOS E CONSULTORIAS</t>
  </si>
  <si>
    <t>Equipamentos de proteção</t>
  </si>
  <si>
    <t>Instalações Provisórias</t>
  </si>
  <si>
    <t>SERVIÇOS PRELIMINARES</t>
  </si>
  <si>
    <t>Desmobilização de canteiro</t>
  </si>
  <si>
    <t>Alteração de infraestrutura existente</t>
  </si>
  <si>
    <t>Instalações de gás</t>
  </si>
  <si>
    <t>Repetição</t>
  </si>
  <si>
    <t>Und</t>
  </si>
  <si>
    <t>Custo unit.</t>
  </si>
  <si>
    <t>Custo Total.</t>
  </si>
  <si>
    <t>INSTALAÇÕES PROVISÓRIAS</t>
  </si>
  <si>
    <t>Insumo</t>
  </si>
  <si>
    <t>LONA PLASTICA 120 MICRAS 4X100M PRETA</t>
  </si>
  <si>
    <t>TELHA METALICA GALVANIZADA TRAPEZOIDAL 0,43MM NBR 14514</t>
  </si>
  <si>
    <t>Concreto Usinado bombeável 20MPa Convencional</t>
  </si>
  <si>
    <t>PREGO GALVANIZADO LISO S/CABECA 17X21 NBR 6627</t>
  </si>
  <si>
    <t>BLOCO CONCRETO ESTRUTURAL 03MPA 14X19X39CM NBR 6136</t>
  </si>
  <si>
    <t>ARGAMASSA ENSACADA P/ASSENTAMENTO BLOCO 04MPA NBR 13281</t>
  </si>
  <si>
    <t>SERVICO EMP. - INST. PROVISORIA - CONFECCAO BAIA P/MATERIAL</t>
  </si>
  <si>
    <t>MADEIRA PINUS/SIMILAR - TABUA PINUS 200X20MM NBR 11700</t>
  </si>
  <si>
    <t>COMPENSADO MADEIRA TIPO RESINADO COLA FENOLICA 2440X1220X10MM</t>
  </si>
  <si>
    <t>MADEIRA PINUS/SIMILAR - PONTALETE 75X75MM NBR 11700/15696</t>
  </si>
  <si>
    <t>MADEIRA PINUS/SIMILAR - SARRAFO PINUS 50X20MM NBR 11700/15696</t>
  </si>
  <si>
    <t>MADEIRA PINUS/SIMILAR - SARRAFO PINUS 50X10MM NBR 11700</t>
  </si>
  <si>
    <t>PREGO DE ACO POLIDO COM CABECA 17 X 21 (2 X 11)</t>
  </si>
  <si>
    <t>EXTINTOR INCENDIO PO QUIMICO 06KG CLASSE ABC (COMPLETO) NBR 15808</t>
  </si>
  <si>
    <t>MATERIAL PARA INSTALAÇÃO ELÉTRICA</t>
  </si>
  <si>
    <t>SERVICO INSTALAÇÃO BARRACAO ALMOXARIFADO</t>
  </si>
  <si>
    <t>TELA ACO CARBONO CA60 M.150X150MM F.03,4MM 245X600CM Q61 (14,26KG/UN)</t>
  </si>
  <si>
    <t>TELHA FIBROCIMENTO NATURAL S/AMIANTO 06X1100X1530MM NBR 7581/15210</t>
  </si>
  <si>
    <t>TINTA LATEX ACRILICO FOSCO INT./EXT. PREMIUM PLUS BRANCO NBR 14942</t>
  </si>
  <si>
    <t>TINTA ESMALTE ACETINADO BASE SOLVENTE BRANCO NBR 15299</t>
  </si>
  <si>
    <t>SOLVENTE BASE THINNER P/TINTA NBR 14725</t>
  </si>
  <si>
    <t>LIXA DAGUA 225X275MM GR100</t>
  </si>
  <si>
    <t>BANNER LONA VINILICA</t>
  </si>
  <si>
    <t xml:space="preserve">PLACA SINALIZACAO PVC C/ADESIVO </t>
  </si>
  <si>
    <t>SUPORTE ACO CARBONO P/PLACA - REQ. CANTONEIRA 1.1/4"X1/8" 160X250CM</t>
  </si>
  <si>
    <t>TINTA ACRILICA A BASE DE SOLVENTE</t>
  </si>
  <si>
    <t>CAIBRO NAO APARELHADO *5 X 6* CM, EM MACARANDUBA/MASSARANDUBA, ANGELIM OU EQUIVALENTE DA REGIAO - BRUTA</t>
  </si>
  <si>
    <t>EPC'S</t>
  </si>
  <si>
    <t>PREGO DE ACO POLIDO COM CABECA 16 X 24 (2 1/4 X 12)</t>
  </si>
  <si>
    <t>CHAPA/PAINEL DE MADEIRA COMPENSADA PLASTIFICADA, DE 2200 X 1100 MM, E = 14 MM</t>
  </si>
  <si>
    <t>CHUMBADOR PARABOLT ACO CARBONO CBA 1/2"X75MM</t>
  </si>
  <si>
    <t>PERFIL METALICO BANDEJA PRIMARIA 2,50M</t>
  </si>
  <si>
    <t>PONTALETE *7,5 X 7,5* CM EM PINUS, MISTA OU EQUIVALENTE DA REGIAO - BRUTA</t>
  </si>
  <si>
    <t>PERFIL METALICO BANDEJA SECUNDARIA 2,50M</t>
  </si>
  <si>
    <t>TABUA *2,5 X 15 CM EM PINUS, MISTA OU EQUIVALENTE DA REGIAO - BRUTA</t>
  </si>
  <si>
    <t>TELA PLASTICA TECIDA LISTRADA BRANCA E LARANJA, EM POLIETILENO MONOFILADO</t>
  </si>
  <si>
    <t>Guarda-corpo em laje pós-desforma com pontalete de madeira, travessões e tela</t>
  </si>
  <si>
    <t>ESCORA METALICA TELESCOPICA, COM ALTURA REGULAVEL DE *1,80* A *3,20* M, INCLUSO TRIPE E FORCADO</t>
  </si>
  <si>
    <t>TELA FACHADEIRA POLIETILENO MALHA 1,5X1,5MM</t>
  </si>
  <si>
    <t>SARRAFO *2,5 X 7,5* CM EM PINUS, MISTA OU EQUIVALENTE DA REGIAO - BRUTA</t>
  </si>
  <si>
    <t>Tela de polietileno reforçada com impressão digital</t>
  </si>
  <si>
    <t xml:space="preserve">Tela com impressão digital UV </t>
  </si>
  <si>
    <t>Fechamento removível de vãos de porta de elevador em madeira</t>
  </si>
  <si>
    <t>CHAPA/PAINEL DE MADEIRA COMPENSADA RESINADA, DE 2200 X 1100 MM, E = 14 MM</t>
  </si>
  <si>
    <t>Locação estrutura metálica para proteção de pesdestres</t>
  </si>
  <si>
    <t>Tapume em telha metálica trapezoidal</t>
  </si>
  <si>
    <t>PREGO DE ACO POLIDO COM CABECA 18 X 27 (2 1/2 X 10)</t>
  </si>
  <si>
    <t>TELHA TRAPEZOIDAL EM ACO ZINCADO, ESPESSURA DE 0,50 MM</t>
  </si>
  <si>
    <t>CONCRETO MAGRO USINADO, COM BRITA 1</t>
  </si>
  <si>
    <t>Varal de segurança com cabo de aço (linha de vida)</t>
  </si>
  <si>
    <t>CABO DE AÇO GALVANIZADO 3/8</t>
  </si>
  <si>
    <t>CLIPS PARA CABO DE AÇO 5/16</t>
  </si>
  <si>
    <t>TUBO GALV. 3" X 2,65MM - 8M C/ RUPTURA: 40 MPA (LINHA DE VIDA)</t>
  </si>
  <si>
    <t>Tela SQLA</t>
  </si>
  <si>
    <t>Locação estrutura para proteção SLQA</t>
  </si>
  <si>
    <t>Rebaixamento de Lençol freático</t>
  </si>
  <si>
    <t>Locação 30 dias de cada equipamento de rebaixamento com 22,5 HP, vazão máxima = 100 m³/h, em operação ou a disposição.</t>
  </si>
  <si>
    <t>Locação 30 dias de cada mangote de descarga CDF-A com lance de 50,00 metros cada.</t>
  </si>
  <si>
    <t>Instalação de equipamentos para Rebaixamento de Lençol freático</t>
  </si>
  <si>
    <t>DIA</t>
  </si>
  <si>
    <t>Instalação e entrega técnica do(s) equipamento(s) de rebaixamento temporário de aquíferos AQ-EL 44-100. (Previsão de 04 dias)</t>
  </si>
  <si>
    <t>4 DIAS PARA INSTALAÇÃO</t>
  </si>
  <si>
    <t>Detonação de rochas</t>
  </si>
  <si>
    <t>M3</t>
  </si>
  <si>
    <t>Escavação mecanizada para blocos de fundação, vigas de fundação e poço de elevador, com retroescavadeira</t>
  </si>
  <si>
    <t>Escavação mecanizada com retroescavadeira</t>
  </si>
  <si>
    <t>Escavação mecanizada para estacas de fundação, com retroescavadeira</t>
  </si>
  <si>
    <t>Reaterro mecanizado com retroescavadeira</t>
  </si>
  <si>
    <t>Lastro de Concreto Magro, Aplicado em Blocos de Fundação</t>
  </si>
  <si>
    <t>CONCRETO MAGRO PARA LASTRO</t>
  </si>
  <si>
    <t>serviço de bombeamento</t>
  </si>
  <si>
    <t>Cimento Portland Composto CP II-32</t>
  </si>
  <si>
    <t>Lastro de Brita, Aplicado em Blocos de Fundação, e= 5cm</t>
  </si>
  <si>
    <t>BRITA Nº2</t>
  </si>
  <si>
    <t>Lastro de Brita, Aplicado em fundação rasa</t>
  </si>
  <si>
    <t>Terraplanagem - Corte e Desaterro Solo</t>
  </si>
  <si>
    <t>Escavação e Carga Mecanizada em Corte - Desaterro Solo</t>
  </si>
  <si>
    <t>Desmonte de Rocha</t>
  </si>
  <si>
    <t>Escavação e Carga Mecanizada em Corte - Desaterro Rocha</t>
  </si>
  <si>
    <t>Terraplanagem - Aterro material de 1º categoria</t>
  </si>
  <si>
    <t>Espalhamento / Umedecimento / Compactação em Material de 1ª Categoria - 95% PN - Aterro</t>
  </si>
  <si>
    <t>Terraplanagem - Corte e aterro (Produtividade 1890m3/dia) - Mão de Obra Própria</t>
  </si>
  <si>
    <t>Escavadeira DOOSAN DX225 (terceirizado)</t>
  </si>
  <si>
    <t>Trator esteira CAT D51 (terceirizado)</t>
  </si>
  <si>
    <t>Escaveideira 320 CAT 2019</t>
  </si>
  <si>
    <t>Trator esteira 700 j john dree 2016</t>
  </si>
  <si>
    <t>Operador de máquina 1</t>
  </si>
  <si>
    <t>Movimentação de terra para bota-fora - Escavação de Valas</t>
  </si>
  <si>
    <t>Movimentação de terra para bota-fora - Estacas</t>
  </si>
  <si>
    <t>Movimentação de terra para bota-fora - Escavação Vertical Terraplenagem</t>
  </si>
  <si>
    <t>Execucao Estaca Helice Continua 030Cm</t>
  </si>
  <si>
    <t>Execucao Estaca Helice Continua 040Cm</t>
  </si>
  <si>
    <t xml:space="preserve">Perfuração de estaca hélice contínua Ø 50cm	</t>
  </si>
  <si>
    <t>Execucao Estaca Helice Continua 050Cm</t>
  </si>
  <si>
    <t xml:space="preserve">Perfuração de estaca hélice contínua Ø 60cm	</t>
  </si>
  <si>
    <t>Execucao Estaca Helice Continua 060Cm</t>
  </si>
  <si>
    <t>Execucao Estaca Helice Continua Monitorada 050Cm</t>
  </si>
  <si>
    <t>Execucao Estaca Helice Continua Monitorada 060Cm</t>
  </si>
  <si>
    <t>Execucao Estaca Helice Continua 070Cm</t>
  </si>
  <si>
    <t>Execucao Estaca Helice Continua 080Cm</t>
  </si>
  <si>
    <t>Execucao Estaca Helice Continua 090Cm</t>
  </si>
  <si>
    <t>Execucao Estaca Helice Continua 100Cm</t>
  </si>
  <si>
    <t xml:space="preserve">Perfuração de estaca Escavada Ø 25cm	</t>
  </si>
  <si>
    <t>Execucao Estaca Escavada 025Cm</t>
  </si>
  <si>
    <t xml:space="preserve">Perfuração de estaca Escavada Ø 30cm	</t>
  </si>
  <si>
    <t>Execucao Estaca Escavada 030Cm</t>
  </si>
  <si>
    <t xml:space="preserve">	Mobilização e desmobilização de equipamentos - Para execução de estaca hélice monitorada</t>
  </si>
  <si>
    <t xml:space="preserve">	Mobilização e desmobilização de equipamentos - Para execução de estaca hélice</t>
  </si>
  <si>
    <t xml:space="preserve">	Mobilização e desmobilização de equipamentos - Para execução de estaca Escavada</t>
  </si>
  <si>
    <t>Armação Pronta para estaca Ø 50cm (5F 16,0 4MTS ESP75 PS20)</t>
  </si>
  <si>
    <t>CORTE E DOBRA ARMADO ESTACA Ø50CM 5F 16,0 4MTS ESP75 PS20</t>
  </si>
  <si>
    <t>Armação Pronta para estaca Ø 60cm (5F 20,0 4MTS ESP75 PS20)</t>
  </si>
  <si>
    <t>CORTE E DOBRA ARMADO ESTACA Ø60CM 5F 20,0 4MTS ESP75 PS20</t>
  </si>
  <si>
    <t>Armação Pronta para estaca Ø 60cm (7F 20,0 6MTS ESP75 PS20)</t>
  </si>
  <si>
    <t>CORTE E DOBRA ARMADO ESTACA Ø60CM 7F 20,0 6MTS ESP75 PS20</t>
  </si>
  <si>
    <t>Armação Pronta para estaca Ø 60cm (9F 20,0 8MTS ESP75 PS20)</t>
  </si>
  <si>
    <t>CORTE E DOBRA ARMADO ESTACA Ø60CM 9F 20,0 8MTS ESP75 PS20</t>
  </si>
  <si>
    <t>Armação aço CA-50 ø 6,3mm para estaca (corte e dobra em obra)</t>
  </si>
  <si>
    <t>KG</t>
  </si>
  <si>
    <t>Aço CA50 6,3 mm</t>
  </si>
  <si>
    <t xml:space="preserve">Arame Galvanizado </t>
  </si>
  <si>
    <t>Espaçador para armadura</t>
  </si>
  <si>
    <t>Armação aço CA-50 ø 8,0mm para estaca (corte e dobra em obra)</t>
  </si>
  <si>
    <t>Aço CA50 8,0 mm</t>
  </si>
  <si>
    <t>Armação aço CA-50 ø 10,0mm para estaca (corte e dobra em obra)</t>
  </si>
  <si>
    <t>Aço CA50 10,0 mm</t>
  </si>
  <si>
    <t>Armação aço CA-50 ø 16,0mm para estaca (corte e dobra em obra)</t>
  </si>
  <si>
    <t>Aço CA50 16,0mm</t>
  </si>
  <si>
    <t>Armação aço CA-50 ø 20,0mm para estaca (corte e dobra em obra)</t>
  </si>
  <si>
    <t>Aço CA50 20,0mm</t>
  </si>
  <si>
    <t xml:space="preserve">Armação aço CA-60 ø 5,00mm para estaca (corte e dobra em obra) </t>
  </si>
  <si>
    <t>Aço CA60 5,0mm</t>
  </si>
  <si>
    <t>Concreto Usinado bombeável para estacas 25MPa  - incluindo serviço de bombeamento</t>
  </si>
  <si>
    <t>Concreto Usinado bombeável 25MPa</t>
  </si>
  <si>
    <t>Concreto Usinado bombeável para estacas 30MPa  - incluindo serviço de bombeamento</t>
  </si>
  <si>
    <t>Concreto Usinado bombeável 30MPa para estacas</t>
  </si>
  <si>
    <t>Concreto Usinado bombeável para estacas 35MPa  - incluindo serviço de bombeamento</t>
  </si>
  <si>
    <t>Concreto Usinado bombeável 35MPa para estacas</t>
  </si>
  <si>
    <t>Concreto Usinado bombeável para estacas 40MPa  - incluindo serviço de bombeamento</t>
  </si>
  <si>
    <t>Concreto Usinado bombeável 40MPa para estacas</t>
  </si>
  <si>
    <t>Corte e Preparo de Cabeça de Estaca</t>
  </si>
  <si>
    <t>Serviço de Arrasamentode Estacas</t>
  </si>
  <si>
    <t>Forma para infraestrutura em Tábuas de Madeira Serrada 2x reaproveitamento</t>
  </si>
  <si>
    <t>PREGO DE ACO POLIDO COM CABECA 15 X 18 (1 1/2 X 13)</t>
  </si>
  <si>
    <t xml:space="preserve">DESMOLDANTE PROTETOR PARA FORMAS DE MADEIRA, DE BASE OLEOSA EMULSIONADA EM AGUA   </t>
  </si>
  <si>
    <t>TABUA *2,5 X 30 CM EM PINUS, MISTA OU EQUIVALENTE DA REGIAO - BRUTA (M)</t>
  </si>
  <si>
    <t>Forma para infraestrutura em Tábuas de Madeira Serrada 4x reaproveitamento</t>
  </si>
  <si>
    <t>Aço CA50 12,5 mm</t>
  </si>
  <si>
    <t>Aço CA50 25,0mm</t>
  </si>
  <si>
    <t xml:space="preserve">Armação aço CA-50 ø 32,00mm para infraestrutura (corte e dobra em obra) </t>
  </si>
  <si>
    <t>Aço CA60 32,0mm</t>
  </si>
  <si>
    <t>Concreto Usinado bombeável 30MPa Convencional</t>
  </si>
  <si>
    <t>Concreto Usinado bombeável 35MPa para infraestrutura - incluindo serviço de bombeamento</t>
  </si>
  <si>
    <t>Concreto Usinado bombeável 35MPa Convencional</t>
  </si>
  <si>
    <t>Concreto Usinado bombeável 40MPa para infraestrutura- incluindo serviço de bombeamento</t>
  </si>
  <si>
    <t>Concreto Usinado bombeável 40MPa Convencional</t>
  </si>
  <si>
    <t>Concreto Usinado bombeável 45MPa para infraestrutura- incluindo serviço de bombeamento</t>
  </si>
  <si>
    <t>Concreto Usinado bombeável 45MPa Convencional</t>
  </si>
  <si>
    <t>Concreto Usinado bombeável 50MPa para infraestrutura- incluindo serviço de bombeamento</t>
  </si>
  <si>
    <t>Concreto Usinado bombeável 50MPa Convencional</t>
  </si>
  <si>
    <t>Concreto Usinado bombeável 60MPa para infraestrutura- incluindo serviço de bombeamento</t>
  </si>
  <si>
    <t>Concreto Usinado bombeável 60MPa Convencional</t>
  </si>
  <si>
    <t>Mão de obra para execução de fundação</t>
  </si>
  <si>
    <t>CONTENÇÕES</t>
  </si>
  <si>
    <t xml:space="preserve">Perfuração de estaca Escavada para contenção Ø 30cm	</t>
  </si>
  <si>
    <t>Concreto Usinado bombeável para estaca das Contenções 25MPa  - incluindo serviço de bombeamento</t>
  </si>
  <si>
    <t>Forma para Contenções em Tábuas de Madeira Serrada 17mm 4x reaproveitamento</t>
  </si>
  <si>
    <t>Armação aço CA-50 ø 6,3mm para Contenções (corte e dobra em obra)</t>
  </si>
  <si>
    <t>Armação aço CA-50 ø 8,0mm para Contenções (corte e dobra em obra)</t>
  </si>
  <si>
    <t>Armação aço CA-50 ø 10,0mm para Contenções (corte e dobra em obra)</t>
  </si>
  <si>
    <t xml:space="preserve">Armação aço CA-50 ø 12,5mm para Contenções (corte e dobra em obra) </t>
  </si>
  <si>
    <t>Armação aço CA-50 ø 16,0mm para Contenções (corte e dobra em obra)</t>
  </si>
  <si>
    <t xml:space="preserve">Armação aço CA-50 ø 20,0mm para Contenções (corte e dobra em obra) </t>
  </si>
  <si>
    <t xml:space="preserve">Armação aço CA-50 ø 25,0mm para Contenções (corte e dobra em obra) </t>
  </si>
  <si>
    <t xml:space="preserve">Armação aço CA-60 ø 5,00mm para Contenções (corte e dobra em obra) </t>
  </si>
  <si>
    <t>Concreto Usinado bombeável para Contenções 25MPa  - incluindo serviço de bombeamento</t>
  </si>
  <si>
    <t>Concreto Usinado bombeável para Contenções 30MPa  - incluindo serviço de bombeamento</t>
  </si>
  <si>
    <t>Mão de obra de obra execução de contenção em cortina de concreto</t>
  </si>
  <si>
    <t>Forma para Laje Contrapiso Térreo em Tábuas de Madeira Serrada 18mm 4x reaproveitamento</t>
  </si>
  <si>
    <t>TABUA NAO APARELHADA *2,5 X 20* CM, EM MACARANDUBA/MASSARANDUBA, ANGELIM OU EQUIVALENTE DA REGIAO - BRUTA</t>
  </si>
  <si>
    <t>Fabricação de Fôrma para Pilares, em Chapa de Madeira Compensada Plastificada, E=18mm</t>
  </si>
  <si>
    <t>CHAPA/PAINEL DE MADEIRA COMPENSADA PLASTIFICADA, DE 2200 X 1100 MM, E = 18 MM</t>
  </si>
  <si>
    <t>Fabricação de Fôrma para Vigas, em Chapa de Madeira Compensada Plastificada, E=18mm</t>
  </si>
  <si>
    <t>Fabricação de Fôrma para Lajes, em Chapa de Madeira Compensada Plastificada, E=18mm</t>
  </si>
  <si>
    <t>Fabricação de Fôrma para Escadas, em Chapa de Madeira Compensada Resinada, E=18mm</t>
  </si>
  <si>
    <t>PREGO DE ACO POLIDO COM CABECA 17 X 24 (2 1/4 X11)</t>
  </si>
  <si>
    <t>PREGO DE ACO POLIDO COM CABECA 15 X 15 (1 1/4 X 13)</t>
  </si>
  <si>
    <t>CHAPA/PAINEL DE MADEIRA COMPENSADA RESINADA, DE 2200 X 1100 MM, E = 18 MM</t>
  </si>
  <si>
    <t>Fabricação de Fôrma para Pilares, em Chapa de Madeira Compensada Resinada, E=18mm</t>
  </si>
  <si>
    <t>Fabricação de Fôrma para Vigas, em Chapa de Madeira Compensada Resinada, E=18mm</t>
  </si>
  <si>
    <t>Fabricação de Fôrma para Lajes, em Chapa de Madeira Compensada Resinada, E=18mm</t>
  </si>
  <si>
    <t>Montagem e Desmontagem de Fôrma de Pilares</t>
  </si>
  <si>
    <t>Montagem e Desmontagem de Fôrma de Vigas</t>
  </si>
  <si>
    <t>Montagem e Desmontagem de Fôrma de Lajes</t>
  </si>
  <si>
    <t>Montagem e Desmontagem de Fôrma de Escadas</t>
  </si>
  <si>
    <t>Concreto armado no piso do térreo</t>
  </si>
  <si>
    <t>Lona Preta Plástica 4x100 Metros 25kg - Agroplastic, Tamanho: 120 Micras</t>
  </si>
  <si>
    <t>Barras de transferencia lisa 12,5mm 50 cm</t>
  </si>
  <si>
    <t>TELA ACO CARBONO CA60 M.100X100MM F.04,2MM 245X600CM Q138 (32,34KG/UN)</t>
  </si>
  <si>
    <t>Perna de serra pinus - 10x30x300cm</t>
  </si>
  <si>
    <t>Espaçador Treliçado p/ armaduras 6 cm</t>
  </si>
  <si>
    <t xml:space="preserve">Arame Recozido BWG 18 </t>
  </si>
  <si>
    <t>Armação Aço CA-50, Diâmetro de 6,3mm para Supraestrutura, Corte e Dobra em Obra</t>
  </si>
  <si>
    <t>Armação Aço CA-50, Diâmetro de 20,0mm para Supraestrutura, Corte e Dobra em Obra</t>
  </si>
  <si>
    <t>Armação Aço CA-50, Diâmetro de 25,0mm para Supraestrutura, Corte e Dobra em Obra</t>
  </si>
  <si>
    <t>Armação tela Q138 para Suprastrutura (corte e dobra em Obra)</t>
  </si>
  <si>
    <t>Armação tela Q92 para ContraPiso Armado (corte e dobra em Obra)</t>
  </si>
  <si>
    <t>TELA ACO CARBONO CA60 M.150X150MM F.04,2MM 245X600CM Q92 (21,8KG/UN)</t>
  </si>
  <si>
    <t>Concreto Usinado FCK = 20MPa Bombeavel Para Supraestrutura</t>
  </si>
  <si>
    <t>Concreto Usinado FCK = 30MPa Bombeavel Para Supraestrutura</t>
  </si>
  <si>
    <t>Concreto Usinado FCK = 35MPa Bombeavel Para Supraestrutura</t>
  </si>
  <si>
    <t>Concreto Usinado FCK = 40MPa Bombeavel Para Supraestrutura</t>
  </si>
  <si>
    <t>Concreto Usinado FCK = 50MPa Bombeavel Para Supraestrutura</t>
  </si>
  <si>
    <t>Concreto Usinado FCK = 50MPa  Bombeavel para Laje de Fundação</t>
  </si>
  <si>
    <t>Laje pré-moldada unidirecional enchimento em cerâmica, vigota convencional,</t>
  </si>
  <si>
    <t>LAJE PRE-MOLDADA CONVENCIONAL (LAJOTAS + VIGOTAS) PARA PISO, UNIDIRECIONAL, SOBRECARGA DE 200 KG/M2, VAO ATE 3,50 M (SEM COLOCACAO)</t>
  </si>
  <si>
    <t>PREGO DE ACO POLIDO COM CABECA 17 x 27 (2 1/2 x 11)</t>
  </si>
  <si>
    <t>Serviço de Instalação de Lajes pré-moldadas</t>
  </si>
  <si>
    <t>Lona Plastica para Contrapiso Armado</t>
  </si>
  <si>
    <t xml:space="preserve">Protenção de cordoalhas para laje protendida Nervurada Tec- Serviço </t>
  </si>
  <si>
    <t>Acompanhamento e fiscalização na montagem da Protensão, locação de macaco hidráulico e maçarico</t>
  </si>
  <si>
    <t>Corte Final dos Cabos</t>
  </si>
  <si>
    <t>Fechamento dos nichos de Protensão</t>
  </si>
  <si>
    <t>Compatibilização e elaboração do plano de execução dos materiais EVEHX</t>
  </si>
  <si>
    <t>Controle tecnológico da Protensão</t>
  </si>
  <si>
    <t>Protenção de cordoalhas para laje protendida Nervurada Tec - Materiais e acessórios</t>
  </si>
  <si>
    <t>Ancoragem base 1/2" - EHX 0063</t>
  </si>
  <si>
    <t>Cunha 1/2" BI Partida - EHX 0036</t>
  </si>
  <si>
    <t>Pocket Former 1/2 - EHX 0009</t>
  </si>
  <si>
    <t>Adaptador Ancor. (AP2)B Chupeta-EHX 0027</t>
  </si>
  <si>
    <t>Pt-Plug Ø12,7 - 3,8cm</t>
  </si>
  <si>
    <t>Tirante Plast - EHX 0621</t>
  </si>
  <si>
    <t>Apoio Metálico EHX 0072</t>
  </si>
  <si>
    <t>Industrialização dos cabos (Corte, enrolação, pré-blocagem e identificação por cores)</t>
  </si>
  <si>
    <t>Locação de cubetas para laje nervurada</t>
  </si>
  <si>
    <t>UM</t>
  </si>
  <si>
    <t xml:space="preserve">LOCACAO DE FORMA PLASTICA PARA LAJE NERVURADA, *60* X *60* X *16* CM       </t>
  </si>
  <si>
    <t>Manutenção de cubetas proprias</t>
  </si>
  <si>
    <t>Locação de escoramento metálico pe direito simples</t>
  </si>
  <si>
    <t>LOCACAO DE ESCORA METALICA TELESCOPICA, COM ALTURA REGULAVEL DE *1,80* A *3,20* M</t>
  </si>
  <si>
    <t>Locação topográfica de lajes</t>
  </si>
  <si>
    <t>DIAS</t>
  </si>
  <si>
    <t>Diária de topógrafo</t>
  </si>
  <si>
    <t>Sistema de Ancoragem Provisória e definitiva</t>
  </si>
  <si>
    <t>Serviço de Perfuração de vigas e lajes</t>
  </si>
  <si>
    <t>Mão de Obra Polimento de piso</t>
  </si>
  <si>
    <t>ALVENARIAS E VEDAÇÕES</t>
  </si>
  <si>
    <t>Alvenaria de vedacao de blocos ceramicos furados na horizontal de 9x19x19cm (espessura 9cm) com argamassa industrializada de assentamento</t>
  </si>
  <si>
    <t>BLOCO CERÂMICO - 9X19X19cm</t>
  </si>
  <si>
    <t>ARGAMASSA INDUSTRIALIZADA MULTIUSO, PARA REVESTIMENTO INTERNO E EXTERNO E ASSENTAMENTO DE BLOCOS DIVERSOS</t>
  </si>
  <si>
    <t>Alvenaria de vedacao de blocos ceramicos furados na horizontal de 11,5x19x19cm (espessura 11,5cm) com argamassa de assentamento Dun Dun</t>
  </si>
  <si>
    <t>BLOCO CERÂMICO - 11,5X19X19cm</t>
  </si>
  <si>
    <t>Massa Dundun Para Assentamento De Tijolos E Blocos</t>
  </si>
  <si>
    <t>Alvenaria de vedacao de blocos ceramicos furados na horizontal de 11.5x19x19cm (espessura 11.5cm) com argamassa industrializada de assentamento</t>
  </si>
  <si>
    <t>Alvenaria de vedacao de blocos ceramicos furados na horizontal de 14x19x19cm (espessura 14cm) com argamassa industrializada de assentamento</t>
  </si>
  <si>
    <t>BLOCO CERÂMICO - 14X19X19cm</t>
  </si>
  <si>
    <t>Alvenaria de vedacao de blocos ceramicos furados na horizontal de 14x19x39cm (espessura 9cm) com argamassa industrializada de assentamento</t>
  </si>
  <si>
    <t>BLOCO CERÂMICO - 14X19X39cm</t>
  </si>
  <si>
    <t>Alvenaria de vedação de blocos de concreto de 09x19x39cm, com argamassa estabilizada</t>
  </si>
  <si>
    <t>BLOCO DE VEDACAO CONCRETO 09X19X39 CM</t>
  </si>
  <si>
    <t>Alvenaria de vedacao de blocos ceramicos maciço de 5,5 cm x 11,5 cm x 24 cm (espessura 5cm) com argamassa industrializada de assentamento</t>
  </si>
  <si>
    <t>BLOCO DE VEDACAO CERAMICO MACIÇO 5,5X11,5X24 CM</t>
  </si>
  <si>
    <t>BLOCO DE VEDACAO CERAMICO 09X19X29 CM</t>
  </si>
  <si>
    <t>BLOCO DE VEDACAO CERAMICO 11,5X19X29 CM</t>
  </si>
  <si>
    <t>Alvenaria de vedacao de blocos ceramicos furados na horizontal de 19x19x19cm (espessura 19cm) com argamassa industrializada de assentamento</t>
  </si>
  <si>
    <t>BLOCO DE VEDACAO CERAMICO 19X19X19 CM</t>
  </si>
  <si>
    <t>BLOCO DE VEDACAO CERAMICO 14X19X29 CM</t>
  </si>
  <si>
    <t>Alvenaria de vedacao de blocos ceramicos estrutural de 11.5x19x29cm (espessura 11.5cm) com argamassa industrializada de assentamento</t>
  </si>
  <si>
    <t>BLOCO CERÂMICO ESTRUTURAL 04MPA 11,5X19X29CM NBR 6136</t>
  </si>
  <si>
    <t>ARGAMASSA ESTABILIZADA PARA ASSENTAMENTO</t>
  </si>
  <si>
    <t>Alvenaria de vedacao de blocos ceramicos estrutural de 14x19x29cm (espessura 14cm) com argamassa industrializada de assentamento</t>
  </si>
  <si>
    <t>BLOCO CERÂMICO ESTRUTURAL 04MPA 14X19X29CM NBR 6136</t>
  </si>
  <si>
    <t>Alvenaria em Bloco De Concreto Celular 60x30x12,5cm Sical (espessura 12,5cm) com argamassa industrializada de assentamento</t>
  </si>
  <si>
    <t>Bloco Concreto Celular 12,5x30x60</t>
  </si>
  <si>
    <t>Alvenaria em Bloco De Concreto Celular 60x30x10cm Sical (espessura 10cm) com argamassa industrializada de assentamento</t>
  </si>
  <si>
    <t>Bloco Concreto Celular 10x30x60</t>
  </si>
  <si>
    <t>Alvenaria em Bloco De Concreto Celular 60x30x7,5cm Sical (espessura 7,5cm) com argamassa industrializada de assentamento</t>
  </si>
  <si>
    <t>Bloco Concreto Celular 7,5x30x60</t>
  </si>
  <si>
    <t>BLOCO CONCRETO ESTRUTURAL 04MPA 14X19X44CM NBR 6136</t>
  </si>
  <si>
    <t>BLOCO CONCRETO ESTRUTURAL 04MPA 14X19X29CM NBR 6136</t>
  </si>
  <si>
    <t>BLOCO CONCRETO ESTRUTURAL 04MPA 14X19X14CM NBR 6136</t>
  </si>
  <si>
    <t>BLOCO CONCRETO ESTRUTURAL 04MPA 14X19X09CM NBR 6136</t>
  </si>
  <si>
    <t>BLOCO CONCRETO ESTRUTURAL 04MPA 14X19X04CM NBR 6136</t>
  </si>
  <si>
    <t>Alvenaria Estrutural Bloco de concreto de 6,0 MPA, com argamassa estabilizada</t>
  </si>
  <si>
    <t>BLOCO CONCRETO ESTRUTURAL 06MPA 14X19X44CM NBR 6136</t>
  </si>
  <si>
    <t>BLOCO CONCRETO ESTRUTURAL 06MPA 14X19X29CM NBR 6136</t>
  </si>
  <si>
    <t>BLOCO CONCRETO ESTRUTURAL 06MPA 14X19X14CM NBR 6136</t>
  </si>
  <si>
    <t>BLOCO CONCRETO ESTRUTURAL 06MPA 14X19X09CM NBR 6136</t>
  </si>
  <si>
    <t>BLOCO CONCRETO ESTRUTURAL 06MPA 14X19X04CM NBR 6136</t>
  </si>
  <si>
    <t>CANALETA CONCRETO ESTRUTURAL "U" 06MPA 14X19X29CM NBR 6136</t>
  </si>
  <si>
    <t>Alvenaria Estrutural Bloco de concreto de 8,0 MPA, com argamassa estabilizada</t>
  </si>
  <si>
    <t>BLOCO CONCRETO ESTRUTURAL 08MPA 19X19X39CM NBR 6136</t>
  </si>
  <si>
    <t>CANALETA CONCRETO ESTRUTURAL "U" 08MPA 19X19X39CM NBR 6136</t>
  </si>
  <si>
    <t>Grout 15 Mpa</t>
  </si>
  <si>
    <t>Grout 20 Mpa</t>
  </si>
  <si>
    <t>Cobogó em cerâmico vazado 20x20cm</t>
  </si>
  <si>
    <t>ELEMENTO VAZADO CERAMICO QUADRADO</t>
  </si>
  <si>
    <t>Cobogó em concreto vazado 20x20cm</t>
  </si>
  <si>
    <t>ELEMENTO VAZADO CONCRETO QUADRADO</t>
  </si>
  <si>
    <t>Tijolo refratário para churrasqueiras 5x11,5x23cm com argamassa</t>
  </si>
  <si>
    <t>TIJOLO REFRATÁRIO 5 X 11,5 X 23 CM</t>
  </si>
  <si>
    <t>ARGAMASSA REFRATÁRIA</t>
  </si>
  <si>
    <t>TIJOLO REFRATÁRIO 2,5 X 11,5 X 23 CM</t>
  </si>
  <si>
    <t>Encunhamento De Alvenaria De Vedação Com Argamassa Expansiva</t>
  </si>
  <si>
    <t>ADITIVO EXPANSOR EM PÓ</t>
  </si>
  <si>
    <t>Encunhamento De Alvenaria De Vedação Com Argamassa para encunhmento</t>
  </si>
  <si>
    <t>Argamassa para encunhamento</t>
  </si>
  <si>
    <t>Tela soldada para ligacao alvenaria/estrutura</t>
  </si>
  <si>
    <t>PINO DE ACO COM FURO, HASTE = 27 MM (ACAO DIRETA)</t>
  </si>
  <si>
    <t>TELA DE ACO SOLDADA GALVANIZADA/ZINCADA PARA ALVENARIA, FIO D = *1,20 A 1,70* MM, MALHA 15 X 15 MM, (C X L) *50 X 17,5* CM</t>
  </si>
  <si>
    <t>CARTUCHO/MUNIÇÃO FINCAPINO 22</t>
  </si>
  <si>
    <t>ESPACADOR / DISTANCIADOR CIRCULAR COM ENTRADA LATERAL, EM PLASTICO, PARA VERGALHAO *4,2 A 12,5* MM, COBRIMENTO 40 MM</t>
  </si>
  <si>
    <t>Estrutura e fechamento em drywall Parede Drywall montande 48</t>
  </si>
  <si>
    <t xml:space="preserve">Estrutura e fechamento em drywall Parede Drywall </t>
  </si>
  <si>
    <t>Estrutura e fechamento em drywall Parede Drywall montande 90</t>
  </si>
  <si>
    <t>Reforços Para Paredes em Drywall</t>
  </si>
  <si>
    <t>Fechamento de Shaft em Alvenaria convencional de 9x19x19cm</t>
  </si>
  <si>
    <t>MASSA DE REJUNTE EM PO PARA DRYWALL, A BASE DE GESSO, SECAGEM RAPIDA, PARA TRATAMENTO DE JUNTAS DE CHAPA DE GESSO (NECESSITA ADICAO DE AGUA)</t>
  </si>
  <si>
    <t>Parede Com Sistema Em Chapas De Gesso Para Drywall, Uso Interno, Montante 48mm, Com Duas Face Simples Standart e isolamento com Lâ de Vidro (ST/48/ST)</t>
  </si>
  <si>
    <t>SERVICO - CONFECCAO SHAFT GESSO</t>
  </si>
  <si>
    <t>PLACA / CHAPA DE GESSO ACARTONADO, STANDARD (ST), COR BRANCA, E = 12,5 MM, 1200 X 2400 MM (L X C)</t>
  </si>
  <si>
    <t>PINO DE ACO COM ARRUELA CONICA, DIAMETRO ARRUELA = *23* MM E COMP HASTE = *27* MM (ACAO INDIRETA)</t>
  </si>
  <si>
    <t>PERFIL GUIA, FORMATO U, EM ACO ZINCADO, PARA ESTRUTURA PAREDE DRYWALL, E = 0,5 MM, 48 X 3000 MM (L X C)</t>
  </si>
  <si>
    <t>PERFIL MONTANTE, FORMATO C, EM ACO ZINCADO, PARA ESTRUTURA PAREDE DRYWALL, E = 0,5 MM, 48 X 3000 MM (L X C)</t>
  </si>
  <si>
    <t>FITA DE PAPEL MICROPERFURADO, 50 X 150 MM, PARA TRATAMENTO DE JUNTAS DE CHAPA DE GESSO PARA DRYWALL</t>
  </si>
  <si>
    <t>FITA DE PAPEL REFORCADA COM LAMINA DE METAL PARA REFORCO DE CANTOS DE CHAPA DE GESSO PARA DRYWALL</t>
  </si>
  <si>
    <t>PARAFUSO DRY WALL, EM ACO FOSFATIZADO, CABECA TROMBETA E PONTA AGULHA (TA), COMPRIMENTO 25 MM</t>
  </si>
  <si>
    <t>PARAFUSO DRY WALL, EM ACO ZINCADO, CABECA LENTILHA E PONTA BROCA (LB), LARGURA 4,2 MM, COMPRIMENTO 13 MM</t>
  </si>
  <si>
    <t>LÂ DE VIDRO PARA ISOLAMENTO 50mm</t>
  </si>
  <si>
    <t>Fechamento de Shaft em Chapas De Gesso Para Drywall, Uso Interno, Montante 48mm, Com Duas Face Resistente a Umidade(RU/48/RU)</t>
  </si>
  <si>
    <t>PLACA / CHAPA DE GESSO ACARTONADO, RESISTENTE A UMIDADE (RU), COR VERDE, E = 12,5 MM, 1200 X 2400 MM (L X C)</t>
  </si>
  <si>
    <t>Parede Com Sistema Em Chapas De Gesso Para Drywall, Uso Interno, Montante 90mm, Com Duas Face Simples Standart e Duas Resiste a Umidade (2ST/90/2RU)</t>
  </si>
  <si>
    <t>PLACA / CHAPA DE GESSO ACARTONADO, RESISTENTE A UMIDADE (RU), COR VERDE, E = 12,5 MM, 1200 X 2400 MM (L X C) - GLASROC</t>
  </si>
  <si>
    <t>GLASROC</t>
  </si>
  <si>
    <t>PERFIL GUIA, FORMATO U, EM ACO ZINCADO, PARA ESTRUTURA PAREDE DRYWALL, E = 0,5 MM, 90 X 3000 MM (L X C)</t>
  </si>
  <si>
    <t>PERFIL MONTANTE, FORMATO C, EM ACO ZINCADO, PARA ESTRUTURA PAREDE DRYWALL, E = 0,5 MM, 90 X 3000 MM (L X C)</t>
  </si>
  <si>
    <t>SMART MEMBRANA</t>
  </si>
  <si>
    <t>TELA EM FIBRA DE VIDRO</t>
  </si>
  <si>
    <t>MASSA BASECOAT</t>
  </si>
  <si>
    <t>Parede Com Sistema Em Chapas De Gesso Para Drywall, Uso Interno, Montante 90mm, Com Uma Face Simples Standart e Uma Resiste a Umidade (ST/90/RU)</t>
  </si>
  <si>
    <t>Parede Com Sistema Em Chapas De Gesso Para Drywall, Uso Interno, Montante 70mm, Com Duas Face Simples Standart e isolamento com Lâ de Vidro (ST/70/ST)</t>
  </si>
  <si>
    <t>PERFIL GUIA, FORMATO U, EM ACO ZINCADO, PARA ESTRUTURA PAREDE DRYWALL, E = 0,5 MM, 70 X 3000 MM (L X C)</t>
  </si>
  <si>
    <t>PERFIL MONTANTE, FORMATO C, EM ACO ZINCADO, PARA ESTRUTURA PAREDE DRYWALL, E = 0,5 MM, 70 X 3000 MM (L X C)</t>
  </si>
  <si>
    <t>Fechamento de Shaft em Chapas De Gesso Para Drywall, Uso Interno, Montante 90mm, Com Duas Face Simples Resistente à Umidade e isolamento com Lâ de Vidro (RU/90/RU)</t>
  </si>
  <si>
    <t>Parede Com Sistema Em Chapas De Gesso Para Drywall, Uso Interno, Montante 70mm, Com Uma Face Simples Resistente à Umidade (RU/70)</t>
  </si>
  <si>
    <t>Parede Com Sistema Em Chapas De Gesso Para Drywall, Uso Interno, Montante 70mm, Com Uma Face Simples Resistente à Umidade e isolamento com Lâ de Vidro (RU/70)</t>
  </si>
  <si>
    <t>Enchimento de parede em Chapas De Gesso Para Drywall, Uso Interno, Montante 70mm, Com Uma Face Simples Resistente à Umidade e isolamento com Lâ de Vidro (RU/70)</t>
  </si>
  <si>
    <t>Enchimento de parede em Chapas De Gesso Para Drywall, Uso Interno, Montante 70mm, Com Uma Face SimplesStandart e isolamento com Lâ de Vidro (ST/70/ST)</t>
  </si>
  <si>
    <t>Isolamento de lã de vidro</t>
  </si>
  <si>
    <t>Placa de Zinco Metálico</t>
  </si>
  <si>
    <t>Chapa de Aço Galvanizada 1,55mm (Chapa 16) x 1200mm x 3000mm</t>
  </si>
  <si>
    <t>Parede drywall de 10,0 mm</t>
  </si>
  <si>
    <t>PLACA / CHAPA DE GESSO ACARTONADO, RESISTENTE A UMIDADE (RU), COR VERDE, E = 10,0 MM, 1200 X 2400 MM (L X C)</t>
  </si>
  <si>
    <t>Parede drywall de 12,5 mm</t>
  </si>
  <si>
    <t>Mão de obra de Tela soldada para ligacao alvenaria/estrutura</t>
  </si>
  <si>
    <t>Mão de obra para assentamento de blocos de silico calcarios</t>
  </si>
  <si>
    <t>Mão de obra para assentamento de blocos concreto</t>
  </si>
  <si>
    <t>Mão de obra para assentamento de blocos concreto Estrutural</t>
  </si>
  <si>
    <t>Mão de obra para mochetas</t>
  </si>
  <si>
    <t xml:space="preserve">INSTALAÇÕES PREVENTIVAS E GLP </t>
  </si>
  <si>
    <t>Churrasqueiras kit Gourmet Médio Inox 304</t>
  </si>
  <si>
    <t>Instalação de Churrasqueiras</t>
  </si>
  <si>
    <t>Churrasqueiras Pré-Moldadas</t>
  </si>
  <si>
    <t>AREIA MEDIA</t>
  </si>
  <si>
    <t>Argamassa usninada para contrapiso</t>
  </si>
  <si>
    <t>Tela de arame galvanizada, hexagonal, fio 0,56 mm (24 bwg), malha 1/2", h = 1 m</t>
  </si>
  <si>
    <t>emulsão asfáltica de alta resistência química</t>
  </si>
  <si>
    <t>Utilização como impermeabilizante: 0,650 litros/m² aplicado em 2 ou 3 demãos*</t>
  </si>
  <si>
    <t>Impermeabilização de Laje Sob Solo com Tinta Asfáltica (Neutrol) Com Adtivo</t>
  </si>
  <si>
    <t>Aditivo Adesivo Liquido Para Impermeabilização</t>
  </si>
  <si>
    <t>Impermeabilização De Superfície Com Mebrana Impermeável, Uma Camada, Inclusive Aplicação De Primer Asfáltico</t>
  </si>
  <si>
    <t>PRIMER PARA MANTA ASFALTICA A BASE DE ASFALTO MODIFICADO DILUIDO EM SOLVENTE, APLICACAO A FRIO</t>
  </si>
  <si>
    <t>Membrana Impermeável Respirável - 1,30x50m</t>
  </si>
  <si>
    <t>Impermeabilização De Superfície Com Manta Asfáltica, Uma Camada, Inclusive Aplicação De Primer Asfáltico</t>
  </si>
  <si>
    <t>MANTA ASFALTICA ELASTOMERICA EM POLIESTER 4 MM, TIPO III, CLASSE B, ACABAMENTO PP (NBR 9952)</t>
  </si>
  <si>
    <t>Impermeabilização De Superfície Com Manta Asfáltica, Duas Camada, Inclusive Aplicação De Primer Asfáltico</t>
  </si>
  <si>
    <t>MANTA ASFALTICA ELASTOMERICA EM POLIESTER 3 MM, TIPO III, CLASSE B, ACABAMENTO PP (NBR 9952)</t>
  </si>
  <si>
    <t>Impermeabilização com manta aluminio</t>
  </si>
  <si>
    <t>Manta Asfáltica Drykomanta Polialum 4mm Tipo ll 10m Dryko</t>
  </si>
  <si>
    <t>Impermeabilização com manta aluminio em telhados</t>
  </si>
  <si>
    <t>Impermeabilização De Superfície Com Membrana de Polímero</t>
  </si>
  <si>
    <t>Membrana de polímeros acrílicos com cimento e com fibras</t>
  </si>
  <si>
    <t>Impermeabilização De Superfície Com Argamassa Polimérica / Membrana Acrílica, 3 Demãos</t>
  </si>
  <si>
    <t>Argamassa polimerica impermeabilizante semiflexivel, bicomponente, a base de cimento e aditivos</t>
  </si>
  <si>
    <t>Impermeabilização De Superfície Com Argamassa Polimérica / Membrana Acrílica, 3 Demãos Com Aditivos</t>
  </si>
  <si>
    <t>Impermeabilização com manta liquida poliuretano, 3 demãos sem tela estruturante.</t>
  </si>
  <si>
    <t>Manta Líquida - Igolflex Pu (consumo = 400g/m2)</t>
  </si>
  <si>
    <t>Impermeabilização com manta liquida em peitoris</t>
  </si>
  <si>
    <t>Impermeabilizante manta liquida branca</t>
  </si>
  <si>
    <t>Tratamento de ralo com manta de poliéster</t>
  </si>
  <si>
    <t>Veu de poliester para impermeabilizacao</t>
  </si>
  <si>
    <t xml:space="preserve">Mão de obra para regularização de superfície </t>
  </si>
  <si>
    <t>Mão de obra para proteção mecânica</t>
  </si>
  <si>
    <t>Mão de obra impermeabilização de superfície com manta líquida</t>
  </si>
  <si>
    <t>Mão de obra impermeabilização de argamassa polimérica</t>
  </si>
  <si>
    <t>Mão de obra impermeabilização com emulsão Asfaltica</t>
  </si>
  <si>
    <t>Mão de obra impermeabilização com manta liquida em peitoris</t>
  </si>
  <si>
    <t>Mão de obra tratamento de ralo com manta de poliéster</t>
  </si>
  <si>
    <t>REVESTIMENTOS INTERNOS DE PAREDE</t>
  </si>
  <si>
    <t>Argamassa ACIII</t>
  </si>
  <si>
    <t>Chapisco aplicado em estruturas de concreto, com argamassa pré-fabricada adesiva de cimento colante, aplicação convencional</t>
  </si>
  <si>
    <t>Aditivo Bianco Adesivo Argamassa Chapisco </t>
  </si>
  <si>
    <t>Chapisco aplicados em alvenaria, com argamassa estabilizada, aplicação convencional.</t>
  </si>
  <si>
    <t xml:space="preserve">ARGAMASSA TRAÇO 1:5 (EM VOLUME DE CIMENTO E AREIA GROSSA ÚMIDA) PARA CHAPISCO CONVENCIONAL, PREPARO MANUAL. </t>
  </si>
  <si>
    <t>ARGAMASSA ESTABILIZADA PARA CHAPISCO</t>
  </si>
  <si>
    <t xml:space="preserve">Chapisco externo de argamassa estabilizada, aplicados em alvenaria, aplicação convencional em paredes externas </t>
  </si>
  <si>
    <t>Argamassa industrializada para Para Chapisco Colante</t>
  </si>
  <si>
    <t>Aplicação manual de gesso sarrafeado em paredes, espessura de 1,5cm, com execução de taliscas</t>
  </si>
  <si>
    <t xml:space="preserve">	GESSO EM PÓ PARA REVESTIMENTOS</t>
  </si>
  <si>
    <t>Chapisco interno de argamassa preparada em obra de cimento e areia - traço 1:4 - aplicação em paredes internas</t>
  </si>
  <si>
    <t xml:space="preserve">ARGAMASSA TRAÇO 1:4 (EM VOLUME DE CIMENTO E AREIA GROSSA ÚMIDA) PARA CHAPISCO CONVENCIONAL, PREPARO MANUAL. </t>
  </si>
  <si>
    <t>Aplicação manual de massa para Drywall em paredes, com execução de taliscas</t>
  </si>
  <si>
    <t>Massa para Drywall 25kg</t>
  </si>
  <si>
    <t>Argamassa Usinada para emboço/massa única</t>
  </si>
  <si>
    <t>Massa unica para reboco interno em argamassa estabilizada, espessura de 2,5cm, com execução desempenado fino</t>
  </si>
  <si>
    <t>Estucamento de estrutura de concreto em pilares e vigas</t>
  </si>
  <si>
    <t>LIXA EM FOLHA PARA FERRO, NÚMERO 100</t>
  </si>
  <si>
    <t>CIMENTO BRANCO NÃO ESTRUTURAL</t>
  </si>
  <si>
    <t>ADESIVO DE BASE ACRÍLICA COMPATÍVEL COM CIMENTO</t>
  </si>
  <si>
    <t xml:space="preserve">Regularização de Parede 0,50 cm </t>
  </si>
  <si>
    <t>Aditivo Adesivo Liquido Para Argamassas De Revestimentos Cimenticios</t>
  </si>
  <si>
    <t>Revestimento de cerâmico retificado em Paredes, Placa 60,5 x 60,5cm com Junta de 2mm</t>
  </si>
  <si>
    <t>Cer. Karina Artisan 60305 Act. 60x60 Ret</t>
  </si>
  <si>
    <t>Espeçador junta piso 2mm</t>
  </si>
  <si>
    <t>Rejunte Cimentício</t>
  </si>
  <si>
    <t>Revestimento de cerâmico retificado em Paredes, Placa 60 x 60cm com Junta de 2mm e rejunte acrilico</t>
  </si>
  <si>
    <t>Rejunte acrilico</t>
  </si>
  <si>
    <t xml:space="preserve">Porcelanato A 30x60 Polido </t>
  </si>
  <si>
    <t>Revestimento de parede em porcelanato, placa 30x60cm</t>
  </si>
  <si>
    <t>Revestimento de parede em porcelanato, Revestimento Realce 32X56 32001 Branco Brilhante</t>
  </si>
  <si>
    <t>Revestimento Realce 32X56 32001 Branco Brilhante</t>
  </si>
  <si>
    <t>Revestimento de parede em Porcelanato Biancogres Ripa Sense 45x90 Acetinado</t>
  </si>
  <si>
    <t>Porcelanato Biancogres Ripa Sense 45x90 Acetinado</t>
  </si>
  <si>
    <t>Revestimento de parede em Porcelanato 75x75cm Cedasa Retificado Evidence Polido</t>
  </si>
  <si>
    <t>Piso 75x75cm Cedasa Retificado Evidence Polido</t>
  </si>
  <si>
    <t>Revestimento de parede em Porcelanato Marmorizado Polido Borda Reta Interno 90x90cm Avorio di Brescia Portobello</t>
  </si>
  <si>
    <t>Porcelanato Marmorizado Polido Borda Reta Interno 90x90cm Avorio di Brescia Portobello</t>
  </si>
  <si>
    <t>Revestimento em Pastilhas Cerâmicas Paredes Interna, 6 x 24cm com Junta de 3mm</t>
  </si>
  <si>
    <t>Revestimento Pastilha 07x24cm</t>
  </si>
  <si>
    <t>Espeçador junta piso 3mm</t>
  </si>
  <si>
    <t>Revestimento em Ladrilhos para Piscina, Cinza giz 15x15 com Juntas e rejunte acrilico</t>
  </si>
  <si>
    <t>Revestimento para Piscina Esmaltado Giz Borda Arredondada Bold Cinza 15x15cm Gabriella</t>
  </si>
  <si>
    <t>Revestimento em Ladrilhos para Piscina, Branco Mate 15x15 com Juntas</t>
  </si>
  <si>
    <t>PASTILHA DE PORCELANA ATLAS 15x15 GRANEL ISLA M16112</t>
  </si>
  <si>
    <t xml:space="preserve">Revestimento em Pastilhas Cerâmicas Para Piscinas , 14,5 x 14,5cm com Junta de 3mm </t>
  </si>
  <si>
    <t>Revestimento Pastilha 14,5x14,5cm</t>
  </si>
  <si>
    <t>Pingadeira em marmore cinza, esp. 2cm</t>
  </si>
  <si>
    <t>Marmore Cinza</t>
  </si>
  <si>
    <t>Peitoril em Granito, esp. 2cm</t>
  </si>
  <si>
    <t xml:space="preserve">Granito Comercial </t>
  </si>
  <si>
    <t>Pedra Natural  para Revestimento</t>
  </si>
  <si>
    <t>Requadro de portas dos Elevadores Granito,Largura de 20cm</t>
  </si>
  <si>
    <t>Nicho em Marmore Carrara Branco</t>
  </si>
  <si>
    <t>Nicho Em Porcelanato 65x35cm Carrara Cristal Borda Dupla</t>
  </si>
  <si>
    <t>Revestimento de Marmore Preto em batente de elevador</t>
  </si>
  <si>
    <t>Marmore Preto</t>
  </si>
  <si>
    <t>Massa Plastica 400g</t>
  </si>
  <si>
    <t>Enchimento de EPS em laje</t>
  </si>
  <si>
    <t>Isopor Eps Nivelamento Laje Contra Piso 1000x330x110mm</t>
  </si>
  <si>
    <t>Mão de obra execução de massa única em paredes interna, incluindo chapisco</t>
  </si>
  <si>
    <t>Mão de obra estucamento de paredes</t>
  </si>
  <si>
    <t>Mão de obra para assentamento de Pastilhas em Piscina</t>
  </si>
  <si>
    <t>Mão de obra para assentamento de Pedras Naturais em parede</t>
  </si>
  <si>
    <t>Mão de obra para assentamento de revestimento cerâmico em parede</t>
  </si>
  <si>
    <t>Mão de obra para assentamento de requadros em portas de elevador</t>
  </si>
  <si>
    <t>Mão de obra para enchimento de EPS em piso</t>
  </si>
  <si>
    <t>Mão de obra para assentamento de Pedras Naturais em piso</t>
  </si>
  <si>
    <t>Mão de obra execução de massa para Drywall em paredes</t>
  </si>
  <si>
    <t>Mão de obra execução de massa de gesso em paredes</t>
  </si>
  <si>
    <t>REVESTIMENTOS INTERNOS DE TETO</t>
  </si>
  <si>
    <t xml:space="preserve">Regularização de Teto 0,50 cm </t>
  </si>
  <si>
    <t>Estucamento de teto</t>
  </si>
  <si>
    <t>Estucamento de teto com argamassa</t>
  </si>
  <si>
    <t>Cortineiro em gesso</t>
  </si>
  <si>
    <t>Cortineiro Isopor Cortina Sanca 1 Metro 15cm L X 10cm A - Branco, , COLOR Branco</t>
  </si>
  <si>
    <t>Isolmento acustico em teto</t>
  </si>
  <si>
    <t>Forro De Fibra Mineral Armstrong Ceilings Scala Lay-in 1250 X 625 X 16mm</t>
  </si>
  <si>
    <t>Forro de gesso mineral em tetos - Material e Mão de Obra</t>
  </si>
  <si>
    <t>Negativo de forro de gesso mineral</t>
  </si>
  <si>
    <t>Gesso corrido em tetos - Material e Mão de Obra</t>
  </si>
  <si>
    <t>Forro de gesso corrido - Material e Mão de Obra</t>
  </si>
  <si>
    <t>Negativo de forro de gesso acartonado - área seca</t>
  </si>
  <si>
    <t>Negativo de forro de gesso acartonado - área umida</t>
  </si>
  <si>
    <t>Forro Removível - Material e Mão de Obra</t>
  </si>
  <si>
    <t>Forro de placa cimenticia - Material e Mão de Obra</t>
  </si>
  <si>
    <t>Forro de madeira - Material e Mão de Obra</t>
  </si>
  <si>
    <t>Madeira Amescla para acabamento</t>
  </si>
  <si>
    <t>Mão de obra instalação de forro de madeira</t>
  </si>
  <si>
    <t>Forro de Porcelanato - Material e Mão de Obra</t>
  </si>
  <si>
    <t>Mão de obra instalação de Porcelanato no teto</t>
  </si>
  <si>
    <t>Mão de obra execução de estucamento em teto</t>
  </si>
  <si>
    <t>PISOS E PAVIMENTAÇÕES</t>
  </si>
  <si>
    <t>Enchimento de escada com Concreto Magro, e=10cm</t>
  </si>
  <si>
    <r>
      <t>Contrapiso comum em argamassa estabilizada,</t>
    </r>
    <r>
      <rPr>
        <sz val="7"/>
        <color rgb="FFFF0000"/>
        <rFont val="Arial"/>
        <family val="2"/>
      </rPr>
      <t xml:space="preserve"> auto nivelado</t>
    </r>
    <r>
      <rPr>
        <sz val="7"/>
        <rFont val="Arial"/>
        <family val="2"/>
      </rPr>
      <t>, espessura 2cm</t>
    </r>
  </si>
  <si>
    <t>Cimento Autonivelante para Contrapiso </t>
  </si>
  <si>
    <r>
      <t xml:space="preserve">Contrapiso comum em argamassa estabilizada, </t>
    </r>
    <r>
      <rPr>
        <sz val="7"/>
        <color rgb="FFFF0000"/>
        <rFont val="Arial"/>
        <family val="2"/>
      </rPr>
      <t>auto nivelado</t>
    </r>
    <r>
      <rPr>
        <sz val="7"/>
        <rFont val="Arial"/>
        <family val="2"/>
      </rPr>
      <t>, espessura 2,5cm</t>
    </r>
  </si>
  <si>
    <r>
      <t xml:space="preserve">Contrapiso comum em argamassa estabilizada, </t>
    </r>
    <r>
      <rPr>
        <sz val="7"/>
        <color rgb="FFFF0000"/>
        <rFont val="Arial"/>
        <family val="2"/>
      </rPr>
      <t>auto nivelado</t>
    </r>
    <r>
      <rPr>
        <sz val="7"/>
        <rFont val="Arial"/>
        <family val="2"/>
      </rPr>
      <t>, espessura 3cm</t>
    </r>
  </si>
  <si>
    <r>
      <t xml:space="preserve">Contrapiso comum em argamassa estabilizada, </t>
    </r>
    <r>
      <rPr>
        <sz val="7"/>
        <color rgb="FFFF0000"/>
        <rFont val="Arial"/>
        <family val="2"/>
      </rPr>
      <t>auto nivelado</t>
    </r>
    <r>
      <rPr>
        <sz val="7"/>
        <rFont val="Arial"/>
        <family val="2"/>
      </rPr>
      <t>, espessura 8cm</t>
    </r>
  </si>
  <si>
    <t>Contrapiso comum em argamassa estabilizada, nao aderido, espessura 2cm</t>
  </si>
  <si>
    <t>Contrapiso comum em argamassa estabilizada, nao aderido, espessura 2,5cm</t>
  </si>
  <si>
    <t>Contrapiso comum em argamassa estabilizada, nao aderido, espessura 3cm</t>
  </si>
  <si>
    <t>Contrapiso comum em argamassa estabilizada, nao aderido, espessura 4cm</t>
  </si>
  <si>
    <t>Contrapiso comum em argamassa estabilizada, nao aderido, espessura 5cm</t>
  </si>
  <si>
    <t>Contrapiso comum em argamassa estabilizada, nao aderido, espessura 5,5cm</t>
  </si>
  <si>
    <t>Contrapiso comum em argamassa estabilizada, nao aderido, espessura 6cm</t>
  </si>
  <si>
    <t>Contrapiso comum em argamassa estabilizada, nao aderido, espessura 7cm</t>
  </si>
  <si>
    <t>Contrapiso comum em argamassa estabilizada, nao aderido, espessura 8cm</t>
  </si>
  <si>
    <t>Contrapiso comum em argamassa estabilizada, nao aderido, espessura 10cm</t>
  </si>
  <si>
    <t>Contrapiso comum em argamassa estabilizada, nao aderido, espessura 12cm</t>
  </si>
  <si>
    <t>Contrapiso comum em argamassa estabilizada, nao aderido, espessura 13cm</t>
  </si>
  <si>
    <t>Contrapiso comum em argamassa estabilizada, nao aderido, espessura 15cm</t>
  </si>
  <si>
    <t>Contrapiso comum em argamassa Ensacada virada em obra, espessura 5cm</t>
  </si>
  <si>
    <t>Argamassa ensacada para contrapiso</t>
  </si>
  <si>
    <t>Contrapiso comum em argamassa Ensacada virada em obra, espessura 8cm</t>
  </si>
  <si>
    <t>Contrapiso comum em argamassa Ensacada virada em obra, espessura 10cm</t>
  </si>
  <si>
    <t>Contrapiso comum em argamassa Ensacada virada em obra, espessura 12cm</t>
  </si>
  <si>
    <t>Contrapiso comum em argamassa Ensacada virada em obra, espessura 13cm</t>
  </si>
  <si>
    <t>Contrapiso comum em argamassa Ensacada virada em obra, espessura 15cm</t>
  </si>
  <si>
    <t>Acústica para Contrapiso com malha de aço</t>
  </si>
  <si>
    <t>Manta De Polietileno Expandido (Pebd), E = 2 Mm</t>
  </si>
  <si>
    <t>Acústica para Contrapiso com malha de aço e manta polipropileno</t>
  </si>
  <si>
    <t>Manta De Polipropileno, E = 10 Mm</t>
  </si>
  <si>
    <t>Acústica para Contrapiso anti-impacto</t>
  </si>
  <si>
    <t>Manta Isolamento Acústico Laje Piso Passo 8mm</t>
  </si>
  <si>
    <t>Regularização de Piso 0,50cm - Autonivelado</t>
  </si>
  <si>
    <t xml:space="preserve">Regularização de Piso 0,50 cm </t>
  </si>
  <si>
    <t xml:space="preserve">Regularização de Piso 1,00 cm </t>
  </si>
  <si>
    <t xml:space="preserve">Regularização de Piso 1,50 cm </t>
  </si>
  <si>
    <t xml:space="preserve">Regularização de Piso 2,00 cm </t>
  </si>
  <si>
    <t xml:space="preserve">Regularização de Piso 3,00 cm </t>
  </si>
  <si>
    <t xml:space="preserve">Regularização de Piso 4,00 cm </t>
  </si>
  <si>
    <t xml:space="preserve">Regularização de Piso 5,00 cm </t>
  </si>
  <si>
    <t>Regularização de Piso 3,00 cm - argila expansiva</t>
  </si>
  <si>
    <t>Argila expandida</t>
  </si>
  <si>
    <t>Revestimento de argila expandida, nas áreas externas - Material e Mão de Obra</t>
  </si>
  <si>
    <t>Mão de obra de argila expandida</t>
  </si>
  <si>
    <t>Piso cimentado com argamassa de contrapiso usinada e acabamento vassourado</t>
  </si>
  <si>
    <t xml:space="preserve">Piso de concreto polido, espessura 2cm </t>
  </si>
  <si>
    <t>ENDURECEDOR MINERAL DE BASE CIMENTICIA PARA PISO DE CONCRETO</t>
  </si>
  <si>
    <t xml:space="preserve">Piso de concreto polido, espessura 3cm </t>
  </si>
  <si>
    <t xml:space="preserve">Piso concreto Queimado </t>
  </si>
  <si>
    <t>Piso cimentado acabamento rústico 6cm</t>
  </si>
  <si>
    <t>Piso de concreto, acabamento desempenado, espessura 6 cm</t>
  </si>
  <si>
    <t>SARRAFO 2,5X10 CM PINUS*</t>
  </si>
  <si>
    <t>Piso de concreto, acabamento estampado, espessura 6 cm</t>
  </si>
  <si>
    <t>DESMOLDANTE PARA CONCRETO ESTAMPADO</t>
  </si>
  <si>
    <t>MOLDE DE POLIURETANO, FLEXIVEL OU SEMI-FLEXIVEL, PARA ESTAMPAGEM DE PISO / PASSEIO DE CONCRETO</t>
  </si>
  <si>
    <t>PO ENDURECEDOR PARA CONCRETO ESTAMPADO - PIGMENTO ENDURECEDOR</t>
  </si>
  <si>
    <t>SELANTE ACRILICO PARA TRATAMENTO / ACABAMENTO SUPERFICIAL DE CONCRETO ESTAMPADO, APARENTE, PEDRAS E OUTROS</t>
  </si>
  <si>
    <t>Lapidação de piso com lixas diamantadas</t>
  </si>
  <si>
    <t>Enchimento de piso - com areia média - Material e Mão de obra</t>
  </si>
  <si>
    <t>Mão de obra de enchimento de piso</t>
  </si>
  <si>
    <t xml:space="preserve">Deck de madeira - material e mão de obra </t>
  </si>
  <si>
    <t>DECKS COMPOSTOS DE MADEIRA ECOLÓGICA PARA EXTERIORES</t>
  </si>
  <si>
    <t>Mão de obra de instalação de deck de madeira</t>
  </si>
  <si>
    <t>Pisos Para Academia Emborrachado</t>
  </si>
  <si>
    <t>Pisos Para Academia e Crossfit Emborrachado - 50 x 50 cm</t>
  </si>
  <si>
    <t>Revestimento de piso carpet - Material e Mão de Obra</t>
  </si>
  <si>
    <t>Gradil metálico - Material e Mão de obra</t>
  </si>
  <si>
    <t>GRADE PISO ACO ASTM A36 LISO ACB. DES. PADRAO GALV A FOGO - 2,2x1,34</t>
  </si>
  <si>
    <t>Gradil metálico para Piso - Material e Mão de obra</t>
  </si>
  <si>
    <t>Gradil metálico</t>
  </si>
  <si>
    <t>Piso elevado - Material e Mão de obra</t>
  </si>
  <si>
    <t>Piso elevado</t>
  </si>
  <si>
    <t>Mão de obra execução de piso elevado</t>
  </si>
  <si>
    <t>Filete metálico - divisória entre pisos</t>
  </si>
  <si>
    <t>Filete metálico - divisória entre pisos - aluminio escovado</t>
  </si>
  <si>
    <t>Terra vegetal</t>
  </si>
  <si>
    <t>Grama esmeralda</t>
  </si>
  <si>
    <t>Revestimento em Porcelanato amadeirado 19x117cm para Piso, rejunte cimentício, aplicação em áreas comuns internas</t>
  </si>
  <si>
    <t>Porcelanato Amadeirado Acetinado 19x117cm</t>
  </si>
  <si>
    <t>Revestimento de Piso de granito siena</t>
  </si>
  <si>
    <t>Granito siena branco</t>
  </si>
  <si>
    <t>Revestimento de Piso de mosaico granitinho branco</t>
  </si>
  <si>
    <t>Piso de mosaico granitinho branco</t>
  </si>
  <si>
    <t>Revestimento de Piso intertravado de mosaico granitinho cinza</t>
  </si>
  <si>
    <t>Piso de mosaico granitinho cinza</t>
  </si>
  <si>
    <t>Revestimento em Porcelanato amadeirado 19x117cm para Piso, rejunte acrilico, aplicação em áreas comuns externas</t>
  </si>
  <si>
    <t>Revestimento de Piso Interno de Porcelanato Polido, Placa 60x60cm</t>
  </si>
  <si>
    <t>Porcelanato "A" 60x60 Place Polido 8058873 Eliane</t>
  </si>
  <si>
    <t>Revestimento de Piso Externo de Porcelanato Polido, Placa 60x60cm</t>
  </si>
  <si>
    <t>Revestimento em Cerâmicas Pisos Internos, 60x 60cm com Junta de 3mm</t>
  </si>
  <si>
    <t>Revestimento Cerâmico de Piso Interno 58x58</t>
  </si>
  <si>
    <t>Argamassa ACII</t>
  </si>
  <si>
    <t>Revestimento em Cerâmicas Pisos Externos, 60x 60cm com Junta de 3mm</t>
  </si>
  <si>
    <t>Revestimento em Porcelanato Piso Externo, 90x 90cm com Junta de 3mm</t>
  </si>
  <si>
    <t>Porcelanato Minimum cimento eliane A 90x90 ext</t>
  </si>
  <si>
    <t>Rejunte Acrilico</t>
  </si>
  <si>
    <t>Revestimento de Piso Porcelanato Polido, Placa 90x90cm</t>
  </si>
  <si>
    <t xml:space="preserve">Porcelanato A 90x90 Polido </t>
  </si>
  <si>
    <t>Revestimento de Piso Porcelanato Polido, Placa 120x120cm</t>
  </si>
  <si>
    <t>Porcelanato Polido Eliane Place "A" 120x120</t>
  </si>
  <si>
    <t>Revestimento de Piso Porcelanato Acetinado, Placa 60x60cm</t>
  </si>
  <si>
    <t xml:space="preserve">Porcelanato A 90x90cm acetinado </t>
  </si>
  <si>
    <t>Revestimento de Piso Porcelanato Acetinado, Placa 84x84cm (Porcelanato, rejunte, argamassa e espaçador)</t>
  </si>
  <si>
    <t xml:space="preserve">Porcelanato A 84x84cm acetinado </t>
  </si>
  <si>
    <t>Revestimento de Piso Porcelanato Acetinado, Placa 90x90cm</t>
  </si>
  <si>
    <t>Revestimento de Piso Porcelanato Acetinado, Placa 120x120cm</t>
  </si>
  <si>
    <t>Porcelanato Acetinado 120x120cm</t>
  </si>
  <si>
    <t>Revestimento em Cerâmicas Pisos Internos, 45x 45cm com Junta de 3mm</t>
  </si>
  <si>
    <t>Piso Cargo Plus 45x45cm White Eliane</t>
  </si>
  <si>
    <t>Porcelanato Arena Cinza Bold Externo 60x60 Eliane</t>
  </si>
  <si>
    <t xml:space="preserve">Revestimento em Pastilhas Cerâmicas Para Piscinas , 20 x 20cm com Junta de 2mm </t>
  </si>
  <si>
    <t>Revestimento Portinari Pacific Bl Lux Bold 20x20</t>
  </si>
  <si>
    <t>Revestimento em Porcelanato Piso Interno,ELIANE 60X60 BOLD ACETINADO BLEND PLUS GREY, com Junta de 3mm</t>
  </si>
  <si>
    <t>Porcelanato ELIANE 60X60 BOLD ACETINADO BLEND PLUS GREY</t>
  </si>
  <si>
    <t>Revestimento em Porcelanato Piso Externo,ELIANE 60X60 BOLD ACETINADO BLEND PLUS GREY, com Junta de 3mm</t>
  </si>
  <si>
    <t>Revestimento de Piso Externo PORCELANATO VILLAGRES 71X71 RETIFICADO ACETINADO MONTREAL FENDI</t>
  </si>
  <si>
    <t>PORCELANATO VILLAGRES 71X71 RETIFICADO ACETINADO MONTREAL FENDI</t>
  </si>
  <si>
    <t>Revestimento de Piso Externo PORCELANATO DELTA 73X73 RETIFICADO ACETINADO JUA CLARO 2280-A</t>
  </si>
  <si>
    <t>PORCELANATO DELTA 73X73 RETIFICADO ACETINADO JUA CLARO 2280-A</t>
  </si>
  <si>
    <t>Revestimento de Piso Porcelanato Interno ELIZABETH EGEU SAND 74x74 A</t>
  </si>
  <si>
    <t>PORCELANATO ELIZABETH EGEU SAND 74x74 A</t>
  </si>
  <si>
    <t>Revestimento de Piso Porcelanato Interno Piso 75x75cm Cedasa Retificado Evidence Polido</t>
  </si>
  <si>
    <t>Revestimento de Piso Porcelanato Interno Retificado Embramaco 76x76cm Acetinado Nevada Mate Plus Retificado</t>
  </si>
  <si>
    <t>Porcelanato Piso Retificado Embramaco 76x76cm Acetinado Nevada Mate Plus Retificado</t>
  </si>
  <si>
    <t>Revestimento de Piso Porcelanato Externo Portobello Deck Parquet D Olivier Externo "A" 81x81cm</t>
  </si>
  <si>
    <t>Porcelanato Portobello Deck Parquet D Olivier Externo "A" 81x81cm</t>
  </si>
  <si>
    <t>Revestimento de Piso Porcelanato Externo Porcelanato Pro Concrete Abs 89,5X89,5cm</t>
  </si>
  <si>
    <t>Porcelanato Pro Concrete Abs 89,5X89,5cm</t>
  </si>
  <si>
    <t>Revestimento em Porcelanato Biancogres 20x120 Scala Beige-a Ret , rejunte cimentício, aplicação em áreas comuns internas</t>
  </si>
  <si>
    <t xml:space="preserve">Porcelanato Biancogres 20x120 Scala Beige-a Ret </t>
  </si>
  <si>
    <t>Revestimento em Porcelanato Tipo Argila | Portobello - 120x20 cm, rejunte cimentício, aplicação em áreas comuns internas</t>
  </si>
  <si>
    <t>Porcelanato Tipo Argila | Portobello - 120x20 cm</t>
  </si>
  <si>
    <t>Revestimento de Piso Porcelanato Interno Cimentício Acetinado Borda Reta Interno 120x120cm Munari Branco Eliane</t>
  </si>
  <si>
    <t>Porcelanato Cimentício Acetinado Borda Reta Interno 120x120cm Munari Branco Eliane</t>
  </si>
  <si>
    <t xml:space="preserve">Revestimento em Pastilhas Cerâmicas Para Piscinas , 14,5 x 14,5cm com Junta de 2mm </t>
  </si>
  <si>
    <t>Revestimento emborrachado piso interno (Academia)- Material e Mão de Obra</t>
  </si>
  <si>
    <t>Adesivo Acrilico De Base Aquosa / Cola De Contato</t>
  </si>
  <si>
    <t>Piso de borracha Daud botão preto 3 x 500 x 500 mm</t>
  </si>
  <si>
    <t>Instalação de piso emborrachado</t>
  </si>
  <si>
    <t>Revestimento de Granito cinza em Pisos</t>
  </si>
  <si>
    <t>Revestimento de piso vinilico, nas áreas comuns - Material e Mão de Obra</t>
  </si>
  <si>
    <t>PISO VINILICO RUFFINO SOFISTICATO 2MM - MATERIAL E MÃO DE OBRA</t>
  </si>
  <si>
    <t>Revestimento de Pedra natural em batente de elevador</t>
  </si>
  <si>
    <t>Rodapé de MDF h=5cm</t>
  </si>
  <si>
    <t>Cola Branca base PVA</t>
  </si>
  <si>
    <t>Rodapé de Pedra Natural h=5cm</t>
  </si>
  <si>
    <t>Rodapé de Pedra Natural h=15cm</t>
  </si>
  <si>
    <t>Rodapé de Pedra Natural h=30cm</t>
  </si>
  <si>
    <t>Rodapé de Poliestireno h=15cm</t>
  </si>
  <si>
    <t>Rodape Em Poliestireno, H = 15cm</t>
  </si>
  <si>
    <t>Rodapé de Poliestireno h=20cm</t>
  </si>
  <si>
    <t>Rodape Em Poliestireno, H = 20cm</t>
  </si>
  <si>
    <t>Rodapé de Marmore cinza h=15cm</t>
  </si>
  <si>
    <t>Rodape Em Poliestireno, H = 10cm</t>
  </si>
  <si>
    <t>Rodapé de poliestireno h=7cm</t>
  </si>
  <si>
    <t>Rodape Em Poliestireno, H = 7cm</t>
  </si>
  <si>
    <t>Rodapé de cerâmico h=10cm</t>
  </si>
  <si>
    <t>Rodapé de porcelanato h=10cm</t>
  </si>
  <si>
    <t>Rodapé de cerâmico h=43cm</t>
  </si>
  <si>
    <t>Rodapé de porcelanato h=15cm</t>
  </si>
  <si>
    <t>Rodapé de porcelanato h=16,5cm</t>
  </si>
  <si>
    <t>Soleira em Porcelanato, largura 7cm - espessura 2cm</t>
  </si>
  <si>
    <t>Soleira em pedra natural, largura 15cm - espessura 2cm</t>
  </si>
  <si>
    <t>Piso Petit Pave</t>
  </si>
  <si>
    <t>Petit Pavé Branco Pedra Portuguesa</t>
  </si>
  <si>
    <t>PO DE PEDRA </t>
  </si>
  <si>
    <t>Piso drenante</t>
  </si>
  <si>
    <t>Piso drenante - 45x45x5</t>
  </si>
  <si>
    <t>Piso em concreto intertravado</t>
  </si>
  <si>
    <t>Piso Intertravado Retangular 10x20x08 </t>
  </si>
  <si>
    <t>Mão de obra execução regularização de Piso</t>
  </si>
  <si>
    <t>Mão de obra execução Piso cimentado</t>
  </si>
  <si>
    <t>Mão de obra execução Piso de concreto polido</t>
  </si>
  <si>
    <t>Mão de obra execução Piso Lapidado</t>
  </si>
  <si>
    <t>Mão de Obra Piso Porcenato/ Cerâmico</t>
  </si>
  <si>
    <t>Mão de obra execução Piso drenantes</t>
  </si>
  <si>
    <t>Mão de obra execução Piso Intertravado</t>
  </si>
  <si>
    <t>Mão de obra de rodapé Pedra Natural</t>
  </si>
  <si>
    <t>Mão de obra de rodapé Poliestireno</t>
  </si>
  <si>
    <t>Mão de obra de rodapé Porcelanato</t>
  </si>
  <si>
    <t>Mão de obra de colocação de soleira em porcelanato</t>
  </si>
  <si>
    <t>Mão de obra de colocação de soleira em pedra natural</t>
  </si>
  <si>
    <t>Mão de obra de colocação de soleira em granito</t>
  </si>
  <si>
    <t>PINTURA DE RODAPÉ COM TINTA EPÓXI, APLICAÇÃO MANUAL, 2 DEMÃOS, INCLUSÃO PRIMER EPÓXI</t>
  </si>
  <si>
    <t>Diluente Epoxi</t>
  </si>
  <si>
    <t>Fita Crepe Rolo De 25 Mm X 50 M</t>
  </si>
  <si>
    <t>Primer Epoxi / Epoxidico</t>
  </si>
  <si>
    <t>Tinta Epoxi Base Agua Premium</t>
  </si>
  <si>
    <t>Pintura em Tinta piso em Rodapé, Aplicação Manual, 2 Demãos</t>
  </si>
  <si>
    <t>Tinta Piso</t>
  </si>
  <si>
    <t>Pintura em Resina em Rodapé, Aplicação Manual, 2 Demãos</t>
  </si>
  <si>
    <t>Pintura em Epóxi em Piso, Aplicação Manual, 2 Demãos</t>
  </si>
  <si>
    <t>Pintura em Resina para demarcação de vagas em piso, 1 demão</t>
  </si>
  <si>
    <t>DILUENTE AGUARRAS</t>
  </si>
  <si>
    <t>Pintura em Epóxi para demarcação de vagas em piso, 1 demão</t>
  </si>
  <si>
    <t>Pintura em Esmalte em Piso Amarelo, Aplicação Manual, 2 Demãos</t>
  </si>
  <si>
    <t>Tinta Esmalte Sintético Base Solvente Brilhante Pronta para Uso Amarelo 3,6L Luxens</t>
  </si>
  <si>
    <t>Pintura em Esmalte em Piso, Aplicação Manual, 2 Demãos</t>
  </si>
  <si>
    <t>Tinta Esmalte</t>
  </si>
  <si>
    <t>Pintura em tinta para piso, Aplicação Manual, 2 Demãos</t>
  </si>
  <si>
    <t>Pintura em Resina em Piso, Aplicação Manual, 2 Demãos</t>
  </si>
  <si>
    <t>Pintura em Látex Acrilica para demarcação de vagas em piso, 1 demão</t>
  </si>
  <si>
    <t>TINTA ACRILICA PREMIUM </t>
  </si>
  <si>
    <t>Pintura Com Tinta Latex Acrilica com selador e massa em Paredes Internas, 3 Demaos</t>
  </si>
  <si>
    <t>Massa corrida para superfícies de ambientes internos</t>
  </si>
  <si>
    <t>Selador Primer Ibratin - 4,2kg - 3,6L</t>
  </si>
  <si>
    <t>Textura acrílica aplicação em paredes internas, 1 demão (sem selador)</t>
  </si>
  <si>
    <t>MASSA PREMIUM PARA TEXTURA LISA DE BASE ACRILICA</t>
  </si>
  <si>
    <t>Pintura em Látex Acrilica para faixa de garagem, em parede, 2 demão</t>
  </si>
  <si>
    <t>TINTA ACRILICA PREMIUM COR PRETA</t>
  </si>
  <si>
    <t>TINTA ACRILICA PREMIUM COR AMARELA</t>
  </si>
  <si>
    <t>Pintura em Látex Acrilica para demarcação de vagas em parede, 2 demão</t>
  </si>
  <si>
    <t>Textura Acrílica aplicação em tetos, 1 demão</t>
  </si>
  <si>
    <t>Selador acrilico opaco premium interno/externo</t>
  </si>
  <si>
    <t xml:space="preserve">Pintura com tinta látex acrílica com selador em tetos, 3 demãos </t>
  </si>
  <si>
    <t xml:space="preserve">Pintura com tinta látex acrílica com selador e massa em tetos, 3 demãos </t>
  </si>
  <si>
    <t>Textura acrílica aplicação em paredes internas, 1 demão</t>
  </si>
  <si>
    <t>Selador acrilico em Paredes Internas</t>
  </si>
  <si>
    <t>Pintura Com Tinta Latex Acrilica em Paredes Internas, 3 Demaos (Somente tinta e fundo)</t>
  </si>
  <si>
    <t>Pintura Com Tinta Latex Acrilica em Paredes Internas, 3 Demaos (Somente tinta)</t>
  </si>
  <si>
    <t>Pintura Com Tinta Latex Acrilica em Paredes Internas, 3 Demaos (Incluso fundo e massa)</t>
  </si>
  <si>
    <t>Calçadada/passeio em concreto intertravado</t>
  </si>
  <si>
    <t xml:space="preserve">Calçadada/passeio em Podotátil </t>
  </si>
  <si>
    <t>Piso Podotátil Alerta Amarelo 20x20cm Cimartex</t>
  </si>
  <si>
    <t>Mão de obra para pintura em pisos , 2 demãos</t>
  </si>
  <si>
    <t>Mão de obra para pintura em rodapés, 3 demãos</t>
  </si>
  <si>
    <t>Mão de obra para demarcação de vagas em piso, 2 demãos</t>
  </si>
  <si>
    <t>Mão de obra para demarcação de vagas, 3 demãos</t>
  </si>
  <si>
    <t>Mão de obra para demarcação de vagas em parede, 2 demãos</t>
  </si>
  <si>
    <t>Mão de obra para selador nos dutos em paredes internas, 1 demãos</t>
  </si>
  <si>
    <t>Mão de obra para pintura em teto, 3 demãos</t>
  </si>
  <si>
    <t>Mão de obra para textura em teto, 1 demão</t>
  </si>
  <si>
    <t>ESQUADRIAS</t>
  </si>
  <si>
    <t>Contramarco de aço galvanizado Fixados com Argamassa</t>
  </si>
  <si>
    <t>CONTRAMARCO DE AÇO</t>
  </si>
  <si>
    <t xml:space="preserve">CONTRAMARCO DE ALUMINIO </t>
  </si>
  <si>
    <t>Contramarco pequeno de Alumínio, Fixação com Argamassa</t>
  </si>
  <si>
    <t>CONTRAMARCO DE ALUMINIO Pequeno</t>
  </si>
  <si>
    <t>Contramarco grande de Alumínio, Fixação com Argamassa</t>
  </si>
  <si>
    <t>CONTRAMARCO DE ALUMINIO grande</t>
  </si>
  <si>
    <t>PAINEL EM BRISE MARROM</t>
  </si>
  <si>
    <t>Brise de Madeira - Decoração Fachada</t>
  </si>
  <si>
    <t>Guarda Corpo de aluminio (gradil) - fornecimento e instalação</t>
  </si>
  <si>
    <t>Pele de vidro</t>
  </si>
  <si>
    <t>Alçapão de aluminio</t>
  </si>
  <si>
    <t>Portão de vidro - 85x280 cm</t>
  </si>
  <si>
    <t>Moldura em alumínio para churrasqueiras - fornecimento e instalação</t>
  </si>
  <si>
    <t>Enchimento - Esquadrias</t>
  </si>
  <si>
    <t>Corrimão de Madeira - fornecimento e instalação</t>
  </si>
  <si>
    <t>Corrimão de inox - fornecimento e instalação</t>
  </si>
  <si>
    <t>Porta de madeira de abrir - 60x150cm (kit completo) - fixação com espuma expansiva</t>
  </si>
  <si>
    <t>Porta de madeira de abrir - 60x150cm (kit completo)</t>
  </si>
  <si>
    <t>Espuma Expansiva de PU 740 gramas</t>
  </si>
  <si>
    <t>Porta de madeira de abrir - 60x215cm (kit completo) - fixação com espuma expansiva</t>
  </si>
  <si>
    <t>Porta de madeira de abrir - 60x215cm (kit completo)</t>
  </si>
  <si>
    <t>Porta de madeira de abrir - 70x210cm (kit completo) - fixação com espuma expansiva</t>
  </si>
  <si>
    <t>Porta de madeira de abrir - 70x210cm (kit completo)</t>
  </si>
  <si>
    <t>Porta de madeira de abrir - 76x210cm (kit completo) - fixação com espuma expansiva</t>
  </si>
  <si>
    <t>Porta de madeira de abrir - 76x210cm (kit completo)</t>
  </si>
  <si>
    <t>Porta de madeira de abrir - 80x215cm (kit completo) - fixação com espuma expansiva</t>
  </si>
  <si>
    <t>Porta de madeira de abrir - 80x215cm (kit completo)</t>
  </si>
  <si>
    <t>Porta de madeira de abrir - 60x210cm (kit completo) - fixação com espuma expansiva</t>
  </si>
  <si>
    <t>Porta de madeira de abrir - 60x210cm (kit completo)</t>
  </si>
  <si>
    <t>Porta de madeira de abrir - 80x210cm (kit completo)</t>
  </si>
  <si>
    <t>Porta de madeira de abrir - 90x210cm (kit completo)</t>
  </si>
  <si>
    <t>Porta de madeira de abrir - 90x215cm (kit completo) - fixação com espuma expansiva</t>
  </si>
  <si>
    <t>Porta de madeira de abrir - 90x215cm (kit completo)</t>
  </si>
  <si>
    <t>Porta de madeira de abrir - 100x210cm (kit completo) - fixação com espuma expansiva</t>
  </si>
  <si>
    <t>Porta de madeira de abrir - 100x210cm (kit completo)</t>
  </si>
  <si>
    <t>Porta de madeira de abrir - 105x215cm (kit completo) - fixação com espuma expansiva</t>
  </si>
  <si>
    <t>Porta de madeira de abrir - 105x215cm (kit completo)</t>
  </si>
  <si>
    <t>Porta de madeira de abrir - 140x210cm (kit completo) - fixação com espuma expansiva</t>
  </si>
  <si>
    <t>Porta de madeira de abrir - 140x210cm (kit completo)</t>
  </si>
  <si>
    <t>Porta de madeira de Correr - 60x210cm (kit completo) - fixação com espuma expansiva</t>
  </si>
  <si>
    <t>Porta de madeira de Correr - 60x210cm (kit completo)</t>
  </si>
  <si>
    <t>Porta de madeira de Correr - 80x210cm (kit completo) - fixação com espuma expansiva</t>
  </si>
  <si>
    <t>Porta de madeira de Correr - 80x210cm (kit completo)</t>
  </si>
  <si>
    <t>Fechadura Eletronica</t>
  </si>
  <si>
    <t>Fechadura Inteligente Eletrônica Facial Digital D22 Cor Preto</t>
  </si>
  <si>
    <t xml:space="preserve">Fechadura comum </t>
  </si>
  <si>
    <t>Fechadura Arouca para Porta do Quarto Preto 55mm</t>
  </si>
  <si>
    <t>Porta corta-fogo, 1 folha, 80x210 cm</t>
  </si>
  <si>
    <t>Porta corta-fogo, 1 folha, 96x210 cm</t>
  </si>
  <si>
    <t>Portão, 1 folha, 500x235 cm</t>
  </si>
  <si>
    <t>Portão, 1 folha, 320x295 cm</t>
  </si>
  <si>
    <t>Portão, 1 folha, 350x240 cm</t>
  </si>
  <si>
    <t>Porta venezianada metálica, 1 folha, 60x80 cm</t>
  </si>
  <si>
    <t>Porta metálica, 1 folha, 80x150 cm</t>
  </si>
  <si>
    <t>Porta corta-fogo, 2 folha, 152x126 cm</t>
  </si>
  <si>
    <t>Escada de marinheiro</t>
  </si>
  <si>
    <t>Escada marinheiro com gaiola de proteção, h=6 m</t>
  </si>
  <si>
    <t>Serviço de fixação de contramarco de aço</t>
  </si>
  <si>
    <t>Serviço de fixação de contramarco de aluminio pequeno</t>
  </si>
  <si>
    <t>Mão de obra de ficação de contramarco de aluminio grande</t>
  </si>
  <si>
    <t>Serviço de fixação de contramarco de aluminio</t>
  </si>
  <si>
    <t>Mão de obra para instalação de portas corta-fogo</t>
  </si>
  <si>
    <t>FACHADA</t>
  </si>
  <si>
    <t xml:space="preserve">Revestimento em Pastilhas Cerâmicas Para Fachada com Junta de 3mm </t>
  </si>
  <si>
    <t>Revestimento em Porcelanato amadeirado, rejunte cimentício, aplicação em Fachada</t>
  </si>
  <si>
    <t>Junta de movimentação em emboço</t>
  </si>
  <si>
    <t>Espuma Tarugo Corpo de Apoio Tarucel 15mm (delimitador de profundidade)</t>
  </si>
  <si>
    <t>SELANTE ELASTICO MONOCOMPONENTE A BASE DE POLIURETANO (PU) PARA JUNTAS DIVERSAS</t>
  </si>
  <si>
    <t>Massa unica para reboco externo em argamassa estabilizada, espessura de 2,5cm, com execução desempenado fino</t>
  </si>
  <si>
    <t>Chapisco externo de argamassa preparada em obra de cimento e areia - traço 1:4 - aplicação em paredes externas</t>
  </si>
  <si>
    <t>Chapisco externo aplicado em estruturas de concreto, de argamassa ACIII, com desempenadeira dentada</t>
  </si>
  <si>
    <t>Chapisco externo aplicado em estruturas de concreto, com argamassa pré-fabricada adesiva de cimento colante, aplicação convencional</t>
  </si>
  <si>
    <t>Revestimento  externo de porcelanato retificado em Paredes, Cinza claro, Placa 60 x 60cm com Junta de 2mm</t>
  </si>
  <si>
    <t>Porcelanato Cemento Nebbia Retificado Acetinado 60x60 Biancogres</t>
  </si>
  <si>
    <t>Revestimento  externo de porcelanato retificado em Paredes, Cinza, Placa 60 x 60cm com Junta de 2mm</t>
  </si>
  <si>
    <t>Piso Esmaltado 60x60 Duran Grafite 60319 Retificado</t>
  </si>
  <si>
    <t>Revestimento  externo de porcelanato retificado Preto em Paredes, Placa 60 x 60cm com Junta de 2mm</t>
  </si>
  <si>
    <t>Porcelanato a 60x60 noir polido</t>
  </si>
  <si>
    <t>Moldura em EPS fachada</t>
  </si>
  <si>
    <t>Moldura EPS</t>
  </si>
  <si>
    <t>Presilha de fixação Painel Wall EspaçoFix</t>
  </si>
  <si>
    <t>Revestimento em Pedra Natural Aplicado em Fachadas</t>
  </si>
  <si>
    <t>Revestimento em Pedra Natural São Tomé</t>
  </si>
  <si>
    <t>Mosaico São Tomé Para Paredes e Fachadas</t>
  </si>
  <si>
    <t>Sistema Muxarabi 100 X 100mm - Arkwood X</t>
  </si>
  <si>
    <t>SISTEMA MUX ARABI 100 X 100mm - com recorte</t>
  </si>
  <si>
    <t>Mão de obra de obra execução de arkwood</t>
  </si>
  <si>
    <t>Sistema Brise 30x50cm - Arkwood K</t>
  </si>
  <si>
    <t>Arkowood K - 30x50</t>
  </si>
  <si>
    <t>Pintura PVA Acrílica Cinza Externa 3 Demãos</t>
  </si>
  <si>
    <t>Pintura PVA Acrílica Verde Externa 3 Demãos</t>
  </si>
  <si>
    <t>Pintura Com Tinta Latex Acrilica em Paredes Externas, 3 Demaos (Somente tinta)</t>
  </si>
  <si>
    <t>Pintura Com Tinta Latex Acrilica em Paredes Externas, 3 Demaos (Somente tinta e fundo)</t>
  </si>
  <si>
    <t>Pintura Com Tinta Latex Acrilica em Paredes Externas, 3 Demaos (Incluso fundo e massa) - Cor preto</t>
  </si>
  <si>
    <t>Pintura Com Tinta Acetinada em Paredes Externas, 2 Demaos (Incluso fundo e massa) - Cor Cinza claro</t>
  </si>
  <si>
    <t>Suvinil Toque Acetinada Completo Sambaqui</t>
  </si>
  <si>
    <t>Branco e cores 16 L - 110m² acabados.</t>
  </si>
  <si>
    <t>Pintura Com Tinta Acetinada em Paredes Externas, 2 Demaos (Incluso fundo e massa) - Cor Marrom</t>
  </si>
  <si>
    <t>Suvinil Toque Acetinada Completo Pinhão</t>
  </si>
  <si>
    <t>Pintura Com  Tinta Acetinada em Paredes Externas, 2 Demaos (Incluso fundo e massa) - Cor Cinza escuro</t>
  </si>
  <si>
    <t>Suvinil Toque Acetinada Completo Carvão mineral</t>
  </si>
  <si>
    <t>Pintura Com  Tinta Acetinada em Paredes Externas, 2 Demaos (Incluso fundo e massa) - Cor Branco</t>
  </si>
  <si>
    <t>Tinta ACRÍLICO TOQUE DE SEDA ACETINADO</t>
  </si>
  <si>
    <t>Pintura Com Tinta Fosca em Paredes Externas, 2 Demaos (Incluso fundo e massa) - Cor Cinza claro</t>
  </si>
  <si>
    <t>Suvinil Toque Fosco Completo Sambaqui</t>
  </si>
  <si>
    <t>Pintura Com Tinta Fosca em Paredes Externas, 2 Demaos (Incluso fundo e massa) - Cor Marrom</t>
  </si>
  <si>
    <t>Suvinil Toque Fosco Completo Pinhão</t>
  </si>
  <si>
    <t>Pintura Com  Tinta Fosca em Paredes Externas, 2 Demaos (Incluso fundo e massa) - Cor Cinza escuro</t>
  </si>
  <si>
    <t>Suvinil Toque Fosco Completo Carvão mineral</t>
  </si>
  <si>
    <t>Pintura Com  Tinta Fosca em Paredes Externas, 2 Demaos (Incluso fundo e massa) - Cor Branco</t>
  </si>
  <si>
    <t>Suvinil Toque Fosco Completo branco</t>
  </si>
  <si>
    <t>Pintura com tinta suviflez emborrachada, 2 demãos, parede externa</t>
  </si>
  <si>
    <t>Impermeabilizante Suviflex 18 Litros Branco Suvinil</t>
  </si>
  <si>
    <t>1 demão de 18 litros rende 250 a 300 m²</t>
  </si>
  <si>
    <t>Pintura Com  Tinta Fosca em Paredes Externas, 1 Demaos</t>
  </si>
  <si>
    <t>Branco e cores 18 L - 115m² acabados.</t>
  </si>
  <si>
    <t>Pintura com tinta acetinada, 1 demãos, parede externa</t>
  </si>
  <si>
    <t>Pintura Com Tinta Latex Acrilica em Paredes Externas, 3 Demaos (Incluso fundo e massa)</t>
  </si>
  <si>
    <t>Revestimento em Pedra Natural Aplicado em Fachadas Para Espelho da água</t>
  </si>
  <si>
    <t>Black Lava Brick (Hitam)</t>
  </si>
  <si>
    <t>Revestimento em Pedra Natural Aplicado em Fachadas Para fogueira</t>
  </si>
  <si>
    <t>Revestimento em Pedra Molero Aplicado em Fachadas</t>
  </si>
  <si>
    <t>Pedra Natural moledo</t>
  </si>
  <si>
    <t>Revestimento em Porcelanato Portinari Natura OFW - 100 x 100 cm , rejunte cimentício, aplicação em Fachada</t>
  </si>
  <si>
    <t>Porcelanato Natural Portinari Neutral OFW "A" 100x100cm</t>
  </si>
  <si>
    <t>Revestimento em Porcelanato amadeirado, rejunte acrilico, aplicação em Fachada</t>
  </si>
  <si>
    <t>Porcelanato Canela Dourada Retificado Natural 20x120</t>
  </si>
  <si>
    <t>Revestimento em Porcelanato Portobello - 30 x 30 cm , rejunte acrilico, aplicação em Fachada</t>
  </si>
  <si>
    <t xml:space="preserve">Porcelanato A 30x30 </t>
  </si>
  <si>
    <t>Revestimento em Porcelanato bege, rejunte acrilico, aplicação em Fachada</t>
  </si>
  <si>
    <t>Revestimento em Vinilico, aplicação em Fachada - Material e  Mão de Obra</t>
  </si>
  <si>
    <t>Revestimento em cerâmica, rejunte acrilico, aplicação em Fachada</t>
  </si>
  <si>
    <t>Piso Firenze Texas Gray Área Externa Classe A 60 x 60 Cm</t>
  </si>
  <si>
    <t>Painel metálico, aplicação em Fachada - Material e  Mão de Obra</t>
  </si>
  <si>
    <t>Painel metálico perfurado, aplicação em Fachada</t>
  </si>
  <si>
    <t>Revestimento em Cerâmico Tijolinho, aplicação em Fachada</t>
  </si>
  <si>
    <t>REVESTIMENTO CERÂMICO DE TIJOLINHO</t>
  </si>
  <si>
    <t>Revestimento Tresuno Concreto Ripado Cinza</t>
  </si>
  <si>
    <t>Revestimento Ripado de Concreto</t>
  </si>
  <si>
    <t>Substrutura de alumínio para fachada ventilada</t>
  </si>
  <si>
    <t>Sistema e Instalação de Fachada Ventilada. Mecanização das peças, arremate das esquadrias e Fretes</t>
  </si>
  <si>
    <t>Acabamento em Porcelanato 1,20x60 para fachada ventilada</t>
  </si>
  <si>
    <t>PAINEL PORCELANATO MATERIA CALCARIO AC 60X120 CM, com
aplicação de Tela de Fibra de Vidro.</t>
  </si>
  <si>
    <t>TECNOLOGIA CLEANTEC EV</t>
  </si>
  <si>
    <t>Textura acrílica, acabamento suave, aplicação em paredes externas - 1 demão - Cinza escuro</t>
  </si>
  <si>
    <t>Textura acrilica Cinza escura - Sto Brasil</t>
  </si>
  <si>
    <t>Textura acrílica, acabamento granulado, aplicação em paredes externas - 1 demão - Cimento Queimado</t>
  </si>
  <si>
    <t>Cimento Queimado 4,2kg Elegance - Cor: Tubarão</t>
  </si>
  <si>
    <t>Textura acrílica, acabamento granulado, aplicação em paredes externas - 1 demão - Effeti Branco</t>
  </si>
  <si>
    <t>Textura Ibratin: Effetti Branco</t>
  </si>
  <si>
    <t>Textura acrílica, acabamento granulado, aplicação em paredes externas - 1 demão - Essen Máximo</t>
  </si>
  <si>
    <t>Textura Efeito Estrelado - Cor: Palha - 4,2kg</t>
  </si>
  <si>
    <t>Textura acrílica, acabamento granulado, aplicação em paredes externas - 1 demão - Cinza Geada</t>
  </si>
  <si>
    <t>Textura acrilica branca - Coral</t>
  </si>
  <si>
    <t>Rende Muito Cinza Geada - Tinta Coral</t>
  </si>
  <si>
    <t>Textura acrílica, acabamento granulado, aplicação em paredes externas - 1 demão - Imensidão Cinza</t>
  </si>
  <si>
    <t>Coralit Ultra Resistência Alto Brilho Imensidão Cinza</t>
  </si>
  <si>
    <t>Textura acrílica, acabamento granulado, aplicação em paredes externas - 1 demão - Preto Fosco</t>
  </si>
  <si>
    <t>Coralit Ultra Resistência Fosco Preto - Coral</t>
  </si>
  <si>
    <t>Textura acrílica, acabamento rolado e desempenado  aplicação em paredes externas - 1 demão</t>
  </si>
  <si>
    <t>Acabamento em ACM para Fachadas - Material e mão de obra</t>
  </si>
  <si>
    <t>Revestimento em ACM, cor bronze, aplicação em Fachada - Material e  Mão de Obra</t>
  </si>
  <si>
    <t>Revestimento em ACM, cor concreto aparente, aplicação em Fachada - Material e  Mão de Obra</t>
  </si>
  <si>
    <t>Tela soldada para ligacao Emboço Fachadas</t>
  </si>
  <si>
    <t>Fundo selador latex acrilico em paredes externas - 1 demao</t>
  </si>
  <si>
    <t>Pintura projetada, aplicação em paredes externas - 2 demão - Elefante</t>
  </si>
  <si>
    <t>TINTA ACRILICA PREMIUM COR ELEFANTE</t>
  </si>
  <si>
    <t>Pintura projetada, aplicação em paredes externas - 2 demão - Branco neve</t>
  </si>
  <si>
    <t>TINTA ACRILICA PREMIUM COR BRANCO NEVE</t>
  </si>
  <si>
    <t>Pintura projetada, aplicação em paredes externas - 2 demão - Patativa</t>
  </si>
  <si>
    <t>TINTA ACRILICA PREMIUM COR PATATIVA</t>
  </si>
  <si>
    <t>Pintura projetada, aplicação em paredes externas - 2 demão - Cinza Asfalto</t>
  </si>
  <si>
    <t>TINTA ACRILICA PREMIUM COR CINZA ASFALTO</t>
  </si>
  <si>
    <t>Mão de obra para aplicação de Pintura em paredes externas - 1 demãos</t>
  </si>
  <si>
    <t>Mão de obra para aplicação de Pintura em paredes externas - 2 demãos</t>
  </si>
  <si>
    <t>Mão de obra para aplicação de textura em paredes externas - 1 demão</t>
  </si>
  <si>
    <t>Mão de obra para aplicação de Pastilhas em paredes externas</t>
  </si>
  <si>
    <t>Mão de obra para aplicação de Pedra Natural em paredes externas</t>
  </si>
  <si>
    <t>Mão de obra para execução de fachada ventilada</t>
  </si>
  <si>
    <t>http://www.brasil.geradordeprecos.info/obra_nova/F_Fachadas__paredes__divisorias_e_pro/Fachadas_ventiladas/FAS_Revestimento_exterior_de_paine/FAS005_Revestimento_exterior_de_fachada_ve.html</t>
  </si>
  <si>
    <t>LOUÇAS, BANCADAS E METAIS</t>
  </si>
  <si>
    <t>Banheiro - Bacia Sanitária / Caixa Acoplada</t>
  </si>
  <si>
    <t>Bacia com caixa acoplada / Detalhe: Linha Living, branco, saída lado direito, Deca</t>
  </si>
  <si>
    <t>Bucha S-8</t>
  </si>
  <si>
    <t>Parafuso p/ Fixação de Vaso Sanitário</t>
  </si>
  <si>
    <t>Fita Veda Rosca</t>
  </si>
  <si>
    <t>Anel de Borracha p/ Tubo 100 mm</t>
  </si>
  <si>
    <t>Cola Extra Forte AC6000-400G</t>
  </si>
  <si>
    <t>Engate Flexível Trançado 1/2"</t>
  </si>
  <si>
    <t>Banheiro - Mictório / Caixa Acoplada</t>
  </si>
  <si>
    <t>Mictório com Válvula de Acionamento</t>
  </si>
  <si>
    <t>Banheiro - Bacia Sanitária PNE</t>
  </si>
  <si>
    <t>Bucha Nylon C8</t>
  </si>
  <si>
    <t>Silicone acético 250gr</t>
  </si>
  <si>
    <t>Banheiro - Cuba</t>
  </si>
  <si>
    <t>Cuba de Apoio Redonda 32cmx13cm Luxo Docol Branco</t>
  </si>
  <si>
    <t>Valvula Metálica 1"</t>
  </si>
  <si>
    <t>Parafuso p/ Fixação de Tanque e Lavatório</t>
  </si>
  <si>
    <t>Sifão flexível com copo para Lavatório</t>
  </si>
  <si>
    <t>Estabilizador p/ Lavatórios</t>
  </si>
  <si>
    <t>Banheiro - Cuba de Sobrepor - PNE</t>
  </si>
  <si>
    <t>Lavatório suspenso \ Detalhe: Cuba viggo 54cm branca</t>
  </si>
  <si>
    <t>Cuba / Detalhe: Cuba retangular aço escovado</t>
  </si>
  <si>
    <t>Grade aramada para cuba</t>
  </si>
  <si>
    <t>Misturador monocomando \ Detalhe: aço escovado</t>
  </si>
  <si>
    <t>Dispenser detergente cromado</t>
  </si>
  <si>
    <t>Sifão Cromado</t>
  </si>
  <si>
    <t>Valvula de Escoamento cromada</t>
  </si>
  <si>
    <t>Bucha S-10</t>
  </si>
  <si>
    <t>Parafuso Galvanizado</t>
  </si>
  <si>
    <t>Cuba Docol Invicta 46x42 01696504 Inox Polido</t>
  </si>
  <si>
    <t>Lavatorio para banheiros suspenso</t>
  </si>
  <si>
    <t>Lavatório Suspenso Eco 40x30cm Branco Celite</t>
  </si>
  <si>
    <t>Válvula Pia Tanque Lavanderia Escoamento 1.1/4'' Metal Cromado</t>
  </si>
  <si>
    <t>Lavatorio para banheiros suspenso PNE</t>
  </si>
  <si>
    <t>Logasa Lavatório Suspenso de Canto</t>
  </si>
  <si>
    <t>Tanque Monobloco Polido Docol 32L 55x45x23 cm</t>
  </si>
  <si>
    <t>Tanque Louça Suspenso</t>
  </si>
  <si>
    <t>Tanque De Louça Hervy Com 18 Litros Branco</t>
  </si>
  <si>
    <t>Sifão Universal Flexível Multiuso</t>
  </si>
  <si>
    <t>Torneira para Lavatório\ Detalhe: Cromado Vercci</t>
  </si>
  <si>
    <t>Torneira de bancada para tanque \ Detalhe: mesa inox</t>
  </si>
  <si>
    <t>Torneira de Jardins</t>
  </si>
  <si>
    <t>Torneira de jardim inox</t>
  </si>
  <si>
    <t>Torneira para pia inox</t>
  </si>
  <si>
    <t>Ducha higienica</t>
  </si>
  <si>
    <t>Ducha higiênica\ Detalhe: Cromado Vercci</t>
  </si>
  <si>
    <t>Acabamento de Registro\ Detalhe: Cromado Vercci</t>
  </si>
  <si>
    <t>Acabamento de Registro pressão \ Detalhe: Cromado Vercci</t>
  </si>
  <si>
    <t>Exaustor mecânico</t>
  </si>
  <si>
    <t>Exaustor Td Silent 350 Ultra Silencioso</t>
  </si>
  <si>
    <t>Barra de apoio PNE</t>
  </si>
  <si>
    <t>Barra de Apoio - Deficiente</t>
  </si>
  <si>
    <t>Chuveiro Elétrico</t>
  </si>
  <si>
    <t>Ducha / Detalhe: Aqua Ultra - Lorenzetti</t>
  </si>
  <si>
    <t>Chuveiro Teto DocolHeaven Q150 Cromado Docol</t>
  </si>
  <si>
    <t>Ducha</t>
  </si>
  <si>
    <t>Ducha \ Detalhe: Parede Cromado Vercci</t>
  </si>
  <si>
    <t>Acessórios de Banheiro/Lavabo</t>
  </si>
  <si>
    <t>Porta papel higienico \ Detalhe: Cromado Vercci</t>
  </si>
  <si>
    <t>Gancho\ Detalhe: Cromado Vercci</t>
  </si>
  <si>
    <t>Toalheiro rosto \ Detalhe: Cromado Vercci</t>
  </si>
  <si>
    <t>Bancada em Granito para Lavatório</t>
  </si>
  <si>
    <t>Tampo de Granito, para Lavatório com saia e rodamão</t>
  </si>
  <si>
    <t>Bancada em Granito para Pia Cozinha</t>
  </si>
  <si>
    <t>Tampo de Granito, para pia com saia e rodamão</t>
  </si>
  <si>
    <t>Bancada em Granito para Tanques</t>
  </si>
  <si>
    <t>Tampo de Granito, para tanque com saia e rodamão</t>
  </si>
  <si>
    <t>Pergolado</t>
  </si>
  <si>
    <t>Policarbonato Compacto</t>
  </si>
  <si>
    <t xml:space="preserve">Viga de Sustentação para pergolado em madeira </t>
  </si>
  <si>
    <t xml:space="preserve">Pilar de Sustentação para pergolado em madeira </t>
  </si>
  <si>
    <t>Estrutura Metálica para Portico com abamento em ACM- Material e mão de obra</t>
  </si>
  <si>
    <t>Estrutura Metálica para Portico</t>
  </si>
  <si>
    <t xml:space="preserve">Claraboia em vidro laminado </t>
  </si>
  <si>
    <t>Estrutura para cobertura em concreto</t>
  </si>
  <si>
    <t>Estrutura e trama para cobertura em madeira</t>
  </si>
  <si>
    <t>Telhamento para cobertura em Fribrocimento</t>
  </si>
  <si>
    <t>CONJUNTO ARRUELAS DE VEDACAO 5/16" PARA TELHA FIBROCIMENTO (UMA ARRUELA METALICA E UMA ARRUELA PVC - CONICAS)</t>
  </si>
  <si>
    <t>PARAFUSO ZINCADO ROSCA SOBERBA, CABECA SEXTAVADA, 5/16" X 250 MM, PARA FIXACAO DE TELHA EM MADEIRA</t>
  </si>
  <si>
    <t>TELHA DE FIBROCIMENTO ONDULADA E = 6 MM, DE 2,44 X 1,10 M (SEM AMIANTO)</t>
  </si>
  <si>
    <t>Telhamento para cobertura em Telha metálica termoacústica</t>
  </si>
  <si>
    <t>Isotelha Trapezoidal Térmica Sanduiche branco neve</t>
  </si>
  <si>
    <t>Calha em alumínio - 13 cm</t>
  </si>
  <si>
    <t>Calha Beiral Alumínio Com 2 Tampas Corte 13</t>
  </si>
  <si>
    <t>REBITE DE REPUXO EM ALUMINIO VAZADO, DIAMETRO 3,2 X 8 MM DE COMPRIMENTO (1KG = 1025 UNIDADES)</t>
  </si>
  <si>
    <t>SOLDA EM BARRA DE ESTANHO-CHUMBO 50/50</t>
  </si>
  <si>
    <t>Calha em alumínio - 16 cm</t>
  </si>
  <si>
    <t>Calha Beiral Alumínio Com 2 Tampas Corte 16</t>
  </si>
  <si>
    <t>Calha em alumínio - 23,5 cm</t>
  </si>
  <si>
    <t>Calha Beiral Alumínio Com 2 Tampas Corte 25</t>
  </si>
  <si>
    <t>Calha em alumínio - 30x30</t>
  </si>
  <si>
    <t>Calha Beiral Alumínio Com 2 Tampas Corte 30</t>
  </si>
  <si>
    <t>Calha em alumínio - 40 cm</t>
  </si>
  <si>
    <t>Calha Beiral Alumínio Com 2 Tampas Corte 40</t>
  </si>
  <si>
    <t>Calha em alumínio - 94x94</t>
  </si>
  <si>
    <t>Rufo em alumínio</t>
  </si>
  <si>
    <t>RUFO INTERNO/EXTERNO DE CHAPA DE ACO GALVANIZADA NUM 24, CORTE 25 CM</t>
  </si>
  <si>
    <t>Pergolado com 2 pilares sustentação</t>
  </si>
  <si>
    <t>Estrutura horizontal</t>
  </si>
  <si>
    <t xml:space="preserve"> Pilar de Sustentação</t>
  </si>
  <si>
    <t>Pergolado com 4 pilares sustentação</t>
  </si>
  <si>
    <t>Pergolado sem pilares sustentação</t>
  </si>
  <si>
    <t>Mão de obra coberturas</t>
  </si>
  <si>
    <t>PAVIMENTAÇÃO EXTERNA</t>
  </si>
  <si>
    <t>Execução Rede Elétrica  (Produtividade 300m/dia)</t>
  </si>
  <si>
    <t>Retro case 580 traçada 2009</t>
  </si>
  <si>
    <t>Escavadeira 8T link belt 80SA BANYNN</t>
  </si>
  <si>
    <t>Operador de máquina 2</t>
  </si>
  <si>
    <t>Operador de máquina 3</t>
  </si>
  <si>
    <t>Mestre 1</t>
  </si>
  <si>
    <t>Oficial 1</t>
  </si>
  <si>
    <t>Meio Oficial 1</t>
  </si>
  <si>
    <t>Execução Rede de Drenagem  (Produtividade 200m/dia)</t>
  </si>
  <si>
    <t>Execução Rede água  (Produtividade 300m/dia)</t>
  </si>
  <si>
    <t>Execução Rede Esgoto  (Produtividade 150m/dia)</t>
  </si>
  <si>
    <t>Sarjeta extrusada</t>
  </si>
  <si>
    <t>Pavimentação em Pedras Naturais na calçada</t>
  </si>
  <si>
    <t>Mão de obra para execução de pedra natural em piso áreas externas</t>
  </si>
  <si>
    <t>Mão de obra para execução de piso de concreto estampado em piso áreas externas</t>
  </si>
  <si>
    <t>Execução de sarjeta extrusada</t>
  </si>
  <si>
    <t>Maquina meio fio Imb 2020</t>
  </si>
  <si>
    <t>Retro New holland lb 90 simples 2010</t>
  </si>
  <si>
    <t>Oficial 2</t>
  </si>
  <si>
    <t>Ajudante 1</t>
  </si>
  <si>
    <t>Base bica corrida e=20cm</t>
  </si>
  <si>
    <t>Bica corrida</t>
  </si>
  <si>
    <t>Mão de obra para execução de base</t>
  </si>
  <si>
    <t>Patrola New holland 170g 2011</t>
  </si>
  <si>
    <t>Caminhao pipa ford f.14.000  1997</t>
  </si>
  <si>
    <t>Rolo Sany 2009</t>
  </si>
  <si>
    <t>Operador de máquina 4</t>
  </si>
  <si>
    <t>Operador de máquina 5</t>
  </si>
  <si>
    <t>Mestre 2</t>
  </si>
  <si>
    <t>Pavimentação em Intertravado 10x20x06cm, Para vias, Calçadas e entrada das casas</t>
  </si>
  <si>
    <t>PISO INTERTRAVADO CONCRETO SEXTAVADO 35MPA 30X30X06CM NATURAL</t>
  </si>
  <si>
    <t>PO PEDRA A GRANEL (M3) - GRANULOMETRIA 1,2 A 4,75MM NBR 7211</t>
  </si>
  <si>
    <t>AREIA FINA</t>
  </si>
  <si>
    <t>Mão de Obra Instalação Pavimentação em Intertravado</t>
  </si>
  <si>
    <t>SERVICO PAVIMENTACAO INTERNA C/INTERTRAVADO - EXECUCAO COMPLETA</t>
  </si>
  <si>
    <t>Pinturas das faixas de Pedestres</t>
  </si>
  <si>
    <t>TINTA ACRILICA A BASE DE SOLVENTE, PARA SINALIZACAO HORIZONTAL VIARIA (NBR 11862)</t>
  </si>
  <si>
    <t>MICROESFERAS DE VIDRO PARA SINALIZACAO HORIZONTAL VIARIA, TIPO II-A (DROP-ON) - NBR  16184</t>
  </si>
  <si>
    <t>MICROESFERAS DE VIDRO PARA SINALIZACAO HORIZONTAL VIARIA, TIPO I-B (PREMIX) - NBR  16184</t>
  </si>
  <si>
    <t xml:space="preserve">Pinturas das vias com tinta acrilica </t>
  </si>
  <si>
    <t>Mão de Obra Pinturas das faixas de Pedestres</t>
  </si>
  <si>
    <t>Mão de Obra Pinturas das vias</t>
  </si>
  <si>
    <t>Grupo insumo</t>
  </si>
  <si>
    <t>Sub Grupo</t>
  </si>
  <si>
    <t>Grupo Sienge</t>
  </si>
  <si>
    <t>Arame</t>
  </si>
  <si>
    <t>pc</t>
  </si>
  <si>
    <t>Barra de Aço CA50 / CA60</t>
  </si>
  <si>
    <t>Armação aço Média para estaca (Corte e Dobra em Obra)</t>
  </si>
  <si>
    <t>Armação aço Média para estaca (Corte e Dobra em Indústria)</t>
  </si>
  <si>
    <t>Diversos</t>
  </si>
  <si>
    <t>Tela de Aço CA60</t>
  </si>
  <si>
    <t>Tela de Aço Carbono</t>
  </si>
  <si>
    <t>Alvenaria</t>
  </si>
  <si>
    <t>Alvenaria Refratária</t>
  </si>
  <si>
    <t>Pintura</t>
  </si>
  <si>
    <t>Alvenaria Estrutural</t>
  </si>
  <si>
    <t>Elementos de Vedação (Cerâmica)</t>
  </si>
  <si>
    <t>BLOCO CONCRETO ESTRUTURAL 04MPA 11,5X19X29CM NBR 6136</t>
  </si>
  <si>
    <t>Alvenaria vedação</t>
  </si>
  <si>
    <t>BLOCO CERÂMICO - 9X19X39cm</t>
  </si>
  <si>
    <t>Argamassa</t>
  </si>
  <si>
    <t>Sical</t>
  </si>
  <si>
    <t>Argamassa de Assentamento de Revestimentos</t>
  </si>
  <si>
    <t>Argamassa de Assentamento Bloco</t>
  </si>
  <si>
    <t>Argamassa Diversas</t>
  </si>
  <si>
    <t>ARGAMASSA ENSACADA PARA CONTRAPISO</t>
  </si>
  <si>
    <t>ARGAMASSA COLANTE AC II</t>
  </si>
  <si>
    <t>Argamassa Usinada</t>
  </si>
  <si>
    <t>Artefatos de concreto</t>
  </si>
  <si>
    <t>Concretos</t>
  </si>
  <si>
    <t>Bancadas</t>
  </si>
  <si>
    <t>Louças e Acessórios</t>
  </si>
  <si>
    <t>Calha</t>
  </si>
  <si>
    <t>Calhas e Acessórios</t>
  </si>
  <si>
    <t>Rufo Externo Corte 20cm Aluminio </t>
  </si>
  <si>
    <t>Rufo</t>
  </si>
  <si>
    <t>Telha</t>
  </si>
  <si>
    <t>Concreto Usinado bombeável 20MPa para Estacas</t>
  </si>
  <si>
    <t>Protendido</t>
  </si>
  <si>
    <t>PAR</t>
  </si>
  <si>
    <t>Drywall/Shaft/Forro</t>
  </si>
  <si>
    <t>PLACA / CHAPA DE GESSO ACARTONADO, STANDARD (ST), COR BRANCA, E = 10,0 MM, 1200 X 2400 MM (L X C)</t>
  </si>
  <si>
    <t>EPC/EPI</t>
  </si>
  <si>
    <t>Material Segurança</t>
  </si>
  <si>
    <t>Cotação</t>
  </si>
  <si>
    <t>https://www.leroymerlin.com.br/kit-3-rolos-de-tela-fachadeira-6x3-3x100-300m2_1571811772?srsltid=AfmBOorqa8qCk4Y_veiSFWZArBrvWDNFifl_-S-G8oMTeThy9bTGNSQOT_Y</t>
  </si>
  <si>
    <t>Equipamentos</t>
  </si>
  <si>
    <t>Equipamentos Aluguel</t>
  </si>
  <si>
    <t>UN/MÊS</t>
  </si>
  <si>
    <t xml:space="preserve">Esquadrias </t>
  </si>
  <si>
    <t>Alumínio</t>
  </si>
  <si>
    <t>Esquadrias de Alumínio</t>
  </si>
  <si>
    <t>Esquadrias de Ferro</t>
  </si>
  <si>
    <t>Corrimão inox</t>
  </si>
  <si>
    <t>Madeira</t>
  </si>
  <si>
    <t>Esquadrias de Madeira</t>
  </si>
  <si>
    <t>Vidro</t>
  </si>
  <si>
    <t>Vidros</t>
  </si>
  <si>
    <t>Metálicas</t>
  </si>
  <si>
    <t>Fechaduras e acessórios</t>
  </si>
  <si>
    <t>Impremeabilização</t>
  </si>
  <si>
    <t>Impermeabilização</t>
  </si>
  <si>
    <t>Tela Poliéster De Reforço Para Impermeabilização - 50m X 1m</t>
  </si>
  <si>
    <t>L</t>
  </si>
  <si>
    <t xml:space="preserve">Instalações Hidrossanitárias </t>
  </si>
  <si>
    <t>Tubos e Conexões Hidro-Sanitárias</t>
  </si>
  <si>
    <t>Instalações PCI</t>
  </si>
  <si>
    <t>Louças e metais</t>
  </si>
  <si>
    <t>Acessórios</t>
  </si>
  <si>
    <t>Metais</t>
  </si>
  <si>
    <t>Equipamento</t>
  </si>
  <si>
    <t xml:space="preserve">Bacia com caixa acoplada </t>
  </si>
  <si>
    <t>Louças</t>
  </si>
  <si>
    <t>Bacia com caixa acoplada PNE</t>
  </si>
  <si>
    <t>Bacia Com Caixa Acoplada Lift Branco - Docol</t>
  </si>
  <si>
    <t>metais</t>
  </si>
  <si>
    <t>Madeira para Formas (Estrutura)</t>
  </si>
  <si>
    <t>Acabamento</t>
  </si>
  <si>
    <t>Madeira para Telhado</t>
  </si>
  <si>
    <t>Telhados</t>
  </si>
  <si>
    <t>RIPA NAO APARELHADA, *1,5 X 5* CM, EM MACARANDUBA/MASSARANDUBA, ANGELIM OU EQUIVALENTE DA REGIAO - BRUTA</t>
  </si>
  <si>
    <t>VIGA NAO APARELHADA *6 X 12* CM, EM MACARANDUBA/MASSARANDUBA, ANGELIM OU EQUIVALENTE DA REGIAO - BRUTA</t>
  </si>
  <si>
    <t xml:space="preserve">Mão de obra </t>
  </si>
  <si>
    <t>Mão de Obra Própria</t>
  </si>
  <si>
    <t>Mão de obra própria</t>
  </si>
  <si>
    <t>Materiais complementares</t>
  </si>
  <si>
    <t>Aditivos, Colas e Similares</t>
  </si>
  <si>
    <t>PU Fix Branco Cartucho 387 Gramas/280 ML</t>
  </si>
  <si>
    <t>Agregados</t>
  </si>
  <si>
    <t>Areia</t>
  </si>
  <si>
    <t>Brita/ Pó de Pedra/ Pedra</t>
  </si>
  <si>
    <t>Cimento</t>
  </si>
  <si>
    <t>Gesso</t>
  </si>
  <si>
    <t>Revestimentos</t>
  </si>
  <si>
    <t>Medeira Acabamento</t>
  </si>
  <si>
    <t>Jardinagem</t>
  </si>
  <si>
    <t>Pedras acabamento</t>
  </si>
  <si>
    <t>Prego/Parafuso</t>
  </si>
  <si>
    <t>CJ</t>
  </si>
  <si>
    <t>PREGO DE ACO POLIDO COM CABECA 19 X 36 (3 1/4 X 9)</t>
  </si>
  <si>
    <t>PREGO DE ACO POLIDO COM CABECA 22 X 48 (4 1/4 X 5)</t>
  </si>
  <si>
    <t>Pre-Moldado</t>
  </si>
  <si>
    <t>Pré-Moldados</t>
  </si>
  <si>
    <t>Rejunte</t>
  </si>
  <si>
    <t>Porcelanato fachada</t>
  </si>
  <si>
    <t>PLACA VINILICA SEMIFLEXIVEL PARA PISOS</t>
  </si>
  <si>
    <t>PEDRA LISA HITMAN 10X10 PALIMANAM</t>
  </si>
  <si>
    <t>Revestimento Mate Portobello Georgian Red Tel "A" 7x26 (30x39)</t>
  </si>
  <si>
    <t>Revestimento Pastilha Barlavento Caribbean 14,5x14,5 cm, bold externo portobello</t>
  </si>
  <si>
    <t xml:space="preserve">Porcelanato A 60x60cm acetinado </t>
  </si>
  <si>
    <t>Piso modular polipropileno (PP) antiderrapante, UV, encaixe macho-fêmea, com tratamento anti-impacto</t>
  </si>
  <si>
    <t>Revestimento Pedra Hijau Lisa 20x20 cm</t>
  </si>
  <si>
    <t>Serviço Terceiros</t>
  </si>
  <si>
    <t>Mão de obra de Terceiros</t>
  </si>
  <si>
    <t>Acessórios (cantos, terminais)</t>
  </si>
  <si>
    <t>Rodapé</t>
  </si>
  <si>
    <t>Rodapé de PVC branco 10 cm</t>
  </si>
  <si>
    <t>Rodape Em Porcelanato, H = 10cm</t>
  </si>
  <si>
    <t>Rodape Em Porcelanato, H = 15cm</t>
  </si>
  <si>
    <t>Rodape Em Porcelanato, H = 16,5cm</t>
  </si>
  <si>
    <t>Instalação de piso vinilico</t>
  </si>
  <si>
    <t>Mão de obra aplicação de gesso liso em teto</t>
  </si>
  <si>
    <t>Textura Acrílica Texturatto Premium Efeito Granulado</t>
  </si>
  <si>
    <t>Decora Efeitos Especiais Coral 2,1L - 2,1 L</t>
  </si>
  <si>
    <t>Textura Cimento Queimado 5KG Suvinil</t>
  </si>
  <si>
    <t>TINTA ACRILICA PREMIUM COR PORCELANA</t>
  </si>
  <si>
    <t>TINTA ACRILICA PREMIUM COR SALMÃO</t>
  </si>
  <si>
    <t>TINTA ACRILICA PREMIUM COR MADEIRA ESFUMAÇADA</t>
  </si>
  <si>
    <t>TINTA ACRILICA PREMIUM COR BABOSA</t>
  </si>
  <si>
    <t>TINTA ACRILICA PREMIUM COR AREIA</t>
  </si>
  <si>
    <t>TINTA ACRILICA PREMIUM COR CAFÉ EXPRESSO</t>
  </si>
  <si>
    <t>TINTA ACRILICA PREMIUM COR ALGODÃO EGIPCIO</t>
  </si>
  <si>
    <t>Suvinil Texturatto Efeito Suave Textura 21kg</t>
  </si>
  <si>
    <t>Estimado devido a ausência de projeto</t>
  </si>
  <si>
    <t>LAJE TRELIÇADA</t>
  </si>
  <si>
    <t>DOCUMENTO DE ORIGEM</t>
  </si>
  <si>
    <t>CÓDIGO DA LAJE NERVURADA</t>
  </si>
  <si>
    <t>LADO 1 DA LAJE</t>
  </si>
  <si>
    <t>LADO 2 DA LAJE</t>
  </si>
  <si>
    <t>AREA DE LAJE</t>
  </si>
  <si>
    <t>ESPESSURA DA LÂMINA</t>
  </si>
  <si>
    <t>Cód.</t>
  </si>
  <si>
    <t>SEGUNDO PAVIMENTO</t>
  </si>
  <si>
    <t>Lastro de Concreto Magro, Aplicado em Blocos de Fundação, e=4cm</t>
  </si>
  <si>
    <t>Quantidade de levantameto da Cartesian</t>
  </si>
  <si>
    <t>Quantidade disponibilizada pelo projetista de sapatas e levantameto da Cartesian de vigas e pilares</t>
  </si>
  <si>
    <t>Armação Malha Ø5,0 c/25, para ContraPiso Armado (corte e dobra em Obra)</t>
  </si>
  <si>
    <t>Malha Ø5,0 c/25,</t>
  </si>
  <si>
    <t>Tela Soldada nervurada Q-92, aplicação em capa de laje</t>
  </si>
  <si>
    <t>Resumo  Formas</t>
  </si>
  <si>
    <t>MAIOR</t>
  </si>
  <si>
    <t>Considerado o item de piscinas aqui</t>
  </si>
  <si>
    <t>Quantidade disponibilizada pelo projetista, considerando sem reutilização</t>
  </si>
  <si>
    <t>Chapisco aplicados em alvenaria, com argamassa usinadaa, aplicação convencional.</t>
  </si>
  <si>
    <t>Considerado 2 por banheiro + 1 por lavabo + 1 por cozinha e área de serviço</t>
  </si>
  <si>
    <t>molhada</t>
  </si>
  <si>
    <t>externa</t>
  </si>
  <si>
    <t>cobertura</t>
  </si>
  <si>
    <t>Considerado piscina e reservatório</t>
  </si>
  <si>
    <t>Considerado piscina, terraço e floreira</t>
  </si>
  <si>
    <t>Considerado cozinha, banheiro, box de banheiro, sacada e área de serviço</t>
  </si>
  <si>
    <t>Considerado piso e parede</t>
  </si>
  <si>
    <t>Pavimentação em Concregrama</t>
  </si>
  <si>
    <t>BLOQUETE/PISO DE CONCRETO - MODELO PISOGRAMA/CONCREGRAMA 2 FUROS, DIMENSOES APROX. DE *35 X 15* CM E ESPESSURA DE 7 CM (+/- 1 CM), COR NATURAL</t>
  </si>
  <si>
    <t>Considerado o argamassado de peitoris</t>
  </si>
  <si>
    <t>Mão de obra para execução de piso de concregrama</t>
  </si>
  <si>
    <t>Mão de obra de fixação de contramarco de aluminio</t>
  </si>
  <si>
    <t>Mão de obra de fixação de contramarco de aluminio grande</t>
  </si>
  <si>
    <t>Mão de obra de fixação de contramarco de aluminio pequeno</t>
  </si>
  <si>
    <t>Mão de obra de fixação de contramarco de aço</t>
  </si>
  <si>
    <t>Porta de madeira de abrir - 90x210cm (kit completo) com painel ripado - fixação com espuma expansiva</t>
  </si>
  <si>
    <t>Pilares metálicos</t>
  </si>
  <si>
    <t>Acabamentos para Parede verde com treliça e plantas trepadeiras em Fachadas - Material e mão de obra</t>
  </si>
  <si>
    <t>Revestimento argamssado em teto</t>
  </si>
  <si>
    <t>Mão de obra execução de argamassado em teto</t>
  </si>
  <si>
    <t>Pintura em tinta acrilica com resina para piso, Aplicação Manual, 2 Demãos - Cor nuvem de papel</t>
  </si>
  <si>
    <t>Tinta Acrílica Fosca Suvinil Nuvem De Papel</t>
  </si>
  <si>
    <t>Acabamento de especiais em teto</t>
  </si>
  <si>
    <t>Forro de acm - Material e Mão de Obra</t>
  </si>
  <si>
    <t>Forro de steel frame - Material e Mão de Obra</t>
  </si>
  <si>
    <t>JASPE CINZA</t>
  </si>
  <si>
    <t>Extructure rústico, fabricante Yndiara</t>
  </si>
  <si>
    <t>Revestimento em Porcelanato Estructure Rústico, Yndiara, rejunte acrilico, aplicação em Fachada - Material e mão de obra</t>
  </si>
  <si>
    <t>Tinta Acrílica Fosca Suvinil Jaspe Cinza</t>
  </si>
  <si>
    <t>Tinta Acrílica Fosca Suvinil Mica Jaspe</t>
  </si>
  <si>
    <t>Pintura Com Tinta Fosca em Paredes Externas, 2 Demaos (Incluso fundo e massa) - Cor Nuvem Papel</t>
  </si>
  <si>
    <t>Pintura Com Tinta Fosca em Paredes Externas, 2 Demaos (Incluso fundo e massa) - Cor Jaspe Cinza</t>
  </si>
  <si>
    <t>Pintura Com Tinta Fosca em Paredes Externas, 2 Demaos (Incluso fundo e massa) - Cor Mica Jaspe</t>
  </si>
  <si>
    <t>INSTALAÇÕES ESPECIAIS</t>
  </si>
  <si>
    <t>REVESTIMENTOS ARGAMASSADOS PISO</t>
  </si>
  <si>
    <t>REVESTIMENTOS ARGAMASSADOS PAREDE</t>
  </si>
  <si>
    <t>PINTURA DE FACHADA</t>
  </si>
  <si>
    <t>REVESTIMENTOS ARGAMASSADOS DE FACHADA</t>
  </si>
  <si>
    <t>ACABAMENTOS DE FACHADA</t>
  </si>
  <si>
    <t>Mão de Obra Piso Pedra natural</t>
  </si>
  <si>
    <t>ACABAMENTOS INTERNOS EM PAREDE E PISO</t>
  </si>
  <si>
    <t>ACABAMENTOS  E REVESTIMENTOS INTERNOS EM TETO</t>
  </si>
  <si>
    <t>Revestimento granistone efeito pedra 25 kg</t>
  </si>
  <si>
    <t>Fornecimento de Lajes Treliçadas TR8 com cerâmica H8</t>
  </si>
  <si>
    <t>Terreo</t>
  </si>
  <si>
    <t>Qunatidade</t>
  </si>
  <si>
    <t xml:space="preserve">SISTEMAS </t>
  </si>
  <si>
    <t>Quadro VDI embutir 40x40x12</t>
  </si>
  <si>
    <t>Levantado</t>
  </si>
  <si>
    <t>Quadro para rck</t>
  </si>
  <si>
    <t>Ponto de logica</t>
  </si>
  <si>
    <t>Ponto de logica piso</t>
  </si>
  <si>
    <t>WI-fi</t>
  </si>
  <si>
    <t>Som</t>
  </si>
  <si>
    <t>Sistema de eletrodutos e etc</t>
  </si>
  <si>
    <t>Caixa de passaegm</t>
  </si>
  <si>
    <t>Dumper</t>
  </si>
  <si>
    <t>Supnik</t>
  </si>
  <si>
    <t>Duto</t>
  </si>
  <si>
    <t>Levantamento</t>
  </si>
  <si>
    <t>Finalizado</t>
  </si>
  <si>
    <t>Exaustão de churrasqueiras</t>
  </si>
  <si>
    <t>Estrutura de exaustão</t>
  </si>
  <si>
    <t>Mao de obra de instalacoes hidrossan</t>
  </si>
  <si>
    <t>Instalacoes de Esgoto e Aguas Pluviais</t>
  </si>
  <si>
    <t>Instalações hidrossanitarias</t>
  </si>
  <si>
    <t>Contrato Cartesian</t>
  </si>
  <si>
    <t>Cnoforme aba auxiliar</t>
  </si>
  <si>
    <t>Confrome cálculo da aba "Canteiro"</t>
  </si>
  <si>
    <t>Previsto locação de um banheiro</t>
  </si>
  <si>
    <t>Fechamento de laterais de encontro com a rua</t>
  </si>
  <si>
    <t>Limpeza e Preparação do Terreno</t>
  </si>
  <si>
    <t>Estimado uma caçamba ao mês por 10 meses</t>
  </si>
  <si>
    <t>Andaimes</t>
  </si>
  <si>
    <t>Locação e andaime fachadeiro</t>
  </si>
  <si>
    <t>Estimado como 11% da mão de obra da obra com indice de redução de 0,7</t>
  </si>
  <si>
    <t>Adotado periodo de 8 meses para locação</t>
  </si>
  <si>
    <t>Adotado andaime fachadeiro em duas fachadas simultaneas</t>
  </si>
  <si>
    <t>Contratação PJ (rateado em 2 obras)</t>
  </si>
  <si>
    <t>Quantidade levantada em projeto</t>
  </si>
  <si>
    <t>Referencia pedra moledo</t>
  </si>
  <si>
    <t>IMPERMEABILIZAÇAO EM ESQUADRIAS</t>
  </si>
  <si>
    <t>ARMAÇÃO</t>
  </si>
  <si>
    <t>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</si>
</sst>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0.0"/>
    <numFmt numFmtId="169" formatCode="dd/mm/yy;@"/>
    <numFmt numFmtId="170" formatCode="0.000"/>
    <numFmt numFmtId="171" formatCode="#.##000"/>
    <numFmt numFmtId="172" formatCode="#.##0,"/>
    <numFmt numFmtId="173" formatCode="\$#,#00"/>
    <numFmt numFmtId="174" formatCode="\$#,"/>
    <numFmt numFmtId="175" formatCode="#,#00"/>
    <numFmt numFmtId="176" formatCode="%#,#00"/>
    <numFmt numFmtId="177" formatCode="_([$€-2]* #,##0.00_);_([$€-2]* \(#,##0.00\);_([$€-2]* &quot;-&quot;??_)"/>
    <numFmt numFmtId="178" formatCode="#,"/>
    <numFmt numFmtId="179" formatCode="#,##0.0"/>
    <numFmt numFmtId="180" formatCode="#,##0.000"/>
    <numFmt numFmtId="181" formatCode="#,##0.0000"/>
    <numFmt numFmtId="182" formatCode="General_)"/>
    <numFmt numFmtId="183" formatCode="_(&quot;R$ &quot;* #,##0.00_);_(&quot;R$ &quot;* \(#,##0.00\);_(&quot;R$ &quot;* &quot;-&quot;??_);_(@_)"/>
    <numFmt numFmtId="184" formatCode="&quot;R$&quot;\ #,##0.00"/>
    <numFmt numFmtId="185" formatCode="_-* #,##0.00_-;\-* #,##0.00_-;_-* &quot;-&quot;??_-;_-@"/>
    <numFmt numFmtId="186" formatCode="_(* #,##0_);_(* \(#,##0\);_(* &quot;-&quot;??_);_(@_)"/>
    <numFmt numFmtId="187" formatCode="_-&quot;R$&quot;\ * #,##0.0000_-;\-&quot;R$&quot;\ * #,##0.0000_-;_-&quot;R$&quot;\ * &quot;-&quot;??_-;_-@_-"/>
    <numFmt numFmtId="188" formatCode="_-* #,##0.00_-;\-* #,##0.00_-;_-* \-??_-;_-@_-"/>
    <numFmt numFmtId="189" formatCode="0#"/>
    <numFmt numFmtId="190" formatCode="00#"/>
    <numFmt numFmtId="191" formatCode="[$-416]mmm\-yy;@"/>
    <numFmt numFmtId="192" formatCode="_-&quot;R$&quot;\ * #,##0.00_-;\-&quot;R$&quot;\ * #,##0.00_-;_-&quot;R$&quot;\ * &quot;-&quot;??_-;_-@"/>
    <numFmt numFmtId="193" formatCode="_-* #,##0.00000_-;\-* #,##0.00000_-;_-* &quot;-&quot;??_-;_-@_-"/>
    <numFmt numFmtId="194" formatCode="_0.00\-&quot;Área&quot;"/>
    <numFmt numFmtId="195" formatCode="_-* #,##0.000_-;\-* #,##0.000_-;_-* &quot;-&quot;??_-;_-@_-"/>
    <numFmt numFmtId="196" formatCode="#,##0.00000"/>
    <numFmt numFmtId="197" formatCode="#,##0.000000"/>
    <numFmt numFmtId="198" formatCode="_0.000\-&quot;Correção&quot;"/>
    <numFmt numFmtId="199" formatCode="_([$€]* #,##0.00_);_([$€]* \(#,##0.00\);_([$€]* &quot;-&quot;??_);_(@_)"/>
  </numFmts>
  <fonts count="19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color indexed="81"/>
      <name val="Tahoma"/>
      <family val="2"/>
    </font>
    <font>
      <sz val="8"/>
      <name val="Trebuchet MS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i/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rgb="FFF717D7"/>
      <name val="Arial"/>
      <family val="2"/>
    </font>
    <font>
      <sz val="8"/>
      <color rgb="FF0000FF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indexed="81"/>
      <name val="Segoe UI"/>
      <family val="2"/>
    </font>
    <font>
      <sz val="7"/>
      <name val="Arial"/>
      <family val="2"/>
    </font>
    <font>
      <sz val="8"/>
      <color theme="6" tint="-0.499984740745262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6"/>
      <color indexed="10"/>
      <name val="Calibri"/>
      <family val="2"/>
      <scheme val="minor"/>
    </font>
    <font>
      <b/>
      <sz val="8"/>
      <color theme="0"/>
      <name val="Arial"/>
      <family val="2"/>
    </font>
    <font>
      <sz val="9"/>
      <color theme="3" tint="-0.499984740745262"/>
      <name val="Calibri"/>
      <family val="2"/>
      <scheme val="minor"/>
    </font>
    <font>
      <sz val="8"/>
      <color theme="0"/>
      <name val="Arial"/>
      <family val="2"/>
    </font>
    <font>
      <sz val="10.5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8"/>
      <color indexed="81"/>
      <name val="Segoe UI"/>
      <family val="2"/>
    </font>
    <font>
      <sz val="9"/>
      <color rgb="FFFF0000"/>
      <name val="Calibri"/>
      <family val="2"/>
      <scheme val="minor"/>
    </font>
    <font>
      <b/>
      <sz val="10.5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8"/>
      <color theme="0" tint="-0.249977111117893"/>
      <name val="Arial"/>
      <family val="2"/>
    </font>
    <font>
      <sz val="7"/>
      <color theme="1" tint="0.499984740745262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.5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8"/>
      <color rgb="FF0000FF"/>
      <name val="Arial"/>
      <family val="2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9"/>
      <color theme="0" tint="-0.34998626667073579"/>
      <name val="Calibri"/>
      <family val="2"/>
      <scheme val="minor"/>
    </font>
    <font>
      <sz val="9"/>
      <color theme="6" tint="-0.499984740745262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D232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sz val="9"/>
      <color rgb="FFD23200"/>
      <name val="Calibri"/>
      <family val="2"/>
      <scheme val="minor"/>
    </font>
    <font>
      <b/>
      <sz val="14"/>
      <color theme="0"/>
      <name val="Arial"/>
      <family val="2"/>
    </font>
    <font>
      <b/>
      <sz val="8"/>
      <color rgb="FFF43800"/>
      <name val="Arial"/>
      <family val="2"/>
    </font>
    <font>
      <sz val="8"/>
      <color rgb="FFF43800"/>
      <name val="Arial"/>
      <family val="2"/>
    </font>
    <font>
      <b/>
      <sz val="12"/>
      <color theme="0"/>
      <name val="Calibri"/>
      <family val="2"/>
      <scheme val="minor"/>
    </font>
    <font>
      <b/>
      <sz val="9"/>
      <color rgb="FF1851D6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 Narrow"/>
      <family val="2"/>
    </font>
    <font>
      <sz val="10"/>
      <color rgb="FF121212"/>
      <name val="Poppins"/>
    </font>
    <font>
      <sz val="10"/>
      <color theme="1"/>
      <name val="Calibri"/>
      <family val="2"/>
      <scheme val="minor"/>
    </font>
    <font>
      <sz val="11"/>
      <color theme="1"/>
      <name val="Poppins"/>
    </font>
    <font>
      <b/>
      <sz val="8"/>
      <color theme="0"/>
      <name val="Poppins"/>
    </font>
    <font>
      <sz val="10"/>
      <name val="Arial"/>
      <family val="2"/>
    </font>
    <font>
      <sz val="10"/>
      <name val="Courier New"/>
      <family val="3"/>
    </font>
    <font>
      <sz val="8"/>
      <color rgb="FF121212"/>
      <name val="Poppins"/>
    </font>
    <font>
      <sz val="10"/>
      <color theme="0"/>
      <name val="Arial"/>
      <family val="2"/>
    </font>
    <font>
      <sz val="8"/>
      <color rgb="FF121212"/>
      <name val="Calibri"/>
      <family val="2"/>
      <scheme val="minor"/>
    </font>
    <font>
      <i/>
      <sz val="8"/>
      <color rgb="FF1212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Poppins"/>
    </font>
    <font>
      <sz val="11"/>
      <color theme="1"/>
      <name val="Calibri"/>
      <family val="2"/>
    </font>
    <font>
      <b/>
      <sz val="10"/>
      <color rgb="FF121212"/>
      <name val="Poppins"/>
    </font>
    <font>
      <sz val="11"/>
      <color rgb="FF121212"/>
      <name val="Poppins"/>
    </font>
    <font>
      <sz val="9"/>
      <name val="Poppins"/>
    </font>
    <font>
      <sz val="9"/>
      <color theme="1"/>
      <name val="Poppins"/>
    </font>
    <font>
      <b/>
      <sz val="9"/>
      <color theme="0"/>
      <name val="Poppins"/>
    </font>
    <font>
      <b/>
      <sz val="12"/>
      <color indexed="8"/>
      <name val="Arial"/>
      <family val="2"/>
    </font>
    <font>
      <sz val="9"/>
      <color theme="0" tint="-0.34998626667073579"/>
      <name val="Poppins"/>
    </font>
    <font>
      <sz val="10"/>
      <color indexed="8"/>
      <name val="MS Sans Serif"/>
    </font>
    <font>
      <b/>
      <sz val="9"/>
      <color theme="0" tint="-0.499984740745262"/>
      <name val="Poppins"/>
    </font>
    <font>
      <sz val="9"/>
      <color rgb="FFFF0000"/>
      <name val="Poppins"/>
    </font>
    <font>
      <sz val="9"/>
      <color theme="0" tint="-0.499984740745262"/>
      <name val="Poppins"/>
    </font>
    <font>
      <b/>
      <u/>
      <sz val="9"/>
      <name val="Poppins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</font>
    <font>
      <b/>
      <sz val="9"/>
      <color rgb="FFC00000"/>
      <name val="Calibri"/>
      <family val="2"/>
      <scheme val="minor"/>
    </font>
    <font>
      <sz val="8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5"/>
      <color theme="0"/>
      <name val="Poppins"/>
    </font>
    <font>
      <sz val="8"/>
      <name val="Poppins"/>
    </font>
    <font>
      <sz val="8"/>
      <color theme="1"/>
      <name val="Poppins"/>
    </font>
    <font>
      <b/>
      <sz val="8"/>
      <color rgb="FF121212"/>
      <name val="Poppins"/>
    </font>
    <font>
      <b/>
      <sz val="8"/>
      <color rgb="FFFF0000"/>
      <name val="Poppins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7"/>
      <color theme="0"/>
      <name val="Arial"/>
      <family val="2"/>
    </font>
    <font>
      <sz val="7"/>
      <color rgb="FFFF0000"/>
      <name val="Arial"/>
      <family val="2"/>
    </font>
    <font>
      <sz val="7"/>
      <color rgb="FF00B050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  <font>
      <b/>
      <i/>
      <sz val="8"/>
      <name val="Poppins"/>
    </font>
    <font>
      <b/>
      <i/>
      <sz val="8"/>
      <color theme="0"/>
      <name val="Poppins"/>
    </font>
    <font>
      <sz val="10"/>
      <color theme="9" tint="-0.249977111117893"/>
      <name val="Arial"/>
      <family val="2"/>
    </font>
    <font>
      <sz val="10"/>
      <color theme="8" tint="-0.249977111117893"/>
      <name val="Arial"/>
      <family val="2"/>
    </font>
    <font>
      <sz val="10"/>
      <color rgb="FF000000"/>
      <name val="Calibri"/>
      <family val="2"/>
      <scheme val="minor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charset val="1"/>
    </font>
    <font>
      <b/>
      <i/>
      <sz val="12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mediumGray">
        <fgColor indexed="9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8486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9292F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rgb="FFF4380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800080"/>
        <bgColor indexed="64"/>
      </patternFill>
    </fill>
    <fill>
      <patternFill patternType="solid">
        <fgColor rgb="FF571078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rgb="FFD8D8D8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D966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92D050"/>
        <bgColor indexed="64"/>
      </patternFill>
    </fill>
  </fills>
  <borders count="26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hair">
        <color indexed="64"/>
      </left>
      <right style="thin">
        <color theme="1" tint="0.499984740745262"/>
      </right>
      <top style="hair">
        <color indexed="64"/>
      </top>
      <bottom/>
      <diagonal/>
    </border>
    <border>
      <left style="thin">
        <color theme="1" tint="0.499984740745262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/>
      <bottom style="hair">
        <color indexed="64"/>
      </bottom>
      <diagonal/>
    </border>
    <border>
      <left style="hair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double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rgb="FF29292F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rgb="FF29292F"/>
      </left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 style="thin">
        <color rgb="FF29292F"/>
      </right>
      <top style="thin">
        <color rgb="FF29292F"/>
      </top>
      <bottom style="thin">
        <color indexed="64"/>
      </bottom>
      <diagonal/>
    </border>
    <border>
      <left style="thin">
        <color rgb="FF29292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hair">
        <color indexed="64"/>
      </left>
      <right style="thin">
        <color rgb="FF29292F"/>
      </right>
      <top style="thin">
        <color theme="1" tint="0.499984740745262"/>
      </top>
      <bottom style="hair">
        <color indexed="64"/>
      </bottom>
      <diagonal/>
    </border>
    <border>
      <left style="thin">
        <color rgb="FF29292F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rgb="FF29292F"/>
      </right>
      <top/>
      <bottom style="hair">
        <color indexed="64"/>
      </bottom>
      <diagonal/>
    </border>
    <border>
      <left style="thin">
        <color rgb="FF29292F"/>
      </left>
      <right/>
      <top style="thin">
        <color theme="1" tint="0.499984740745262"/>
      </top>
      <bottom style="thin">
        <color rgb="FF29292F"/>
      </bottom>
      <diagonal/>
    </border>
    <border>
      <left/>
      <right style="thin">
        <color rgb="FF29292F"/>
      </right>
      <top style="thin">
        <color theme="1" tint="0.499984740745262"/>
      </top>
      <bottom style="thin">
        <color rgb="FF29292F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/>
      <right/>
      <top style="thin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rgb="FF29292F"/>
      </top>
      <bottom/>
      <diagonal/>
    </border>
    <border>
      <left style="thin">
        <color indexed="64"/>
      </left>
      <right/>
      <top style="thin">
        <color rgb="FF29292F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indexed="64"/>
      </top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0" tint="-0.499984740745262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34998626667073579"/>
      </top>
      <bottom style="hair">
        <color indexed="64"/>
      </bottom>
      <diagonal/>
    </border>
    <border>
      <left/>
      <right style="hair">
        <color indexed="64"/>
      </right>
      <top style="thin">
        <color theme="0" tint="-0.34998626667073579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34998626667073579"/>
      </top>
      <bottom style="hair">
        <color indexed="64"/>
      </bottom>
      <diagonal/>
    </border>
    <border>
      <left style="hair">
        <color indexed="64"/>
      </left>
      <right style="thin">
        <color theme="0" tint="-0.499984740745262"/>
      </right>
      <top style="thin">
        <color theme="0" tint="-0.34998626667073579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rgb="FF29292F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indexed="64"/>
      </bottom>
      <diagonal/>
    </border>
    <border>
      <left/>
      <right/>
      <top style="medium">
        <color rgb="FF000000"/>
      </top>
      <bottom style="double">
        <color indexed="64"/>
      </bottom>
      <diagonal/>
    </border>
    <border>
      <left/>
      <right style="thin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/>
      <top/>
      <bottom style="thin">
        <color rgb="FF29292F"/>
      </bottom>
      <diagonal/>
    </border>
    <border>
      <left/>
      <right/>
      <top style="thin">
        <color rgb="FF29292F"/>
      </top>
      <bottom style="hair">
        <color theme="0" tint="-0.499984740745262"/>
      </bottom>
      <diagonal/>
    </border>
    <border>
      <left style="thin">
        <color theme="2" tint="-0.499984740745262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theme="0" tint="-0.499984740745262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/>
      <top style="thin">
        <color rgb="FF29292F"/>
      </top>
      <bottom style="thin">
        <color rgb="FF29292F"/>
      </bottom>
      <diagonal/>
    </border>
    <border>
      <left style="thin">
        <color indexed="64"/>
      </left>
      <right/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36">
    <xf numFmtId="0" fontId="0" fillId="0" borderId="0" applyNumberFormat="0" applyFont="0" applyFill="0" applyBorder="0" applyAlignment="0" applyProtection="0"/>
    <xf numFmtId="171" fontId="39" fillId="0" borderId="0">
      <protection locked="0"/>
    </xf>
    <xf numFmtId="172" fontId="39" fillId="0" borderId="0">
      <protection locked="0"/>
    </xf>
    <xf numFmtId="173" fontId="39" fillId="0" borderId="0">
      <protection locked="0"/>
    </xf>
    <xf numFmtId="174" fontId="39" fillId="0" borderId="0">
      <protection locked="0"/>
    </xf>
    <xf numFmtId="0" fontId="39" fillId="0" borderId="0">
      <protection locked="0"/>
    </xf>
    <xf numFmtId="177" fontId="32" fillId="0" borderId="0" applyFont="0" applyFill="0" applyBorder="0" applyAlignment="0" applyProtection="0"/>
    <xf numFmtId="175" fontId="39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34" fillId="0" borderId="0" applyNumberFormat="0" applyFont="0" applyFill="0" applyBorder="0" applyAlignment="0" applyProtection="0"/>
    <xf numFmtId="0" fontId="32" fillId="0" borderId="0"/>
    <xf numFmtId="0" fontId="43" fillId="0" borderId="0"/>
    <xf numFmtId="0" fontId="38" fillId="0" borderId="0"/>
    <xf numFmtId="39" fontId="37" fillId="0" borderId="0"/>
    <xf numFmtId="0" fontId="32" fillId="0" borderId="0" applyNumberFormat="0" applyFont="0" applyFill="0" applyBorder="0" applyAlignment="0" applyProtection="0"/>
    <xf numFmtId="0" fontId="42" fillId="0" borderId="0"/>
    <xf numFmtId="0" fontId="32" fillId="0" borderId="0"/>
    <xf numFmtId="0" fontId="45" fillId="0" borderId="0"/>
    <xf numFmtId="176" fontId="39" fillId="0" borderId="0">
      <protection locked="0"/>
    </xf>
    <xf numFmtId="9" fontId="32" fillId="0" borderId="0" applyNumberFormat="0" applyFont="0" applyFill="0" applyBorder="0" applyAlignment="0" applyProtection="0"/>
    <xf numFmtId="178" fontId="44" fillId="0" borderId="0">
      <protection locked="0"/>
    </xf>
    <xf numFmtId="167" fontId="32" fillId="0" borderId="0" applyNumberFormat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NumberFormat="0" applyFont="0" applyFill="0" applyBorder="0" applyAlignment="0" applyProtection="0"/>
    <xf numFmtId="167" fontId="41" fillId="0" borderId="0" applyNumberFormat="0" applyFont="0" applyFill="0" applyBorder="0" applyAlignment="0" applyProtection="0"/>
    <xf numFmtId="167" fontId="42" fillId="0" borderId="0" applyFont="0" applyFill="0" applyBorder="0" applyAlignment="0" applyProtection="0"/>
    <xf numFmtId="0" fontId="31" fillId="0" borderId="0"/>
    <xf numFmtId="0" fontId="49" fillId="0" borderId="0" applyNumberFormat="0" applyFont="0" applyBorder="0" applyAlignment="0"/>
    <xf numFmtId="0" fontId="32" fillId="0" borderId="0"/>
    <xf numFmtId="0" fontId="50" fillId="0" borderId="45" applyNumberFormat="0" applyFont="0" applyBorder="0" applyAlignment="0"/>
    <xf numFmtId="0" fontId="30" fillId="0" borderId="0"/>
    <xf numFmtId="0" fontId="52" fillId="0" borderId="0"/>
    <xf numFmtId="167" fontId="52" fillId="0" borderId="0" applyFont="0" applyFill="0" applyBorder="0" applyAlignment="0" applyProtection="0"/>
    <xf numFmtId="0" fontId="55" fillId="0" borderId="0"/>
    <xf numFmtId="167" fontId="55" fillId="0" borderId="0" applyFont="0" applyFill="0" applyBorder="0" applyAlignment="0" applyProtection="0"/>
    <xf numFmtId="0" fontId="36" fillId="0" borderId="0"/>
    <xf numFmtId="167" fontId="36" fillId="0" borderId="0" applyFont="0" applyFill="0" applyBorder="0" applyAlignment="0" applyProtection="0"/>
    <xf numFmtId="0" fontId="31" fillId="0" borderId="0"/>
    <xf numFmtId="0" fontId="54" fillId="0" borderId="0"/>
    <xf numFmtId="167" fontId="55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31" fillId="0" borderId="0"/>
    <xf numFmtId="167" fontId="31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167" fontId="31" fillId="0" borderId="0" applyNumberFormat="0" applyFont="0" applyFill="0" applyBorder="0" applyAlignment="0" applyProtection="0"/>
    <xf numFmtId="0" fontId="31" fillId="0" borderId="0"/>
    <xf numFmtId="167" fontId="31" fillId="0" borderId="0" applyFont="0" applyFill="0" applyBorder="0" applyAlignment="0" applyProtection="0"/>
    <xf numFmtId="0" fontId="31" fillId="0" borderId="0"/>
    <xf numFmtId="0" fontId="57" fillId="0" borderId="0"/>
    <xf numFmtId="9" fontId="52" fillId="0" borderId="0" applyFont="0" applyFill="0" applyBorder="0" applyAlignment="0" applyProtection="0"/>
    <xf numFmtId="0" fontId="64" fillId="0" borderId="0"/>
    <xf numFmtId="167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6" fillId="0" borderId="0"/>
    <xf numFmtId="0" fontId="31" fillId="0" borderId="0"/>
    <xf numFmtId="0" fontId="70" fillId="0" borderId="0"/>
    <xf numFmtId="0" fontId="29" fillId="0" borderId="0"/>
    <xf numFmtId="0" fontId="31" fillId="0" borderId="0" applyNumberFormat="0" applyFont="0" applyFill="0" applyBorder="0" applyAlignment="0" applyProtection="0"/>
    <xf numFmtId="0" fontId="31" fillId="0" borderId="0" applyNumberFormat="0" applyFont="0" applyFill="0" applyBorder="0" applyAlignment="0" applyProtection="0"/>
    <xf numFmtId="9" fontId="74" fillId="0" borderId="0" applyFont="0" applyFill="0" applyBorder="0" applyAlignment="0" applyProtection="0"/>
    <xf numFmtId="0" fontId="28" fillId="0" borderId="0"/>
    <xf numFmtId="167" fontId="28" fillId="0" borderId="0" applyFont="0" applyFill="0" applyBorder="0" applyAlignment="0" applyProtection="0"/>
    <xf numFmtId="0" fontId="27" fillId="0" borderId="0"/>
    <xf numFmtId="0" fontId="26" fillId="0" borderId="0"/>
    <xf numFmtId="167" fontId="26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4" fillId="0" borderId="0"/>
    <xf numFmtId="167" fontId="24" fillId="0" borderId="0" applyFont="0" applyFill="0" applyBorder="0" applyAlignment="0" applyProtection="0"/>
    <xf numFmtId="0" fontId="36" fillId="0" borderId="0"/>
    <xf numFmtId="182" fontId="31" fillId="0" borderId="0"/>
    <xf numFmtId="167" fontId="36" fillId="0" borderId="0" applyFont="0" applyFill="0" applyBorder="0" applyAlignment="0" applyProtection="0"/>
    <xf numFmtId="9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/>
    <xf numFmtId="0" fontId="23" fillId="0" borderId="0"/>
    <xf numFmtId="9" fontId="31" fillId="0" borderId="0" applyNumberFormat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0" fontId="31" fillId="0" borderId="0"/>
    <xf numFmtId="0" fontId="23" fillId="0" borderId="0"/>
    <xf numFmtId="167" fontId="52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0" fontId="31" fillId="0" borderId="0"/>
    <xf numFmtId="167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1" fillId="0" borderId="0"/>
    <xf numFmtId="0" fontId="23" fillId="0" borderId="0"/>
    <xf numFmtId="9" fontId="31" fillId="0" borderId="0" applyFont="0" applyFill="0" applyBorder="0" applyAlignment="0" applyProtection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6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22" fillId="0" borderId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0" fontId="22" fillId="0" borderId="0"/>
    <xf numFmtId="167" fontId="52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6" fillId="0" borderId="0"/>
    <xf numFmtId="167" fontId="31" fillId="0" borderId="0" applyFont="0" applyFill="0" applyBorder="0" applyAlignment="0" applyProtection="0"/>
    <xf numFmtId="167" fontId="31" fillId="0" borderId="0" applyNumberFormat="0" applyFont="0" applyFill="0" applyBorder="0" applyAlignment="0" applyProtection="0"/>
    <xf numFmtId="9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52" fillId="0" borderId="0"/>
    <xf numFmtId="167" fontId="52" fillId="0" borderId="0" applyFont="0" applyFill="0" applyBorder="0" applyAlignment="0" applyProtection="0"/>
    <xf numFmtId="0" fontId="31" fillId="0" borderId="0"/>
    <xf numFmtId="0" fontId="21" fillId="0" borderId="0"/>
    <xf numFmtId="9" fontId="119" fillId="0" borderId="0" applyFont="0" applyFill="0" applyBorder="0" applyAlignment="0" applyProtection="0"/>
    <xf numFmtId="167" fontId="119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57" fillId="0" borderId="0"/>
    <xf numFmtId="183" fontId="119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130" fillId="0" borderId="0"/>
    <xf numFmtId="188" fontId="130" fillId="0" borderId="0" applyBorder="0" applyProtection="0"/>
    <xf numFmtId="9" fontId="31" fillId="0" borderId="0"/>
    <xf numFmtId="0" fontId="20" fillId="0" borderId="0"/>
    <xf numFmtId="0" fontId="19" fillId="0" borderId="0"/>
    <xf numFmtId="167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8" fillId="0" borderId="0"/>
    <xf numFmtId="0" fontId="18" fillId="0" borderId="0"/>
    <xf numFmtId="167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7" fillId="0" borderId="0"/>
    <xf numFmtId="167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166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6" fontId="136" fillId="0" borderId="0" applyFont="0" applyFill="0" applyBorder="0" applyAlignment="0" applyProtection="0"/>
    <xf numFmtId="0" fontId="15" fillId="0" borderId="0"/>
    <xf numFmtId="43" fontId="137" fillId="0" borderId="0" applyFont="0" applyFill="0" applyBorder="0" applyAlignment="0" applyProtection="0"/>
    <xf numFmtId="182" fontId="137" fillId="0" borderId="0"/>
    <xf numFmtId="0" fontId="14" fillId="0" borderId="0"/>
    <xf numFmtId="44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1" fillId="0" borderId="0"/>
    <xf numFmtId="43" fontId="13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12" fillId="0" borderId="0"/>
    <xf numFmtId="0" fontId="1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7" fontId="152" fillId="0" borderId="0" applyFont="0" applyFill="0" applyBorder="0" applyAlignment="0" applyProtection="0"/>
    <xf numFmtId="44" fontId="154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31" fillId="0" borderId="0"/>
    <xf numFmtId="0" fontId="171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5" fillId="0" borderId="0"/>
    <xf numFmtId="167" fontId="5" fillId="0" borderId="0" applyFont="0" applyFill="0" applyBorder="0" applyAlignment="0" applyProtection="0"/>
    <xf numFmtId="0" fontId="178" fillId="0" borderId="0"/>
    <xf numFmtId="44" fontId="178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89" fillId="0" borderId="0"/>
    <xf numFmtId="0" fontId="1" fillId="0" borderId="0"/>
    <xf numFmtId="0" fontId="1" fillId="0" borderId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/>
    <xf numFmtId="43" fontId="5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1" fillId="0" borderId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/>
    <xf numFmtId="43" fontId="5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1" fillId="0" borderId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/>
    <xf numFmtId="43" fontId="5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NumberFormat="0" applyFont="0" applyFill="0" applyBorder="0" applyAlignment="0" applyProtection="0"/>
    <xf numFmtId="43" fontId="3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" fillId="0" borderId="0"/>
    <xf numFmtId="43" fontId="11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37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99" fontId="31" fillId="0" borderId="0" applyFont="0" applyFill="0" applyBorder="0" applyAlignment="0" applyProtection="0"/>
    <xf numFmtId="38" fontId="57" fillId="0" borderId="0" applyFont="0" applyFill="0" applyBorder="0" applyAlignment="0" applyProtection="0"/>
    <xf numFmtId="0" fontId="190" fillId="0" borderId="0" applyNumberFormat="0">
      <alignment horizontal="left"/>
    </xf>
    <xf numFmtId="43" fontId="1" fillId="0" borderId="0" applyFont="0" applyFill="0" applyBorder="0" applyAlignment="0" applyProtection="0"/>
    <xf numFmtId="0" fontId="191" fillId="0" borderId="0"/>
    <xf numFmtId="43" fontId="31" fillId="0" borderId="0" applyFont="0" applyFill="0" applyBorder="0" applyAlignment="0" applyProtection="0"/>
    <xf numFmtId="0" fontId="164" fillId="0" borderId="0"/>
    <xf numFmtId="0" fontId="189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52" fillId="0" borderId="0" applyFont="0" applyFill="0" applyBorder="0" applyAlignment="0" applyProtection="0"/>
    <xf numFmtId="44" fontId="15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92" fillId="0" borderId="0"/>
    <xf numFmtId="9" fontId="192" fillId="0" borderId="0" applyBorder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372">
    <xf numFmtId="0" fontId="0" fillId="0" borderId="0" xfId="0" applyNumberFormat="1" applyFont="1" applyFill="1" applyBorder="1" applyAlignment="1"/>
    <xf numFmtId="0" fontId="31" fillId="0" borderId="0" xfId="58" applyFont="1" applyAlignment="1">
      <alignment vertical="center"/>
    </xf>
    <xf numFmtId="0" fontId="61" fillId="0" borderId="0" xfId="58" applyFont="1" applyAlignment="1">
      <alignment vertical="center"/>
    </xf>
    <xf numFmtId="0" fontId="60" fillId="0" borderId="0" xfId="58" applyFont="1" applyAlignment="1">
      <alignment vertical="center"/>
    </xf>
    <xf numFmtId="0" fontId="36" fillId="0" borderId="0" xfId="41" applyFont="1" applyAlignment="1">
      <alignment vertical="center"/>
    </xf>
    <xf numFmtId="0" fontId="36" fillId="0" borderId="34" xfId="41" applyFont="1" applyBorder="1" applyAlignment="1">
      <alignment horizontal="center" vertical="center"/>
    </xf>
    <xf numFmtId="0" fontId="36" fillId="0" borderId="24" xfId="41" applyFont="1" applyBorder="1" applyAlignment="1">
      <alignment vertical="center"/>
    </xf>
    <xf numFmtId="0" fontId="36" fillId="2" borderId="0" xfId="41" applyFont="1" applyFill="1" applyAlignment="1">
      <alignment vertical="center"/>
    </xf>
    <xf numFmtId="0" fontId="35" fillId="2" borderId="49" xfId="41" applyFont="1" applyFill="1" applyBorder="1" applyAlignment="1">
      <alignment vertical="center"/>
    </xf>
    <xf numFmtId="4" fontId="36" fillId="2" borderId="0" xfId="41" applyNumberFormat="1" applyFont="1" applyFill="1" applyAlignment="1">
      <alignment vertical="center"/>
    </xf>
    <xf numFmtId="0" fontId="31" fillId="2" borderId="0" xfId="41" quotePrefix="1" applyFont="1" applyFill="1" applyAlignment="1">
      <alignment horizontal="left" vertical="center"/>
    </xf>
    <xf numFmtId="0" fontId="33" fillId="2" borderId="0" xfId="41" applyFont="1" applyFill="1" applyAlignment="1">
      <alignment vertical="center"/>
    </xf>
    <xf numFmtId="0" fontId="31" fillId="0" borderId="0" xfId="57"/>
    <xf numFmtId="2" fontId="36" fillId="3" borderId="29" xfId="57" applyNumberFormat="1" applyFont="1" applyFill="1" applyBorder="1" applyAlignment="1">
      <alignment vertical="center"/>
    </xf>
    <xf numFmtId="1" fontId="36" fillId="2" borderId="29" xfId="57" applyNumberFormat="1" applyFont="1" applyFill="1" applyBorder="1" applyAlignment="1">
      <alignment horizontal="center" vertical="center"/>
    </xf>
    <xf numFmtId="2" fontId="36" fillId="3" borderId="39" xfId="57" applyNumberFormat="1" applyFont="1" applyFill="1" applyBorder="1" applyAlignment="1">
      <alignment vertical="center"/>
    </xf>
    <xf numFmtId="2" fontId="36" fillId="0" borderId="29" xfId="57" applyNumberFormat="1" applyFont="1" applyBorder="1" applyAlignment="1">
      <alignment vertical="center"/>
    </xf>
    <xf numFmtId="0" fontId="31" fillId="0" borderId="0" xfId="57" applyAlignment="1">
      <alignment vertical="center"/>
    </xf>
    <xf numFmtId="0" fontId="36" fillId="0" borderId="0" xfId="57" applyFont="1" applyAlignment="1">
      <alignment vertical="center"/>
    </xf>
    <xf numFmtId="0" fontId="31" fillId="0" borderId="24" xfId="57" applyBorder="1"/>
    <xf numFmtId="0" fontId="31" fillId="0" borderId="0" xfId="60" applyFont="1"/>
    <xf numFmtId="1" fontId="36" fillId="2" borderId="29" xfId="60" applyNumberFormat="1" applyFont="1" applyFill="1" applyBorder="1" applyAlignment="1">
      <alignment horizontal="center" vertical="center"/>
    </xf>
    <xf numFmtId="2" fontId="36" fillId="2" borderId="29" xfId="60" applyNumberFormat="1" applyFont="1" applyFill="1" applyBorder="1" applyAlignment="1">
      <alignment horizontal="center" vertical="center"/>
    </xf>
    <xf numFmtId="2" fontId="36" fillId="3" borderId="29" xfId="60" quotePrefix="1" applyNumberFormat="1" applyFont="1" applyFill="1" applyBorder="1" applyAlignment="1">
      <alignment vertical="center"/>
    </xf>
    <xf numFmtId="2" fontId="36" fillId="3" borderId="29" xfId="60" applyNumberFormat="1" applyFont="1" applyFill="1" applyBorder="1" applyAlignment="1">
      <alignment vertical="center"/>
    </xf>
    <xf numFmtId="2" fontId="36" fillId="3" borderId="39" xfId="60" applyNumberFormat="1" applyFont="1" applyFill="1" applyBorder="1" applyAlignment="1">
      <alignment vertical="center"/>
    </xf>
    <xf numFmtId="0" fontId="31" fillId="0" borderId="0" xfId="57" applyAlignment="1">
      <alignment horizontal="center"/>
    </xf>
    <xf numFmtId="2" fontId="31" fillId="0" borderId="0" xfId="57" applyNumberFormat="1"/>
    <xf numFmtId="0" fontId="63" fillId="0" borderId="0" xfId="57" applyFont="1"/>
    <xf numFmtId="0" fontId="62" fillId="0" borderId="0" xfId="57" applyFont="1"/>
    <xf numFmtId="0" fontId="33" fillId="0" borderId="0" xfId="57" applyFont="1" applyAlignment="1">
      <alignment horizontal="center"/>
    </xf>
    <xf numFmtId="0" fontId="31" fillId="0" borderId="6" xfId="57" applyBorder="1"/>
    <xf numFmtId="0" fontId="31" fillId="0" borderId="5" xfId="57" applyBorder="1"/>
    <xf numFmtId="0" fontId="31" fillId="0" borderId="12" xfId="57" applyBorder="1"/>
    <xf numFmtId="0" fontId="31" fillId="0" borderId="0" xfId="57" applyAlignment="1">
      <alignment wrapText="1"/>
    </xf>
    <xf numFmtId="2" fontId="31" fillId="0" borderId="0" xfId="57" applyNumberFormat="1" applyAlignment="1">
      <alignment vertical="center"/>
    </xf>
    <xf numFmtId="4" fontId="36" fillId="5" borderId="0" xfId="30" applyNumberFormat="1" applyFont="1" applyFill="1" applyBorder="1" applyAlignment="1">
      <alignment vertical="center"/>
    </xf>
    <xf numFmtId="0" fontId="36" fillId="0" borderId="27" xfId="41" applyFont="1" applyBorder="1" applyAlignment="1">
      <alignment horizontal="center" vertical="center"/>
    </xf>
    <xf numFmtId="168" fontId="36" fillId="0" borderId="16" xfId="41" applyNumberFormat="1" applyFont="1" applyBorder="1" applyAlignment="1">
      <alignment horizontal="center" vertical="center"/>
    </xf>
    <xf numFmtId="168" fontId="36" fillId="0" borderId="19" xfId="41" applyNumberFormat="1" applyFont="1" applyBorder="1" applyAlignment="1">
      <alignment horizontal="center" vertical="center"/>
    </xf>
    <xf numFmtId="168" fontId="36" fillId="0" borderId="17" xfId="41" applyNumberFormat="1" applyFont="1" applyBorder="1" applyAlignment="1">
      <alignment horizontal="center" vertical="center"/>
    </xf>
    <xf numFmtId="168" fontId="36" fillId="0" borderId="20" xfId="41" applyNumberFormat="1" applyFont="1" applyBorder="1" applyAlignment="1">
      <alignment horizontal="center" vertical="center"/>
    </xf>
    <xf numFmtId="0" fontId="36" fillId="0" borderId="51" xfId="41" applyFont="1" applyBorder="1" applyAlignment="1">
      <alignment horizontal="center" vertical="center"/>
    </xf>
    <xf numFmtId="4" fontId="59" fillId="5" borderId="0" xfId="58" applyNumberFormat="1" applyFont="1" applyFill="1" applyAlignment="1">
      <alignment vertical="center" wrapText="1"/>
    </xf>
    <xf numFmtId="4" fontId="35" fillId="3" borderId="50" xfId="57" applyNumberFormat="1" applyFont="1" applyFill="1" applyBorder="1" applyAlignment="1">
      <alignment vertical="center"/>
    </xf>
    <xf numFmtId="2" fontId="36" fillId="3" borderId="47" xfId="57" applyNumberFormat="1" applyFont="1" applyFill="1" applyBorder="1" applyAlignment="1">
      <alignment vertical="center"/>
    </xf>
    <xf numFmtId="49" fontId="31" fillId="0" borderId="4" xfId="53" applyNumberFormat="1" applyFont="1" applyBorder="1"/>
    <xf numFmtId="0" fontId="31" fillId="0" borderId="4" xfId="53" applyFont="1" applyBorder="1"/>
    <xf numFmtId="0" fontId="31" fillId="0" borderId="0" xfId="53" applyNumberFormat="1" applyFont="1" applyFill="1" applyBorder="1" applyAlignment="1"/>
    <xf numFmtId="0" fontId="31" fillId="0" borderId="0" xfId="53" applyNumberFormat="1" applyFont="1" applyFill="1" applyBorder="1" applyAlignment="1">
      <alignment vertical="center"/>
    </xf>
    <xf numFmtId="4" fontId="36" fillId="0" borderId="0" xfId="41" applyNumberFormat="1" applyFont="1" applyAlignment="1">
      <alignment vertical="center"/>
    </xf>
    <xf numFmtId="2" fontId="31" fillId="0" borderId="0" xfId="60" applyNumberFormat="1" applyFont="1"/>
    <xf numFmtId="0" fontId="36" fillId="0" borderId="0" xfId="57" applyFont="1"/>
    <xf numFmtId="0" fontId="36" fillId="0" borderId="0" xfId="41" quotePrefix="1" applyFont="1" applyAlignment="1">
      <alignment vertical="center"/>
    </xf>
    <xf numFmtId="0" fontId="36" fillId="0" borderId="0" xfId="41" applyFont="1" applyAlignment="1">
      <alignment horizontal="center" vertical="center"/>
    </xf>
    <xf numFmtId="4" fontId="31" fillId="0" borderId="0" xfId="57" applyNumberFormat="1" applyAlignment="1">
      <alignment vertical="center"/>
    </xf>
    <xf numFmtId="0" fontId="31" fillId="5" borderId="0" xfId="57" applyFill="1" applyAlignment="1">
      <alignment vertical="center"/>
    </xf>
    <xf numFmtId="0" fontId="67" fillId="0" borderId="0" xfId="58" applyFont="1" applyAlignment="1">
      <alignment vertical="center"/>
    </xf>
    <xf numFmtId="0" fontId="53" fillId="0" borderId="0" xfId="58" applyFont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36" fillId="0" borderId="29" xfId="57" applyFont="1" applyBorder="1" applyAlignment="1">
      <alignment vertical="center"/>
    </xf>
    <xf numFmtId="0" fontId="65" fillId="0" borderId="49" xfId="41" quotePrefix="1" applyFont="1" applyBorder="1" applyAlignment="1">
      <alignment vertical="center"/>
    </xf>
    <xf numFmtId="0" fontId="35" fillId="0" borderId="49" xfId="41" applyFont="1" applyBorder="1" applyAlignment="1">
      <alignment vertical="center"/>
    </xf>
    <xf numFmtId="0" fontId="77" fillId="0" borderId="0" xfId="57" applyFont="1" applyAlignment="1">
      <alignment horizontal="center" vertical="center"/>
    </xf>
    <xf numFmtId="0" fontId="31" fillId="0" borderId="0" xfId="53" applyNumberFormat="1" applyFont="1" applyFill="1" applyBorder="1" applyAlignment="1">
      <alignment horizontal="center"/>
    </xf>
    <xf numFmtId="0" fontId="36" fillId="0" borderId="0" xfId="53" applyNumberFormat="1" applyFont="1" applyFill="1" applyBorder="1" applyAlignment="1">
      <alignment vertical="center"/>
    </xf>
    <xf numFmtId="0" fontId="36" fillId="0" borderId="49" xfId="41" quotePrefix="1" applyFont="1" applyBorder="1" applyAlignment="1">
      <alignment vertical="center"/>
    </xf>
    <xf numFmtId="1" fontId="36" fillId="0" borderId="29" xfId="60" applyNumberFormat="1" applyFont="1" applyBorder="1" applyAlignment="1">
      <alignment horizontal="center" vertical="center"/>
    </xf>
    <xf numFmtId="4" fontId="36" fillId="3" borderId="29" xfId="60" applyNumberFormat="1" applyFont="1" applyFill="1" applyBorder="1" applyAlignment="1">
      <alignment vertical="center"/>
    </xf>
    <xf numFmtId="0" fontId="36" fillId="0" borderId="0" xfId="58" applyFont="1" applyAlignment="1">
      <alignment vertical="center"/>
    </xf>
    <xf numFmtId="0" fontId="46" fillId="0" borderId="0" xfId="81" applyFont="1" applyAlignment="1">
      <alignment vertical="center"/>
    </xf>
    <xf numFmtId="0" fontId="46" fillId="0" borderId="0" xfId="45" applyFont="1" applyAlignment="1">
      <alignment vertical="center"/>
    </xf>
    <xf numFmtId="0" fontId="47" fillId="0" borderId="4" xfId="45" applyFont="1" applyBorder="1"/>
    <xf numFmtId="0" fontId="47" fillId="0" borderId="4" xfId="45" applyFont="1" applyBorder="1" applyAlignment="1">
      <alignment vertical="center"/>
    </xf>
    <xf numFmtId="0" fontId="71" fillId="0" borderId="0" xfId="45" applyFont="1"/>
    <xf numFmtId="0" fontId="46" fillId="0" borderId="0" xfId="45" applyFont="1"/>
    <xf numFmtId="0" fontId="48" fillId="0" borderId="0" xfId="45" applyFont="1"/>
    <xf numFmtId="0" fontId="72" fillId="0" borderId="0" xfId="45" applyFont="1"/>
    <xf numFmtId="0" fontId="85" fillId="0" borderId="6" xfId="45" applyFont="1" applyBorder="1" applyAlignment="1">
      <alignment horizontal="centerContinuous" vertical="center"/>
    </xf>
    <xf numFmtId="0" fontId="71" fillId="0" borderId="0" xfId="45" applyFont="1" applyAlignment="1">
      <alignment vertical="center"/>
    </xf>
    <xf numFmtId="0" fontId="71" fillId="0" borderId="6" xfId="45" applyFont="1" applyBorder="1" applyAlignment="1">
      <alignment horizontal="fill"/>
    </xf>
    <xf numFmtId="2" fontId="71" fillId="0" borderId="6" xfId="45" applyNumberFormat="1" applyFont="1" applyBorder="1" applyAlignment="1">
      <alignment horizontal="fill"/>
    </xf>
    <xf numFmtId="0" fontId="71" fillId="0" borderId="6" xfId="45" applyFont="1" applyBorder="1"/>
    <xf numFmtId="0" fontId="71" fillId="0" borderId="6" xfId="45" applyFont="1" applyBorder="1" applyAlignment="1">
      <alignment horizontal="left"/>
    </xf>
    <xf numFmtId="0" fontId="72" fillId="0" borderId="4" xfId="45" applyFont="1" applyBorder="1"/>
    <xf numFmtId="0" fontId="73" fillId="0" borderId="4" xfId="45" applyFont="1" applyBorder="1" applyAlignment="1">
      <alignment vertical="center"/>
    </xf>
    <xf numFmtId="0" fontId="80" fillId="0" borderId="6" xfId="45" applyFont="1" applyBorder="1" applyAlignment="1">
      <alignment vertical="center"/>
    </xf>
    <xf numFmtId="0" fontId="47" fillId="0" borderId="0" xfId="45" applyFont="1"/>
    <xf numFmtId="0" fontId="47" fillId="0" borderId="0" xfId="45" applyFont="1" applyAlignment="1">
      <alignment vertical="center"/>
    </xf>
    <xf numFmtId="17" fontId="83" fillId="0" borderId="0" xfId="45" applyNumberFormat="1" applyFont="1" applyAlignment="1">
      <alignment horizontal="left" vertical="center"/>
    </xf>
    <xf numFmtId="0" fontId="83" fillId="0" borderId="0" xfId="45" applyFont="1"/>
    <xf numFmtId="181" fontId="83" fillId="0" borderId="0" xfId="83" applyNumberFormat="1" applyFont="1" applyBorder="1" applyAlignment="1">
      <alignment horizontal="left" vertical="center"/>
    </xf>
    <xf numFmtId="14" fontId="83" fillId="0" borderId="0" xfId="45" applyNumberFormat="1" applyFont="1" applyAlignment="1">
      <alignment horizontal="left" vertical="center"/>
    </xf>
    <xf numFmtId="0" fontId="80" fillId="0" borderId="0" xfId="45" applyFont="1" applyAlignment="1">
      <alignment vertical="center"/>
    </xf>
    <xf numFmtId="0" fontId="36" fillId="0" borderId="47" xfId="57" applyFont="1" applyBorder="1" applyAlignment="1">
      <alignment vertical="center"/>
    </xf>
    <xf numFmtId="2" fontId="36" fillId="0" borderId="47" xfId="57" applyNumberFormat="1" applyFont="1" applyBorder="1" applyAlignment="1">
      <alignment vertical="center"/>
    </xf>
    <xf numFmtId="1" fontId="36" fillId="2" borderId="47" xfId="57" applyNumberFormat="1" applyFont="1" applyFill="1" applyBorder="1" applyAlignment="1">
      <alignment horizontal="center" vertical="center"/>
    </xf>
    <xf numFmtId="2" fontId="36" fillId="3" borderId="54" xfId="57" applyNumberFormat="1" applyFont="1" applyFill="1" applyBorder="1" applyAlignment="1">
      <alignment vertical="center"/>
    </xf>
    <xf numFmtId="1" fontId="36" fillId="0" borderId="47" xfId="57" applyNumberFormat="1" applyFont="1" applyBorder="1" applyAlignment="1">
      <alignment horizontal="center" vertical="center"/>
    </xf>
    <xf numFmtId="0" fontId="36" fillId="0" borderId="58" xfId="41" quotePrefix="1" applyFont="1" applyBorder="1" applyAlignment="1">
      <alignment vertical="center" wrapText="1"/>
    </xf>
    <xf numFmtId="0" fontId="36" fillId="2" borderId="10" xfId="57" applyFont="1" applyFill="1" applyBorder="1" applyAlignment="1">
      <alignment vertical="center"/>
    </xf>
    <xf numFmtId="0" fontId="36" fillId="2" borderId="0" xfId="57" applyFont="1" applyFill="1" applyAlignment="1">
      <alignment vertical="center"/>
    </xf>
    <xf numFmtId="2" fontId="36" fillId="3" borderId="47" xfId="60" applyNumberFormat="1" applyFont="1" applyFill="1" applyBorder="1" applyAlignment="1">
      <alignment vertical="center"/>
    </xf>
    <xf numFmtId="2" fontId="36" fillId="3" borderId="54" xfId="60" applyNumberFormat="1" applyFont="1" applyFill="1" applyBorder="1" applyAlignment="1">
      <alignment vertical="center"/>
    </xf>
    <xf numFmtId="0" fontId="63" fillId="3" borderId="61" xfId="57" applyFont="1" applyFill="1" applyBorder="1" applyAlignment="1">
      <alignment vertical="center"/>
    </xf>
    <xf numFmtId="0" fontId="35" fillId="3" borderId="50" xfId="57" applyFont="1" applyFill="1" applyBorder="1" applyAlignment="1">
      <alignment vertical="center"/>
    </xf>
    <xf numFmtId="0" fontId="35" fillId="3" borderId="50" xfId="60" applyFont="1" applyFill="1" applyBorder="1" applyAlignment="1">
      <alignment vertical="center"/>
    </xf>
    <xf numFmtId="2" fontId="35" fillId="3" borderId="50" xfId="60" applyNumberFormat="1" applyFont="1" applyFill="1" applyBorder="1" applyAlignment="1">
      <alignment vertical="center"/>
    </xf>
    <xf numFmtId="2" fontId="36" fillId="3" borderId="14" xfId="57" applyNumberFormat="1" applyFont="1" applyFill="1" applyBorder="1" applyAlignment="1">
      <alignment vertical="center"/>
    </xf>
    <xf numFmtId="0" fontId="36" fillId="3" borderId="50" xfId="57" applyFont="1" applyFill="1" applyBorder="1" applyAlignment="1">
      <alignment vertical="center"/>
    </xf>
    <xf numFmtId="2" fontId="35" fillId="3" borderId="50" xfId="57" applyNumberFormat="1" applyFont="1" applyFill="1" applyBorder="1" applyAlignment="1">
      <alignment vertical="center"/>
    </xf>
    <xf numFmtId="2" fontId="36" fillId="3" borderId="50" xfId="57" applyNumberFormat="1" applyFont="1" applyFill="1" applyBorder="1" applyAlignment="1">
      <alignment vertical="center"/>
    </xf>
    <xf numFmtId="1" fontId="35" fillId="3" borderId="50" xfId="57" applyNumberFormat="1" applyFont="1" applyFill="1" applyBorder="1" applyAlignment="1">
      <alignment horizontal="center" vertical="center"/>
    </xf>
    <xf numFmtId="4" fontId="35" fillId="0" borderId="0" xfId="57" applyNumberFormat="1" applyFont="1" applyAlignment="1">
      <alignment vertical="center"/>
    </xf>
    <xf numFmtId="0" fontId="33" fillId="0" borderId="0" xfId="57" applyFont="1" applyAlignment="1">
      <alignment vertical="center"/>
    </xf>
    <xf numFmtId="2" fontId="35" fillId="0" borderId="0" xfId="57" applyNumberFormat="1" applyFont="1" applyAlignment="1">
      <alignment vertical="center"/>
    </xf>
    <xf numFmtId="0" fontId="35" fillId="0" borderId="0" xfId="57" applyFont="1" applyAlignment="1">
      <alignment vertical="center"/>
    </xf>
    <xf numFmtId="0" fontId="85" fillId="0" borderId="6" xfId="45" applyFont="1" applyBorder="1" applyAlignment="1">
      <alignment horizontal="center" vertical="center"/>
    </xf>
    <xf numFmtId="0" fontId="71" fillId="0" borderId="6" xfId="45" applyFont="1" applyBorder="1" applyAlignment="1">
      <alignment horizontal="center"/>
    </xf>
    <xf numFmtId="0" fontId="86" fillId="8" borderId="8" xfId="57" applyFont="1" applyFill="1" applyBorder="1" applyAlignment="1">
      <alignment horizontal="centerContinuous" vertical="center"/>
    </xf>
    <xf numFmtId="0" fontId="86" fillId="8" borderId="15" xfId="57" applyFont="1" applyFill="1" applyBorder="1" applyAlignment="1">
      <alignment horizontal="centerContinuous" vertical="center"/>
    </xf>
    <xf numFmtId="0" fontId="86" fillId="8" borderId="23" xfId="57" applyFont="1" applyFill="1" applyBorder="1" applyAlignment="1">
      <alignment horizontal="centerContinuous" vertical="center"/>
    </xf>
    <xf numFmtId="0" fontId="86" fillId="8" borderId="15" xfId="57" applyFont="1" applyFill="1" applyBorder="1" applyAlignment="1">
      <alignment horizontal="center" vertical="center"/>
    </xf>
    <xf numFmtId="0" fontId="86" fillId="8" borderId="26" xfId="57" applyFont="1" applyFill="1" applyBorder="1" applyAlignment="1">
      <alignment horizontal="center" vertical="center"/>
    </xf>
    <xf numFmtId="0" fontId="86" fillId="8" borderId="23" xfId="57" applyFont="1" applyFill="1" applyBorder="1" applyAlignment="1">
      <alignment horizontal="center" vertical="center"/>
    </xf>
    <xf numFmtId="0" fontId="86" fillId="8" borderId="26" xfId="57" applyFont="1" applyFill="1" applyBorder="1" applyAlignment="1">
      <alignment horizontal="centerContinuous" vertical="center"/>
    </xf>
    <xf numFmtId="0" fontId="86" fillId="8" borderId="28" xfId="57" applyFont="1" applyFill="1" applyBorder="1" applyAlignment="1">
      <alignment horizontal="centerContinuous" vertical="center"/>
    </xf>
    <xf numFmtId="0" fontId="86" fillId="8" borderId="15" xfId="60" applyFont="1" applyFill="1" applyBorder="1" applyAlignment="1">
      <alignment horizontal="centerContinuous" vertical="center"/>
    </xf>
    <xf numFmtId="0" fontId="86" fillId="8" borderId="26" xfId="60" applyFont="1" applyFill="1" applyBorder="1" applyAlignment="1">
      <alignment horizontal="centerContinuous" vertical="center"/>
    </xf>
    <xf numFmtId="0" fontId="86" fillId="8" borderId="23" xfId="60" applyFont="1" applyFill="1" applyBorder="1" applyAlignment="1">
      <alignment horizontal="centerContinuous" vertical="center"/>
    </xf>
    <xf numFmtId="0" fontId="86" fillId="8" borderId="32" xfId="60" applyFont="1" applyFill="1" applyBorder="1" applyAlignment="1">
      <alignment horizontal="centerContinuous" vertical="center"/>
    </xf>
    <xf numFmtId="0" fontId="86" fillId="8" borderId="26" xfId="60" applyFont="1" applyFill="1" applyBorder="1" applyAlignment="1">
      <alignment horizontal="center" vertical="center"/>
    </xf>
    <xf numFmtId="0" fontId="86" fillId="8" borderId="15" xfId="60" applyFont="1" applyFill="1" applyBorder="1" applyAlignment="1">
      <alignment horizontal="center" vertical="center"/>
    </xf>
    <xf numFmtId="0" fontId="86" fillId="8" borderId="23" xfId="60" applyFont="1" applyFill="1" applyBorder="1" applyAlignment="1">
      <alignment horizontal="center" vertical="center"/>
    </xf>
    <xf numFmtId="0" fontId="86" fillId="8" borderId="15" xfId="60" applyFont="1" applyFill="1" applyBorder="1" applyAlignment="1">
      <alignment horizontal="center" vertical="center" wrapText="1"/>
    </xf>
    <xf numFmtId="0" fontId="86" fillId="8" borderId="31" xfId="57" applyFont="1" applyFill="1" applyBorder="1" applyAlignment="1">
      <alignment horizontal="center" vertical="center"/>
    </xf>
    <xf numFmtId="0" fontId="86" fillId="8" borderId="32" xfId="57" applyFont="1" applyFill="1" applyBorder="1" applyAlignment="1">
      <alignment horizontal="centerContinuous" vertical="center"/>
    </xf>
    <xf numFmtId="0" fontId="86" fillId="8" borderId="10" xfId="57" applyFont="1" applyFill="1" applyBorder="1" applyAlignment="1">
      <alignment horizontal="centerContinuous" vertical="center"/>
    </xf>
    <xf numFmtId="0" fontId="86" fillId="8" borderId="31" xfId="57" applyFont="1" applyFill="1" applyBorder="1" applyAlignment="1">
      <alignment horizontal="centerContinuous" vertical="center"/>
    </xf>
    <xf numFmtId="17" fontId="87" fillId="0" borderId="0" xfId="45" applyNumberFormat="1" applyFont="1" applyAlignment="1">
      <alignment horizontal="left" vertical="center"/>
    </xf>
    <xf numFmtId="0" fontId="87" fillId="0" borderId="0" xfId="45" applyFont="1"/>
    <xf numFmtId="0" fontId="46" fillId="0" borderId="0" xfId="47" applyFont="1" applyAlignment="1">
      <alignment horizontal="center"/>
    </xf>
    <xf numFmtId="0" fontId="83" fillId="2" borderId="29" xfId="47" applyFont="1" applyFill="1" applyBorder="1" applyAlignment="1">
      <alignment vertical="center"/>
    </xf>
    <xf numFmtId="0" fontId="83" fillId="0" borderId="0" xfId="47" applyFont="1"/>
    <xf numFmtId="0" fontId="46" fillId="0" borderId="0" xfId="47" applyFont="1"/>
    <xf numFmtId="4" fontId="86" fillId="8" borderId="23" xfId="57" applyNumberFormat="1" applyFont="1" applyFill="1" applyBorder="1" applyAlignment="1">
      <alignment vertical="center"/>
    </xf>
    <xf numFmtId="0" fontId="36" fillId="0" borderId="0" xfId="53" applyNumberFormat="1" applyFont="1" applyFill="1" applyBorder="1" applyAlignment="1">
      <alignment horizontal="center" vertical="center"/>
    </xf>
    <xf numFmtId="0" fontId="35" fillId="0" borderId="0" xfId="53" applyNumberFormat="1" applyFont="1" applyFill="1" applyBorder="1" applyAlignment="1">
      <alignment horizontal="center" vertical="center"/>
    </xf>
    <xf numFmtId="49" fontId="36" fillId="0" borderId="0" xfId="53" applyNumberFormat="1" applyFont="1" applyFill="1" applyBorder="1" applyAlignment="1">
      <alignment vertical="center"/>
    </xf>
    <xf numFmtId="0" fontId="89" fillId="0" borderId="0" xfId="45" applyFont="1"/>
    <xf numFmtId="0" fontId="72" fillId="0" borderId="4" xfId="45" applyFont="1" applyBorder="1" applyAlignment="1">
      <alignment vertical="center"/>
    </xf>
    <xf numFmtId="0" fontId="80" fillId="0" borderId="6" xfId="45" applyFont="1" applyBorder="1" applyAlignment="1">
      <alignment horizontal="center" vertical="center"/>
    </xf>
    <xf numFmtId="0" fontId="46" fillId="0" borderId="0" xfId="81" applyFont="1" applyAlignment="1">
      <alignment horizontal="center" vertical="center"/>
    </xf>
    <xf numFmtId="0" fontId="31" fillId="0" borderId="35" xfId="53" applyNumberFormat="1" applyFont="1" applyFill="1" applyBorder="1" applyAlignment="1">
      <alignment vertical="center"/>
    </xf>
    <xf numFmtId="0" fontId="31" fillId="0" borderId="28" xfId="53" applyNumberFormat="1" applyFont="1" applyFill="1" applyBorder="1" applyAlignment="1">
      <alignment vertical="center"/>
    </xf>
    <xf numFmtId="0" fontId="31" fillId="0" borderId="0" xfId="53" applyFont="1" applyBorder="1" applyAlignment="1">
      <alignment horizontal="center"/>
    </xf>
    <xf numFmtId="0" fontId="80" fillId="0" borderId="0" xfId="81" applyFont="1" applyAlignment="1">
      <alignment vertical="center"/>
    </xf>
    <xf numFmtId="0" fontId="46" fillId="0" borderId="21" xfId="45" applyFont="1" applyBorder="1" applyAlignment="1">
      <alignment horizontal="fill"/>
    </xf>
    <xf numFmtId="167" fontId="46" fillId="0" borderId="21" xfId="45" applyNumberFormat="1" applyFont="1" applyBorder="1" applyAlignment="1">
      <alignment horizontal="fill"/>
    </xf>
    <xf numFmtId="0" fontId="46" fillId="0" borderId="21" xfId="45" applyFont="1" applyBorder="1"/>
    <xf numFmtId="0" fontId="46" fillId="0" borderId="44" xfId="47" applyFont="1" applyBorder="1"/>
    <xf numFmtId="0" fontId="82" fillId="0" borderId="44" xfId="45" applyFont="1" applyBorder="1"/>
    <xf numFmtId="17" fontId="89" fillId="0" borderId="6" xfId="45" applyNumberFormat="1" applyFont="1" applyBorder="1" applyAlignment="1">
      <alignment horizontal="left" vertical="center"/>
    </xf>
    <xf numFmtId="0" fontId="89" fillId="0" borderId="6" xfId="45" applyFont="1" applyBorder="1" applyAlignment="1">
      <alignment vertical="center"/>
    </xf>
    <xf numFmtId="17" fontId="46" fillId="0" borderId="6" xfId="45" applyNumberFormat="1" applyFont="1" applyBorder="1" applyAlignment="1">
      <alignment horizontal="left" vertical="center"/>
    </xf>
    <xf numFmtId="0" fontId="89" fillId="0" borderId="6" xfId="45" applyFont="1" applyBorder="1"/>
    <xf numFmtId="0" fontId="90" fillId="8" borderId="34" xfId="47" applyFont="1" applyFill="1" applyBorder="1" applyAlignment="1">
      <alignment horizontal="center" vertical="center"/>
    </xf>
    <xf numFmtId="0" fontId="90" fillId="8" borderId="35" xfId="47" applyFont="1" applyFill="1" applyBorder="1" applyAlignment="1">
      <alignment horizontal="center" vertical="center"/>
    </xf>
    <xf numFmtId="0" fontId="90" fillId="8" borderId="33" xfId="47" applyFont="1" applyFill="1" applyBorder="1" applyAlignment="1">
      <alignment horizontal="center" vertical="center"/>
    </xf>
    <xf numFmtId="0" fontId="90" fillId="8" borderId="24" xfId="47" applyFont="1" applyFill="1" applyBorder="1" applyAlignment="1">
      <alignment horizontal="center" vertical="center"/>
    </xf>
    <xf numFmtId="0" fontId="46" fillId="0" borderId="21" xfId="45" applyFont="1" applyBorder="1" applyAlignment="1">
      <alignment horizontal="center"/>
    </xf>
    <xf numFmtId="0" fontId="46" fillId="0" borderId="44" xfId="47" applyFont="1" applyBorder="1" applyAlignment="1">
      <alignment horizontal="center"/>
    </xf>
    <xf numFmtId="0" fontId="99" fillId="0" borderId="0" xfId="81" applyFont="1" applyAlignment="1">
      <alignment horizontal="left" vertical="center"/>
    </xf>
    <xf numFmtId="0" fontId="99" fillId="0" borderId="0" xfId="45" applyFont="1" applyAlignment="1">
      <alignment horizontal="left" vertical="center"/>
    </xf>
    <xf numFmtId="14" fontId="99" fillId="0" borderId="0" xfId="45" applyNumberFormat="1" applyFont="1" applyAlignment="1">
      <alignment horizontal="left" vertical="center"/>
    </xf>
    <xf numFmtId="0" fontId="99" fillId="0" borderId="0" xfId="45" applyFont="1" applyAlignment="1">
      <alignment horizontal="left"/>
    </xf>
    <xf numFmtId="0" fontId="99" fillId="0" borderId="0" xfId="47" applyFont="1" applyAlignment="1">
      <alignment horizontal="left" vertical="center"/>
    </xf>
    <xf numFmtId="4" fontId="99" fillId="0" borderId="0" xfId="47" applyNumberFormat="1" applyFont="1" applyAlignment="1">
      <alignment horizontal="left" vertical="center"/>
    </xf>
    <xf numFmtId="0" fontId="99" fillId="0" borderId="0" xfId="47" applyFont="1" applyAlignment="1">
      <alignment horizontal="left"/>
    </xf>
    <xf numFmtId="0" fontId="101" fillId="0" borderId="0" xfId="53" applyNumberFormat="1" applyFont="1" applyFill="1" applyBorder="1" applyAlignment="1">
      <alignment horizontal="center" vertical="center"/>
    </xf>
    <xf numFmtId="0" fontId="31" fillId="0" borderId="4" xfId="53" applyFont="1" applyBorder="1" applyAlignment="1">
      <alignment horizontal="center" vertical="center"/>
    </xf>
    <xf numFmtId="0" fontId="47" fillId="0" borderId="4" xfId="45" applyFont="1" applyBorder="1" applyAlignment="1">
      <alignment horizontal="left" vertical="center"/>
    </xf>
    <xf numFmtId="167" fontId="89" fillId="0" borderId="3" xfId="83" applyFont="1" applyFill="1" applyBorder="1" applyAlignment="1" applyProtection="1">
      <alignment vertical="center"/>
    </xf>
    <xf numFmtId="4" fontId="89" fillId="2" borderId="3" xfId="47" applyNumberFormat="1" applyFont="1" applyFill="1" applyBorder="1" applyAlignment="1">
      <alignment vertical="center"/>
    </xf>
    <xf numFmtId="4" fontId="89" fillId="2" borderId="3" xfId="47" applyNumberFormat="1" applyFont="1" applyFill="1" applyBorder="1" applyAlignment="1">
      <alignment horizontal="center" vertical="center"/>
    </xf>
    <xf numFmtId="0" fontId="94" fillId="2" borderId="3" xfId="47" applyFont="1" applyFill="1" applyBorder="1" applyAlignment="1">
      <alignment horizontal="center" vertical="center"/>
    </xf>
    <xf numFmtId="0" fontId="89" fillId="2" borderId="3" xfId="47" applyFont="1" applyFill="1" applyBorder="1" applyAlignment="1">
      <alignment vertical="center"/>
    </xf>
    <xf numFmtId="0" fontId="89" fillId="2" borderId="3" xfId="47" applyFont="1" applyFill="1" applyBorder="1" applyAlignment="1">
      <alignment horizontal="center" vertical="center"/>
    </xf>
    <xf numFmtId="49" fontId="102" fillId="2" borderId="14" xfId="47" applyNumberFormat="1" applyFont="1" applyFill="1" applyBorder="1" applyAlignment="1">
      <alignment vertical="center"/>
    </xf>
    <xf numFmtId="49" fontId="102" fillId="2" borderId="40" xfId="47" applyNumberFormat="1" applyFont="1" applyFill="1" applyBorder="1" applyAlignment="1">
      <alignment vertical="center"/>
    </xf>
    <xf numFmtId="0" fontId="94" fillId="2" borderId="74" xfId="47" applyFont="1" applyFill="1" applyBorder="1" applyAlignment="1">
      <alignment horizontal="center" vertical="center"/>
    </xf>
    <xf numFmtId="0" fontId="89" fillId="2" borderId="74" xfId="47" applyFont="1" applyFill="1" applyBorder="1" applyAlignment="1">
      <alignment vertical="center"/>
    </xf>
    <xf numFmtId="0" fontId="89" fillId="2" borderId="74" xfId="47" applyFont="1" applyFill="1" applyBorder="1" applyAlignment="1">
      <alignment horizontal="center" vertical="center"/>
    </xf>
    <xf numFmtId="4" fontId="89" fillId="2" borderId="74" xfId="47" applyNumberFormat="1" applyFont="1" applyFill="1" applyBorder="1" applyAlignment="1">
      <alignment vertical="center"/>
    </xf>
    <xf numFmtId="4" fontId="89" fillId="2" borderId="74" xfId="47" applyNumberFormat="1" applyFont="1" applyFill="1" applyBorder="1" applyAlignment="1">
      <alignment horizontal="center" vertical="center"/>
    </xf>
    <xf numFmtId="0" fontId="31" fillId="0" borderId="31" xfId="53" applyNumberFormat="1" applyFont="1" applyFill="1" applyBorder="1" applyAlignment="1">
      <alignment vertical="center"/>
    </xf>
    <xf numFmtId="0" fontId="31" fillId="0" borderId="33" xfId="53" applyNumberFormat="1" applyFont="1" applyFill="1" applyBorder="1" applyAlignment="1">
      <alignment vertical="center"/>
    </xf>
    <xf numFmtId="0" fontId="31" fillId="0" borderId="24" xfId="53" applyNumberFormat="1" applyFont="1" applyFill="1" applyBorder="1" applyAlignment="1">
      <alignment vertical="center"/>
    </xf>
    <xf numFmtId="4" fontId="36" fillId="3" borderId="78" xfId="50" applyNumberFormat="1" applyFont="1" applyFill="1" applyBorder="1" applyAlignment="1">
      <alignment vertical="center"/>
    </xf>
    <xf numFmtId="4" fontId="36" fillId="3" borderId="78" xfId="50" applyNumberFormat="1" applyFont="1" applyFill="1" applyBorder="1" applyAlignment="1">
      <alignment vertical="center" wrapText="1"/>
    </xf>
    <xf numFmtId="2" fontId="35" fillId="0" borderId="0" xfId="57" applyNumberFormat="1" applyFont="1" applyAlignment="1">
      <alignment horizontal="center" vertical="center"/>
    </xf>
    <xf numFmtId="0" fontId="31" fillId="0" borderId="24" xfId="57" applyBorder="1" applyAlignment="1">
      <alignment horizontal="center"/>
    </xf>
    <xf numFmtId="0" fontId="83" fillId="0" borderId="0" xfId="47" applyFont="1" applyAlignment="1">
      <alignment horizontal="center"/>
    </xf>
    <xf numFmtId="4" fontId="79" fillId="3" borderId="3" xfId="47" applyNumberFormat="1" applyFont="1" applyFill="1" applyBorder="1" applyAlignment="1">
      <alignment vertical="center"/>
    </xf>
    <xf numFmtId="4" fontId="100" fillId="3" borderId="3" xfId="47" applyNumberFormat="1" applyFont="1" applyFill="1" applyBorder="1" applyAlignment="1">
      <alignment vertical="center"/>
    </xf>
    <xf numFmtId="0" fontId="79" fillId="9" borderId="23" xfId="45" applyFont="1" applyFill="1" applyBorder="1" applyAlignment="1">
      <alignment vertical="center"/>
    </xf>
    <xf numFmtId="0" fontId="79" fillId="9" borderId="25" xfId="45" applyFont="1" applyFill="1" applyBorder="1" applyAlignment="1">
      <alignment vertical="center"/>
    </xf>
    <xf numFmtId="0" fontId="46" fillId="0" borderId="0" xfId="53" applyNumberFormat="1" applyFont="1" applyFill="1" applyBorder="1" applyAlignment="1">
      <alignment vertical="center"/>
    </xf>
    <xf numFmtId="0" fontId="46" fillId="0" borderId="0" xfId="53" applyNumberFormat="1" applyFont="1" applyFill="1" applyBorder="1" applyAlignment="1">
      <alignment horizontal="center" vertical="center"/>
    </xf>
    <xf numFmtId="0" fontId="48" fillId="0" borderId="0" xfId="53" applyNumberFormat="1" applyFont="1" applyFill="1" applyBorder="1" applyAlignment="1">
      <alignment vertical="center"/>
    </xf>
    <xf numFmtId="0" fontId="48" fillId="0" borderId="0" xfId="53" applyNumberFormat="1" applyFont="1" applyFill="1" applyBorder="1" applyAlignment="1">
      <alignment horizontal="center" vertical="center"/>
    </xf>
    <xf numFmtId="0" fontId="56" fillId="0" borderId="7" xfId="53" applyFont="1" applyBorder="1" applyAlignment="1">
      <alignment vertical="center"/>
    </xf>
    <xf numFmtId="0" fontId="56" fillId="0" borderId="24" xfId="53" applyFont="1" applyBorder="1" applyAlignment="1">
      <alignment vertical="center"/>
    </xf>
    <xf numFmtId="0" fontId="86" fillId="8" borderId="28" xfId="57" applyFont="1" applyFill="1" applyBorder="1" applyAlignment="1">
      <alignment horizontal="center" vertical="center"/>
    </xf>
    <xf numFmtId="0" fontId="86" fillId="8" borderId="8" xfId="57" applyFont="1" applyFill="1" applyBorder="1" applyAlignment="1">
      <alignment horizontal="center" vertical="center"/>
    </xf>
    <xf numFmtId="0" fontId="86" fillId="8" borderId="1" xfId="57" applyFont="1" applyFill="1" applyBorder="1" applyAlignment="1">
      <alignment horizontal="center" vertical="center"/>
    </xf>
    <xf numFmtId="0" fontId="79" fillId="3" borderId="50" xfId="41" applyFont="1" applyFill="1" applyBorder="1" applyAlignment="1">
      <alignment vertical="center"/>
    </xf>
    <xf numFmtId="0" fontId="36" fillId="2" borderId="0" xfId="57" applyFont="1" applyFill="1" applyAlignment="1">
      <alignment horizontal="center" vertical="center"/>
    </xf>
    <xf numFmtId="4" fontId="79" fillId="3" borderId="77" xfId="50" applyNumberFormat="1" applyFont="1" applyFill="1" applyBorder="1" applyAlignment="1">
      <alignment vertical="center"/>
    </xf>
    <xf numFmtId="0" fontId="86" fillId="8" borderId="8" xfId="57" applyFont="1" applyFill="1" applyBorder="1" applyAlignment="1">
      <alignment horizontal="center" vertical="top" wrapText="1"/>
    </xf>
    <xf numFmtId="0" fontId="86" fillId="8" borderId="28" xfId="57" applyFont="1" applyFill="1" applyBorder="1" applyAlignment="1">
      <alignment horizontal="center" vertical="top"/>
    </xf>
    <xf numFmtId="2" fontId="36" fillId="3" borderId="88" xfId="57" applyNumberFormat="1" applyFont="1" applyFill="1" applyBorder="1" applyAlignment="1">
      <alignment vertical="center"/>
    </xf>
    <xf numFmtId="2" fontId="36" fillId="3" borderId="65" xfId="57" applyNumberFormat="1" applyFont="1" applyFill="1" applyBorder="1" applyAlignment="1">
      <alignment vertical="center"/>
    </xf>
    <xf numFmtId="2" fontId="66" fillId="3" borderId="66" xfId="57" applyNumberFormat="1" applyFont="1" applyFill="1" applyBorder="1" applyAlignment="1">
      <alignment vertical="center"/>
    </xf>
    <xf numFmtId="2" fontId="66" fillId="3" borderId="87" xfId="57" applyNumberFormat="1" applyFont="1" applyFill="1" applyBorder="1" applyAlignment="1">
      <alignment horizontal="center" vertical="center"/>
    </xf>
    <xf numFmtId="2" fontId="66" fillId="3" borderId="66" xfId="57" applyNumberFormat="1" applyFont="1" applyFill="1" applyBorder="1" applyAlignment="1">
      <alignment horizontal="center" vertical="center"/>
    </xf>
    <xf numFmtId="2" fontId="36" fillId="3" borderId="67" xfId="57" applyNumberFormat="1" applyFont="1" applyFill="1" applyBorder="1" applyAlignment="1">
      <alignment vertical="center"/>
    </xf>
    <xf numFmtId="2" fontId="66" fillId="3" borderId="68" xfId="57" applyNumberFormat="1" applyFont="1" applyFill="1" applyBorder="1" applyAlignment="1">
      <alignment horizontal="center" vertical="center"/>
    </xf>
    <xf numFmtId="2" fontId="86" fillId="8" borderId="93" xfId="57" applyNumberFormat="1" applyFont="1" applyFill="1" applyBorder="1" applyAlignment="1">
      <alignment vertical="center"/>
    </xf>
    <xf numFmtId="2" fontId="35" fillId="3" borderId="90" xfId="57" applyNumberFormat="1" applyFont="1" applyFill="1" applyBorder="1" applyAlignment="1">
      <alignment horizontal="left" vertical="center"/>
    </xf>
    <xf numFmtId="2" fontId="35" fillId="3" borderId="90" xfId="57" applyNumberFormat="1" applyFont="1" applyFill="1" applyBorder="1" applyAlignment="1">
      <alignment horizontal="center" vertical="center"/>
    </xf>
    <xf numFmtId="0" fontId="36" fillId="0" borderId="0" xfId="57" applyFont="1" applyAlignment="1">
      <alignment horizontal="center"/>
    </xf>
    <xf numFmtId="0" fontId="63" fillId="3" borderId="98" xfId="57" applyFont="1" applyFill="1" applyBorder="1" applyAlignment="1">
      <alignment vertical="center"/>
    </xf>
    <xf numFmtId="0" fontId="63" fillId="3" borderId="96" xfId="57" applyFont="1" applyFill="1" applyBorder="1" applyAlignment="1">
      <alignment vertical="center"/>
    </xf>
    <xf numFmtId="0" fontId="31" fillId="0" borderId="50" xfId="60" applyFont="1" applyBorder="1"/>
    <xf numFmtId="4" fontId="35" fillId="3" borderId="50" xfId="60" applyNumberFormat="1" applyFont="1" applyFill="1" applyBorder="1" applyAlignment="1">
      <alignment vertical="center"/>
    </xf>
    <xf numFmtId="2" fontId="36" fillId="3" borderId="68" xfId="57" applyNumberFormat="1" applyFont="1" applyFill="1" applyBorder="1" applyAlignment="1">
      <alignment vertical="center"/>
    </xf>
    <xf numFmtId="2" fontId="79" fillId="3" borderId="96" xfId="57" applyNumberFormat="1" applyFont="1" applyFill="1" applyBorder="1" applyAlignment="1">
      <alignment vertical="center"/>
    </xf>
    <xf numFmtId="1" fontId="79" fillId="3" borderId="96" xfId="57" applyNumberFormat="1" applyFont="1" applyFill="1" applyBorder="1" applyAlignment="1">
      <alignment horizontal="center" vertical="center"/>
    </xf>
    <xf numFmtId="4" fontId="79" fillId="3" borderId="96" xfId="57" applyNumberFormat="1" applyFont="1" applyFill="1" applyBorder="1" applyAlignment="1">
      <alignment vertical="center"/>
    </xf>
    <xf numFmtId="0" fontId="46" fillId="0" borderId="75" xfId="60" applyFont="1" applyBorder="1"/>
    <xf numFmtId="0" fontId="46" fillId="0" borderId="0" xfId="60" applyFont="1"/>
    <xf numFmtId="0" fontId="79" fillId="3" borderId="50" xfId="57" applyFont="1" applyFill="1" applyBorder="1" applyAlignment="1">
      <alignment vertical="center"/>
    </xf>
    <xf numFmtId="2" fontId="79" fillId="3" borderId="50" xfId="57" applyNumberFormat="1" applyFont="1" applyFill="1" applyBorder="1" applyAlignment="1">
      <alignment vertical="center"/>
    </xf>
    <xf numFmtId="1" fontId="79" fillId="3" borderId="50" xfId="57" applyNumberFormat="1" applyFont="1" applyFill="1" applyBorder="1" applyAlignment="1">
      <alignment horizontal="center" vertical="center"/>
    </xf>
    <xf numFmtId="4" fontId="79" fillId="3" borderId="50" xfId="57" applyNumberFormat="1" applyFont="1" applyFill="1" applyBorder="1" applyAlignment="1">
      <alignment vertical="center"/>
    </xf>
    <xf numFmtId="2" fontId="79" fillId="3" borderId="90" xfId="57" applyNumberFormat="1" applyFont="1" applyFill="1" applyBorder="1" applyAlignment="1">
      <alignment vertical="center"/>
    </xf>
    <xf numFmtId="2" fontId="86" fillId="8" borderId="95" xfId="57" applyNumberFormat="1" applyFont="1" applyFill="1" applyBorder="1" applyAlignment="1">
      <alignment horizontal="center" vertical="center"/>
    </xf>
    <xf numFmtId="0" fontId="83" fillId="0" borderId="0" xfId="45" applyFont="1" applyAlignment="1">
      <alignment horizontal="center"/>
    </xf>
    <xf numFmtId="0" fontId="48" fillId="0" borderId="0" xfId="41" applyFont="1" applyAlignment="1">
      <alignment vertical="center"/>
    </xf>
    <xf numFmtId="0" fontId="103" fillId="0" borderId="0" xfId="58" applyFont="1" applyAlignment="1">
      <alignment vertical="center"/>
    </xf>
    <xf numFmtId="4" fontId="82" fillId="3" borderId="50" xfId="41" applyNumberFormat="1" applyFont="1" applyFill="1" applyBorder="1" applyAlignment="1">
      <alignment vertical="center"/>
    </xf>
    <xf numFmtId="0" fontId="83" fillId="0" borderId="0" xfId="41" applyFont="1" applyAlignment="1">
      <alignment vertical="center"/>
    </xf>
    <xf numFmtId="4" fontId="83" fillId="3" borderId="69" xfId="50" applyNumberFormat="1" applyFont="1" applyFill="1" applyBorder="1" applyAlignment="1">
      <alignment vertical="center"/>
    </xf>
    <xf numFmtId="0" fontId="86" fillId="8" borderId="8" xfId="57" applyFont="1" applyFill="1" applyBorder="1" applyAlignment="1">
      <alignment horizontal="center" vertical="center" wrapText="1"/>
    </xf>
    <xf numFmtId="0" fontId="86" fillId="8" borderId="32" xfId="57" applyFont="1" applyFill="1" applyBorder="1" applyAlignment="1">
      <alignment horizontal="center" vertical="center" wrapText="1"/>
    </xf>
    <xf numFmtId="0" fontId="86" fillId="8" borderId="10" xfId="57" applyFont="1" applyFill="1" applyBorder="1" applyAlignment="1">
      <alignment horizontal="center" vertical="center" wrapText="1"/>
    </xf>
    <xf numFmtId="0" fontId="86" fillId="8" borderId="28" xfId="57" applyFont="1" applyFill="1" applyBorder="1" applyAlignment="1">
      <alignment horizontal="center" vertical="center" wrapText="1"/>
    </xf>
    <xf numFmtId="4" fontId="35" fillId="0" borderId="0" xfId="57" applyNumberFormat="1" applyFont="1" applyAlignment="1">
      <alignment horizontal="center" vertical="center"/>
    </xf>
    <xf numFmtId="0" fontId="31" fillId="0" borderId="0" xfId="57" applyAlignment="1">
      <alignment horizontal="center" vertical="center"/>
    </xf>
    <xf numFmtId="4" fontId="79" fillId="3" borderId="93" xfId="50" applyNumberFormat="1" applyFont="1" applyFill="1" applyBorder="1" applyAlignment="1">
      <alignment vertical="center"/>
    </xf>
    <xf numFmtId="0" fontId="46" fillId="0" borderId="0" xfId="57" applyFont="1"/>
    <xf numFmtId="0" fontId="46" fillId="0" borderId="0" xfId="57" applyFont="1" applyAlignment="1">
      <alignment vertical="center"/>
    </xf>
    <xf numFmtId="0" fontId="46" fillId="0" borderId="0" xfId="57" applyFont="1" applyAlignment="1">
      <alignment wrapText="1"/>
    </xf>
    <xf numFmtId="0" fontId="46" fillId="0" borderId="0" xfId="57" applyFont="1" applyAlignment="1">
      <alignment vertical="center" wrapText="1"/>
    </xf>
    <xf numFmtId="0" fontId="82" fillId="0" borderId="0" xfId="57" applyFont="1" applyAlignment="1">
      <alignment vertical="center"/>
    </xf>
    <xf numFmtId="2" fontId="48" fillId="2" borderId="0" xfId="57" applyNumberFormat="1" applyFont="1" applyFill="1" applyAlignment="1">
      <alignment vertical="center"/>
    </xf>
    <xf numFmtId="0" fontId="48" fillId="0" borderId="0" xfId="57" applyFont="1" applyAlignment="1">
      <alignment vertical="center"/>
    </xf>
    <xf numFmtId="4" fontId="82" fillId="0" borderId="0" xfId="57" applyNumberFormat="1" applyFont="1" applyAlignment="1">
      <alignment vertical="center"/>
    </xf>
    <xf numFmtId="0" fontId="83" fillId="0" borderId="0" xfId="57" applyFont="1"/>
    <xf numFmtId="4" fontId="83" fillId="3" borderId="94" xfId="50" applyNumberFormat="1" applyFont="1" applyFill="1" applyBorder="1" applyAlignment="1">
      <alignment vertical="center"/>
    </xf>
    <xf numFmtId="4" fontId="83" fillId="3" borderId="94" xfId="50" applyNumberFormat="1" applyFont="1" applyFill="1" applyBorder="1" applyAlignment="1">
      <alignment horizontal="center" vertical="center"/>
    </xf>
    <xf numFmtId="4" fontId="83" fillId="3" borderId="95" xfId="50" applyNumberFormat="1" applyFont="1" applyFill="1" applyBorder="1" applyAlignment="1">
      <alignment vertical="center"/>
    </xf>
    <xf numFmtId="2" fontId="83" fillId="0" borderId="29" xfId="57" applyNumberFormat="1" applyFont="1" applyBorder="1" applyAlignment="1">
      <alignment vertical="center"/>
    </xf>
    <xf numFmtId="2" fontId="83" fillId="3" borderId="46" xfId="57" applyNumberFormat="1" applyFont="1" applyFill="1" applyBorder="1" applyAlignment="1">
      <alignment vertical="center"/>
    </xf>
    <xf numFmtId="2" fontId="83" fillId="3" borderId="29" xfId="57" applyNumberFormat="1" applyFont="1" applyFill="1" applyBorder="1" applyAlignment="1">
      <alignment vertical="center"/>
    </xf>
    <xf numFmtId="2" fontId="83" fillId="3" borderId="48" xfId="57" applyNumberFormat="1" applyFont="1" applyFill="1" applyBorder="1" applyAlignment="1">
      <alignment vertical="center"/>
    </xf>
    <xf numFmtId="2" fontId="83" fillId="2" borderId="29" xfId="57" applyNumberFormat="1" applyFont="1" applyFill="1" applyBorder="1" applyAlignment="1">
      <alignment vertical="center"/>
    </xf>
    <xf numFmtId="4" fontId="104" fillId="3" borderId="70" xfId="50" applyNumberFormat="1" applyFont="1" applyFill="1" applyBorder="1" applyAlignment="1">
      <alignment horizontal="center" vertical="center"/>
    </xf>
    <xf numFmtId="2" fontId="83" fillId="3" borderId="39" xfId="57" applyNumberFormat="1" applyFont="1" applyFill="1" applyBorder="1" applyAlignment="1">
      <alignment vertical="center"/>
    </xf>
    <xf numFmtId="4" fontId="79" fillId="3" borderId="11" xfId="57" applyNumberFormat="1" applyFont="1" applyFill="1" applyBorder="1" applyAlignment="1">
      <alignment vertical="center"/>
    </xf>
    <xf numFmtId="4" fontId="79" fillId="3" borderId="85" xfId="57" applyNumberFormat="1" applyFont="1" applyFill="1" applyBorder="1" applyAlignment="1">
      <alignment vertical="center"/>
    </xf>
    <xf numFmtId="0" fontId="83" fillId="0" borderId="0" xfId="57" applyFont="1" applyAlignment="1">
      <alignment vertical="center"/>
    </xf>
    <xf numFmtId="1" fontId="83" fillId="0" borderId="29" xfId="57" applyNumberFormat="1" applyFont="1" applyBorder="1" applyAlignment="1">
      <alignment horizontal="center" vertical="center"/>
    </xf>
    <xf numFmtId="0" fontId="83" fillId="0" borderId="38" xfId="57" applyFont="1" applyBorder="1" applyAlignment="1">
      <alignment vertical="center"/>
    </xf>
    <xf numFmtId="179" fontId="48" fillId="5" borderId="18" xfId="58" applyNumberFormat="1" applyFont="1" applyFill="1" applyBorder="1" applyAlignment="1">
      <alignment horizontal="center" vertical="center"/>
    </xf>
    <xf numFmtId="0" fontId="83" fillId="0" borderId="49" xfId="41" quotePrefix="1" applyFont="1" applyBorder="1" applyAlignment="1">
      <alignment vertical="center"/>
    </xf>
    <xf numFmtId="0" fontId="46" fillId="0" borderId="0" xfId="41" applyFont="1" applyAlignment="1">
      <alignment vertical="center"/>
    </xf>
    <xf numFmtId="0" fontId="83" fillId="0" borderId="0" xfId="57" applyFont="1" applyAlignment="1">
      <alignment horizontal="center"/>
    </xf>
    <xf numFmtId="4" fontId="79" fillId="3" borderId="50" xfId="57" applyNumberFormat="1" applyFont="1" applyFill="1" applyBorder="1" applyAlignment="1">
      <alignment vertical="center" wrapText="1"/>
    </xf>
    <xf numFmtId="0" fontId="83" fillId="0" borderId="0" xfId="58" applyFont="1" applyAlignment="1">
      <alignment vertical="center"/>
    </xf>
    <xf numFmtId="0" fontId="86" fillId="8" borderId="34" xfId="57" applyFont="1" applyFill="1" applyBorder="1" applyAlignment="1">
      <alignment horizontal="center" vertical="center"/>
    </xf>
    <xf numFmtId="0" fontId="86" fillId="8" borderId="33" xfId="57" applyFont="1" applyFill="1" applyBorder="1" applyAlignment="1">
      <alignment horizontal="center" vertical="center"/>
    </xf>
    <xf numFmtId="0" fontId="86" fillId="8" borderId="35" xfId="57" applyFont="1" applyFill="1" applyBorder="1" applyAlignment="1">
      <alignment horizontal="center" vertical="center"/>
    </xf>
    <xf numFmtId="167" fontId="83" fillId="0" borderId="0" xfId="50" applyFont="1" applyAlignment="1">
      <alignment vertical="center"/>
    </xf>
    <xf numFmtId="0" fontId="83" fillId="2" borderId="29" xfId="41" applyFont="1" applyFill="1" applyBorder="1" applyAlignment="1">
      <alignment vertical="center" wrapText="1"/>
    </xf>
    <xf numFmtId="3" fontId="83" fillId="2" borderId="29" xfId="50" applyNumberFormat="1" applyFont="1" applyFill="1" applyBorder="1" applyAlignment="1">
      <alignment horizontal="center" vertical="center" wrapText="1"/>
    </xf>
    <xf numFmtId="4" fontId="83" fillId="0" borderId="29" xfId="50" applyNumberFormat="1" applyFont="1" applyFill="1" applyBorder="1" applyAlignment="1">
      <alignment vertical="center" wrapText="1"/>
    </xf>
    <xf numFmtId="4" fontId="83" fillId="3" borderId="29" xfId="50" applyNumberFormat="1" applyFont="1" applyFill="1" applyBorder="1" applyAlignment="1">
      <alignment vertical="center" wrapText="1"/>
    </xf>
    <xf numFmtId="4" fontId="83" fillId="3" borderId="39" xfId="50" applyNumberFormat="1" applyFont="1" applyFill="1" applyBorder="1" applyAlignment="1">
      <alignment vertical="center" wrapText="1"/>
    </xf>
    <xf numFmtId="0" fontId="83" fillId="2" borderId="0" xfId="41" applyFont="1" applyFill="1" applyAlignment="1">
      <alignment vertical="center"/>
    </xf>
    <xf numFmtId="4" fontId="79" fillId="3" borderId="0" xfId="41" applyNumberFormat="1" applyFont="1" applyFill="1" applyAlignment="1">
      <alignment vertical="center"/>
    </xf>
    <xf numFmtId="0" fontId="106" fillId="2" borderId="0" xfId="41" applyFont="1" applyFill="1" applyAlignment="1">
      <alignment vertical="center"/>
    </xf>
    <xf numFmtId="0" fontId="107" fillId="2" borderId="0" xfId="41" applyFont="1" applyFill="1" applyAlignment="1">
      <alignment horizontal="left" vertical="center"/>
    </xf>
    <xf numFmtId="0" fontId="79" fillId="2" borderId="0" xfId="41" applyFont="1" applyFill="1" applyAlignment="1">
      <alignment vertical="center"/>
    </xf>
    <xf numFmtId="0" fontId="83" fillId="2" borderId="29" xfId="41" quotePrefix="1" applyFont="1" applyFill="1" applyBorder="1" applyAlignment="1">
      <alignment vertical="center" wrapText="1"/>
    </xf>
    <xf numFmtId="0" fontId="79" fillId="3" borderId="64" xfId="41" applyFont="1" applyFill="1" applyBorder="1" applyAlignment="1">
      <alignment vertical="center"/>
    </xf>
    <xf numFmtId="3" fontId="79" fillId="3" borderId="50" xfId="41" applyNumberFormat="1" applyFont="1" applyFill="1" applyBorder="1" applyAlignment="1">
      <alignment horizontal="center" vertical="center"/>
    </xf>
    <xf numFmtId="0" fontId="83" fillId="3" borderId="50" xfId="41" applyFont="1" applyFill="1" applyBorder="1" applyAlignment="1">
      <alignment vertical="center"/>
    </xf>
    <xf numFmtId="0" fontId="107" fillId="3" borderId="50" xfId="41" applyFont="1" applyFill="1" applyBorder="1" applyAlignment="1">
      <alignment horizontal="right" vertical="center"/>
    </xf>
    <xf numFmtId="4" fontId="79" fillId="3" borderId="50" xfId="41" applyNumberFormat="1" applyFont="1" applyFill="1" applyBorder="1" applyAlignment="1">
      <alignment vertical="center"/>
    </xf>
    <xf numFmtId="4" fontId="79" fillId="3" borderId="76" xfId="41" applyNumberFormat="1" applyFont="1" applyFill="1" applyBorder="1" applyAlignment="1">
      <alignment vertical="center"/>
    </xf>
    <xf numFmtId="0" fontId="83" fillId="0" borderId="44" xfId="41" applyFont="1" applyBorder="1" applyAlignment="1">
      <alignment vertical="center"/>
    </xf>
    <xf numFmtId="4" fontId="79" fillId="3" borderId="44" xfId="41" applyNumberFormat="1" applyFont="1" applyFill="1" applyBorder="1" applyAlignment="1">
      <alignment vertical="center"/>
    </xf>
    <xf numFmtId="170" fontId="36" fillId="0" borderId="15" xfId="41" applyNumberFormat="1" applyFont="1" applyBorder="1" applyAlignment="1">
      <alignment horizontal="center" vertical="center"/>
    </xf>
    <xf numFmtId="170" fontId="36" fillId="0" borderId="19" xfId="41" applyNumberFormat="1" applyFont="1" applyBorder="1" applyAlignment="1">
      <alignment horizontal="center" vertical="center"/>
    </xf>
    <xf numFmtId="170" fontId="36" fillId="0" borderId="18" xfId="41" applyNumberFormat="1" applyFont="1" applyBorder="1" applyAlignment="1">
      <alignment horizontal="center" vertical="center"/>
    </xf>
    <xf numFmtId="170" fontId="36" fillId="0" borderId="20" xfId="41" applyNumberFormat="1" applyFont="1" applyBorder="1" applyAlignment="1">
      <alignment horizontal="center" vertical="center"/>
    </xf>
    <xf numFmtId="0" fontId="98" fillId="0" borderId="0" xfId="45" applyFont="1" applyAlignment="1">
      <alignment horizontal="center" vertical="center"/>
    </xf>
    <xf numFmtId="0" fontId="36" fillId="0" borderId="0" xfId="58" applyFont="1" applyAlignment="1">
      <alignment horizontal="center" vertical="center"/>
    </xf>
    <xf numFmtId="0" fontId="36" fillId="0" borderId="0" xfId="0" applyNumberFormat="1" applyFont="1" applyFill="1" applyBorder="1" applyAlignment="1">
      <alignment horizontal="center"/>
    </xf>
    <xf numFmtId="0" fontId="108" fillId="2" borderId="9" xfId="58" applyFont="1" applyFill="1" applyBorder="1" applyAlignment="1">
      <alignment vertical="center"/>
    </xf>
    <xf numFmtId="3" fontId="108" fillId="2" borderId="9" xfId="58" applyNumberFormat="1" applyFont="1" applyFill="1" applyBorder="1" applyAlignment="1">
      <alignment horizontal="center" vertical="center"/>
    </xf>
    <xf numFmtId="180" fontId="105" fillId="2" borderId="9" xfId="58" applyNumberFormat="1" applyFont="1" applyFill="1" applyBorder="1" applyAlignment="1">
      <alignment horizontal="center" vertical="center"/>
    </xf>
    <xf numFmtId="4" fontId="79" fillId="3" borderId="50" xfId="41" applyNumberFormat="1" applyFont="1" applyFill="1" applyBorder="1" applyAlignment="1">
      <alignment horizontal="center" vertical="center"/>
    </xf>
    <xf numFmtId="0" fontId="47" fillId="0" borderId="0" xfId="45" applyFont="1" applyAlignment="1">
      <alignment horizontal="left" vertical="center"/>
    </xf>
    <xf numFmtId="0" fontId="79" fillId="3" borderId="61" xfId="57" applyFont="1" applyFill="1" applyBorder="1" applyAlignment="1">
      <alignment vertical="center"/>
    </xf>
    <xf numFmtId="0" fontId="79" fillId="3" borderId="50" xfId="57" applyFont="1" applyFill="1" applyBorder="1" applyAlignment="1">
      <alignment horizontal="center" vertical="center"/>
    </xf>
    <xf numFmtId="0" fontId="83" fillId="0" borderId="0" xfId="60" applyFont="1"/>
    <xf numFmtId="4" fontId="79" fillId="3" borderId="50" xfId="57" applyNumberFormat="1" applyFont="1" applyFill="1" applyBorder="1" applyAlignment="1">
      <alignment horizontal="center" vertical="center"/>
    </xf>
    <xf numFmtId="4" fontId="79" fillId="3" borderId="90" xfId="57" applyNumberFormat="1" applyFont="1" applyFill="1" applyBorder="1" applyAlignment="1">
      <alignment vertical="center"/>
    </xf>
    <xf numFmtId="4" fontId="79" fillId="0" borderId="0" xfId="57" applyNumberFormat="1" applyFont="1" applyAlignment="1">
      <alignment vertical="center"/>
    </xf>
    <xf numFmtId="4" fontId="79" fillId="0" borderId="0" xfId="57" applyNumberFormat="1" applyFont="1" applyAlignment="1">
      <alignment horizontal="center" vertical="center"/>
    </xf>
    <xf numFmtId="0" fontId="83" fillId="0" borderId="0" xfId="57" applyFont="1" applyAlignment="1">
      <alignment horizontal="center" vertical="center"/>
    </xf>
    <xf numFmtId="14" fontId="46" fillId="0" borderId="0" xfId="45" applyNumberFormat="1" applyFont="1" applyAlignment="1">
      <alignment horizontal="left" vertical="center"/>
    </xf>
    <xf numFmtId="14" fontId="46" fillId="0" borderId="6" xfId="45" applyNumberFormat="1" applyFont="1" applyBorder="1" applyAlignment="1">
      <alignment horizontal="left" vertical="center"/>
    </xf>
    <xf numFmtId="14" fontId="72" fillId="0" borderId="0" xfId="45" applyNumberFormat="1" applyFont="1"/>
    <xf numFmtId="14" fontId="46" fillId="0" borderId="0" xfId="81" applyNumberFormat="1" applyFont="1" applyAlignment="1">
      <alignment vertical="center"/>
    </xf>
    <xf numFmtId="0" fontId="46" fillId="0" borderId="96" xfId="47" applyFont="1" applyBorder="1"/>
    <xf numFmtId="0" fontId="46" fillId="0" borderId="96" xfId="47" applyFont="1" applyBorder="1" applyAlignment="1">
      <alignment horizontal="center"/>
    </xf>
    <xf numFmtId="0" fontId="90" fillId="8" borderId="34" xfId="47" applyFont="1" applyFill="1" applyBorder="1" applyAlignment="1">
      <alignment horizontal="center" vertical="center" wrapText="1"/>
    </xf>
    <xf numFmtId="0" fontId="46" fillId="0" borderId="6" xfId="45" applyFont="1" applyBorder="1" applyAlignment="1">
      <alignment horizontal="center"/>
    </xf>
    <xf numFmtId="0" fontId="79" fillId="0" borderId="0" xfId="45" applyFont="1"/>
    <xf numFmtId="0" fontId="79" fillId="0" borderId="0" xfId="45" applyFont="1" applyAlignment="1">
      <alignment vertical="center"/>
    </xf>
    <xf numFmtId="0" fontId="79" fillId="0" borderId="4" xfId="45" applyFont="1" applyBorder="1" applyAlignment="1">
      <alignment vertical="center"/>
    </xf>
    <xf numFmtId="0" fontId="83" fillId="0" borderId="4" xfId="45" applyFont="1" applyBorder="1"/>
    <xf numFmtId="0" fontId="79" fillId="0" borderId="0" xfId="45" applyFont="1" applyAlignment="1">
      <alignment horizontal="left" vertical="center"/>
    </xf>
    <xf numFmtId="0" fontId="79" fillId="0" borderId="4" xfId="45" applyFont="1" applyBorder="1"/>
    <xf numFmtId="0" fontId="83" fillId="0" borderId="0" xfId="45" applyFont="1" applyAlignment="1">
      <alignment vertical="center"/>
    </xf>
    <xf numFmtId="0" fontId="83" fillId="0" borderId="4" xfId="45" applyFont="1" applyBorder="1" applyAlignment="1">
      <alignment horizontal="center"/>
    </xf>
    <xf numFmtId="4" fontId="83" fillId="0" borderId="4" xfId="45" applyNumberFormat="1" applyFont="1" applyBorder="1" applyAlignment="1">
      <alignment horizontal="center"/>
    </xf>
    <xf numFmtId="0" fontId="87" fillId="0" borderId="0" xfId="45" applyFont="1" applyAlignment="1">
      <alignment horizontal="center"/>
    </xf>
    <xf numFmtId="0" fontId="110" fillId="0" borderId="0" xfId="45" applyFont="1"/>
    <xf numFmtId="0" fontId="111" fillId="0" borderId="0" xfId="53" applyNumberFormat="1" applyFont="1" applyFill="1" applyBorder="1" applyAlignment="1">
      <alignment horizontal="center" vertical="center"/>
    </xf>
    <xf numFmtId="0" fontId="110" fillId="0" borderId="0" xfId="45" applyFont="1" applyAlignment="1">
      <alignment vertical="center"/>
    </xf>
    <xf numFmtId="2" fontId="83" fillId="3" borderId="88" xfId="57" applyNumberFormat="1" applyFont="1" applyFill="1" applyBorder="1" applyAlignment="1">
      <alignment vertical="center"/>
    </xf>
    <xf numFmtId="2" fontId="83" fillId="0" borderId="46" xfId="57" applyNumberFormat="1" applyFont="1" applyBorder="1" applyAlignment="1">
      <alignment vertical="center"/>
    </xf>
    <xf numFmtId="1" fontId="83" fillId="0" borderId="46" xfId="57" applyNumberFormat="1" applyFont="1" applyBorder="1" applyAlignment="1">
      <alignment horizontal="center" vertical="center"/>
    </xf>
    <xf numFmtId="0" fontId="83" fillId="0" borderId="91" xfId="57" applyFont="1" applyBorder="1"/>
    <xf numFmtId="2" fontId="83" fillId="3" borderId="65" xfId="57" applyNumberFormat="1" applyFont="1" applyFill="1" applyBorder="1" applyAlignment="1">
      <alignment vertical="center"/>
    </xf>
    <xf numFmtId="2" fontId="83" fillId="0" borderId="38" xfId="57" applyNumberFormat="1" applyFont="1" applyBorder="1" applyAlignment="1">
      <alignment vertical="center"/>
    </xf>
    <xf numFmtId="2" fontId="112" fillId="3" borderId="39" xfId="57" applyNumberFormat="1" applyFont="1" applyFill="1" applyBorder="1" applyAlignment="1">
      <alignment vertical="center"/>
    </xf>
    <xf numFmtId="2" fontId="93" fillId="3" borderId="29" xfId="57" applyNumberFormat="1" applyFont="1" applyFill="1" applyBorder="1" applyAlignment="1">
      <alignment vertical="center"/>
    </xf>
    <xf numFmtId="2" fontId="93" fillId="3" borderId="39" xfId="57" applyNumberFormat="1" applyFont="1" applyFill="1" applyBorder="1" applyAlignment="1">
      <alignment vertical="center"/>
    </xf>
    <xf numFmtId="2" fontId="83" fillId="2" borderId="47" xfId="57" applyNumberFormat="1" applyFont="1" applyFill="1" applyBorder="1" applyAlignment="1">
      <alignment vertical="center"/>
    </xf>
    <xf numFmtId="0" fontId="83" fillId="0" borderId="59" xfId="57" applyFont="1" applyBorder="1" applyAlignment="1">
      <alignment vertical="center"/>
    </xf>
    <xf numFmtId="2" fontId="83" fillId="3" borderId="67" xfId="57" applyNumberFormat="1" applyFont="1" applyFill="1" applyBorder="1" applyAlignment="1">
      <alignment vertical="center"/>
    </xf>
    <xf numFmtId="0" fontId="83" fillId="0" borderId="29" xfId="57" applyFont="1" applyBorder="1" applyAlignment="1">
      <alignment vertical="center"/>
    </xf>
    <xf numFmtId="0" fontId="83" fillId="5" borderId="38" xfId="57" applyFont="1" applyFill="1" applyBorder="1" applyAlignment="1">
      <alignment horizontal="center" vertical="center"/>
    </xf>
    <xf numFmtId="2" fontId="112" fillId="0" borderId="29" xfId="57" applyNumberFormat="1" applyFont="1" applyBorder="1" applyAlignment="1">
      <alignment vertical="center"/>
    </xf>
    <xf numFmtId="2" fontId="93" fillId="0" borderId="38" xfId="57" applyNumberFormat="1" applyFont="1" applyBorder="1" applyAlignment="1">
      <alignment vertical="center"/>
    </xf>
    <xf numFmtId="2" fontId="112" fillId="3" borderId="29" xfId="57" applyNumberFormat="1" applyFont="1" applyFill="1" applyBorder="1" applyAlignment="1">
      <alignment vertical="center"/>
    </xf>
    <xf numFmtId="2" fontId="112" fillId="0" borderId="38" xfId="57" applyNumberFormat="1" applyFont="1" applyBorder="1" applyAlignment="1">
      <alignment vertical="center"/>
    </xf>
    <xf numFmtId="0" fontId="93" fillId="0" borderId="38" xfId="57" applyFont="1" applyBorder="1" applyAlignment="1">
      <alignment horizontal="center" vertical="center"/>
    </xf>
    <xf numFmtId="2" fontId="93" fillId="0" borderId="29" xfId="57" applyNumberFormat="1" applyFont="1" applyBorder="1" applyAlignment="1">
      <alignment vertical="center"/>
    </xf>
    <xf numFmtId="1" fontId="93" fillId="0" borderId="29" xfId="57" applyNumberFormat="1" applyFont="1" applyBorder="1" applyAlignment="1">
      <alignment horizontal="center" vertical="center"/>
    </xf>
    <xf numFmtId="0" fontId="112" fillId="0" borderId="91" xfId="57" applyFont="1" applyBorder="1"/>
    <xf numFmtId="0" fontId="112" fillId="0" borderId="0" xfId="57" applyFont="1"/>
    <xf numFmtId="1" fontId="112" fillId="0" borderId="29" xfId="57" applyNumberFormat="1" applyFont="1" applyBorder="1" applyAlignment="1">
      <alignment horizontal="center" vertical="center"/>
    </xf>
    <xf numFmtId="2" fontId="112" fillId="2" borderId="29" xfId="57" applyNumberFormat="1" applyFont="1" applyFill="1" applyBorder="1" applyAlignment="1">
      <alignment vertical="center"/>
    </xf>
    <xf numFmtId="2" fontId="112" fillId="2" borderId="47" xfId="57" applyNumberFormat="1" applyFont="1" applyFill="1" applyBorder="1" applyAlignment="1">
      <alignment vertical="center"/>
    </xf>
    <xf numFmtId="0" fontId="112" fillId="0" borderId="0" xfId="57" applyFont="1" applyAlignment="1">
      <alignment horizontal="center"/>
    </xf>
    <xf numFmtId="0" fontId="83" fillId="0" borderId="99" xfId="57" applyFont="1" applyBorder="1"/>
    <xf numFmtId="4" fontId="79" fillId="3" borderId="61" xfId="57" applyNumberFormat="1" applyFont="1" applyFill="1" applyBorder="1" applyAlignment="1">
      <alignment vertical="center"/>
    </xf>
    <xf numFmtId="0" fontId="79" fillId="3" borderId="50" xfId="41" applyFont="1" applyFill="1" applyBorder="1" applyAlignment="1">
      <alignment horizontal="center" vertical="center"/>
    </xf>
    <xf numFmtId="2" fontId="83" fillId="0" borderId="47" xfId="57" applyNumberFormat="1" applyFont="1" applyBorder="1" applyAlignment="1">
      <alignment vertical="center"/>
    </xf>
    <xf numFmtId="2" fontId="83" fillId="3" borderId="47" xfId="57" applyNumberFormat="1" applyFont="1" applyFill="1" applyBorder="1" applyAlignment="1">
      <alignment vertical="center"/>
    </xf>
    <xf numFmtId="2" fontId="83" fillId="3" borderId="54" xfId="57" applyNumberFormat="1" applyFont="1" applyFill="1" applyBorder="1" applyAlignment="1">
      <alignment vertical="center"/>
    </xf>
    <xf numFmtId="2" fontId="93" fillId="3" borderId="47" xfId="57" applyNumberFormat="1" applyFont="1" applyFill="1" applyBorder="1" applyAlignment="1">
      <alignment vertical="center"/>
    </xf>
    <xf numFmtId="2" fontId="93" fillId="3" borderId="54" xfId="57" applyNumberFormat="1" applyFont="1" applyFill="1" applyBorder="1" applyAlignment="1">
      <alignment vertical="center"/>
    </xf>
    <xf numFmtId="2" fontId="93" fillId="2" borderId="47" xfId="57" applyNumberFormat="1" applyFont="1" applyFill="1" applyBorder="1" applyAlignment="1">
      <alignment vertical="center"/>
    </xf>
    <xf numFmtId="0" fontId="93" fillId="0" borderId="29" xfId="57" applyFont="1" applyBorder="1" applyAlignment="1">
      <alignment vertical="center"/>
    </xf>
    <xf numFmtId="2" fontId="93" fillId="2" borderId="29" xfId="57" applyNumberFormat="1" applyFont="1" applyFill="1" applyBorder="1" applyAlignment="1">
      <alignment vertical="center"/>
    </xf>
    <xf numFmtId="2" fontId="104" fillId="3" borderId="87" xfId="57" applyNumberFormat="1" applyFont="1" applyFill="1" applyBorder="1" applyAlignment="1">
      <alignment horizontal="center" vertical="center"/>
    </xf>
    <xf numFmtId="2" fontId="104" fillId="3" borderId="66" xfId="57" applyNumberFormat="1" applyFont="1" applyFill="1" applyBorder="1" applyAlignment="1">
      <alignment horizontal="center" vertical="center"/>
    </xf>
    <xf numFmtId="2" fontId="79" fillId="3" borderId="11" xfId="57" applyNumberFormat="1" applyFont="1" applyFill="1" applyBorder="1" applyAlignment="1">
      <alignment vertical="center"/>
    </xf>
    <xf numFmtId="0" fontId="79" fillId="3" borderId="11" xfId="57" applyFont="1" applyFill="1" applyBorder="1" applyAlignment="1">
      <alignment vertical="center"/>
    </xf>
    <xf numFmtId="0" fontId="36" fillId="0" borderId="0" xfId="60" applyFont="1"/>
    <xf numFmtId="4" fontId="83" fillId="3" borderId="46" xfId="50" applyNumberFormat="1" applyFont="1" applyFill="1" applyBorder="1" applyAlignment="1">
      <alignment vertical="center"/>
    </xf>
    <xf numFmtId="4" fontId="104" fillId="0" borderId="39" xfId="50" applyNumberFormat="1" applyFont="1" applyFill="1" applyBorder="1" applyAlignment="1">
      <alignment vertical="center" wrapText="1"/>
    </xf>
    <xf numFmtId="0" fontId="115" fillId="2" borderId="0" xfId="41" applyFont="1" applyFill="1" applyAlignment="1">
      <alignment horizontal="center" vertical="center"/>
    </xf>
    <xf numFmtId="0" fontId="116" fillId="0" borderId="0" xfId="41" applyFont="1" applyAlignment="1">
      <alignment vertical="center"/>
    </xf>
    <xf numFmtId="4" fontId="83" fillId="2" borderId="46" xfId="50" applyNumberFormat="1" applyFont="1" applyFill="1" applyBorder="1" applyAlignment="1">
      <alignment vertical="center" wrapText="1"/>
    </xf>
    <xf numFmtId="4" fontId="83" fillId="0" borderId="46" xfId="50" applyNumberFormat="1" applyFont="1" applyFill="1" applyBorder="1" applyAlignment="1">
      <alignment vertical="center" wrapText="1"/>
    </xf>
    <xf numFmtId="3" fontId="83" fillId="4" borderId="46" xfId="50" applyNumberFormat="1" applyFont="1" applyFill="1" applyBorder="1" applyAlignment="1">
      <alignment horizontal="center" vertical="center" wrapText="1"/>
    </xf>
    <xf numFmtId="3" fontId="83" fillId="2" borderId="46" xfId="50" applyNumberFormat="1" applyFont="1" applyFill="1" applyBorder="1" applyAlignment="1">
      <alignment horizontal="center" vertical="center"/>
    </xf>
    <xf numFmtId="3" fontId="104" fillId="2" borderId="70" xfId="50" applyNumberFormat="1" applyFont="1" applyFill="1" applyBorder="1" applyAlignment="1">
      <alignment horizontal="center" vertical="center"/>
    </xf>
    <xf numFmtId="0" fontId="83" fillId="2" borderId="73" xfId="41" quotePrefix="1" applyFont="1" applyFill="1" applyBorder="1" applyAlignment="1">
      <alignment vertical="center"/>
    </xf>
    <xf numFmtId="4" fontId="83" fillId="3" borderId="50" xfId="41" applyNumberFormat="1" applyFont="1" applyFill="1" applyBorder="1" applyAlignment="1">
      <alignment vertical="center"/>
    </xf>
    <xf numFmtId="3" fontId="83" fillId="3" borderId="50" xfId="41" applyNumberFormat="1" applyFont="1" applyFill="1" applyBorder="1" applyAlignment="1">
      <alignment horizontal="center" vertical="center"/>
    </xf>
    <xf numFmtId="4" fontId="79" fillId="3" borderId="90" xfId="41" applyNumberFormat="1" applyFont="1" applyFill="1" applyBorder="1" applyAlignment="1">
      <alignment horizontal="center" vertical="center"/>
    </xf>
    <xf numFmtId="4" fontId="113" fillId="3" borderId="11" xfId="57" applyNumberFormat="1" applyFont="1" applyFill="1" applyBorder="1" applyAlignment="1">
      <alignment vertical="center"/>
    </xf>
    <xf numFmtId="2" fontId="104" fillId="0" borderId="48" xfId="57" applyNumberFormat="1" applyFont="1" applyBorder="1" applyAlignment="1">
      <alignment horizontal="center" vertical="center"/>
    </xf>
    <xf numFmtId="0" fontId="83" fillId="0" borderId="81" xfId="57" applyFont="1" applyBorder="1" applyAlignment="1">
      <alignment vertical="center"/>
    </xf>
    <xf numFmtId="0" fontId="83" fillId="0" borderId="0" xfId="57" applyFont="1" applyAlignment="1">
      <alignment vertical="center" wrapText="1"/>
    </xf>
    <xf numFmtId="2" fontId="48" fillId="2" borderId="29" xfId="57" applyNumberFormat="1" applyFont="1" applyFill="1" applyBorder="1" applyAlignment="1">
      <alignment vertical="center"/>
    </xf>
    <xf numFmtId="2" fontId="48" fillId="2" borderId="46" xfId="57" applyNumberFormat="1" applyFont="1" applyFill="1" applyBorder="1" applyAlignment="1">
      <alignment vertical="center"/>
    </xf>
    <xf numFmtId="0" fontId="83" fillId="0" borderId="29" xfId="57" applyFont="1" applyBorder="1" applyAlignment="1">
      <alignment vertical="center" wrapText="1"/>
    </xf>
    <xf numFmtId="0" fontId="83" fillId="0" borderId="72" xfId="41" quotePrefix="1" applyFont="1" applyBorder="1" applyAlignment="1">
      <alignment vertical="center"/>
    </xf>
    <xf numFmtId="2" fontId="95" fillId="8" borderId="95" xfId="57" applyNumberFormat="1" applyFont="1" applyFill="1" applyBorder="1" applyAlignment="1">
      <alignment horizontal="center" vertical="center"/>
    </xf>
    <xf numFmtId="2" fontId="104" fillId="0" borderId="39" xfId="57" applyNumberFormat="1" applyFont="1" applyBorder="1" applyAlignment="1">
      <alignment horizontal="center" vertical="center"/>
    </xf>
    <xf numFmtId="4" fontId="83" fillId="3" borderId="94" xfId="50" applyNumberFormat="1" applyFont="1" applyFill="1" applyBorder="1" applyAlignment="1">
      <alignment horizontal="right" vertical="center"/>
    </xf>
    <xf numFmtId="2" fontId="83" fillId="3" borderId="46" xfId="57" applyNumberFormat="1" applyFont="1" applyFill="1" applyBorder="1" applyAlignment="1">
      <alignment horizontal="right" vertical="center"/>
    </xf>
    <xf numFmtId="2" fontId="83" fillId="3" borderId="29" xfId="57" applyNumberFormat="1" applyFont="1" applyFill="1" applyBorder="1" applyAlignment="1">
      <alignment horizontal="right" vertical="center"/>
    </xf>
    <xf numFmtId="2" fontId="83" fillId="3" borderId="39" xfId="57" applyNumberFormat="1" applyFont="1" applyFill="1" applyBorder="1" applyAlignment="1">
      <alignment horizontal="right" vertical="center"/>
    </xf>
    <xf numFmtId="2" fontId="83" fillId="3" borderId="48" xfId="57" applyNumberFormat="1" applyFont="1" applyFill="1" applyBorder="1" applyAlignment="1">
      <alignment horizontal="right" vertical="center"/>
    </xf>
    <xf numFmtId="4" fontId="79" fillId="3" borderId="11" xfId="57" applyNumberFormat="1" applyFont="1" applyFill="1" applyBorder="1" applyAlignment="1">
      <alignment horizontal="right" vertical="center"/>
    </xf>
    <xf numFmtId="4" fontId="66" fillId="3" borderId="92" xfId="50" applyNumberFormat="1" applyFont="1" applyFill="1" applyBorder="1" applyAlignment="1">
      <alignment vertical="center" wrapText="1"/>
    </xf>
    <xf numFmtId="2" fontId="66" fillId="0" borderId="66" xfId="57" applyNumberFormat="1" applyFont="1" applyBorder="1" applyAlignment="1">
      <alignment horizontal="center" vertical="center"/>
    </xf>
    <xf numFmtId="4" fontId="66" fillId="3" borderId="89" xfId="50" applyNumberFormat="1" applyFont="1" applyFill="1" applyBorder="1" applyAlignment="1">
      <alignment vertical="center" wrapText="1"/>
    </xf>
    <xf numFmtId="2" fontId="66" fillId="0" borderId="66" xfId="60" applyNumberFormat="1" applyFont="1" applyBorder="1" applyAlignment="1">
      <alignment horizontal="center" vertical="center"/>
    </xf>
    <xf numFmtId="4" fontId="66" fillId="3" borderId="92" xfId="50" applyNumberFormat="1" applyFont="1" applyFill="1" applyBorder="1" applyAlignment="1">
      <alignment horizontal="center" vertical="center" wrapText="1"/>
    </xf>
    <xf numFmtId="4" fontId="114" fillId="3" borderId="90" xfId="60" applyNumberFormat="1" applyFont="1" applyFill="1" applyBorder="1" applyAlignment="1">
      <alignment horizontal="center" vertical="center"/>
    </xf>
    <xf numFmtId="4" fontId="104" fillId="3" borderId="94" xfId="50" applyNumberFormat="1" applyFont="1" applyFill="1" applyBorder="1" applyAlignment="1">
      <alignment horizontal="center" vertical="center"/>
    </xf>
    <xf numFmtId="2" fontId="104" fillId="0" borderId="54" xfId="57" applyNumberFormat="1" applyFont="1" applyBorder="1" applyAlignment="1">
      <alignment horizontal="center" vertical="center"/>
    </xf>
    <xf numFmtId="4" fontId="95" fillId="8" borderId="93" xfId="57" applyNumberFormat="1" applyFont="1" applyFill="1" applyBorder="1" applyAlignment="1">
      <alignment vertical="center"/>
    </xf>
    <xf numFmtId="4" fontId="113" fillId="3" borderId="43" xfId="47" applyNumberFormat="1" applyFont="1" applyFill="1" applyBorder="1" applyAlignment="1">
      <alignment vertical="center"/>
    </xf>
    <xf numFmtId="0" fontId="104" fillId="0" borderId="41" xfId="57" applyFont="1" applyBorder="1" applyAlignment="1">
      <alignment horizontal="center" vertical="center"/>
    </xf>
    <xf numFmtId="4" fontId="113" fillId="3" borderId="41" xfId="47" applyNumberFormat="1" applyFont="1" applyFill="1" applyBorder="1" applyAlignment="1">
      <alignment vertical="center"/>
    </xf>
    <xf numFmtId="0" fontId="104" fillId="0" borderId="63" xfId="57" applyFont="1" applyBorder="1" applyAlignment="1">
      <alignment horizontal="center" vertical="center"/>
    </xf>
    <xf numFmtId="2" fontId="113" fillId="3" borderId="60" xfId="57" applyNumberFormat="1" applyFont="1" applyFill="1" applyBorder="1" applyAlignment="1">
      <alignment horizontal="center" vertical="center"/>
    </xf>
    <xf numFmtId="2" fontId="113" fillId="3" borderId="62" xfId="57" applyNumberFormat="1" applyFont="1" applyFill="1" applyBorder="1" applyAlignment="1">
      <alignment horizontal="center" vertical="center"/>
    </xf>
    <xf numFmtId="2" fontId="86" fillId="8" borderId="26" xfId="57" applyNumberFormat="1" applyFont="1" applyFill="1" applyBorder="1" applyAlignment="1">
      <alignment horizontal="center" vertical="center"/>
    </xf>
    <xf numFmtId="0" fontId="79" fillId="0" borderId="96" xfId="57" applyFont="1" applyBorder="1" applyAlignment="1">
      <alignment vertical="center"/>
    </xf>
    <xf numFmtId="2" fontId="79" fillId="0" borderId="96" xfId="57" applyNumberFormat="1" applyFont="1" applyBorder="1" applyAlignment="1">
      <alignment vertical="center"/>
    </xf>
    <xf numFmtId="2" fontId="113" fillId="0" borderId="96" xfId="57" applyNumberFormat="1" applyFont="1" applyBorder="1" applyAlignment="1">
      <alignment horizontal="center" vertical="center"/>
    </xf>
    <xf numFmtId="0" fontId="83" fillId="0" borderId="0" xfId="0" applyNumberFormat="1" applyFont="1" applyFill="1" applyBorder="1" applyAlignment="1"/>
    <xf numFmtId="0" fontId="95" fillId="8" borderId="56" xfId="0" applyNumberFormat="1" applyFont="1" applyFill="1" applyBorder="1" applyAlignment="1">
      <alignment horizontal="center" vertical="center"/>
    </xf>
    <xf numFmtId="0" fontId="95" fillId="8" borderId="55" xfId="0" applyNumberFormat="1" applyFont="1" applyFill="1" applyBorder="1" applyAlignment="1">
      <alignment horizontal="center" vertical="center"/>
    </xf>
    <xf numFmtId="0" fontId="95" fillId="8" borderId="57" xfId="0" applyNumberFormat="1" applyFont="1" applyFill="1" applyBorder="1" applyAlignment="1">
      <alignment horizontal="center" vertical="center"/>
    </xf>
    <xf numFmtId="0" fontId="83" fillId="0" borderId="0" xfId="0" applyNumberFormat="1" applyFont="1" applyFill="1" applyBorder="1" applyAlignment="1">
      <alignment vertical="center"/>
    </xf>
    <xf numFmtId="0" fontId="83" fillId="0" borderId="27" xfId="0" applyNumberFormat="1" applyFont="1" applyFill="1" applyBorder="1" applyAlignment="1"/>
    <xf numFmtId="0" fontId="83" fillId="0" borderId="34" xfId="0" applyNumberFormat="1" applyFont="1" applyFill="1" applyBorder="1" applyAlignment="1"/>
    <xf numFmtId="4" fontId="83" fillId="0" borderId="34" xfId="0" applyNumberFormat="1" applyFont="1" applyFill="1" applyBorder="1" applyAlignment="1"/>
    <xf numFmtId="4" fontId="83" fillId="6" borderId="34" xfId="57" applyNumberFormat="1" applyFont="1" applyFill="1" applyBorder="1" applyAlignment="1">
      <alignment horizontal="center" vertical="center"/>
    </xf>
    <xf numFmtId="170" fontId="83" fillId="0" borderId="34" xfId="0" applyNumberFormat="1" applyFont="1" applyFill="1" applyBorder="1" applyAlignment="1"/>
    <xf numFmtId="9" fontId="83" fillId="0" borderId="34" xfId="70" applyFont="1" applyFill="1" applyBorder="1" applyAlignment="1"/>
    <xf numFmtId="180" fontId="83" fillId="7" borderId="51" xfId="0" applyNumberFormat="1" applyFont="1" applyFill="1" applyBorder="1" applyAlignment="1"/>
    <xf numFmtId="0" fontId="83" fillId="0" borderId="16" xfId="0" applyNumberFormat="1" applyFont="1" applyFill="1" applyBorder="1" applyAlignment="1"/>
    <xf numFmtId="0" fontId="83" fillId="0" borderId="15" xfId="0" applyNumberFormat="1" applyFont="1" applyFill="1" applyBorder="1" applyAlignment="1"/>
    <xf numFmtId="4" fontId="83" fillId="0" borderId="15" xfId="0" applyNumberFormat="1" applyFont="1" applyFill="1" applyBorder="1" applyAlignment="1"/>
    <xf numFmtId="170" fontId="83" fillId="0" borderId="15" xfId="0" applyNumberFormat="1" applyFont="1" applyFill="1" applyBorder="1" applyAlignment="1"/>
    <xf numFmtId="9" fontId="83" fillId="0" borderId="15" xfId="70" applyFont="1" applyFill="1" applyBorder="1" applyAlignment="1"/>
    <xf numFmtId="180" fontId="83" fillId="7" borderId="19" xfId="0" applyNumberFormat="1" applyFont="1" applyFill="1" applyBorder="1" applyAlignment="1"/>
    <xf numFmtId="4" fontId="83" fillId="6" borderId="15" xfId="57" applyNumberFormat="1" applyFont="1" applyFill="1" applyBorder="1" applyAlignment="1">
      <alignment horizontal="center" vertical="center"/>
    </xf>
    <xf numFmtId="0" fontId="83" fillId="0" borderId="17" xfId="0" applyNumberFormat="1" applyFont="1" applyFill="1" applyBorder="1" applyAlignment="1"/>
    <xf numFmtId="0" fontId="83" fillId="0" borderId="18" xfId="0" applyNumberFormat="1" applyFont="1" applyFill="1" applyBorder="1" applyAlignment="1"/>
    <xf numFmtId="4" fontId="83" fillId="0" borderId="18" xfId="0" applyNumberFormat="1" applyFont="1" applyFill="1" applyBorder="1" applyAlignment="1"/>
    <xf numFmtId="4" fontId="83" fillId="6" borderId="18" xfId="57" applyNumberFormat="1" applyFont="1" applyFill="1" applyBorder="1" applyAlignment="1">
      <alignment horizontal="center" vertical="center"/>
    </xf>
    <xf numFmtId="170" fontId="83" fillId="0" borderId="18" xfId="0" applyNumberFormat="1" applyFont="1" applyFill="1" applyBorder="1" applyAlignment="1"/>
    <xf numFmtId="9" fontId="83" fillId="0" borderId="18" xfId="70" applyFont="1" applyFill="1" applyBorder="1" applyAlignment="1"/>
    <xf numFmtId="180" fontId="83" fillId="7" borderId="20" xfId="0" applyNumberFormat="1" applyFont="1" applyFill="1" applyBorder="1" applyAlignment="1"/>
    <xf numFmtId="0" fontId="83" fillId="7" borderId="13" xfId="0" applyNumberFormat="1" applyFont="1" applyFill="1" applyBorder="1" applyAlignment="1"/>
    <xf numFmtId="0" fontId="83" fillId="7" borderId="21" xfId="0" applyNumberFormat="1" applyFont="1" applyFill="1" applyBorder="1" applyAlignment="1"/>
    <xf numFmtId="170" fontId="79" fillId="7" borderId="21" xfId="0" applyNumberFormat="1" applyFont="1" applyFill="1" applyBorder="1" applyAlignment="1"/>
    <xf numFmtId="170" fontId="79" fillId="7" borderId="22" xfId="0" applyNumberFormat="1" applyFont="1" applyFill="1" applyBorder="1" applyAlignment="1"/>
    <xf numFmtId="0" fontId="84" fillId="0" borderId="12" xfId="45" applyFont="1" applyBorder="1" applyAlignment="1">
      <alignment horizontal="centerContinuous" vertical="center"/>
    </xf>
    <xf numFmtId="0" fontId="108" fillId="2" borderId="3" xfId="58" applyFont="1" applyFill="1" applyBorder="1" applyAlignment="1">
      <alignment horizontal="right" vertical="center"/>
    </xf>
    <xf numFmtId="0" fontId="108" fillId="2" borderId="3" xfId="58" applyFont="1" applyFill="1" applyBorder="1" applyAlignment="1">
      <alignment vertical="center"/>
    </xf>
    <xf numFmtId="4" fontId="108" fillId="2" borderId="3" xfId="58" applyNumberFormat="1" applyFont="1" applyFill="1" applyBorder="1" applyAlignment="1">
      <alignment horizontal="center" vertical="center"/>
    </xf>
    <xf numFmtId="0" fontId="83" fillId="0" borderId="0" xfId="58" applyFont="1" applyAlignment="1">
      <alignment horizontal="center" vertical="center"/>
    </xf>
    <xf numFmtId="0" fontId="108" fillId="2" borderId="9" xfId="58" applyFont="1" applyFill="1" applyBorder="1" applyAlignment="1">
      <alignment horizontal="right" vertical="center"/>
    </xf>
    <xf numFmtId="0" fontId="83" fillId="0" borderId="0" xfId="41" applyFont="1" applyAlignment="1">
      <alignment horizontal="center" vertical="center"/>
    </xf>
    <xf numFmtId="0" fontId="105" fillId="2" borderId="0" xfId="58" applyFont="1" applyFill="1" applyAlignment="1">
      <alignment vertical="center"/>
    </xf>
    <xf numFmtId="4" fontId="108" fillId="5" borderId="44" xfId="58" applyNumberFormat="1" applyFont="1" applyFill="1" applyBorder="1" applyAlignment="1">
      <alignment vertical="center"/>
    </xf>
    <xf numFmtId="10" fontId="105" fillId="2" borderId="0" xfId="59" applyNumberFormat="1" applyFont="1" applyFill="1" applyBorder="1" applyAlignment="1">
      <alignment horizontal="center" vertical="center"/>
    </xf>
    <xf numFmtId="4" fontId="83" fillId="3" borderId="29" xfId="47" applyNumberFormat="1" applyFont="1" applyFill="1" applyBorder="1" applyAlignment="1">
      <alignment horizontal="center" vertical="center"/>
    </xf>
    <xf numFmtId="4" fontId="83" fillId="3" borderId="42" xfId="47" applyNumberFormat="1" applyFont="1" applyFill="1" applyBorder="1" applyAlignment="1">
      <alignment horizontal="center" vertical="center"/>
    </xf>
    <xf numFmtId="4" fontId="79" fillId="3" borderId="37" xfId="47" applyNumberFormat="1" applyFont="1" applyFill="1" applyBorder="1" applyAlignment="1">
      <alignment horizontal="center" vertical="center"/>
    </xf>
    <xf numFmtId="0" fontId="79" fillId="9" borderId="26" xfId="45" applyFont="1" applyFill="1" applyBorder="1" applyAlignment="1">
      <alignment horizontal="center" vertical="center"/>
    </xf>
    <xf numFmtId="0" fontId="79" fillId="9" borderId="15" xfId="45" applyFont="1" applyFill="1" applyBorder="1" applyAlignment="1">
      <alignment horizontal="center" vertical="center"/>
    </xf>
    <xf numFmtId="49" fontId="83" fillId="2" borderId="36" xfId="47" applyNumberFormat="1" applyFont="1" applyFill="1" applyBorder="1" applyAlignment="1">
      <alignment vertical="center"/>
    </xf>
    <xf numFmtId="0" fontId="79" fillId="2" borderId="38" xfId="47" applyFont="1" applyFill="1" applyBorder="1" applyAlignment="1">
      <alignment horizontal="center" vertical="center"/>
    </xf>
    <xf numFmtId="0" fontId="83" fillId="2" borderId="29" xfId="47" applyFont="1" applyFill="1" applyBorder="1" applyAlignment="1">
      <alignment vertical="center" wrapText="1"/>
    </xf>
    <xf numFmtId="0" fontId="83" fillId="2" borderId="39" xfId="47" applyFont="1" applyFill="1" applyBorder="1" applyAlignment="1">
      <alignment vertical="center" wrapText="1"/>
    </xf>
    <xf numFmtId="167" fontId="83" fillId="0" borderId="39" xfId="83" applyFont="1" applyFill="1" applyBorder="1" applyAlignment="1" applyProtection="1">
      <alignment vertical="center"/>
    </xf>
    <xf numFmtId="167" fontId="83" fillId="0" borderId="3" xfId="83" applyFont="1" applyFill="1" applyBorder="1" applyAlignment="1" applyProtection="1">
      <alignment vertical="center"/>
    </xf>
    <xf numFmtId="4" fontId="79" fillId="3" borderId="41" xfId="47" applyNumberFormat="1" applyFont="1" applyFill="1" applyBorder="1" applyAlignment="1">
      <alignment horizontal="center" vertical="center"/>
    </xf>
    <xf numFmtId="4" fontId="79" fillId="3" borderId="2" xfId="47" applyNumberFormat="1" applyFont="1" applyFill="1" applyBorder="1" applyAlignment="1">
      <alignment horizontal="center" vertical="center"/>
    </xf>
    <xf numFmtId="4" fontId="79" fillId="0" borderId="0" xfId="47" applyNumberFormat="1" applyFont="1" applyAlignment="1">
      <alignment horizontal="center" vertical="center"/>
    </xf>
    <xf numFmtId="0" fontId="83" fillId="2" borderId="39" xfId="47" applyFont="1" applyFill="1" applyBorder="1" applyAlignment="1">
      <alignment vertical="center"/>
    </xf>
    <xf numFmtId="0" fontId="93" fillId="0" borderId="0" xfId="47" applyFont="1" applyAlignment="1">
      <alignment vertical="center"/>
    </xf>
    <xf numFmtId="0" fontId="83" fillId="0" borderId="0" xfId="47" applyFont="1" applyAlignment="1">
      <alignment vertical="center"/>
    </xf>
    <xf numFmtId="4" fontId="100" fillId="0" borderId="0" xfId="47" applyNumberFormat="1" applyFont="1" applyAlignment="1">
      <alignment horizontal="center" vertical="center"/>
    </xf>
    <xf numFmtId="0" fontId="117" fillId="0" borderId="0" xfId="45" applyFont="1" applyAlignment="1">
      <alignment horizontal="left" vertical="center"/>
    </xf>
    <xf numFmtId="4" fontId="117" fillId="0" borderId="0" xfId="47" applyNumberFormat="1" applyFont="1" applyAlignment="1">
      <alignment horizontal="left" vertical="center"/>
    </xf>
    <xf numFmtId="49" fontId="83" fillId="2" borderId="36" xfId="47" applyNumberFormat="1" applyFont="1" applyFill="1" applyBorder="1" applyAlignment="1">
      <alignment horizontal="center" vertical="center"/>
    </xf>
    <xf numFmtId="0" fontId="83" fillId="0" borderId="0" xfId="47" applyFont="1" applyAlignment="1">
      <alignment horizontal="left" vertical="center"/>
    </xf>
    <xf numFmtId="0" fontId="118" fillId="0" borderId="0" xfId="47" applyFont="1" applyAlignment="1">
      <alignment vertical="center"/>
    </xf>
    <xf numFmtId="0" fontId="118" fillId="0" borderId="0" xfId="47" applyFont="1"/>
    <xf numFmtId="14" fontId="83" fillId="0" borderId="0" xfId="81" applyNumberFormat="1" applyFont="1" applyAlignment="1">
      <alignment vertical="center"/>
    </xf>
    <xf numFmtId="4" fontId="83" fillId="3" borderId="38" xfId="47" applyNumberFormat="1" applyFont="1" applyFill="1" applyBorder="1" applyAlignment="1">
      <alignment horizontal="center" vertical="center"/>
    </xf>
    <xf numFmtId="167" fontId="83" fillId="0" borderId="100" xfId="83" applyFont="1" applyFill="1" applyBorder="1" applyAlignment="1" applyProtection="1">
      <alignment vertical="center"/>
    </xf>
    <xf numFmtId="4" fontId="83" fillId="3" borderId="3" xfId="47" applyNumberFormat="1" applyFont="1" applyFill="1" applyBorder="1" applyAlignment="1">
      <alignment horizontal="center" vertical="center"/>
    </xf>
    <xf numFmtId="167" fontId="83" fillId="0" borderId="42" xfId="83" applyFont="1" applyFill="1" applyBorder="1" applyAlignment="1" applyProtection="1">
      <alignment vertical="center"/>
    </xf>
    <xf numFmtId="0" fontId="83" fillId="2" borderId="102" xfId="47" applyFont="1" applyFill="1" applyBorder="1" applyAlignment="1">
      <alignment vertical="center" wrapText="1"/>
    </xf>
    <xf numFmtId="4" fontId="83" fillId="3" borderId="102" xfId="47" applyNumberFormat="1" applyFont="1" applyFill="1" applyBorder="1" applyAlignment="1">
      <alignment horizontal="center" vertical="center"/>
    </xf>
    <xf numFmtId="4" fontId="83" fillId="3" borderId="104" xfId="47" applyNumberFormat="1" applyFont="1" applyFill="1" applyBorder="1" applyAlignment="1">
      <alignment horizontal="center" vertical="center"/>
    </xf>
    <xf numFmtId="4" fontId="83" fillId="3" borderId="101" xfId="47" applyNumberFormat="1" applyFont="1" applyFill="1" applyBorder="1" applyAlignment="1">
      <alignment horizontal="center" vertical="center"/>
    </xf>
    <xf numFmtId="167" fontId="83" fillId="0" borderId="105" xfId="83" applyFont="1" applyFill="1" applyBorder="1" applyAlignment="1" applyProtection="1">
      <alignment vertical="center"/>
    </xf>
    <xf numFmtId="4" fontId="83" fillId="3" borderId="7" xfId="47" applyNumberFormat="1" applyFont="1" applyFill="1" applyBorder="1" applyAlignment="1">
      <alignment horizontal="center" vertical="center"/>
    </xf>
    <xf numFmtId="167" fontId="83" fillId="0" borderId="7" xfId="83" applyFont="1" applyFill="1" applyBorder="1" applyAlignment="1" applyProtection="1">
      <alignment vertical="center"/>
    </xf>
    <xf numFmtId="4" fontId="83" fillId="3" borderId="106" xfId="47" applyNumberFormat="1" applyFont="1" applyFill="1" applyBorder="1" applyAlignment="1">
      <alignment horizontal="center" vertical="center"/>
    </xf>
    <xf numFmtId="0" fontId="89" fillId="0" borderId="74" xfId="47" applyFont="1" applyBorder="1" applyAlignment="1">
      <alignment vertical="center"/>
    </xf>
    <xf numFmtId="4" fontId="89" fillId="0" borderId="74" xfId="47" applyNumberFormat="1" applyFont="1" applyBorder="1" applyAlignment="1">
      <alignment vertical="center"/>
    </xf>
    <xf numFmtId="4" fontId="94" fillId="0" borderId="103" xfId="47" applyNumberFormat="1" applyFont="1" applyBorder="1" applyAlignment="1">
      <alignment horizontal="center" vertical="center"/>
    </xf>
    <xf numFmtId="4" fontId="94" fillId="0" borderId="41" xfId="47" applyNumberFormat="1" applyFont="1" applyBorder="1" applyAlignment="1">
      <alignment horizontal="center" vertical="center"/>
    </xf>
    <xf numFmtId="4" fontId="94" fillId="0" borderId="2" xfId="47" applyNumberFormat="1" applyFont="1" applyBorder="1" applyAlignment="1">
      <alignment horizontal="center" vertical="center"/>
    </xf>
    <xf numFmtId="4" fontId="94" fillId="0" borderId="30" xfId="47" applyNumberFormat="1" applyFont="1" applyBorder="1" applyAlignment="1">
      <alignment horizontal="center" vertical="center"/>
    </xf>
    <xf numFmtId="0" fontId="83" fillId="0" borderId="38" xfId="57" applyFont="1" applyBorder="1" applyAlignment="1">
      <alignment horizontal="left" vertical="center"/>
    </xf>
    <xf numFmtId="0" fontId="83" fillId="0" borderId="29" xfId="57" applyFont="1" applyBorder="1" applyAlignment="1">
      <alignment horizontal="left" vertical="center"/>
    </xf>
    <xf numFmtId="2" fontId="79" fillId="0" borderId="29" xfId="57" applyNumberFormat="1" applyFont="1" applyBorder="1" applyAlignment="1">
      <alignment vertical="center"/>
    </xf>
    <xf numFmtId="0" fontId="83" fillId="0" borderId="71" xfId="57" applyFont="1" applyBorder="1" applyAlignment="1">
      <alignment horizontal="left" vertical="center"/>
    </xf>
    <xf numFmtId="0" fontId="83" fillId="0" borderId="47" xfId="57" applyFont="1" applyBorder="1" applyAlignment="1">
      <alignment horizontal="left" vertical="center"/>
    </xf>
    <xf numFmtId="2" fontId="79" fillId="0" borderId="47" xfId="57" applyNumberFormat="1" applyFont="1" applyBorder="1" applyAlignment="1">
      <alignment vertical="center"/>
    </xf>
    <xf numFmtId="4" fontId="83" fillId="3" borderId="94" xfId="207" applyNumberFormat="1" applyFont="1" applyFill="1" applyBorder="1" applyAlignment="1">
      <alignment vertical="center"/>
    </xf>
    <xf numFmtId="0" fontId="112" fillId="0" borderId="46" xfId="206" applyFont="1" applyBorder="1" applyAlignment="1">
      <alignment horizontal="center" vertical="center" wrapText="1"/>
    </xf>
    <xf numFmtId="0" fontId="83" fillId="0" borderId="72" xfId="57" applyFont="1" applyBorder="1" applyAlignment="1">
      <alignment horizontal="center" vertical="center"/>
    </xf>
    <xf numFmtId="0" fontId="112" fillId="0" borderId="29" xfId="206" applyFont="1" applyBorder="1" applyAlignment="1">
      <alignment horizontal="center" vertical="center" wrapText="1"/>
    </xf>
    <xf numFmtId="0" fontId="83" fillId="0" borderId="38" xfId="57" applyFont="1" applyBorder="1" applyAlignment="1">
      <alignment horizontal="center" vertical="center"/>
    </xf>
    <xf numFmtId="0" fontId="112" fillId="0" borderId="38" xfId="57" applyFont="1" applyBorder="1" applyAlignment="1">
      <alignment horizontal="center" vertical="center" wrapText="1"/>
    </xf>
    <xf numFmtId="0" fontId="112" fillId="0" borderId="29" xfId="57" applyFont="1" applyBorder="1" applyAlignment="1">
      <alignment vertical="center"/>
    </xf>
    <xf numFmtId="4" fontId="97" fillId="3" borderId="93" xfId="207" applyNumberFormat="1" applyFont="1" applyFill="1" applyBorder="1" applyAlignment="1">
      <alignment vertical="center"/>
    </xf>
    <xf numFmtId="4" fontId="48" fillId="3" borderId="107" xfId="50" applyNumberFormat="1" applyFont="1" applyFill="1" applyBorder="1" applyAlignment="1">
      <alignment vertical="center"/>
    </xf>
    <xf numFmtId="2" fontId="95" fillId="0" borderId="0" xfId="57" applyNumberFormat="1" applyFont="1" applyAlignment="1">
      <alignment vertical="center"/>
    </xf>
    <xf numFmtId="2" fontId="95" fillId="0" borderId="0" xfId="57" applyNumberFormat="1" applyFont="1" applyAlignment="1">
      <alignment horizontal="center" vertical="center"/>
    </xf>
    <xf numFmtId="4" fontId="36" fillId="5" borderId="0" xfId="41" applyNumberFormat="1" applyFont="1" applyFill="1" applyAlignment="1">
      <alignment vertical="center"/>
    </xf>
    <xf numFmtId="0" fontId="36" fillId="5" borderId="0" xfId="41" applyFont="1" applyFill="1" applyAlignment="1">
      <alignment vertical="center"/>
    </xf>
    <xf numFmtId="0" fontId="36" fillId="0" borderId="0" xfId="30" applyNumberFormat="1" applyFont="1" applyBorder="1" applyAlignment="1">
      <alignment vertical="center"/>
    </xf>
    <xf numFmtId="0" fontId="95" fillId="13" borderId="28" xfId="41" applyFont="1" applyFill="1" applyBorder="1" applyAlignment="1">
      <alignment horizontal="center" vertical="center"/>
    </xf>
    <xf numFmtId="0" fontId="95" fillId="13" borderId="8" xfId="41" applyFont="1" applyFill="1" applyBorder="1" applyAlignment="1">
      <alignment vertical="center"/>
    </xf>
    <xf numFmtId="0" fontId="95" fillId="13" borderId="8" xfId="41" applyFont="1" applyFill="1" applyBorder="1" applyAlignment="1">
      <alignment horizontal="center" vertical="center"/>
    </xf>
    <xf numFmtId="0" fontId="95" fillId="13" borderId="32" xfId="41" applyFont="1" applyFill="1" applyBorder="1" applyAlignment="1">
      <alignment horizontal="center" vertical="center"/>
    </xf>
    <xf numFmtId="0" fontId="95" fillId="13" borderId="1" xfId="41" applyFont="1" applyFill="1" applyBorder="1" applyAlignment="1">
      <alignment horizontal="center" vertical="center"/>
    </xf>
    <xf numFmtId="0" fontId="95" fillId="13" borderId="34" xfId="41" applyFont="1" applyFill="1" applyBorder="1" applyAlignment="1">
      <alignment horizontal="center" vertical="center"/>
    </xf>
    <xf numFmtId="2" fontId="95" fillId="13" borderId="93" xfId="57" applyNumberFormat="1" applyFont="1" applyFill="1" applyBorder="1" applyAlignment="1">
      <alignment vertical="center"/>
    </xf>
    <xf numFmtId="2" fontId="95" fillId="13" borderId="97" xfId="57" applyNumberFormat="1" applyFont="1" applyFill="1" applyBorder="1" applyAlignment="1">
      <alignment horizontal="center" vertical="center"/>
    </xf>
    <xf numFmtId="0" fontId="95" fillId="13" borderId="0" xfId="41" applyFont="1" applyFill="1" applyAlignment="1">
      <alignment horizontal="center" vertical="center" wrapText="1"/>
    </xf>
    <xf numFmtId="0" fontId="95" fillId="13" borderId="32" xfId="41" applyFont="1" applyFill="1" applyBorder="1" applyAlignment="1">
      <alignment horizontal="center" vertical="center" wrapText="1"/>
    </xf>
    <xf numFmtId="0" fontId="95" fillId="13" borderId="1" xfId="41" applyFont="1" applyFill="1" applyBorder="1" applyAlignment="1">
      <alignment horizontal="center" vertical="center" wrapText="1"/>
    </xf>
    <xf numFmtId="0" fontId="95" fillId="13" borderId="28" xfId="41" applyFont="1" applyFill="1" applyBorder="1" applyAlignment="1">
      <alignment horizontal="center" vertical="center" wrapText="1"/>
    </xf>
    <xf numFmtId="0" fontId="95" fillId="13" borderId="24" xfId="41" applyFont="1" applyFill="1" applyBorder="1" applyAlignment="1">
      <alignment horizontal="center" vertical="center" wrapText="1"/>
    </xf>
    <xf numFmtId="0" fontId="95" fillId="13" borderId="8" xfId="41" applyFont="1" applyFill="1" applyBorder="1" applyAlignment="1">
      <alignment horizontal="center" vertical="center" wrapText="1"/>
    </xf>
    <xf numFmtId="49" fontId="81" fillId="13" borderId="8" xfId="53" applyNumberFormat="1" applyFont="1" applyFill="1" applyBorder="1" applyAlignment="1">
      <alignment horizontal="center" vertical="center" wrapText="1"/>
    </xf>
    <xf numFmtId="49" fontId="95" fillId="13" borderId="8" xfId="53" applyNumberFormat="1" applyFont="1" applyFill="1" applyBorder="1" applyAlignment="1">
      <alignment horizontal="center" vertical="center" wrapText="1"/>
    </xf>
    <xf numFmtId="0" fontId="95" fillId="13" borderId="28" xfId="30" applyNumberFormat="1" applyFont="1" applyFill="1" applyBorder="1" applyAlignment="1">
      <alignment horizontal="center" vertical="center" wrapText="1"/>
    </xf>
    <xf numFmtId="0" fontId="31" fillId="0" borderId="7" xfId="53" applyNumberFormat="1" applyFont="1" applyFill="1" applyBorder="1" applyAlignment="1">
      <alignment vertical="center"/>
    </xf>
    <xf numFmtId="0" fontId="35" fillId="0" borderId="0" xfId="30" applyNumberFormat="1" applyFont="1" applyFill="1" applyBorder="1" applyAlignment="1">
      <alignment vertical="center"/>
    </xf>
    <xf numFmtId="179" fontId="86" fillId="13" borderId="8" xfId="58" applyNumberFormat="1" applyFont="1" applyFill="1" applyBorder="1" applyAlignment="1">
      <alignment horizontal="center" vertical="center"/>
    </xf>
    <xf numFmtId="4" fontId="86" fillId="13" borderId="23" xfId="58" applyNumberFormat="1" applyFont="1" applyFill="1" applyBorder="1" applyAlignment="1">
      <alignment horizontal="centerContinuous" vertical="center"/>
    </xf>
    <xf numFmtId="0" fontId="88" fillId="13" borderId="25" xfId="58" applyFont="1" applyFill="1" applyBorder="1" applyAlignment="1">
      <alignment horizontal="centerContinuous" vertical="center"/>
    </xf>
    <xf numFmtId="4" fontId="86" fillId="13" borderId="25" xfId="58" applyNumberFormat="1" applyFont="1" applyFill="1" applyBorder="1" applyAlignment="1">
      <alignment horizontal="centerContinuous" vertical="center"/>
    </xf>
    <xf numFmtId="4" fontId="86" fillId="13" borderId="26" xfId="58" applyNumberFormat="1" applyFont="1" applyFill="1" applyBorder="1" applyAlignment="1">
      <alignment horizontal="centerContinuous" vertical="center"/>
    </xf>
    <xf numFmtId="4" fontId="86" fillId="13" borderId="86" xfId="58" applyNumberFormat="1" applyFont="1" applyFill="1" applyBorder="1" applyAlignment="1">
      <alignment horizontal="centerContinuous" vertical="center"/>
    </xf>
    <xf numFmtId="4" fontId="121" fillId="3" borderId="0" xfId="47" applyNumberFormat="1" applyFont="1" applyFill="1" applyAlignment="1">
      <alignment vertical="center"/>
    </xf>
    <xf numFmtId="4" fontId="121" fillId="3" borderId="0" xfId="47" applyNumberFormat="1" applyFont="1" applyFill="1" applyAlignment="1">
      <alignment horizontal="center" vertical="center"/>
    </xf>
    <xf numFmtId="4" fontId="121" fillId="3" borderId="109" xfId="47" applyNumberFormat="1" applyFont="1" applyFill="1" applyBorder="1" applyAlignment="1">
      <alignment vertical="center"/>
    </xf>
    <xf numFmtId="4" fontId="121" fillId="3" borderId="110" xfId="47" applyNumberFormat="1" applyFont="1" applyFill="1" applyBorder="1" applyAlignment="1">
      <alignment vertical="center"/>
    </xf>
    <xf numFmtId="4" fontId="121" fillId="3" borderId="110" xfId="47" applyNumberFormat="1" applyFont="1" applyFill="1" applyBorder="1" applyAlignment="1">
      <alignment horizontal="center" vertical="center"/>
    </xf>
    <xf numFmtId="179" fontId="86" fillId="13" borderId="83" xfId="58" applyNumberFormat="1" applyFont="1" applyFill="1" applyBorder="1" applyAlignment="1">
      <alignment horizontal="center" vertical="center"/>
    </xf>
    <xf numFmtId="1" fontId="48" fillId="0" borderId="0" xfId="58" quotePrefix="1" applyNumberFormat="1" applyFont="1" applyAlignment="1">
      <alignment horizontal="left" vertical="center"/>
    </xf>
    <xf numFmtId="3" fontId="48" fillId="2" borderId="52" xfId="50" applyNumberFormat="1" applyFont="1" applyFill="1" applyBorder="1" applyAlignment="1">
      <alignment horizontal="center" vertical="center" wrapText="1"/>
    </xf>
    <xf numFmtId="4" fontId="48" fillId="2" borderId="52" xfId="58" applyNumberFormat="1" applyFont="1" applyFill="1" applyBorder="1" applyAlignment="1">
      <alignment vertical="center"/>
    </xf>
    <xf numFmtId="4" fontId="36" fillId="2" borderId="81" xfId="58" applyNumberFormat="1" applyFont="1" applyFill="1" applyBorder="1" applyAlignment="1">
      <alignment vertical="center"/>
    </xf>
    <xf numFmtId="0" fontId="78" fillId="2" borderId="53" xfId="41" applyFont="1" applyFill="1" applyBorder="1" applyAlignment="1">
      <alignment vertical="center" wrapText="1"/>
    </xf>
    <xf numFmtId="4" fontId="121" fillId="3" borderId="111" xfId="47" applyNumberFormat="1" applyFont="1" applyFill="1" applyBorder="1" applyAlignment="1">
      <alignment horizontal="center" vertical="center"/>
    </xf>
    <xf numFmtId="0" fontId="36" fillId="0" borderId="107" xfId="41" applyFont="1" applyBorder="1" applyAlignment="1">
      <alignment horizontal="center" vertical="center" wrapText="1"/>
    </xf>
    <xf numFmtId="3" fontId="48" fillId="0" borderId="46" xfId="50" applyNumberFormat="1" applyFont="1" applyFill="1" applyBorder="1" applyAlignment="1">
      <alignment horizontal="center" vertical="center" wrapText="1"/>
    </xf>
    <xf numFmtId="4" fontId="48" fillId="0" borderId="46" xfId="58" applyNumberFormat="1" applyFont="1" applyBorder="1" applyAlignment="1">
      <alignment vertical="center"/>
    </xf>
    <xf numFmtId="4" fontId="36" fillId="0" borderId="80" xfId="58" applyNumberFormat="1" applyFont="1" applyBorder="1" applyAlignment="1">
      <alignment vertical="center"/>
    </xf>
    <xf numFmtId="0" fontId="91" fillId="0" borderId="113" xfId="45" applyFont="1" applyBorder="1" applyAlignment="1">
      <alignment vertical="center"/>
    </xf>
    <xf numFmtId="0" fontId="91" fillId="0" borderId="114" xfId="45" applyFont="1" applyBorder="1" applyAlignment="1">
      <alignment vertical="center"/>
    </xf>
    <xf numFmtId="0" fontId="47" fillId="0" borderId="112" xfId="45" applyFont="1" applyBorder="1"/>
    <xf numFmtId="0" fontId="46" fillId="0" borderId="113" xfId="45" applyFont="1" applyBorder="1"/>
    <xf numFmtId="0" fontId="46" fillId="0" borderId="113" xfId="45" applyFont="1" applyBorder="1" applyAlignment="1">
      <alignment vertical="center"/>
    </xf>
    <xf numFmtId="0" fontId="46" fillId="0" borderId="114" xfId="45" applyFont="1" applyBorder="1" applyAlignment="1">
      <alignment vertical="center"/>
    </xf>
    <xf numFmtId="17" fontId="46" fillId="0" borderId="113" xfId="45" applyNumberFormat="1" applyFont="1" applyBorder="1" applyAlignment="1">
      <alignment horizontal="left" vertical="center"/>
    </xf>
    <xf numFmtId="181" fontId="46" fillId="0" borderId="113" xfId="83" applyNumberFormat="1" applyFont="1" applyBorder="1" applyAlignment="1">
      <alignment horizontal="left" vertical="center"/>
    </xf>
    <xf numFmtId="0" fontId="91" fillId="0" borderId="115" xfId="45" applyFont="1" applyBorder="1" applyAlignment="1">
      <alignment vertical="center"/>
    </xf>
    <xf numFmtId="0" fontId="46" fillId="0" borderId="116" xfId="45" applyFont="1" applyBorder="1"/>
    <xf numFmtId="17" fontId="46" fillId="0" borderId="117" xfId="45" applyNumberFormat="1" applyFont="1" applyBorder="1" applyAlignment="1">
      <alignment horizontal="left" vertical="center"/>
    </xf>
    <xf numFmtId="0" fontId="91" fillId="0" borderId="119" xfId="45" applyFont="1" applyBorder="1" applyAlignment="1">
      <alignment vertical="center"/>
    </xf>
    <xf numFmtId="0" fontId="91" fillId="0" borderId="120" xfId="45" applyFont="1" applyBorder="1" applyAlignment="1">
      <alignment vertical="center"/>
    </xf>
    <xf numFmtId="0" fontId="46" fillId="0" borderId="121" xfId="45" applyFont="1" applyBorder="1" applyAlignment="1">
      <alignment vertical="center"/>
    </xf>
    <xf numFmtId="0" fontId="46" fillId="0" borderId="122" xfId="45" applyFont="1" applyBorder="1" applyAlignment="1">
      <alignment vertical="center"/>
    </xf>
    <xf numFmtId="181" fontId="46" fillId="0" borderId="123" xfId="83" applyNumberFormat="1" applyFont="1" applyBorder="1" applyAlignment="1">
      <alignment horizontal="left" vertical="center"/>
    </xf>
    <xf numFmtId="14" fontId="46" fillId="0" borderId="124" xfId="45" applyNumberFormat="1" applyFont="1" applyBorder="1" applyAlignment="1">
      <alignment horizontal="left" vertical="center"/>
    </xf>
    <xf numFmtId="0" fontId="46" fillId="0" borderId="119" xfId="45" applyFont="1" applyBorder="1" applyAlignment="1">
      <alignment vertical="center"/>
    </xf>
    <xf numFmtId="0" fontId="46" fillId="0" borderId="120" xfId="45" applyFont="1" applyBorder="1" applyAlignment="1">
      <alignment vertical="center"/>
    </xf>
    <xf numFmtId="0" fontId="80" fillId="0" borderId="113" xfId="45" applyFont="1" applyBorder="1" applyAlignment="1">
      <alignment vertical="center"/>
    </xf>
    <xf numFmtId="0" fontId="46" fillId="0" borderId="118" xfId="45" applyFont="1" applyBorder="1" applyAlignment="1">
      <alignment vertical="center"/>
    </xf>
    <xf numFmtId="17" fontId="46" fillId="0" borderId="123" xfId="45" applyNumberFormat="1" applyFont="1" applyBorder="1" applyAlignment="1">
      <alignment horizontal="left" vertical="center"/>
    </xf>
    <xf numFmtId="0" fontId="83" fillId="0" borderId="113" xfId="45" applyFont="1" applyBorder="1"/>
    <xf numFmtId="14" fontId="46" fillId="0" borderId="113" xfId="45" applyNumberFormat="1" applyFont="1" applyBorder="1" applyAlignment="1">
      <alignment horizontal="left" vertical="center"/>
    </xf>
    <xf numFmtId="0" fontId="80" fillId="0" borderId="114" xfId="45" applyFont="1" applyBorder="1" applyAlignment="1">
      <alignment vertical="center"/>
    </xf>
    <xf numFmtId="0" fontId="81" fillId="13" borderId="1" xfId="41" applyFont="1" applyFill="1" applyBorder="1" applyAlignment="1">
      <alignment horizontal="center" vertical="center"/>
    </xf>
    <xf numFmtId="0" fontId="81" fillId="13" borderId="8" xfId="41" applyFont="1" applyFill="1" applyBorder="1" applyAlignment="1">
      <alignment horizontal="center" vertical="center"/>
    </xf>
    <xf numFmtId="181" fontId="46" fillId="0" borderId="114" xfId="83" applyNumberFormat="1" applyFont="1" applyBorder="1" applyAlignment="1">
      <alignment horizontal="left" vertical="center"/>
    </xf>
    <xf numFmtId="0" fontId="63" fillId="0" borderId="0" xfId="41" applyFont="1" applyAlignment="1">
      <alignment vertical="center"/>
    </xf>
    <xf numFmtId="4" fontId="83" fillId="3" borderId="131" xfId="50" applyNumberFormat="1" applyFont="1" applyFill="1" applyBorder="1" applyAlignment="1">
      <alignment vertical="center"/>
    </xf>
    <xf numFmtId="4" fontId="104" fillId="3" borderId="132" xfId="50" applyNumberFormat="1" applyFont="1" applyFill="1" applyBorder="1" applyAlignment="1">
      <alignment horizontal="center" vertical="center"/>
    </xf>
    <xf numFmtId="4" fontId="83" fillId="3" borderId="133" xfId="50" applyNumberFormat="1" applyFont="1" applyFill="1" applyBorder="1" applyAlignment="1">
      <alignment vertical="center"/>
    </xf>
    <xf numFmtId="4" fontId="104" fillId="3" borderId="134" xfId="50" applyNumberFormat="1" applyFont="1" applyFill="1" applyBorder="1" applyAlignment="1">
      <alignment horizontal="center" vertical="center"/>
    </xf>
    <xf numFmtId="0" fontId="47" fillId="0" borderId="112" xfId="45" applyFont="1" applyBorder="1" applyAlignment="1">
      <alignment vertical="center"/>
    </xf>
    <xf numFmtId="0" fontId="81" fillId="13" borderId="28" xfId="57" applyFont="1" applyFill="1" applyBorder="1" applyAlignment="1">
      <alignment horizontal="center" vertical="center"/>
    </xf>
    <xf numFmtId="0" fontId="81" fillId="13" borderId="15" xfId="57" applyFont="1" applyFill="1" applyBorder="1" applyAlignment="1">
      <alignment horizontal="centerContinuous" vertical="center"/>
    </xf>
    <xf numFmtId="0" fontId="81" fillId="13" borderId="23" xfId="57" applyFont="1" applyFill="1" applyBorder="1" applyAlignment="1">
      <alignment horizontal="centerContinuous" vertical="center"/>
    </xf>
    <xf numFmtId="0" fontId="81" fillId="13" borderId="31" xfId="57" applyFont="1" applyFill="1" applyBorder="1" applyAlignment="1">
      <alignment horizontal="left" vertical="center"/>
    </xf>
    <xf numFmtId="0" fontId="81" fillId="13" borderId="31" xfId="57" applyFont="1" applyFill="1" applyBorder="1" applyAlignment="1">
      <alignment horizontal="center" vertical="center"/>
    </xf>
    <xf numFmtId="0" fontId="81" fillId="13" borderId="1" xfId="57" applyFont="1" applyFill="1" applyBorder="1" applyAlignment="1">
      <alignment horizontal="center" vertical="center"/>
    </xf>
    <xf numFmtId="0" fontId="81" fillId="13" borderId="8" xfId="57" applyFont="1" applyFill="1" applyBorder="1" applyAlignment="1">
      <alignment horizontal="center" vertical="center"/>
    </xf>
    <xf numFmtId="4" fontId="81" fillId="13" borderId="129" xfId="41" applyNumberFormat="1" applyFont="1" applyFill="1" applyBorder="1" applyAlignment="1">
      <alignment horizontal="center" vertical="center"/>
    </xf>
    <xf numFmtId="0" fontId="81" fillId="13" borderId="130" xfId="41" applyFont="1" applyFill="1" applyBorder="1" applyAlignment="1">
      <alignment horizontal="center" vertical="center"/>
    </xf>
    <xf numFmtId="2" fontId="95" fillId="13" borderId="135" xfId="57" applyNumberFormat="1" applyFont="1" applyFill="1" applyBorder="1" applyAlignment="1">
      <alignment vertical="center"/>
    </xf>
    <xf numFmtId="2" fontId="95" fillId="13" borderId="136" xfId="57" applyNumberFormat="1" applyFont="1" applyFill="1" applyBorder="1" applyAlignment="1">
      <alignment horizontal="center" vertical="center"/>
    </xf>
    <xf numFmtId="169" fontId="110" fillId="0" borderId="126" xfId="52" quotePrefix="1" applyNumberFormat="1" applyFont="1" applyFill="1" applyBorder="1" applyAlignment="1">
      <alignment horizontal="left" vertical="center"/>
    </xf>
    <xf numFmtId="0" fontId="58" fillId="0" borderId="7" xfId="53" applyFont="1" applyBorder="1" applyAlignment="1">
      <alignment horizontal="center" vertical="center"/>
    </xf>
    <xf numFmtId="0" fontId="58" fillId="0" borderId="24" xfId="53" applyFont="1" applyBorder="1" applyAlignment="1">
      <alignment horizontal="center" vertical="center"/>
    </xf>
    <xf numFmtId="0" fontId="36" fillId="0" borderId="0" xfId="30" applyNumberFormat="1" applyFont="1" applyFill="1" applyBorder="1" applyAlignment="1">
      <alignment vertical="center"/>
    </xf>
    <xf numFmtId="0" fontId="123" fillId="0" borderId="0" xfId="215" applyNumberFormat="1" applyFill="1" applyBorder="1" applyAlignment="1"/>
    <xf numFmtId="0" fontId="33" fillId="16" borderId="23" xfId="0" applyNumberFormat="1" applyFont="1" applyFill="1" applyBorder="1" applyAlignment="1">
      <alignment horizontal="center" vertical="center"/>
    </xf>
    <xf numFmtId="0" fontId="33" fillId="16" borderId="25" xfId="0" applyNumberFormat="1" applyFont="1" applyFill="1" applyBorder="1" applyAlignment="1">
      <alignment horizontal="center" vertical="center"/>
    </xf>
    <xf numFmtId="0" fontId="33" fillId="16" borderId="26" xfId="0" applyNumberFormat="1" applyFont="1" applyFill="1" applyBorder="1" applyAlignment="1">
      <alignment horizontal="center" vertical="center"/>
    </xf>
    <xf numFmtId="0" fontId="31" fillId="0" borderId="140" xfId="0" applyNumberFormat="1" applyFont="1" applyFill="1" applyBorder="1" applyAlignment="1"/>
    <xf numFmtId="0" fontId="123" fillId="0" borderId="141" xfId="215" applyNumberFormat="1" applyFill="1" applyBorder="1" applyAlignment="1"/>
    <xf numFmtId="14" fontId="0" fillId="0" borderId="141" xfId="0" applyNumberFormat="1" applyFont="1" applyFill="1" applyBorder="1" applyAlignment="1">
      <alignment horizontal="center"/>
    </xf>
    <xf numFmtId="0" fontId="31" fillId="0" borderId="142" xfId="215" applyNumberFormat="1" applyFont="1" applyFill="1" applyBorder="1" applyAlignment="1">
      <alignment vertical="top" wrapText="1"/>
    </xf>
    <xf numFmtId="0" fontId="31" fillId="0" borderId="142" xfId="215" applyNumberFormat="1" applyFont="1" applyFill="1" applyBorder="1" applyAlignment="1">
      <alignment vertical="top"/>
    </xf>
    <xf numFmtId="0" fontId="31" fillId="0" borderId="137" xfId="0" applyNumberFormat="1" applyFont="1" applyFill="1" applyBorder="1" applyAlignment="1">
      <alignment vertical="top"/>
    </xf>
    <xf numFmtId="14" fontId="0" fillId="0" borderId="138" xfId="0" applyNumberFormat="1" applyFont="1" applyFill="1" applyBorder="1" applyAlignment="1">
      <alignment horizontal="center" vertical="top"/>
    </xf>
    <xf numFmtId="0" fontId="123" fillId="0" borderId="138" xfId="215" applyNumberForma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31" fillId="0" borderId="140" xfId="0" applyNumberFormat="1" applyFont="1" applyFill="1" applyBorder="1" applyAlignment="1">
      <alignment vertical="top"/>
    </xf>
    <xf numFmtId="14" fontId="0" fillId="0" borderId="141" xfId="0" applyNumberFormat="1" applyFont="1" applyFill="1" applyBorder="1" applyAlignment="1">
      <alignment horizontal="center" vertical="top"/>
    </xf>
    <xf numFmtId="0" fontId="123" fillId="0" borderId="141" xfId="215" applyNumberFormat="1" applyFill="1" applyBorder="1" applyAlignment="1">
      <alignment vertical="top"/>
    </xf>
    <xf numFmtId="14" fontId="31" fillId="0" borderId="141" xfId="0" applyNumberFormat="1" applyFont="1" applyFill="1" applyBorder="1" applyAlignment="1">
      <alignment horizontal="center" vertical="top"/>
    </xf>
    <xf numFmtId="0" fontId="47" fillId="0" borderId="23" xfId="45" applyFont="1" applyBorder="1" applyAlignment="1">
      <alignment vertical="center"/>
    </xf>
    <xf numFmtId="0" fontId="46" fillId="0" borderId="25" xfId="45" applyFont="1" applyBorder="1" applyAlignment="1">
      <alignment vertical="center"/>
    </xf>
    <xf numFmtId="0" fontId="47" fillId="0" borderId="23" xfId="45" applyFont="1" applyBorder="1"/>
    <xf numFmtId="0" fontId="46" fillId="0" borderId="25" xfId="45" applyFont="1" applyBorder="1"/>
    <xf numFmtId="0" fontId="91" fillId="0" borderId="26" xfId="45" applyFont="1" applyBorder="1" applyAlignment="1">
      <alignment vertical="center"/>
    </xf>
    <xf numFmtId="181" fontId="46" fillId="0" borderId="26" xfId="83" applyNumberFormat="1" applyFont="1" applyBorder="1" applyAlignment="1">
      <alignment horizontal="left" vertical="center"/>
    </xf>
    <xf numFmtId="0" fontId="31" fillId="0" borderId="139" xfId="215" applyNumberFormat="1" applyFont="1" applyFill="1" applyBorder="1" applyAlignment="1">
      <alignment vertical="top" wrapText="1"/>
    </xf>
    <xf numFmtId="0" fontId="33" fillId="0" borderId="138" xfId="215" applyNumberFormat="1" applyFont="1" applyFill="1" applyBorder="1" applyAlignment="1">
      <alignment horizontal="center" vertical="top"/>
    </xf>
    <xf numFmtId="0" fontId="33" fillId="0" borderId="141" xfId="215" applyNumberFormat="1" applyFont="1" applyFill="1" applyBorder="1" applyAlignment="1">
      <alignment horizontal="center" vertical="top"/>
    </xf>
    <xf numFmtId="0" fontId="33" fillId="0" borderId="141" xfId="215" applyNumberFormat="1" applyFont="1" applyFill="1" applyBorder="1" applyAlignment="1">
      <alignment horizontal="center"/>
    </xf>
    <xf numFmtId="0" fontId="95" fillId="10" borderId="31" xfId="0" applyNumberFormat="1" applyFont="1" applyFill="1" applyBorder="1" applyAlignment="1">
      <alignment horizontal="left" vertical="center"/>
    </xf>
    <xf numFmtId="0" fontId="75" fillId="10" borderId="7" xfId="0" applyNumberFormat="1" applyFont="1" applyFill="1" applyBorder="1" applyAlignment="1">
      <alignment horizontal="center" vertical="center"/>
    </xf>
    <xf numFmtId="0" fontId="75" fillId="10" borderId="28" xfId="0" applyNumberFormat="1" applyFont="1" applyFill="1" applyBorder="1" applyAlignment="1">
      <alignment horizontal="center" vertical="center"/>
    </xf>
    <xf numFmtId="0" fontId="109" fillId="0" borderId="0" xfId="45" applyFont="1"/>
    <xf numFmtId="0" fontId="95" fillId="13" borderId="15" xfId="53" applyNumberFormat="1" applyFont="1" applyFill="1" applyBorder="1" applyAlignment="1">
      <alignment horizontal="center" vertical="center" wrapText="1"/>
    </xf>
    <xf numFmtId="0" fontId="95" fillId="13" borderId="26" xfId="30" applyNumberFormat="1" applyFont="1" applyFill="1" applyBorder="1" applyAlignment="1">
      <alignment horizontal="center" vertical="center" wrapText="1"/>
    </xf>
    <xf numFmtId="0" fontId="46" fillId="0" borderId="116" xfId="45" applyFont="1" applyBorder="1" applyAlignment="1">
      <alignment vertical="center"/>
    </xf>
    <xf numFmtId="0" fontId="83" fillId="0" borderId="114" xfId="45" applyFont="1" applyBorder="1" applyAlignment="1">
      <alignment vertical="center"/>
    </xf>
    <xf numFmtId="0" fontId="83" fillId="0" borderId="113" xfId="45" applyFont="1" applyBorder="1" applyAlignment="1">
      <alignment vertical="center"/>
    </xf>
    <xf numFmtId="0" fontId="83" fillId="0" borderId="122" xfId="45" applyFont="1" applyBorder="1" applyAlignment="1">
      <alignment vertical="center"/>
    </xf>
    <xf numFmtId="0" fontId="83" fillId="0" borderId="121" xfId="45" applyFont="1" applyBorder="1" applyAlignment="1">
      <alignment vertical="center"/>
    </xf>
    <xf numFmtId="0" fontId="83" fillId="0" borderId="125" xfId="45" applyFont="1" applyBorder="1" applyAlignment="1">
      <alignment vertical="center"/>
    </xf>
    <xf numFmtId="0" fontId="83" fillId="0" borderId="124" xfId="45" applyFont="1" applyBorder="1" applyAlignment="1">
      <alignment vertical="center"/>
    </xf>
    <xf numFmtId="0" fontId="83" fillId="0" borderId="123" xfId="45" applyFont="1" applyBorder="1" applyAlignment="1">
      <alignment vertical="center"/>
    </xf>
    <xf numFmtId="166" fontId="36" fillId="0" borderId="0" xfId="41" applyNumberFormat="1" applyFont="1" applyAlignment="1">
      <alignment vertical="center"/>
    </xf>
    <xf numFmtId="166" fontId="35" fillId="0" borderId="0" xfId="41" applyNumberFormat="1" applyFont="1" applyAlignment="1">
      <alignment vertical="center"/>
    </xf>
    <xf numFmtId="187" fontId="36" fillId="0" borderId="0" xfId="41" applyNumberFormat="1" applyFont="1" applyAlignment="1">
      <alignment vertical="center"/>
    </xf>
    <xf numFmtId="0" fontId="126" fillId="0" borderId="0" xfId="41" applyFont="1" applyAlignment="1">
      <alignment vertical="center"/>
    </xf>
    <xf numFmtId="0" fontId="127" fillId="0" borderId="0" xfId="41" applyFont="1" applyAlignment="1">
      <alignment vertical="center"/>
    </xf>
    <xf numFmtId="0" fontId="91" fillId="0" borderId="121" xfId="45" applyFont="1" applyBorder="1" applyAlignment="1">
      <alignment vertical="center"/>
    </xf>
    <xf numFmtId="0" fontId="91" fillId="0" borderId="122" xfId="45" applyFont="1" applyBorder="1" applyAlignment="1">
      <alignment vertical="center"/>
    </xf>
    <xf numFmtId="0" fontId="79" fillId="0" borderId="10" xfId="45" applyFont="1" applyBorder="1" applyAlignment="1">
      <alignment vertical="center"/>
    </xf>
    <xf numFmtId="169" fontId="79" fillId="0" borderId="32" xfId="52" quotePrefix="1" applyNumberFormat="1" applyFont="1" applyFill="1" applyBorder="1" applyAlignment="1">
      <alignment horizontal="left" vertical="center"/>
    </xf>
    <xf numFmtId="17" fontId="46" fillId="0" borderId="25" xfId="45" applyNumberFormat="1" applyFont="1" applyBorder="1" applyAlignment="1">
      <alignment vertical="center"/>
    </xf>
    <xf numFmtId="0" fontId="48" fillId="0" borderId="0" xfId="45" applyFont="1" applyAlignment="1">
      <alignment vertical="center"/>
    </xf>
    <xf numFmtId="0" fontId="48" fillId="0" borderId="0" xfId="45" applyFont="1" applyAlignment="1">
      <alignment horizontal="center" vertical="center"/>
    </xf>
    <xf numFmtId="0" fontId="82" fillId="0" borderId="0" xfId="45" applyFont="1" applyAlignment="1">
      <alignment vertical="center"/>
    </xf>
    <xf numFmtId="3" fontId="106" fillId="2" borderId="80" xfId="50" applyNumberFormat="1" applyFont="1" applyFill="1" applyBorder="1" applyAlignment="1">
      <alignment horizontal="center" vertical="center"/>
    </xf>
    <xf numFmtId="4" fontId="124" fillId="11" borderId="78" xfId="50" applyNumberFormat="1" applyFont="1" applyFill="1" applyBorder="1" applyAlignment="1">
      <alignment vertical="center"/>
    </xf>
    <xf numFmtId="4" fontId="121" fillId="11" borderId="77" xfId="50" applyNumberFormat="1" applyFont="1" applyFill="1" applyBorder="1" applyAlignment="1">
      <alignment vertical="center"/>
    </xf>
    <xf numFmtId="4" fontId="121" fillId="11" borderId="78" xfId="50" applyNumberFormat="1" applyFont="1" applyFill="1" applyBorder="1" applyAlignment="1">
      <alignment vertical="center"/>
    </xf>
    <xf numFmtId="3" fontId="83" fillId="0" borderId="29" xfId="50" applyNumberFormat="1" applyFont="1" applyFill="1" applyBorder="1" applyAlignment="1">
      <alignment horizontal="center" vertical="center" wrapText="1"/>
    </xf>
    <xf numFmtId="186" fontId="46" fillId="0" borderId="0" xfId="45" applyNumberFormat="1" applyFont="1" applyAlignment="1">
      <alignment vertical="center"/>
    </xf>
    <xf numFmtId="0" fontId="95" fillId="13" borderId="28" xfId="41" applyFont="1" applyFill="1" applyBorder="1" applyAlignment="1">
      <alignment vertical="center" wrapText="1"/>
    </xf>
    <xf numFmtId="0" fontId="95" fillId="13" borderId="35" xfId="41" applyFont="1" applyFill="1" applyBorder="1" applyAlignment="1">
      <alignment vertical="center" wrapText="1"/>
    </xf>
    <xf numFmtId="4" fontId="121" fillId="15" borderId="77" xfId="47" applyNumberFormat="1" applyFont="1" applyFill="1" applyBorder="1" applyAlignment="1">
      <alignment vertical="center"/>
    </xf>
    <xf numFmtId="4" fontId="121" fillId="15" borderId="78" xfId="47" applyNumberFormat="1" applyFont="1" applyFill="1" applyBorder="1" applyAlignment="1">
      <alignment vertical="center"/>
    </xf>
    <xf numFmtId="4" fontId="121" fillId="15" borderId="78" xfId="47" applyNumberFormat="1" applyFont="1" applyFill="1" applyBorder="1" applyAlignment="1">
      <alignment horizontal="center" vertical="center"/>
    </xf>
    <xf numFmtId="4" fontId="48" fillId="15" borderId="78" xfId="50" applyNumberFormat="1" applyFont="1" applyFill="1" applyBorder="1" applyAlignment="1">
      <alignment vertical="center"/>
    </xf>
    <xf numFmtId="4" fontId="48" fillId="15" borderId="79" xfId="50" applyNumberFormat="1" applyFont="1" applyFill="1" applyBorder="1" applyAlignment="1">
      <alignment vertical="center"/>
    </xf>
    <xf numFmtId="4" fontId="48" fillId="3" borderId="80" xfId="50" applyNumberFormat="1" applyFont="1" applyFill="1" applyBorder="1" applyAlignment="1">
      <alignment vertical="center"/>
    </xf>
    <xf numFmtId="4" fontId="82" fillId="3" borderId="82" xfId="41" applyNumberFormat="1" applyFont="1" applyFill="1" applyBorder="1" applyAlignment="1">
      <alignment vertical="center"/>
    </xf>
    <xf numFmtId="2" fontId="79" fillId="0" borderId="0" xfId="57" applyNumberFormat="1" applyFont="1" applyAlignment="1">
      <alignment vertical="center"/>
    </xf>
    <xf numFmtId="2" fontId="79" fillId="0" borderId="0" xfId="57" applyNumberFormat="1" applyFont="1" applyAlignment="1">
      <alignment horizontal="center" vertical="center"/>
    </xf>
    <xf numFmtId="4" fontId="121" fillId="3" borderId="78" xfId="47" applyNumberFormat="1" applyFont="1" applyFill="1" applyBorder="1" applyAlignment="1">
      <alignment horizontal="center" vertical="center"/>
    </xf>
    <xf numFmtId="4" fontId="93" fillId="7" borderId="20" xfId="57" applyNumberFormat="1" applyFont="1" applyFill="1" applyBorder="1" applyAlignment="1">
      <alignment horizontal="center" vertical="center"/>
    </xf>
    <xf numFmtId="0" fontId="53" fillId="2" borderId="0" xfId="41" applyFont="1" applyFill="1" applyAlignment="1">
      <alignment vertical="center"/>
    </xf>
    <xf numFmtId="2" fontId="129" fillId="0" borderId="0" xfId="57" applyNumberFormat="1" applyFont="1" applyAlignment="1">
      <alignment vertical="center"/>
    </xf>
    <xf numFmtId="0" fontId="79" fillId="0" borderId="0" xfId="41" applyFont="1" applyAlignment="1">
      <alignment vertical="center"/>
    </xf>
    <xf numFmtId="4" fontId="83" fillId="0" borderId="0" xfId="41" applyNumberFormat="1" applyFont="1" applyAlignment="1">
      <alignment vertical="center"/>
    </xf>
    <xf numFmtId="3" fontId="83" fillId="0" borderId="0" xfId="41" applyNumberFormat="1" applyFont="1" applyAlignment="1">
      <alignment horizontal="center" vertical="center"/>
    </xf>
    <xf numFmtId="4" fontId="79" fillId="0" borderId="0" xfId="41" applyNumberFormat="1" applyFont="1" applyAlignment="1">
      <alignment vertical="center"/>
    </xf>
    <xf numFmtId="4" fontId="82" fillId="0" borderId="0" xfId="41" applyNumberFormat="1" applyFont="1" applyAlignment="1">
      <alignment vertical="center"/>
    </xf>
    <xf numFmtId="4" fontId="97" fillId="3" borderId="110" xfId="47" applyNumberFormat="1" applyFont="1" applyFill="1" applyBorder="1" applyAlignment="1">
      <alignment vertical="center"/>
    </xf>
    <xf numFmtId="4" fontId="97" fillId="3" borderId="110" xfId="47" applyNumberFormat="1" applyFont="1" applyFill="1" applyBorder="1" applyAlignment="1">
      <alignment horizontal="center" vertical="center"/>
    </xf>
    <xf numFmtId="0" fontId="83" fillId="2" borderId="149" xfId="41" applyFont="1" applyFill="1" applyBorder="1" applyAlignment="1">
      <alignment horizontal="left" vertical="center"/>
    </xf>
    <xf numFmtId="4" fontId="83" fillId="0" borderId="46" xfId="50" applyNumberFormat="1" applyFont="1" applyFill="1" applyBorder="1" applyAlignment="1">
      <alignment vertical="center"/>
    </xf>
    <xf numFmtId="4" fontId="83" fillId="0" borderId="48" xfId="50" applyNumberFormat="1" applyFont="1" applyFill="1" applyBorder="1" applyAlignment="1">
      <alignment vertical="center"/>
    </xf>
    <xf numFmtId="0" fontId="83" fillId="2" borderId="146" xfId="41" quotePrefix="1" applyFont="1" applyFill="1" applyBorder="1" applyAlignment="1">
      <alignment vertical="center"/>
    </xf>
    <xf numFmtId="4" fontId="83" fillId="2" borderId="147" xfId="50" applyNumberFormat="1" applyFont="1" applyFill="1" applyBorder="1" applyAlignment="1">
      <alignment vertical="center" wrapText="1"/>
    </xf>
    <xf numFmtId="4" fontId="83" fillId="0" borderId="147" xfId="50" applyNumberFormat="1" applyFont="1" applyFill="1" applyBorder="1" applyAlignment="1">
      <alignment vertical="center" wrapText="1"/>
    </xf>
    <xf numFmtId="2" fontId="95" fillId="13" borderId="31" xfId="53" applyNumberFormat="1" applyFont="1" applyFill="1" applyBorder="1" applyAlignment="1">
      <alignment horizontal="center" vertical="center" wrapText="1"/>
    </xf>
    <xf numFmtId="0" fontId="83" fillId="0" borderId="148" xfId="41" applyFont="1" applyBorder="1" applyAlignment="1">
      <alignment horizontal="left" vertical="center"/>
    </xf>
    <xf numFmtId="4" fontId="86" fillId="13" borderId="15" xfId="58" applyNumberFormat="1" applyFont="1" applyFill="1" applyBorder="1" applyAlignment="1">
      <alignment horizontal="centerContinuous" vertical="center"/>
    </xf>
    <xf numFmtId="0" fontId="95" fillId="13" borderId="7" xfId="3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Border="1" applyAlignment="1"/>
    <xf numFmtId="0" fontId="31" fillId="0" borderId="4" xfId="53" applyFont="1" applyBorder="1" applyAlignment="1">
      <alignment horizontal="right"/>
    </xf>
    <xf numFmtId="0" fontId="56" fillId="0" borderId="7" xfId="53" applyFont="1" applyBorder="1" applyAlignment="1">
      <alignment horizontal="right" vertical="center"/>
    </xf>
    <xf numFmtId="0" fontId="56" fillId="0" borderId="24" xfId="53" applyFont="1" applyBorder="1" applyAlignment="1">
      <alignment horizontal="right" vertical="center"/>
    </xf>
    <xf numFmtId="0" fontId="110" fillId="0" borderId="0" xfId="45" applyFont="1" applyAlignment="1">
      <alignment horizontal="right"/>
    </xf>
    <xf numFmtId="0" fontId="110" fillId="0" borderId="0" xfId="45" applyFont="1" applyAlignment="1">
      <alignment horizontal="right" vertical="center"/>
    </xf>
    <xf numFmtId="0" fontId="35" fillId="0" borderId="0" xfId="30" applyNumberFormat="1" applyFont="1" applyFill="1" applyBorder="1" applyAlignment="1">
      <alignment horizontal="right" vertical="center"/>
    </xf>
    <xf numFmtId="169" fontId="79" fillId="0" borderId="10" xfId="52" quotePrefix="1" applyNumberFormat="1" applyFont="1" applyFill="1" applyBorder="1" applyAlignment="1">
      <alignment horizontal="left" vertical="center"/>
    </xf>
    <xf numFmtId="17" fontId="110" fillId="0" borderId="0" xfId="45" applyNumberFormat="1" applyFont="1" applyAlignment="1">
      <alignment horizontal="left" vertical="center"/>
    </xf>
    <xf numFmtId="17" fontId="83" fillId="0" borderId="0" xfId="45" applyNumberFormat="1" applyFont="1" applyAlignment="1">
      <alignment vertical="center"/>
    </xf>
    <xf numFmtId="169" fontId="83" fillId="0" borderId="32" xfId="52" quotePrefix="1" applyNumberFormat="1" applyFont="1" applyFill="1" applyBorder="1" applyAlignment="1">
      <alignment horizontal="left" vertical="center"/>
    </xf>
    <xf numFmtId="184" fontId="0" fillId="0" borderId="0" xfId="0" applyNumberFormat="1" applyFont="1" applyFill="1" applyBorder="1" applyAlignment="1"/>
    <xf numFmtId="166" fontId="0" fillId="0" borderId="0" xfId="237" applyFont="1" applyFill="1" applyBorder="1" applyAlignment="1"/>
    <xf numFmtId="1" fontId="48" fillId="0" borderId="158" xfId="58" quotePrefix="1" applyNumberFormat="1" applyFont="1" applyBorder="1" applyAlignment="1">
      <alignment horizontal="left" vertical="center"/>
    </xf>
    <xf numFmtId="0" fontId="36" fillId="2" borderId="159" xfId="41" applyFont="1" applyFill="1" applyBorder="1" applyAlignment="1">
      <alignment vertical="center" wrapText="1"/>
    </xf>
    <xf numFmtId="3" fontId="48" fillId="2" borderId="160" xfId="50" applyNumberFormat="1" applyFont="1" applyFill="1" applyBorder="1" applyAlignment="1">
      <alignment horizontal="center" vertical="center" wrapText="1"/>
    </xf>
    <xf numFmtId="4" fontId="48" fillId="2" borderId="160" xfId="58" applyNumberFormat="1" applyFont="1" applyFill="1" applyBorder="1" applyAlignment="1">
      <alignment vertical="center"/>
    </xf>
    <xf numFmtId="4" fontId="36" fillId="2" borderId="161" xfId="58" applyNumberFormat="1" applyFont="1" applyFill="1" applyBorder="1" applyAlignment="1">
      <alignment vertical="center"/>
    </xf>
    <xf numFmtId="169" fontId="110" fillId="0" borderId="118" xfId="52" quotePrefix="1" applyNumberFormat="1" applyFont="1" applyFill="1" applyBorder="1" applyAlignment="1">
      <alignment horizontal="left" vertical="center"/>
    </xf>
    <xf numFmtId="169" fontId="79" fillId="0" borderId="0" xfId="52" quotePrefix="1" applyNumberFormat="1" applyFont="1" applyFill="1" applyBorder="1" applyAlignment="1">
      <alignment horizontal="left" vertical="center"/>
    </xf>
    <xf numFmtId="189" fontId="116" fillId="0" borderId="0" xfId="51" applyNumberFormat="1" applyFont="1" applyAlignment="1">
      <alignment horizontal="left" vertical="center"/>
    </xf>
    <xf numFmtId="190" fontId="116" fillId="0" borderId="0" xfId="51" applyNumberFormat="1" applyFont="1" applyAlignment="1">
      <alignment horizontal="left" vertical="center"/>
    </xf>
    <xf numFmtId="49" fontId="81" fillId="13" borderId="8" xfId="53" applyNumberFormat="1" applyFont="1" applyFill="1" applyBorder="1" applyAlignment="1">
      <alignment horizontal="center" vertical="center"/>
    </xf>
    <xf numFmtId="49" fontId="48" fillId="0" borderId="93" xfId="53" applyNumberFormat="1" applyFont="1" applyFill="1" applyBorder="1" applyAlignment="1">
      <alignment horizontal="left" vertical="center" wrapText="1"/>
    </xf>
    <xf numFmtId="49" fontId="48" fillId="0" borderId="94" xfId="53" applyNumberFormat="1" applyFont="1" applyFill="1" applyBorder="1" applyAlignment="1">
      <alignment horizontal="left" vertical="center"/>
    </xf>
    <xf numFmtId="49" fontId="48" fillId="0" borderId="94" xfId="53" quotePrefix="1" applyNumberFormat="1" applyFont="1" applyFill="1" applyBorder="1" applyAlignment="1">
      <alignment horizontal="left" vertical="center" wrapText="1"/>
    </xf>
    <xf numFmtId="0" fontId="48" fillId="0" borderId="94" xfId="53" applyNumberFormat="1" applyFont="1" applyFill="1" applyBorder="1" applyAlignment="1">
      <alignment vertical="center"/>
    </xf>
    <xf numFmtId="0" fontId="48" fillId="0" borderId="94" xfId="53" applyNumberFormat="1" applyFont="1" applyFill="1" applyBorder="1" applyAlignment="1">
      <alignment horizontal="center" vertical="center" wrapText="1"/>
    </xf>
    <xf numFmtId="4" fontId="48" fillId="0" borderId="94" xfId="30" applyNumberFormat="1" applyFont="1" applyFill="1" applyBorder="1" applyAlignment="1">
      <alignment horizontal="center" vertical="center" wrapText="1"/>
    </xf>
    <xf numFmtId="4" fontId="48" fillId="0" borderId="94" xfId="30" applyNumberFormat="1" applyFont="1" applyFill="1" applyBorder="1" applyAlignment="1">
      <alignment horizontal="left" vertical="center"/>
    </xf>
    <xf numFmtId="4" fontId="48" fillId="0" borderId="95" xfId="53" applyNumberFormat="1" applyFont="1" applyFill="1" applyBorder="1" applyAlignment="1">
      <alignment horizontal="center" vertical="center" wrapText="1"/>
    </xf>
    <xf numFmtId="0" fontId="95" fillId="13" borderId="10" xfId="41" applyFont="1" applyFill="1" applyBorder="1" applyAlignment="1">
      <alignment horizontal="center" vertical="center" wrapText="1"/>
    </xf>
    <xf numFmtId="0" fontId="95" fillId="13" borderId="33" xfId="41" applyFont="1" applyFill="1" applyBorder="1" applyAlignment="1">
      <alignment horizontal="center" vertical="center" wrapText="1"/>
    </xf>
    <xf numFmtId="0" fontId="95" fillId="13" borderId="33" xfId="41" applyFont="1" applyFill="1" applyBorder="1" applyAlignment="1">
      <alignment horizontal="center" vertical="center"/>
    </xf>
    <xf numFmtId="0" fontId="46" fillId="0" borderId="125" xfId="45" applyFont="1" applyBorder="1" applyAlignment="1">
      <alignment vertical="center"/>
    </xf>
    <xf numFmtId="0" fontId="46" fillId="0" borderId="0" xfId="69" applyNumberFormat="1" applyFont="1" applyFill="1" applyBorder="1" applyAlignment="1"/>
    <xf numFmtId="0" fontId="81" fillId="20" borderId="165" xfId="69" applyFont="1" applyFill="1" applyBorder="1" applyAlignment="1">
      <alignment horizontal="center" vertical="center"/>
    </xf>
    <xf numFmtId="185" fontId="81" fillId="20" borderId="167" xfId="69" applyNumberFormat="1" applyFont="1" applyFill="1" applyBorder="1" applyAlignment="1">
      <alignment horizontal="center" vertical="center" wrapText="1"/>
    </xf>
    <xf numFmtId="0" fontId="140" fillId="18" borderId="168" xfId="69" applyFont="1" applyFill="1" applyBorder="1" applyAlignment="1">
      <alignment vertical="center" wrapText="1"/>
    </xf>
    <xf numFmtId="185" fontId="140" fillId="18" borderId="173" xfId="69" applyNumberFormat="1" applyFont="1" applyFill="1" applyBorder="1" applyAlignment="1">
      <alignment vertical="center" wrapText="1"/>
    </xf>
    <xf numFmtId="0" fontId="140" fillId="18" borderId="174" xfId="69" applyFont="1" applyFill="1" applyBorder="1" applyAlignment="1">
      <alignment vertical="center" wrapText="1"/>
    </xf>
    <xf numFmtId="0" fontId="141" fillId="18" borderId="174" xfId="69" applyFont="1" applyFill="1" applyBorder="1" applyAlignment="1">
      <alignment horizontal="right" vertical="center" wrapText="1"/>
    </xf>
    <xf numFmtId="185" fontId="142" fillId="18" borderId="173" xfId="69" applyNumberFormat="1" applyFont="1" applyFill="1" applyBorder="1" applyAlignment="1">
      <alignment vertical="center" wrapText="1"/>
    </xf>
    <xf numFmtId="185" fontId="140" fillId="18" borderId="179" xfId="69" applyNumberFormat="1" applyFont="1" applyFill="1" applyBorder="1" applyAlignment="1">
      <alignment vertical="center" wrapText="1"/>
    </xf>
    <xf numFmtId="166" fontId="48" fillId="18" borderId="180" xfId="251" applyFont="1" applyFill="1" applyBorder="1" applyAlignment="1">
      <alignment horizontal="center" vertical="center"/>
    </xf>
    <xf numFmtId="10" fontId="142" fillId="18" borderId="180" xfId="69" applyNumberFormat="1" applyFont="1" applyFill="1" applyBorder="1" applyAlignment="1">
      <alignment horizontal="center" vertical="center"/>
    </xf>
    <xf numFmtId="10" fontId="142" fillId="22" borderId="180" xfId="69" applyNumberFormat="1" applyFont="1" applyFill="1" applyBorder="1" applyAlignment="1">
      <alignment horizontal="center" vertical="center"/>
    </xf>
    <xf numFmtId="166" fontId="48" fillId="22" borderId="180" xfId="251" applyFont="1" applyFill="1" applyBorder="1" applyAlignment="1">
      <alignment horizontal="center" vertical="center"/>
    </xf>
    <xf numFmtId="166" fontId="81" fillId="20" borderId="15" xfId="251" applyFont="1" applyFill="1" applyBorder="1" applyAlignment="1">
      <alignment horizontal="center" vertical="center"/>
    </xf>
    <xf numFmtId="9" fontId="81" fillId="20" borderId="15" xfId="69" applyNumberFormat="1" applyFont="1" applyFill="1" applyBorder="1" applyAlignment="1">
      <alignment horizontal="center" vertical="center"/>
    </xf>
    <xf numFmtId="185" fontId="112" fillId="12" borderId="145" xfId="69" applyNumberFormat="1" applyFont="1" applyFill="1" applyBorder="1"/>
    <xf numFmtId="0" fontId="95" fillId="13" borderId="144" xfId="41" applyFont="1" applyFill="1" applyBorder="1" applyAlignment="1">
      <alignment horizontal="center" vertical="center" wrapText="1"/>
    </xf>
    <xf numFmtId="9" fontId="0" fillId="5" borderId="186" xfId="218" applyFont="1" applyFill="1" applyBorder="1" applyAlignment="1">
      <alignment horizontal="center" vertical="center"/>
    </xf>
    <xf numFmtId="0" fontId="31" fillId="0" borderId="193" xfId="57" applyBorder="1"/>
    <xf numFmtId="0" fontId="144" fillId="7" borderId="8" xfId="252" applyFont="1" applyFill="1" applyBorder="1" applyAlignment="1">
      <alignment horizontal="center" vertical="center"/>
    </xf>
    <xf numFmtId="185" fontId="112" fillId="12" borderId="145" xfId="69" applyNumberFormat="1" applyFont="1" applyFill="1" applyBorder="1" applyAlignment="1">
      <alignment horizontal="center"/>
    </xf>
    <xf numFmtId="166" fontId="124" fillId="11" borderId="78" xfId="251" applyFont="1" applyFill="1" applyBorder="1" applyAlignment="1">
      <alignment vertical="center"/>
    </xf>
    <xf numFmtId="166" fontId="112" fillId="12" borderId="145" xfId="251" applyFont="1" applyFill="1" applyBorder="1"/>
    <xf numFmtId="0" fontId="46" fillId="0" borderId="8" xfId="45" applyFont="1" applyBorder="1" applyAlignment="1">
      <alignment vertical="center"/>
    </xf>
    <xf numFmtId="0" fontId="83" fillId="0" borderId="1" xfId="45" applyFont="1" applyBorder="1" applyAlignment="1">
      <alignment vertical="center"/>
    </xf>
    <xf numFmtId="0" fontId="83" fillId="0" borderId="34" xfId="45" applyFont="1" applyBorder="1" applyAlignment="1">
      <alignment vertical="center"/>
    </xf>
    <xf numFmtId="0" fontId="95" fillId="13" borderId="143" xfId="41" applyFont="1" applyFill="1" applyBorder="1" applyAlignment="1">
      <alignment horizontal="center" vertical="center" wrapText="1"/>
    </xf>
    <xf numFmtId="2" fontId="112" fillId="12" borderId="145" xfId="30" applyNumberFormat="1" applyFont="1" applyFill="1" applyBorder="1"/>
    <xf numFmtId="166" fontId="79" fillId="3" borderId="50" xfId="251" applyFont="1" applyFill="1" applyBorder="1" applyAlignment="1">
      <alignment vertical="center"/>
    </xf>
    <xf numFmtId="4" fontId="143" fillId="0" borderId="94" xfId="30" applyNumberFormat="1" applyFont="1" applyFill="1" applyBorder="1" applyAlignment="1">
      <alignment horizontal="center" vertical="center" wrapText="1"/>
    </xf>
    <xf numFmtId="0" fontId="91" fillId="0" borderId="28" xfId="45" applyFont="1" applyBorder="1" applyAlignment="1">
      <alignment vertical="center"/>
    </xf>
    <xf numFmtId="0" fontId="47" fillId="5" borderId="112" xfId="45" applyFont="1" applyFill="1" applyBorder="1" applyAlignment="1">
      <alignment vertical="center"/>
    </xf>
    <xf numFmtId="0" fontId="149" fillId="19" borderId="218" xfId="208" applyFont="1" applyFill="1" applyBorder="1" applyAlignment="1">
      <alignment horizontal="center" vertical="center"/>
    </xf>
    <xf numFmtId="44" fontId="149" fillId="0" borderId="218" xfId="270" applyFont="1" applyFill="1" applyBorder="1" applyAlignment="1" applyProtection="1">
      <alignment vertical="center"/>
      <protection locked="0"/>
    </xf>
    <xf numFmtId="0" fontId="149" fillId="19" borderId="219" xfId="208" applyFont="1" applyFill="1" applyBorder="1" applyAlignment="1">
      <alignment horizontal="center" vertical="center"/>
    </xf>
    <xf numFmtId="44" fontId="149" fillId="0" borderId="219" xfId="270" applyFont="1" applyFill="1" applyBorder="1" applyAlignment="1" applyProtection="1">
      <alignment vertical="center"/>
      <protection locked="0"/>
    </xf>
    <xf numFmtId="0" fontId="158" fillId="0" borderId="164" xfId="208" applyFont="1" applyBorder="1" applyAlignment="1">
      <alignment horizontal="left" vertical="center" wrapText="1"/>
    </xf>
    <xf numFmtId="0" fontId="81" fillId="10" borderId="0" xfId="30" applyNumberFormat="1" applyFont="1" applyFill="1" applyBorder="1" applyAlignment="1">
      <alignment vertical="center"/>
    </xf>
    <xf numFmtId="4" fontId="81" fillId="10" borderId="0" xfId="30" applyNumberFormat="1" applyFont="1" applyFill="1" applyBorder="1" applyAlignment="1">
      <alignment vertical="center"/>
    </xf>
    <xf numFmtId="0" fontId="81" fillId="10" borderId="0" xfId="53" applyNumberFormat="1" applyFont="1" applyFill="1" applyBorder="1" applyAlignment="1">
      <alignment horizontal="center" vertical="center"/>
    </xf>
    <xf numFmtId="0" fontId="82" fillId="0" borderId="0" xfId="53" applyNumberFormat="1" applyFont="1" applyFill="1" applyBorder="1" applyAlignment="1">
      <alignment vertical="center"/>
    </xf>
    <xf numFmtId="49" fontId="81" fillId="10" borderId="0" xfId="53" applyNumberFormat="1" applyFont="1" applyFill="1" applyBorder="1" applyAlignment="1">
      <alignment vertical="center"/>
    </xf>
    <xf numFmtId="0" fontId="81" fillId="10" borderId="0" xfId="53" applyNumberFormat="1" applyFont="1" applyFill="1" applyBorder="1" applyAlignment="1">
      <alignment vertical="center"/>
    </xf>
    <xf numFmtId="49" fontId="82" fillId="0" borderId="0" xfId="53" applyNumberFormat="1" applyFont="1" applyFill="1" applyBorder="1" applyAlignment="1">
      <alignment vertical="center"/>
    </xf>
    <xf numFmtId="0" fontId="10" fillId="0" borderId="0" xfId="272"/>
    <xf numFmtId="0" fontId="133" fillId="0" borderId="0" xfId="272" applyFont="1"/>
    <xf numFmtId="185" fontId="159" fillId="0" borderId="0" xfId="272" applyNumberFormat="1" applyFont="1" applyAlignment="1">
      <alignment vertical="center"/>
    </xf>
    <xf numFmtId="0" fontId="159" fillId="0" borderId="0" xfId="272" applyFont="1" applyAlignment="1">
      <alignment vertical="center"/>
    </xf>
    <xf numFmtId="0" fontId="160" fillId="0" borderId="0" xfId="272" applyFont="1" applyAlignment="1">
      <alignment vertical="center"/>
    </xf>
    <xf numFmtId="185" fontId="162" fillId="29" borderId="108" xfId="272" applyNumberFormat="1" applyFont="1" applyFill="1" applyBorder="1" applyAlignment="1">
      <alignment horizontal="center" vertical="center"/>
    </xf>
    <xf numFmtId="185" fontId="163" fillId="30" borderId="220" xfId="272" applyNumberFormat="1" applyFont="1" applyFill="1" applyBorder="1" applyAlignment="1">
      <alignment vertical="center"/>
    </xf>
    <xf numFmtId="0" fontId="146" fillId="0" borderId="78" xfId="272" applyFont="1" applyBorder="1" applyAlignment="1">
      <alignment horizontal="center" vertical="center"/>
    </xf>
    <xf numFmtId="185" fontId="146" fillId="0" borderId="78" xfId="272" applyNumberFormat="1" applyFont="1" applyBorder="1" applyAlignment="1">
      <alignment horizontal="center" vertical="center"/>
    </xf>
    <xf numFmtId="43" fontId="10" fillId="0" borderId="0" xfId="272" applyNumberFormat="1"/>
    <xf numFmtId="0" fontId="166" fillId="0" borderId="0" xfId="272" applyFont="1" applyAlignment="1">
      <alignment vertical="center"/>
    </xf>
    <xf numFmtId="0" fontId="91" fillId="5" borderId="119" xfId="45" applyFont="1" applyFill="1" applyBorder="1" applyAlignment="1">
      <alignment vertical="center"/>
    </xf>
    <xf numFmtId="0" fontId="46" fillId="5" borderId="121" xfId="45" applyFont="1" applyFill="1" applyBorder="1" applyAlignment="1">
      <alignment vertical="center"/>
    </xf>
    <xf numFmtId="0" fontId="168" fillId="0" borderId="78" xfId="272" applyFont="1" applyBorder="1" applyAlignment="1">
      <alignment horizontal="center" vertical="center"/>
    </xf>
    <xf numFmtId="185" fontId="168" fillId="0" borderId="78" xfId="272" applyNumberFormat="1" applyFont="1" applyBorder="1" applyAlignment="1">
      <alignment horizontal="center" vertical="center"/>
    </xf>
    <xf numFmtId="17" fontId="46" fillId="5" borderId="121" xfId="45" applyNumberFormat="1" applyFont="1" applyFill="1" applyBorder="1" applyAlignment="1">
      <alignment horizontal="left" vertical="center"/>
    </xf>
    <xf numFmtId="0" fontId="47" fillId="5" borderId="119" xfId="45" applyFont="1" applyFill="1" applyBorder="1" applyAlignment="1">
      <alignment vertical="center"/>
    </xf>
    <xf numFmtId="185" fontId="162" fillId="29" borderId="202" xfId="272" applyNumberFormat="1" applyFont="1" applyFill="1" applyBorder="1" applyAlignment="1">
      <alignment horizontal="left" vertical="center"/>
    </xf>
    <xf numFmtId="185" fontId="163" fillId="30" borderId="221" xfId="272" applyNumberFormat="1" applyFont="1" applyFill="1" applyBorder="1" applyAlignment="1">
      <alignment vertical="center"/>
    </xf>
    <xf numFmtId="185" fontId="164" fillId="0" borderId="223" xfId="272" applyNumberFormat="1" applyFont="1" applyBorder="1" applyAlignment="1">
      <alignment horizontal="left" vertical="center"/>
    </xf>
    <xf numFmtId="185" fontId="164" fillId="18" borderId="223" xfId="272" applyNumberFormat="1" applyFont="1" applyFill="1" applyBorder="1" applyAlignment="1">
      <alignment horizontal="left" vertical="center"/>
    </xf>
    <xf numFmtId="181" fontId="93" fillId="0" borderId="29" xfId="50" applyNumberFormat="1" applyFont="1" applyFill="1" applyBorder="1" applyAlignment="1">
      <alignment vertical="center" wrapText="1"/>
    </xf>
    <xf numFmtId="17" fontId="122" fillId="14" borderId="0" xfId="45" applyNumberFormat="1" applyFont="1" applyFill="1" applyAlignment="1">
      <alignment horizontal="center" vertical="center"/>
    </xf>
    <xf numFmtId="179" fontId="86" fillId="13" borderId="31" xfId="58" applyNumberFormat="1" applyFont="1" applyFill="1" applyBorder="1" applyAlignment="1">
      <alignment horizontal="center" vertical="center"/>
    </xf>
    <xf numFmtId="4" fontId="121" fillId="3" borderId="224" xfId="47" applyNumberFormat="1" applyFont="1" applyFill="1" applyBorder="1" applyAlignment="1">
      <alignment horizontal="center" vertical="center"/>
    </xf>
    <xf numFmtId="4" fontId="79" fillId="3" borderId="110" xfId="47" applyNumberFormat="1" applyFont="1" applyFill="1" applyBorder="1" applyAlignment="1">
      <alignment horizontal="center" vertical="center"/>
    </xf>
    <xf numFmtId="4" fontId="79" fillId="3" borderId="111" xfId="47" applyNumberFormat="1" applyFont="1" applyFill="1" applyBorder="1" applyAlignment="1">
      <alignment horizontal="center" vertical="center"/>
    </xf>
    <xf numFmtId="4" fontId="86" fillId="13" borderId="33" xfId="58" applyNumberFormat="1" applyFont="1" applyFill="1" applyBorder="1" applyAlignment="1">
      <alignment horizontal="center" vertical="center"/>
    </xf>
    <xf numFmtId="4" fontId="86" fillId="13" borderId="24" xfId="58" applyNumberFormat="1" applyFont="1" applyFill="1" applyBorder="1" applyAlignment="1">
      <alignment horizontal="center" vertical="center"/>
    </xf>
    <xf numFmtId="4" fontId="83" fillId="0" borderId="29" xfId="50" applyNumberFormat="1" applyFont="1" applyFill="1" applyBorder="1" applyAlignment="1">
      <alignment horizontal="center" vertical="center" wrapText="1"/>
    </xf>
    <xf numFmtId="0" fontId="106" fillId="2" borderId="0" xfId="41" applyFont="1" applyFill="1" applyAlignment="1">
      <alignment horizontal="center" vertical="center"/>
    </xf>
    <xf numFmtId="4" fontId="95" fillId="13" borderId="0" xfId="41" applyNumberFormat="1" applyFont="1" applyFill="1" applyAlignment="1">
      <alignment horizontal="center" vertical="center" wrapText="1"/>
    </xf>
    <xf numFmtId="0" fontId="91" fillId="0" borderId="31" xfId="45" applyFont="1" applyBorder="1" applyAlignment="1">
      <alignment horizontal="center" vertical="center"/>
    </xf>
    <xf numFmtId="0" fontId="46" fillId="0" borderId="10" xfId="45" applyFont="1" applyBorder="1" applyAlignment="1">
      <alignment horizontal="center" vertical="center"/>
    </xf>
    <xf numFmtId="0" fontId="46" fillId="0" borderId="32" xfId="45" applyFont="1" applyBorder="1" applyAlignment="1">
      <alignment vertical="center"/>
    </xf>
    <xf numFmtId="181" fontId="46" fillId="0" borderId="33" xfId="83" applyNumberFormat="1" applyFont="1" applyBorder="1" applyAlignment="1">
      <alignment horizontal="center" vertical="center"/>
    </xf>
    <xf numFmtId="14" fontId="46" fillId="0" borderId="35" xfId="45" applyNumberFormat="1" applyFont="1" applyBorder="1" applyAlignment="1">
      <alignment horizontal="left" vertical="center"/>
    </xf>
    <xf numFmtId="185" fontId="112" fillId="31" borderId="145" xfId="69" applyNumberFormat="1" applyFont="1" applyFill="1" applyBorder="1"/>
    <xf numFmtId="1" fontId="139" fillId="24" borderId="196" xfId="0" applyNumberFormat="1" applyFont="1" applyFill="1" applyBorder="1" applyAlignment="1">
      <alignment horizontal="center" vertical="center"/>
    </xf>
    <xf numFmtId="2" fontId="139" fillId="24" borderId="196" xfId="0" applyNumberFormat="1" applyFont="1" applyFill="1" applyBorder="1" applyAlignment="1">
      <alignment horizontal="center" vertical="center"/>
    </xf>
    <xf numFmtId="0" fontId="115" fillId="0" borderId="0" xfId="53" applyFont="1"/>
    <xf numFmtId="0" fontId="90" fillId="13" borderId="23" xfId="41" applyFont="1" applyFill="1" applyBorder="1" applyAlignment="1">
      <alignment horizontal="centerContinuous" vertical="center"/>
    </xf>
    <xf numFmtId="0" fontId="90" fillId="13" borderId="25" xfId="41" applyFont="1" applyFill="1" applyBorder="1" applyAlignment="1">
      <alignment horizontal="centerContinuous" vertical="center"/>
    </xf>
    <xf numFmtId="15" fontId="90" fillId="13" borderId="26" xfId="41" applyNumberFormat="1" applyFont="1" applyFill="1" applyBorder="1" applyAlignment="1">
      <alignment horizontal="centerContinuous" vertical="center"/>
    </xf>
    <xf numFmtId="0" fontId="90" fillId="13" borderId="8" xfId="276" applyFont="1" applyFill="1" applyBorder="1" applyAlignment="1">
      <alignment horizontal="center" vertical="center"/>
    </xf>
    <xf numFmtId="0" fontId="90" fillId="13" borderId="1" xfId="276" applyFont="1" applyFill="1" applyBorder="1" applyAlignment="1">
      <alignment horizontal="center" vertical="center"/>
    </xf>
    <xf numFmtId="0" fontId="90" fillId="13" borderId="34" xfId="276" applyFont="1" applyFill="1" applyBorder="1" applyAlignment="1">
      <alignment horizontal="center" vertical="center"/>
    </xf>
    <xf numFmtId="4" fontId="169" fillId="3" borderId="100" xfId="50" applyNumberFormat="1" applyFont="1" applyFill="1" applyBorder="1" applyAlignment="1">
      <alignment vertical="center"/>
    </xf>
    <xf numFmtId="4" fontId="83" fillId="3" borderId="73" xfId="50" applyNumberFormat="1" applyFont="1" applyFill="1" applyBorder="1" applyAlignment="1">
      <alignment vertical="center"/>
    </xf>
    <xf numFmtId="4" fontId="83" fillId="3" borderId="42" xfId="50" applyNumberFormat="1" applyFont="1" applyFill="1" applyBorder="1" applyAlignment="1">
      <alignment vertical="center"/>
    </xf>
    <xf numFmtId="4" fontId="93" fillId="3" borderId="42" xfId="50" applyNumberFormat="1" applyFont="1" applyFill="1" applyBorder="1" applyAlignment="1">
      <alignment vertical="center"/>
    </xf>
    <xf numFmtId="0" fontId="83" fillId="0" borderId="150" xfId="41" applyFont="1" applyBorder="1" applyAlignment="1">
      <alignment vertical="center" wrapText="1"/>
    </xf>
    <xf numFmtId="3" fontId="83" fillId="2" borderId="46" xfId="42" applyNumberFormat="1" applyFont="1" applyFill="1" applyBorder="1" applyAlignment="1">
      <alignment horizontal="center" vertical="center"/>
    </xf>
    <xf numFmtId="4" fontId="83" fillId="0" borderId="29" xfId="42" applyNumberFormat="1" applyFont="1" applyFill="1" applyBorder="1" applyAlignment="1">
      <alignment vertical="center"/>
    </xf>
    <xf numFmtId="4" fontId="83" fillId="2" borderId="29" xfId="42" applyNumberFormat="1" applyFont="1" applyFill="1" applyBorder="1" applyAlignment="1">
      <alignment horizontal="center" vertical="center"/>
    </xf>
    <xf numFmtId="0" fontId="79" fillId="2" borderId="0" xfId="276" applyFont="1" applyFill="1" applyAlignment="1">
      <alignment vertical="center"/>
    </xf>
    <xf numFmtId="0" fontId="83" fillId="2" borderId="0" xfId="41" quotePrefix="1" applyFont="1" applyFill="1" applyAlignment="1">
      <alignment horizontal="left" vertical="center"/>
    </xf>
    <xf numFmtId="179" fontId="170" fillId="0" borderId="0" xfId="41" applyNumberFormat="1" applyFont="1" applyAlignment="1">
      <alignment horizontal="center" vertical="center"/>
    </xf>
    <xf numFmtId="4" fontId="48" fillId="0" borderId="94" xfId="105" applyNumberFormat="1" applyFont="1" applyFill="1" applyBorder="1" applyAlignment="1">
      <alignment horizontal="right" vertical="center" wrapText="1"/>
    </xf>
    <xf numFmtId="167" fontId="35" fillId="0" borderId="0" xfId="30" applyFont="1" applyFill="1" applyBorder="1" applyAlignment="1">
      <alignment vertical="center"/>
    </xf>
    <xf numFmtId="0" fontId="35" fillId="0" borderId="0" xfId="105" applyNumberFormat="1" applyFont="1" applyFill="1" applyBorder="1" applyAlignment="1">
      <alignment horizontal="left" vertical="center"/>
    </xf>
    <xf numFmtId="0" fontId="35" fillId="0" borderId="0" xfId="30" applyNumberFormat="1" applyFont="1" applyFill="1" applyBorder="1" applyAlignment="1">
      <alignment horizontal="left" vertical="center"/>
    </xf>
    <xf numFmtId="0" fontId="46" fillId="0" borderId="200" xfId="69" applyNumberFormat="1" applyFont="1" applyFill="1" applyBorder="1" applyAlignment="1"/>
    <xf numFmtId="0" fontId="46" fillId="0" borderId="5" xfId="69" applyNumberFormat="1" applyFont="1" applyFill="1" applyBorder="1" applyAlignment="1"/>
    <xf numFmtId="0" fontId="31" fillId="0" borderId="0" xfId="69" applyNumberFormat="1" applyFont="1" applyFill="1" applyBorder="1" applyAlignment="1"/>
    <xf numFmtId="0" fontId="140" fillId="18" borderId="174" xfId="69" applyFont="1" applyFill="1" applyBorder="1" applyAlignment="1">
      <alignment horizontal="left" vertical="center" wrapText="1"/>
    </xf>
    <xf numFmtId="0" fontId="141" fillId="18" borderId="176" xfId="69" applyFont="1" applyFill="1" applyBorder="1" applyAlignment="1">
      <alignment horizontal="right" vertical="center" wrapText="1"/>
    </xf>
    <xf numFmtId="0" fontId="81" fillId="20" borderId="151" xfId="69" applyFont="1" applyFill="1" applyBorder="1" applyAlignment="1">
      <alignment horizontal="center" vertical="center"/>
    </xf>
    <xf numFmtId="0" fontId="81" fillId="20" borderId="152" xfId="69" applyFont="1" applyFill="1" applyBorder="1" applyAlignment="1">
      <alignment horizontal="center" vertical="center"/>
    </xf>
    <xf numFmtId="0" fontId="81" fillId="20" borderId="153" xfId="69" applyFont="1" applyFill="1" applyBorder="1" applyAlignment="1">
      <alignment horizontal="center" vertical="center"/>
    </xf>
    <xf numFmtId="0" fontId="142" fillId="21" borderId="227" xfId="69" applyFont="1" applyFill="1" applyBorder="1" applyAlignment="1">
      <alignment horizontal="left" vertical="center"/>
    </xf>
    <xf numFmtId="166" fontId="142" fillId="18" borderId="228" xfId="251" applyFont="1" applyFill="1" applyBorder="1" applyAlignment="1">
      <alignment horizontal="center" vertical="center"/>
    </xf>
    <xf numFmtId="0" fontId="142" fillId="22" borderId="227" xfId="69" applyFont="1" applyFill="1" applyBorder="1" applyAlignment="1">
      <alignment horizontal="left" vertical="center"/>
    </xf>
    <xf numFmtId="166" fontId="142" fillId="22" borderId="228" xfId="251" applyFont="1" applyFill="1" applyBorder="1" applyAlignment="1">
      <alignment horizontal="center" vertical="center"/>
    </xf>
    <xf numFmtId="0" fontId="81" fillId="20" borderId="16" xfId="69" applyFont="1" applyFill="1" applyBorder="1" applyAlignment="1">
      <alignment horizontal="left" vertical="center"/>
    </xf>
    <xf numFmtId="166" fontId="81" fillId="20" borderId="19" xfId="251" applyFont="1" applyFill="1" applyBorder="1" applyAlignment="1">
      <alignment horizontal="center" vertical="center"/>
    </xf>
    <xf numFmtId="44" fontId="46" fillId="0" borderId="0" xfId="69" applyNumberFormat="1" applyFont="1" applyFill="1" applyBorder="1" applyAlignment="1"/>
    <xf numFmtId="44" fontId="46" fillId="0" borderId="200" xfId="69" applyNumberFormat="1" applyFont="1" applyFill="1" applyBorder="1" applyAlignment="1"/>
    <xf numFmtId="0" fontId="81" fillId="20" borderId="17" xfId="69" applyFont="1" applyFill="1" applyBorder="1" applyAlignment="1">
      <alignment horizontal="left" vertical="center"/>
    </xf>
    <xf numFmtId="166" fontId="81" fillId="20" borderId="18" xfId="251" applyFont="1" applyFill="1" applyBorder="1" applyAlignment="1">
      <alignment horizontal="left" vertical="center"/>
    </xf>
    <xf numFmtId="191" fontId="81" fillId="20" borderId="18" xfId="69" applyNumberFormat="1" applyFont="1" applyFill="1" applyBorder="1" applyAlignment="1">
      <alignment horizontal="center" vertical="center"/>
    </xf>
    <xf numFmtId="166" fontId="81" fillId="20" borderId="20" xfId="251" applyFont="1" applyFill="1" applyBorder="1" applyAlignment="1">
      <alignment horizontal="center" vertical="center"/>
    </xf>
    <xf numFmtId="0" fontId="46" fillId="0" borderId="201" xfId="69" applyNumberFormat="1" applyFont="1" applyFill="1" applyBorder="1" applyAlignment="1"/>
    <xf numFmtId="0" fontId="46" fillId="0" borderId="6" xfId="69" applyNumberFormat="1" applyFont="1" applyFill="1" applyBorder="1" applyAlignment="1"/>
    <xf numFmtId="0" fontId="46" fillId="0" borderId="12" xfId="69" applyNumberFormat="1" applyFont="1" applyFill="1" applyBorder="1" applyAlignment="1"/>
    <xf numFmtId="0" fontId="147" fillId="12" borderId="204" xfId="277" applyFont="1" applyFill="1" applyBorder="1" applyAlignment="1">
      <alignment vertical="center" wrapText="1"/>
    </xf>
    <xf numFmtId="0" fontId="132" fillId="18" borderId="229" xfId="277" applyFont="1" applyFill="1" applyBorder="1" applyAlignment="1">
      <alignment horizontal="left" vertical="center" wrapText="1"/>
    </xf>
    <xf numFmtId="0" fontId="132" fillId="18" borderId="230" xfId="277" applyFont="1" applyFill="1" applyBorder="1" applyAlignment="1">
      <alignment horizontal="center" vertical="center" wrapText="1"/>
    </xf>
    <xf numFmtId="185" fontId="132" fillId="18" borderId="230" xfId="277" applyNumberFormat="1" applyFont="1" applyFill="1" applyBorder="1" applyAlignment="1">
      <alignment horizontal="left" vertical="center" wrapText="1"/>
    </xf>
    <xf numFmtId="0" fontId="138" fillId="18" borderId="230" xfId="277" applyFont="1" applyFill="1" applyBorder="1" applyAlignment="1">
      <alignment horizontal="center" vertical="center" wrapText="1"/>
    </xf>
    <xf numFmtId="0" fontId="171" fillId="0" borderId="0" xfId="277"/>
    <xf numFmtId="0" fontId="147" fillId="12" borderId="231" xfId="277" applyFont="1" applyFill="1" applyBorder="1" applyAlignment="1">
      <alignment vertical="center" wrapText="1"/>
    </xf>
    <xf numFmtId="0" fontId="132" fillId="18" borderId="225" xfId="277" applyFont="1" applyFill="1" applyBorder="1" applyAlignment="1">
      <alignment horizontal="left" vertical="center" wrapText="1"/>
    </xf>
    <xf numFmtId="0" fontId="132" fillId="18" borderId="226" xfId="277" applyFont="1" applyFill="1" applyBorder="1" applyAlignment="1">
      <alignment horizontal="center" vertical="center" wrapText="1"/>
    </xf>
    <xf numFmtId="185" fontId="132" fillId="18" borderId="226" xfId="277" applyNumberFormat="1" applyFont="1" applyFill="1" applyBorder="1" applyAlignment="1">
      <alignment horizontal="left" vertical="center" wrapText="1"/>
    </xf>
    <xf numFmtId="0" fontId="138" fillId="18" borderId="226" xfId="277" applyFont="1" applyFill="1" applyBorder="1" applyAlignment="1">
      <alignment horizontal="center" vertical="center" wrapText="1"/>
    </xf>
    <xf numFmtId="0" fontId="138" fillId="18" borderId="238" xfId="277" applyFont="1" applyFill="1" applyBorder="1"/>
    <xf numFmtId="0" fontId="148" fillId="18" borderId="203" xfId="277" applyFont="1" applyFill="1" applyBorder="1" applyAlignment="1">
      <alignment horizontal="center"/>
    </xf>
    <xf numFmtId="185" fontId="148" fillId="18" borderId="203" xfId="277" applyNumberFormat="1" applyFont="1" applyFill="1" applyBorder="1" applyAlignment="1">
      <alignment horizontal="center"/>
    </xf>
    <xf numFmtId="0" fontId="138" fillId="18" borderId="203" xfId="277" applyFont="1" applyFill="1" applyBorder="1" applyAlignment="1">
      <alignment horizontal="center"/>
    </xf>
    <xf numFmtId="0" fontId="148" fillId="18" borderId="239" xfId="277" applyFont="1" applyFill="1" applyBorder="1"/>
    <xf numFmtId="0" fontId="138" fillId="18" borderId="232" xfId="277" applyFont="1" applyFill="1" applyBorder="1"/>
    <xf numFmtId="0" fontId="148" fillId="18" borderId="0" xfId="277" applyFont="1" applyFill="1" applyAlignment="1">
      <alignment horizontal="center"/>
    </xf>
    <xf numFmtId="185" fontId="148" fillId="18" borderId="0" xfId="277" applyNumberFormat="1" applyFont="1" applyFill="1" applyAlignment="1">
      <alignment horizontal="center"/>
    </xf>
    <xf numFmtId="0" fontId="138" fillId="18" borderId="0" xfId="277" applyFont="1" applyFill="1" applyAlignment="1">
      <alignment horizontal="center"/>
    </xf>
    <xf numFmtId="0" fontId="148" fillId="18" borderId="233" xfId="277" applyFont="1" applyFill="1" applyBorder="1"/>
    <xf numFmtId="0" fontId="135" fillId="20" borderId="204" xfId="277" applyFont="1" applyFill="1" applyBorder="1" applyAlignment="1">
      <alignment horizontal="center" vertical="center"/>
    </xf>
    <xf numFmtId="0" fontId="135" fillId="20" borderId="205" xfId="277" applyFont="1" applyFill="1" applyBorder="1" applyAlignment="1">
      <alignment horizontal="center" vertical="center" wrapText="1"/>
    </xf>
    <xf numFmtId="185" fontId="135" fillId="20" borderId="206" xfId="277" applyNumberFormat="1" applyFont="1" applyFill="1" applyBorder="1" applyAlignment="1">
      <alignment horizontal="center" vertical="center" wrapText="1"/>
    </xf>
    <xf numFmtId="0" fontId="138" fillId="18" borderId="240" xfId="277" applyFont="1" applyFill="1" applyBorder="1" applyAlignment="1">
      <alignment vertical="center" wrapText="1"/>
    </xf>
    <xf numFmtId="0" fontId="148" fillId="18" borderId="232" xfId="277" applyFont="1" applyFill="1" applyBorder="1"/>
    <xf numFmtId="0" fontId="138" fillId="18" borderId="207" xfId="277" applyFont="1" applyFill="1" applyBorder="1" applyAlignment="1">
      <alignment vertical="center" wrapText="1"/>
    </xf>
    <xf numFmtId="185" fontId="138" fillId="18" borderId="198" xfId="277" applyNumberFormat="1" applyFont="1" applyFill="1" applyBorder="1" applyAlignment="1">
      <alignment horizontal="center" vertical="center" wrapText="1"/>
    </xf>
    <xf numFmtId="0" fontId="138" fillId="18" borderId="209" xfId="277" applyFont="1" applyFill="1" applyBorder="1" applyAlignment="1">
      <alignment vertical="center" wrapText="1"/>
    </xf>
    <xf numFmtId="185" fontId="138" fillId="18" borderId="210" xfId="277" applyNumberFormat="1" applyFont="1" applyFill="1" applyBorder="1" applyAlignment="1">
      <alignment horizontal="center" vertical="center" wrapText="1"/>
    </xf>
    <xf numFmtId="0" fontId="134" fillId="18" borderId="244" xfId="277" applyFont="1" applyFill="1" applyBorder="1"/>
    <xf numFmtId="0" fontId="134" fillId="18" borderId="245" xfId="277" applyFont="1" applyFill="1" applyBorder="1"/>
    <xf numFmtId="0" fontId="138" fillId="18" borderId="0" xfId="277" applyFont="1" applyFill="1" applyAlignment="1">
      <alignment horizontal="center" vertical="center" wrapText="1"/>
    </xf>
    <xf numFmtId="185" fontId="138" fillId="18" borderId="208" xfId="277" applyNumberFormat="1" applyFont="1" applyFill="1" applyBorder="1" applyAlignment="1">
      <alignment horizontal="center" vertical="center" wrapText="1"/>
    </xf>
    <xf numFmtId="185" fontId="138" fillId="28" borderId="211" xfId="277" applyNumberFormat="1" applyFont="1" applyFill="1" applyBorder="1" applyAlignment="1">
      <alignment horizontal="center" vertical="center" wrapText="1"/>
    </xf>
    <xf numFmtId="0" fontId="175" fillId="18" borderId="207" xfId="277" applyFont="1" applyFill="1" applyBorder="1" applyAlignment="1">
      <alignment vertical="center" wrapText="1"/>
    </xf>
    <xf numFmtId="185" fontId="175" fillId="18" borderId="198" xfId="277" applyNumberFormat="1" applyFont="1" applyFill="1" applyBorder="1" applyAlignment="1">
      <alignment horizontal="center" vertical="center" wrapText="1"/>
    </xf>
    <xf numFmtId="185" fontId="175" fillId="18" borderId="208" xfId="277" applyNumberFormat="1" applyFont="1" applyFill="1" applyBorder="1" applyAlignment="1">
      <alignment horizontal="center" vertical="center" wrapText="1"/>
    </xf>
    <xf numFmtId="0" fontId="175" fillId="18" borderId="209" xfId="277" applyFont="1" applyFill="1" applyBorder="1" applyAlignment="1">
      <alignment vertical="center" wrapText="1"/>
    </xf>
    <xf numFmtId="185" fontId="175" fillId="18" borderId="210" xfId="277" applyNumberFormat="1" applyFont="1" applyFill="1" applyBorder="1" applyAlignment="1">
      <alignment horizontal="center" vertical="center" wrapText="1"/>
    </xf>
    <xf numFmtId="185" fontId="175" fillId="18" borderId="211" xfId="277" applyNumberFormat="1" applyFont="1" applyFill="1" applyBorder="1" applyAlignment="1">
      <alignment horizontal="center" vertical="center" wrapText="1"/>
    </xf>
    <xf numFmtId="0" fontId="138" fillId="18" borderId="212" xfId="277" applyFont="1" applyFill="1" applyBorder="1" applyAlignment="1">
      <alignment vertical="center" wrapText="1"/>
    </xf>
    <xf numFmtId="185" fontId="138" fillId="18" borderId="199" xfId="277" applyNumberFormat="1" applyFont="1" applyFill="1" applyBorder="1" applyAlignment="1">
      <alignment horizontal="center" vertical="center" wrapText="1"/>
    </xf>
    <xf numFmtId="185" fontId="138" fillId="18" borderId="213" xfId="277" applyNumberFormat="1" applyFont="1" applyFill="1" applyBorder="1" applyAlignment="1">
      <alignment horizontal="center" vertical="center" wrapText="1"/>
    </xf>
    <xf numFmtId="0" fontId="138" fillId="18" borderId="0" xfId="277" applyFont="1" applyFill="1"/>
    <xf numFmtId="185" fontId="138" fillId="18" borderId="241" xfId="277" applyNumberFormat="1" applyFont="1" applyFill="1" applyBorder="1" applyAlignment="1">
      <alignment horizontal="center" vertical="center" wrapText="1"/>
    </xf>
    <xf numFmtId="192" fontId="138" fillId="18" borderId="213" xfId="277" applyNumberFormat="1" applyFont="1" applyFill="1" applyBorder="1" applyAlignment="1">
      <alignment horizontal="center" vertical="center" wrapText="1"/>
    </xf>
    <xf numFmtId="0" fontId="146" fillId="18" borderId="232" xfId="277" applyFont="1" applyFill="1" applyBorder="1"/>
    <xf numFmtId="44" fontId="138" fillId="18" borderId="0" xfId="277" applyNumberFormat="1" applyFont="1" applyFill="1"/>
    <xf numFmtId="0" fontId="146" fillId="18" borderId="233" xfId="277" applyFont="1" applyFill="1" applyBorder="1"/>
    <xf numFmtId="0" fontId="138" fillId="18" borderId="214" xfId="277" applyFont="1" applyFill="1" applyBorder="1" applyAlignment="1">
      <alignment vertical="center" wrapText="1"/>
    </xf>
    <xf numFmtId="185" fontId="138" fillId="18" borderId="215" xfId="277" applyNumberFormat="1" applyFont="1" applyFill="1" applyBorder="1" applyAlignment="1">
      <alignment horizontal="center" vertical="center" wrapText="1"/>
    </xf>
    <xf numFmtId="185" fontId="138" fillId="18" borderId="216" xfId="277" applyNumberFormat="1" applyFont="1" applyFill="1" applyBorder="1" applyAlignment="1">
      <alignment horizontal="center" vertical="center" wrapText="1"/>
    </xf>
    <xf numFmtId="0" fontId="146" fillId="18" borderId="0" xfId="277" applyFont="1" applyFill="1"/>
    <xf numFmtId="0" fontId="146" fillId="0" borderId="0" xfId="277" applyFont="1"/>
    <xf numFmtId="0" fontId="135" fillId="0" borderId="0" xfId="277" applyFont="1" applyAlignment="1">
      <alignment horizontal="center" vertical="center" wrapText="1"/>
    </xf>
    <xf numFmtId="0" fontId="176" fillId="0" borderId="0" xfId="277" applyFont="1" applyAlignment="1">
      <alignment horizontal="center" vertical="center" wrapText="1"/>
    </xf>
    <xf numFmtId="185" fontId="135" fillId="0" borderId="0" xfId="277" applyNumberFormat="1" applyFont="1" applyAlignment="1">
      <alignment horizontal="center" vertical="center" wrapText="1"/>
    </xf>
    <xf numFmtId="0" fontId="173" fillId="0" borderId="0" xfId="277" applyFont="1" applyAlignment="1">
      <alignment horizontal="center" vertical="center" wrapText="1"/>
    </xf>
    <xf numFmtId="0" fontId="146" fillId="18" borderId="234" xfId="277" applyFont="1" applyFill="1" applyBorder="1"/>
    <xf numFmtId="0" fontId="146" fillId="18" borderId="242" xfId="277" applyFont="1" applyFill="1" applyBorder="1"/>
    <xf numFmtId="0" fontId="146" fillId="18" borderId="243" xfId="277" applyFont="1" applyFill="1" applyBorder="1"/>
    <xf numFmtId="4" fontId="48" fillId="0" borderId="94" xfId="105" applyNumberFormat="1" applyFont="1" applyFill="1" applyBorder="1" applyAlignment="1">
      <alignment horizontal="center" vertical="center" wrapText="1"/>
    </xf>
    <xf numFmtId="0" fontId="115" fillId="0" borderId="0" xfId="69" applyFont="1"/>
    <xf numFmtId="189" fontId="116" fillId="0" borderId="0" xfId="208" applyNumberFormat="1" applyFont="1" applyAlignment="1">
      <alignment horizontal="left" vertical="center"/>
    </xf>
    <xf numFmtId="190" fontId="116" fillId="0" borderId="0" xfId="208" applyNumberFormat="1" applyFont="1" applyAlignment="1">
      <alignment horizontal="left" vertical="center"/>
    </xf>
    <xf numFmtId="0" fontId="95" fillId="13" borderId="26" xfId="105" applyNumberFormat="1" applyFont="1" applyFill="1" applyBorder="1" applyAlignment="1">
      <alignment horizontal="center" vertical="center" wrapText="1"/>
    </xf>
    <xf numFmtId="0" fontId="95" fillId="13" borderId="7" xfId="105" applyNumberFormat="1" applyFont="1" applyFill="1" applyBorder="1" applyAlignment="1">
      <alignment horizontal="center" vertical="center" wrapText="1"/>
    </xf>
    <xf numFmtId="0" fontId="95" fillId="13" borderId="28" xfId="105" applyNumberFormat="1" applyFont="1" applyFill="1" applyBorder="1" applyAlignment="1">
      <alignment horizontal="center" vertical="center" wrapText="1"/>
    </xf>
    <xf numFmtId="4" fontId="48" fillId="0" borderId="94" xfId="105" applyNumberFormat="1" applyFont="1" applyFill="1" applyBorder="1" applyAlignment="1">
      <alignment horizontal="left" vertical="center"/>
    </xf>
    <xf numFmtId="43" fontId="48" fillId="0" borderId="0" xfId="281" applyFont="1" applyFill="1" applyBorder="1" applyAlignment="1">
      <alignment horizontal="center" vertical="center"/>
    </xf>
    <xf numFmtId="4" fontId="143" fillId="0" borderId="94" xfId="105" applyNumberFormat="1" applyFont="1" applyFill="1" applyBorder="1" applyAlignment="1">
      <alignment horizontal="center" vertical="center" wrapText="1"/>
    </xf>
    <xf numFmtId="4" fontId="48" fillId="0" borderId="0" xfId="53" applyNumberFormat="1" applyFont="1" applyFill="1" applyBorder="1" applyAlignment="1">
      <alignment horizontal="center" vertical="center"/>
    </xf>
    <xf numFmtId="0" fontId="48" fillId="33" borderId="94" xfId="53" applyNumberFormat="1" applyFont="1" applyFill="1" applyBorder="1" applyAlignment="1">
      <alignment vertical="center"/>
    </xf>
    <xf numFmtId="0" fontId="48" fillId="0" borderId="0" xfId="53" applyNumberFormat="1" applyFont="1" applyFill="1" applyBorder="1" applyAlignment="1">
      <alignment horizontal="left" vertical="center"/>
    </xf>
    <xf numFmtId="0" fontId="48" fillId="0" borderId="94" xfId="53" applyNumberFormat="1" applyFont="1" applyFill="1" applyBorder="1" applyAlignment="1">
      <alignment vertical="center" wrapText="1"/>
    </xf>
    <xf numFmtId="0" fontId="48" fillId="5" borderId="94" xfId="53" applyNumberFormat="1" applyFont="1" applyFill="1" applyBorder="1" applyAlignment="1">
      <alignment vertical="center"/>
    </xf>
    <xf numFmtId="2" fontId="48" fillId="0" borderId="0" xfId="53" applyNumberFormat="1" applyFont="1" applyFill="1" applyBorder="1" applyAlignment="1">
      <alignment horizontal="center" vertical="center"/>
    </xf>
    <xf numFmtId="0" fontId="35" fillId="0" borderId="0" xfId="105" applyNumberFormat="1" applyFont="1" applyFill="1" applyBorder="1" applyAlignment="1">
      <alignment vertical="center"/>
    </xf>
    <xf numFmtId="43" fontId="35" fillId="0" borderId="0" xfId="281" applyFont="1" applyFill="1" applyBorder="1" applyAlignment="1">
      <alignment vertical="center"/>
    </xf>
    <xf numFmtId="0" fontId="35" fillId="0" borderId="0" xfId="105" applyNumberFormat="1" applyFont="1" applyFill="1" applyBorder="1" applyAlignment="1">
      <alignment horizontal="right" vertical="center"/>
    </xf>
    <xf numFmtId="0" fontId="36" fillId="0" borderId="0" xfId="105" applyNumberFormat="1" applyFont="1" applyFill="1" applyBorder="1" applyAlignment="1">
      <alignment vertical="center"/>
    </xf>
    <xf numFmtId="44" fontId="35" fillId="0" borderId="0" xfId="30" applyNumberFormat="1" applyFont="1" applyFill="1" applyBorder="1" applyAlignment="1">
      <alignment vertical="center"/>
    </xf>
    <xf numFmtId="0" fontId="90" fillId="13" borderId="34" xfId="276" applyFont="1" applyFill="1" applyBorder="1" applyAlignment="1">
      <alignment horizontal="center" vertical="center" wrapText="1"/>
    </xf>
    <xf numFmtId="0" fontId="46" fillId="0" borderId="113" xfId="45" applyFont="1" applyBorder="1" applyAlignment="1">
      <alignment horizontal="right" vertical="center"/>
    </xf>
    <xf numFmtId="14" fontId="46" fillId="0" borderId="113" xfId="45" applyNumberFormat="1" applyFont="1" applyBorder="1" applyAlignment="1">
      <alignment horizontal="center" vertical="center"/>
    </xf>
    <xf numFmtId="17" fontId="128" fillId="14" borderId="112" xfId="45" applyNumberFormat="1" applyFont="1" applyFill="1" applyBorder="1" applyAlignment="1">
      <alignment vertical="center"/>
    </xf>
    <xf numFmtId="17" fontId="128" fillId="14" borderId="113" xfId="45" applyNumberFormat="1" applyFont="1" applyFill="1" applyBorder="1" applyAlignment="1">
      <alignment vertical="center"/>
    </xf>
    <xf numFmtId="17" fontId="128" fillId="14" borderId="120" xfId="45" applyNumberFormat="1" applyFont="1" applyFill="1" applyBorder="1" applyAlignment="1">
      <alignment vertical="center"/>
    </xf>
    <xf numFmtId="0" fontId="95" fillId="13" borderId="10" xfId="41" applyFont="1" applyFill="1" applyBorder="1" applyAlignment="1">
      <alignment horizontal="center" vertical="center"/>
    </xf>
    <xf numFmtId="43" fontId="35" fillId="2" borderId="15" xfId="290" applyFont="1" applyFill="1" applyBorder="1" applyAlignment="1">
      <alignment vertical="center"/>
    </xf>
    <xf numFmtId="0" fontId="177" fillId="13" borderId="23" xfId="41" applyFont="1" applyFill="1" applyBorder="1" applyAlignment="1">
      <alignment horizontal="centerContinuous" vertical="center"/>
    </xf>
    <xf numFmtId="0" fontId="177" fillId="13" borderId="25" xfId="41" applyFont="1" applyFill="1" applyBorder="1" applyAlignment="1">
      <alignment horizontal="centerContinuous" vertical="center"/>
    </xf>
    <xf numFmtId="15" fontId="177" fillId="13" borderId="26" xfId="41" applyNumberFormat="1" applyFont="1" applyFill="1" applyBorder="1" applyAlignment="1">
      <alignment horizontal="centerContinuous" vertical="center"/>
    </xf>
    <xf numFmtId="0" fontId="96" fillId="13" borderId="28" xfId="41" applyFont="1" applyFill="1" applyBorder="1" applyAlignment="1">
      <alignment horizontal="center" vertical="center"/>
    </xf>
    <xf numFmtId="0" fontId="96" fillId="13" borderId="8" xfId="41" applyFont="1" applyFill="1" applyBorder="1" applyAlignment="1">
      <alignment horizontal="center" vertical="center"/>
    </xf>
    <xf numFmtId="0" fontId="177" fillId="13" borderId="1" xfId="276" applyFont="1" applyFill="1" applyBorder="1" applyAlignment="1">
      <alignment horizontal="center" vertical="center"/>
    </xf>
    <xf numFmtId="0" fontId="177" fillId="13" borderId="8" xfId="276" applyFont="1" applyFill="1" applyBorder="1" applyAlignment="1">
      <alignment horizontal="center" vertical="center"/>
    </xf>
    <xf numFmtId="0" fontId="96" fillId="13" borderId="32" xfId="41" applyFont="1" applyFill="1" applyBorder="1" applyAlignment="1">
      <alignment horizontal="center" vertical="center"/>
    </xf>
    <xf numFmtId="0" fontId="96" fillId="13" borderId="1" xfId="41" applyFont="1" applyFill="1" applyBorder="1" applyAlignment="1">
      <alignment horizontal="center" vertical="center"/>
    </xf>
    <xf numFmtId="0" fontId="177" fillId="13" borderId="34" xfId="276" applyFont="1" applyFill="1" applyBorder="1" applyAlignment="1">
      <alignment horizontal="center" vertical="center" wrapText="1"/>
    </xf>
    <xf numFmtId="0" fontId="177" fillId="13" borderId="15" xfId="276" applyFont="1" applyFill="1" applyBorder="1" applyAlignment="1">
      <alignment horizontal="center" vertical="center" wrapText="1"/>
    </xf>
    <xf numFmtId="0" fontId="96" fillId="13" borderId="28" xfId="57" applyFont="1" applyFill="1" applyBorder="1" applyAlignment="1">
      <alignment horizontal="center" vertical="center"/>
    </xf>
    <xf numFmtId="0" fontId="90" fillId="13" borderId="23" xfId="41" applyFont="1" applyFill="1" applyBorder="1" applyAlignment="1">
      <alignment horizontal="center" vertical="center"/>
    </xf>
    <xf numFmtId="0" fontId="90" fillId="13" borderId="25" xfId="41" applyFont="1" applyFill="1" applyBorder="1" applyAlignment="1">
      <alignment horizontal="center" vertical="center"/>
    </xf>
    <xf numFmtId="4" fontId="169" fillId="3" borderId="73" xfId="50" applyNumberFormat="1" applyFont="1" applyFill="1" applyBorder="1" applyAlignment="1">
      <alignment vertical="center"/>
    </xf>
    <xf numFmtId="0" fontId="83" fillId="0" borderId="107" xfId="41" applyFont="1" applyBorder="1" applyAlignment="1">
      <alignment vertical="center" wrapText="1"/>
    </xf>
    <xf numFmtId="17" fontId="122" fillId="14" borderId="24" xfId="45" applyNumberFormat="1" applyFont="1" applyFill="1" applyBorder="1" applyAlignment="1">
      <alignment vertical="center"/>
    </xf>
    <xf numFmtId="0" fontId="96" fillId="13" borderId="25" xfId="41" applyFont="1" applyFill="1" applyBorder="1" applyAlignment="1">
      <alignment horizontal="center" vertical="center"/>
    </xf>
    <xf numFmtId="0" fontId="96" fillId="13" borderId="33" xfId="41" applyFont="1" applyFill="1" applyBorder="1" applyAlignment="1">
      <alignment vertical="center"/>
    </xf>
    <xf numFmtId="0" fontId="96" fillId="13" borderId="33" xfId="41" applyFont="1" applyFill="1" applyBorder="1" applyAlignment="1">
      <alignment horizontal="center" vertical="center"/>
    </xf>
    <xf numFmtId="0" fontId="48" fillId="27" borderId="0" xfId="53" applyNumberFormat="1" applyFont="1" applyFill="1" applyBorder="1" applyAlignment="1">
      <alignment horizontal="center" vertical="center"/>
    </xf>
    <xf numFmtId="0" fontId="48" fillId="0" borderId="94" xfId="53" quotePrefix="1" applyNumberFormat="1" applyFont="1" applyFill="1" applyBorder="1" applyAlignment="1">
      <alignment horizontal="left" vertical="center" wrapText="1"/>
    </xf>
    <xf numFmtId="0" fontId="47" fillId="5" borderId="251" xfId="45" applyFont="1" applyFill="1" applyBorder="1" applyAlignment="1">
      <alignment vertical="center"/>
    </xf>
    <xf numFmtId="0" fontId="46" fillId="5" borderId="252" xfId="45" applyFont="1" applyFill="1" applyBorder="1" applyAlignment="1">
      <alignment vertical="center"/>
    </xf>
    <xf numFmtId="0" fontId="91" fillId="5" borderId="252" xfId="45" applyFont="1" applyFill="1" applyBorder="1" applyAlignment="1">
      <alignment vertical="center"/>
    </xf>
    <xf numFmtId="0" fontId="91" fillId="5" borderId="8" xfId="45" applyFont="1" applyFill="1" applyBorder="1" applyAlignment="1">
      <alignment vertical="center"/>
    </xf>
    <xf numFmtId="0" fontId="150" fillId="0" borderId="0" xfId="295" applyFont="1"/>
    <xf numFmtId="0" fontId="46" fillId="5" borderId="113" xfId="45" applyFont="1" applyFill="1" applyBorder="1" applyAlignment="1">
      <alignment vertical="center"/>
    </xf>
    <xf numFmtId="0" fontId="46" fillId="5" borderId="1" xfId="45" applyFont="1" applyFill="1" applyBorder="1" applyAlignment="1">
      <alignment vertical="center"/>
    </xf>
    <xf numFmtId="181" fontId="46" fillId="5" borderId="34" xfId="83" applyNumberFormat="1" applyFont="1" applyFill="1" applyBorder="1" applyAlignment="1">
      <alignment horizontal="left" vertical="center"/>
    </xf>
    <xf numFmtId="0" fontId="151" fillId="13" borderId="219" xfId="208" applyFont="1" applyFill="1" applyBorder="1" applyAlignment="1">
      <alignment horizontal="center" vertical="center"/>
    </xf>
    <xf numFmtId="0" fontId="151" fillId="13" borderId="219" xfId="208" applyFont="1" applyFill="1" applyBorder="1" applyAlignment="1">
      <alignment horizontal="center" vertical="center" wrapText="1"/>
    </xf>
    <xf numFmtId="0" fontId="151" fillId="13" borderId="163" xfId="208" applyFont="1" applyFill="1" applyBorder="1" applyAlignment="1">
      <alignment horizontal="center" vertical="center" wrapText="1"/>
    </xf>
    <xf numFmtId="4" fontId="151" fillId="13" borderId="219" xfId="208" applyNumberFormat="1" applyFont="1" applyFill="1" applyBorder="1" applyAlignment="1">
      <alignment horizontal="center" vertical="center" wrapText="1"/>
    </xf>
    <xf numFmtId="44" fontId="151" fillId="13" borderId="219" xfId="208" applyNumberFormat="1" applyFont="1" applyFill="1" applyBorder="1" applyAlignment="1">
      <alignment horizontal="center" vertical="center" wrapText="1"/>
    </xf>
    <xf numFmtId="0" fontId="151" fillId="13" borderId="162" xfId="208" applyFont="1" applyFill="1" applyBorder="1" applyAlignment="1">
      <alignment horizontal="center" vertical="center"/>
    </xf>
    <xf numFmtId="0" fontId="153" fillId="0" borderId="0" xfId="295" applyFont="1" applyAlignment="1">
      <alignment vertical="center"/>
    </xf>
    <xf numFmtId="0" fontId="150" fillId="0" borderId="0" xfId="295" applyFont="1" applyAlignment="1">
      <alignment vertical="center"/>
    </xf>
    <xf numFmtId="0" fontId="149" fillId="19" borderId="218" xfId="295" applyFont="1" applyFill="1" applyBorder="1" applyAlignment="1">
      <alignment vertical="center" wrapText="1"/>
    </xf>
    <xf numFmtId="4" fontId="149" fillId="19" borderId="218" xfId="296" applyNumberFormat="1" applyFont="1" applyFill="1" applyBorder="1" applyAlignment="1" applyProtection="1">
      <alignment horizontal="center" vertical="center"/>
      <protection locked="0"/>
    </xf>
    <xf numFmtId="44" fontId="149" fillId="19" borderId="218" xfId="295" applyNumberFormat="1" applyFont="1" applyFill="1" applyBorder="1" applyAlignment="1">
      <alignment vertical="center"/>
    </xf>
    <xf numFmtId="4" fontId="155" fillId="0" borderId="218" xfId="295" applyNumberFormat="1" applyFont="1" applyBorder="1" applyAlignment="1">
      <alignment vertical="center" wrapText="1"/>
    </xf>
    <xf numFmtId="44" fontId="153" fillId="0" borderId="0" xfId="295" applyNumberFormat="1" applyFont="1" applyAlignment="1">
      <alignment vertical="center"/>
    </xf>
    <xf numFmtId="44" fontId="150" fillId="0" borderId="0" xfId="295" applyNumberFormat="1" applyFont="1" applyAlignment="1">
      <alignment vertical="center"/>
    </xf>
    <xf numFmtId="44" fontId="156" fillId="0" borderId="0" xfId="295" applyNumberFormat="1" applyFont="1" applyAlignment="1">
      <alignment vertical="center"/>
    </xf>
    <xf numFmtId="0" fontId="150" fillId="0" borderId="0" xfId="295" applyFont="1" applyAlignment="1">
      <alignment vertical="center" wrapText="1"/>
    </xf>
    <xf numFmtId="44" fontId="149" fillId="19" borderId="219" xfId="295" applyNumberFormat="1" applyFont="1" applyFill="1" applyBorder="1" applyAlignment="1">
      <alignment vertical="center"/>
    </xf>
    <xf numFmtId="4" fontId="155" fillId="0" borderId="219" xfId="295" applyNumberFormat="1" applyFont="1" applyBorder="1" applyAlignment="1">
      <alignment vertical="center" wrapText="1"/>
    </xf>
    <xf numFmtId="4" fontId="79" fillId="3" borderId="109" xfId="47" applyNumberFormat="1" applyFont="1" applyFill="1" applyBorder="1" applyAlignment="1">
      <alignment vertical="center"/>
    </xf>
    <xf numFmtId="166" fontId="79" fillId="3" borderId="110" xfId="251" applyFont="1" applyFill="1" applyBorder="1" applyAlignment="1">
      <alignment vertical="center"/>
    </xf>
    <xf numFmtId="0" fontId="150" fillId="0" borderId="0" xfId="295" applyFont="1" applyAlignment="1">
      <alignment horizontal="center"/>
    </xf>
    <xf numFmtId="4" fontId="150" fillId="0" borderId="0" xfId="295" applyNumberFormat="1" applyFont="1"/>
    <xf numFmtId="44" fontId="150" fillId="0" borderId="0" xfId="295" applyNumberFormat="1" applyFont="1"/>
    <xf numFmtId="179" fontId="83" fillId="0" borderId="29" xfId="50" applyNumberFormat="1" applyFont="1" applyFill="1" applyBorder="1" applyAlignment="1">
      <alignment horizontal="center" vertical="center" wrapText="1"/>
    </xf>
    <xf numFmtId="4" fontId="112" fillId="0" borderId="29" xfId="42" applyNumberFormat="1" applyFont="1" applyFill="1" applyBorder="1" applyAlignment="1">
      <alignment vertical="center"/>
    </xf>
    <xf numFmtId="4" fontId="48" fillId="0" borderId="160" xfId="58" applyNumberFormat="1" applyFont="1" applyBorder="1" applyAlignment="1">
      <alignment vertical="center"/>
    </xf>
    <xf numFmtId="0" fontId="33" fillId="5" borderId="183" xfId="0" applyFont="1" applyFill="1" applyBorder="1"/>
    <xf numFmtId="0" fontId="0" fillId="5" borderId="184" xfId="0" applyFill="1" applyBorder="1"/>
    <xf numFmtId="0" fontId="33" fillId="5" borderId="185" xfId="0" applyFont="1" applyFill="1" applyBorder="1" applyAlignment="1">
      <alignment horizontal="center"/>
    </xf>
    <xf numFmtId="0" fontId="33" fillId="5" borderId="187" xfId="0" applyFont="1" applyFill="1" applyBorder="1" applyAlignment="1">
      <alignment horizontal="center"/>
    </xf>
    <xf numFmtId="0" fontId="0" fillId="5" borderId="188" xfId="0" applyFill="1" applyBorder="1" applyAlignment="1">
      <alignment horizontal="center" vertical="center"/>
    </xf>
    <xf numFmtId="0" fontId="0" fillId="5" borderId="189" xfId="0" applyFill="1" applyBorder="1" applyAlignment="1">
      <alignment horizontal="center"/>
    </xf>
    <xf numFmtId="0" fontId="0" fillId="5" borderId="190" xfId="0" applyFill="1" applyBorder="1" applyAlignment="1">
      <alignment horizontal="center" vertical="center"/>
    </xf>
    <xf numFmtId="0" fontId="33" fillId="5" borderId="189" xfId="0" applyFont="1" applyFill="1" applyBorder="1" applyAlignment="1">
      <alignment horizontal="center"/>
    </xf>
    <xf numFmtId="0" fontId="33" fillId="5" borderId="190" xfId="0" applyFont="1" applyFill="1" applyBorder="1" applyAlignment="1">
      <alignment horizontal="center" vertical="center"/>
    </xf>
    <xf numFmtId="0" fontId="33" fillId="5" borderId="191" xfId="0" applyFont="1" applyFill="1" applyBorder="1" applyAlignment="1">
      <alignment horizontal="center"/>
    </xf>
    <xf numFmtId="0" fontId="33" fillId="5" borderId="192" xfId="0" applyFont="1" applyFill="1" applyBorder="1" applyAlignment="1">
      <alignment horizontal="center" vertical="center"/>
    </xf>
    <xf numFmtId="0" fontId="139" fillId="24" borderId="196" xfId="0" applyFont="1" applyFill="1" applyBorder="1" applyAlignment="1">
      <alignment horizontal="left" vertical="center"/>
    </xf>
    <xf numFmtId="0" fontId="139" fillId="24" borderId="196" xfId="0" applyFont="1" applyFill="1" applyBorder="1" applyAlignment="1">
      <alignment horizontal="left" vertical="center" wrapText="1"/>
    </xf>
    <xf numFmtId="0" fontId="0" fillId="25" borderId="197" xfId="0" applyFill="1" applyBorder="1" applyAlignment="1">
      <alignment horizontal="left" vertical="center"/>
    </xf>
    <xf numFmtId="0" fontId="0" fillId="25" borderId="197" xfId="0" applyFill="1" applyBorder="1" applyAlignment="1">
      <alignment horizontal="left" vertical="center" wrapText="1"/>
    </xf>
    <xf numFmtId="1" fontId="0" fillId="25" borderId="197" xfId="0" applyNumberFormat="1" applyFill="1" applyBorder="1" applyAlignment="1">
      <alignment horizontal="center" vertical="center"/>
    </xf>
    <xf numFmtId="2" fontId="0" fillId="25" borderId="197" xfId="0" applyNumberFormat="1" applyFill="1" applyBorder="1" applyAlignment="1">
      <alignment horizontal="center" vertical="center"/>
    </xf>
    <xf numFmtId="0" fontId="0" fillId="26" borderId="196" xfId="0" applyFill="1" applyBorder="1" applyAlignment="1">
      <alignment horizontal="left" vertical="center"/>
    </xf>
    <xf numFmtId="0" fontId="0" fillId="26" borderId="196" xfId="0" applyFill="1" applyBorder="1" applyAlignment="1">
      <alignment horizontal="left" vertical="center" wrapText="1"/>
    </xf>
    <xf numFmtId="1" fontId="0" fillId="26" borderId="196" xfId="0" applyNumberFormat="1" applyFill="1" applyBorder="1" applyAlignment="1">
      <alignment horizontal="center" vertical="center"/>
    </xf>
    <xf numFmtId="2" fontId="0" fillId="26" borderId="196" xfId="0" applyNumberFormat="1" applyFill="1" applyBorder="1" applyAlignment="1">
      <alignment horizontal="center" vertical="center"/>
    </xf>
    <xf numFmtId="0" fontId="0" fillId="5" borderId="196" xfId="0" applyFill="1" applyBorder="1" applyAlignment="1">
      <alignment horizontal="left" vertical="center"/>
    </xf>
    <xf numFmtId="0" fontId="0" fillId="5" borderId="196" xfId="0" applyFill="1" applyBorder="1" applyAlignment="1">
      <alignment horizontal="left" vertical="center" wrapText="1"/>
    </xf>
    <xf numFmtId="1" fontId="0" fillId="5" borderId="196" xfId="0" applyNumberFormat="1" applyFill="1" applyBorder="1" applyAlignment="1">
      <alignment horizontal="center" vertical="center"/>
    </xf>
    <xf numFmtId="2" fontId="0" fillId="5" borderId="196" xfId="0" applyNumberFormat="1" applyFill="1" applyBorder="1" applyAlignment="1">
      <alignment horizontal="center" vertical="center"/>
    </xf>
    <xf numFmtId="185" fontId="146" fillId="0" borderId="79" xfId="272" applyNumberFormat="1" applyFont="1" applyBorder="1" applyAlignment="1">
      <alignment horizontal="center" vertical="center"/>
    </xf>
    <xf numFmtId="0" fontId="31" fillId="0" borderId="255" xfId="57" applyBorder="1"/>
    <xf numFmtId="0" fontId="31" fillId="34" borderId="0" xfId="57" applyFill="1"/>
    <xf numFmtId="0" fontId="31" fillId="35" borderId="0" xfId="57" applyFill="1"/>
    <xf numFmtId="185" fontId="112" fillId="0" borderId="145" xfId="69" applyNumberFormat="1" applyFont="1" applyFill="1" applyBorder="1" applyAlignment="1">
      <alignment horizontal="center"/>
    </xf>
    <xf numFmtId="0" fontId="4" fillId="0" borderId="0" xfId="299"/>
    <xf numFmtId="0" fontId="4" fillId="0" borderId="0" xfId="299" applyAlignment="1">
      <alignment horizontal="center"/>
    </xf>
    <xf numFmtId="193" fontId="0" fillId="0" borderId="0" xfId="300" applyNumberFormat="1" applyFont="1" applyAlignment="1">
      <alignment horizontal="center"/>
    </xf>
    <xf numFmtId="43" fontId="0" fillId="0" borderId="0" xfId="300" applyFont="1" applyAlignment="1">
      <alignment horizontal="center"/>
    </xf>
    <xf numFmtId="3" fontId="180" fillId="36" borderId="218" xfId="208" applyNumberFormat="1" applyFont="1" applyFill="1" applyBorder="1" applyAlignment="1">
      <alignment horizontal="left" vertical="center"/>
    </xf>
    <xf numFmtId="3" fontId="180" fillId="36" borderId="218" xfId="208" applyNumberFormat="1" applyFont="1" applyFill="1" applyBorder="1" applyAlignment="1">
      <alignment horizontal="center" vertical="center"/>
    </xf>
    <xf numFmtId="43" fontId="180" fillId="36" borderId="218" xfId="300" applyFont="1" applyFill="1" applyBorder="1" applyAlignment="1">
      <alignment horizontal="left" vertical="center"/>
    </xf>
    <xf numFmtId="3" fontId="77" fillId="0" borderId="218" xfId="208" applyNumberFormat="1" applyFont="1" applyBorder="1" applyAlignment="1">
      <alignment horizontal="left" vertical="center"/>
    </xf>
    <xf numFmtId="3" fontId="77" fillId="0" borderId="218" xfId="208" applyNumberFormat="1" applyFont="1" applyBorder="1" applyAlignment="1">
      <alignment horizontal="center" vertical="center"/>
    </xf>
    <xf numFmtId="4" fontId="77" fillId="0" borderId="218" xfId="30" applyNumberFormat="1" applyFont="1" applyBorder="1" applyAlignment="1">
      <alignment horizontal="right" vertical="center"/>
    </xf>
    <xf numFmtId="43" fontId="77" fillId="0" borderId="218" xfId="300" applyFont="1" applyBorder="1" applyAlignment="1">
      <alignment horizontal="left" vertical="center"/>
    </xf>
    <xf numFmtId="193" fontId="77" fillId="0" borderId="218" xfId="300" applyNumberFormat="1" applyFont="1" applyBorder="1" applyAlignment="1">
      <alignment horizontal="left" vertical="center"/>
    </xf>
    <xf numFmtId="4" fontId="180" fillId="36" borderId="218" xfId="30" applyNumberFormat="1" applyFont="1" applyFill="1" applyBorder="1" applyAlignment="1">
      <alignment horizontal="right" vertical="center"/>
    </xf>
    <xf numFmtId="4" fontId="181" fillId="0" borderId="218" xfId="30" applyNumberFormat="1" applyFont="1" applyBorder="1" applyAlignment="1">
      <alignment horizontal="right" vertical="center"/>
    </xf>
    <xf numFmtId="43" fontId="123" fillId="0" borderId="218" xfId="215" applyNumberFormat="1" applyBorder="1" applyAlignment="1">
      <alignment horizontal="left" vertical="center"/>
    </xf>
    <xf numFmtId="194" fontId="77" fillId="27" borderId="218" xfId="300" applyNumberFormat="1" applyFont="1" applyFill="1" applyBorder="1" applyAlignment="1">
      <alignment horizontal="left" vertical="center"/>
    </xf>
    <xf numFmtId="195" fontId="77" fillId="0" borderId="218" xfId="300" applyNumberFormat="1" applyFont="1" applyBorder="1" applyAlignment="1">
      <alignment horizontal="left" vertical="center"/>
    </xf>
    <xf numFmtId="3" fontId="182" fillId="0" borderId="218" xfId="208" applyNumberFormat="1" applyFont="1" applyBorder="1" applyAlignment="1">
      <alignment horizontal="left" vertical="center"/>
    </xf>
    <xf numFmtId="3" fontId="182" fillId="0" borderId="218" xfId="208" applyNumberFormat="1" applyFont="1" applyBorder="1" applyAlignment="1">
      <alignment horizontal="center" vertical="center"/>
    </xf>
    <xf numFmtId="193" fontId="182" fillId="0" borderId="218" xfId="300" applyNumberFormat="1" applyFont="1" applyBorder="1" applyAlignment="1">
      <alignment horizontal="left" vertical="center"/>
    </xf>
    <xf numFmtId="4" fontId="182" fillId="0" borderId="218" xfId="30" applyNumberFormat="1" applyFont="1" applyBorder="1" applyAlignment="1">
      <alignment horizontal="right" vertical="center"/>
    </xf>
    <xf numFmtId="43" fontId="182" fillId="0" borderId="218" xfId="300" applyFont="1" applyBorder="1" applyAlignment="1">
      <alignment horizontal="left" vertical="center"/>
    </xf>
    <xf numFmtId="3" fontId="77" fillId="0" borderId="218" xfId="208" applyNumberFormat="1" applyFont="1" applyBorder="1" applyAlignment="1">
      <alignment horizontal="left" vertical="center" wrapText="1"/>
    </xf>
    <xf numFmtId="193" fontId="77" fillId="0" borderId="218" xfId="30" applyNumberFormat="1" applyFont="1" applyBorder="1" applyAlignment="1">
      <alignment horizontal="left" vertical="center"/>
    </xf>
    <xf numFmtId="4" fontId="77" fillId="0" borderId="218" xfId="105" applyNumberFormat="1" applyFont="1" applyBorder="1" applyAlignment="1">
      <alignment horizontal="right" vertical="center"/>
    </xf>
    <xf numFmtId="3" fontId="77" fillId="27" borderId="218" xfId="208" applyNumberFormat="1" applyFont="1" applyFill="1" applyBorder="1" applyAlignment="1">
      <alignment horizontal="left" vertical="center"/>
    </xf>
    <xf numFmtId="4" fontId="77" fillId="27" borderId="218" xfId="30" applyNumberFormat="1" applyFont="1" applyFill="1" applyBorder="1" applyAlignment="1">
      <alignment horizontal="right" vertical="center"/>
    </xf>
    <xf numFmtId="43" fontId="77" fillId="27" borderId="218" xfId="300" applyFont="1" applyFill="1" applyBorder="1" applyAlignment="1">
      <alignment horizontal="left" vertical="center"/>
    </xf>
    <xf numFmtId="3" fontId="183" fillId="0" borderId="218" xfId="208" applyNumberFormat="1" applyFont="1" applyBorder="1" applyAlignment="1">
      <alignment horizontal="center" vertical="center"/>
    </xf>
    <xf numFmtId="196" fontId="77" fillId="0" borderId="218" xfId="30" applyNumberFormat="1" applyFont="1" applyBorder="1" applyAlignment="1">
      <alignment horizontal="right" vertical="center"/>
    </xf>
    <xf numFmtId="197" fontId="77" fillId="0" borderId="218" xfId="30" applyNumberFormat="1" applyFont="1" applyBorder="1" applyAlignment="1">
      <alignment horizontal="right" vertical="center"/>
    </xf>
    <xf numFmtId="0" fontId="77" fillId="0" borderId="218" xfId="208" applyFont="1" applyBorder="1" applyAlignment="1">
      <alignment vertical="center"/>
    </xf>
    <xf numFmtId="4" fontId="77" fillId="0" borderId="218" xfId="208" applyNumberFormat="1" applyFont="1" applyBorder="1" applyAlignment="1">
      <alignment vertical="center"/>
    </xf>
    <xf numFmtId="43" fontId="77" fillId="0" borderId="218" xfId="300" applyFont="1" applyBorder="1" applyAlignment="1">
      <alignment vertical="center"/>
    </xf>
    <xf numFmtId="43" fontId="184" fillId="0" borderId="218" xfId="300" applyFont="1" applyBorder="1" applyAlignment="1">
      <alignment vertical="center"/>
    </xf>
    <xf numFmtId="0" fontId="4" fillId="0" borderId="0" xfId="299" applyAlignment="1">
      <alignment horizontal="left"/>
    </xf>
    <xf numFmtId="43" fontId="0" fillId="0" borderId="0" xfId="300" applyFont="1" applyAlignment="1"/>
    <xf numFmtId="198" fontId="112" fillId="0" borderId="0" xfId="300" applyNumberFormat="1" applyFont="1" applyAlignment="1">
      <alignment horizontal="center"/>
    </xf>
    <xf numFmtId="185" fontId="112" fillId="37" borderId="145" xfId="69" applyNumberFormat="1" applyFont="1" applyFill="1" applyBorder="1"/>
    <xf numFmtId="0" fontId="174" fillId="5" borderId="0" xfId="301" applyFont="1" applyFill="1"/>
    <xf numFmtId="0" fontId="131" fillId="5" borderId="0" xfId="301" applyFont="1" applyFill="1"/>
    <xf numFmtId="0" fontId="173" fillId="5" borderId="0" xfId="301" applyFont="1" applyFill="1"/>
    <xf numFmtId="0" fontId="135" fillId="10" borderId="152" xfId="301" applyFont="1" applyFill="1" applyBorder="1" applyAlignment="1">
      <alignment horizontal="center" vertical="center" textRotation="90" wrapText="1"/>
    </xf>
    <xf numFmtId="0" fontId="131" fillId="5" borderId="0" xfId="301" applyFont="1" applyFill="1" applyAlignment="1">
      <alignment vertical="center"/>
    </xf>
    <xf numFmtId="0" fontId="145" fillId="7" borderId="15" xfId="301" applyFont="1" applyFill="1" applyBorder="1" applyAlignment="1">
      <alignment horizontal="center"/>
    </xf>
    <xf numFmtId="0" fontId="176" fillId="7" borderId="18" xfId="301" applyFont="1" applyFill="1" applyBorder="1" applyAlignment="1">
      <alignment horizontal="center"/>
    </xf>
    <xf numFmtId="0" fontId="173" fillId="2" borderId="157" xfId="301" applyFont="1" applyFill="1" applyBorder="1"/>
    <xf numFmtId="0" fontId="173" fillId="2" borderId="2" xfId="301" applyFont="1" applyFill="1" applyBorder="1"/>
    <xf numFmtId="167" fontId="173" fillId="2" borderId="2" xfId="302" applyNumberFormat="1" applyFont="1" applyFill="1" applyBorder="1"/>
    <xf numFmtId="167" fontId="185" fillId="38" borderId="2" xfId="302" applyNumberFormat="1" applyFont="1" applyFill="1" applyBorder="1"/>
    <xf numFmtId="167" fontId="185" fillId="2" borderId="2" xfId="302" applyNumberFormat="1" applyFont="1" applyFill="1" applyBorder="1"/>
    <xf numFmtId="0" fontId="173" fillId="2" borderId="217" xfId="301" applyFont="1" applyFill="1" applyBorder="1"/>
    <xf numFmtId="0" fontId="173" fillId="2" borderId="248" xfId="301" applyFont="1" applyFill="1" applyBorder="1"/>
    <xf numFmtId="167" fontId="173" fillId="2" borderId="248" xfId="302" applyNumberFormat="1" applyFont="1" applyFill="1" applyBorder="1"/>
    <xf numFmtId="167" fontId="185" fillId="38" borderId="248" xfId="302" applyNumberFormat="1" applyFont="1" applyFill="1" applyBorder="1"/>
    <xf numFmtId="167" fontId="185" fillId="2" borderId="248" xfId="302" applyNumberFormat="1" applyFont="1" applyFill="1" applyBorder="1"/>
    <xf numFmtId="167" fontId="186" fillId="10" borderId="56" xfId="301" applyNumberFormat="1" applyFont="1" applyFill="1" applyBorder="1"/>
    <xf numFmtId="167" fontId="185" fillId="5" borderId="4" xfId="301" applyNumberFormat="1" applyFont="1" applyFill="1" applyBorder="1"/>
    <xf numFmtId="167" fontId="186" fillId="10" borderId="55" xfId="301" applyNumberFormat="1" applyFont="1" applyFill="1" applyBorder="1"/>
    <xf numFmtId="167" fontId="186" fillId="10" borderId="57" xfId="301" applyNumberFormat="1" applyFont="1" applyFill="1" applyBorder="1"/>
    <xf numFmtId="0" fontId="48" fillId="33" borderId="0" xfId="53" applyNumberFormat="1" applyFont="1" applyFill="1" applyBorder="1" applyAlignment="1">
      <alignment vertical="center"/>
    </xf>
    <xf numFmtId="0" fontId="2" fillId="11" borderId="256" xfId="305" applyFill="1" applyBorder="1"/>
    <xf numFmtId="0" fontId="2" fillId="11" borderId="257" xfId="305" applyFill="1" applyBorder="1"/>
    <xf numFmtId="0" fontId="2" fillId="0" borderId="246" xfId="305" applyBorder="1"/>
    <xf numFmtId="0" fontId="2" fillId="0" borderId="247" xfId="305" applyBorder="1"/>
    <xf numFmtId="185" fontId="2" fillId="0" borderId="246" xfId="305" applyNumberFormat="1" applyBorder="1"/>
    <xf numFmtId="185" fontId="2" fillId="0" borderId="247" xfId="305" applyNumberFormat="1" applyBorder="1"/>
    <xf numFmtId="0" fontId="187" fillId="0" borderId="0" xfId="57" applyFont="1"/>
    <xf numFmtId="2" fontId="187" fillId="0" borderId="0" xfId="57" applyNumberFormat="1" applyFont="1"/>
    <xf numFmtId="0" fontId="188" fillId="0" borderId="0" xfId="57" applyFont="1"/>
    <xf numFmtId="1" fontId="31" fillId="26" borderId="196" xfId="0" applyNumberFormat="1" applyFont="1" applyFill="1" applyBorder="1" applyAlignment="1">
      <alignment horizontal="center" vertical="center"/>
    </xf>
    <xf numFmtId="0" fontId="31" fillId="39" borderId="0" xfId="57" applyFill="1"/>
    <xf numFmtId="0" fontId="31" fillId="32" borderId="0" xfId="57" applyFill="1"/>
    <xf numFmtId="0" fontId="31" fillId="40" borderId="0" xfId="57" applyFill="1"/>
    <xf numFmtId="0" fontId="1" fillId="0" borderId="0" xfId="307"/>
    <xf numFmtId="0" fontId="133" fillId="0" borderId="0" xfId="307" applyFont="1"/>
    <xf numFmtId="185" fontId="162" fillId="29" borderId="202" xfId="307" applyNumberFormat="1" applyFont="1" applyFill="1" applyBorder="1" applyAlignment="1">
      <alignment horizontal="left" vertical="center"/>
    </xf>
    <xf numFmtId="185" fontId="162" fillId="29" borderId="108" xfId="307" applyNumberFormat="1" applyFont="1" applyFill="1" applyBorder="1" applyAlignment="1">
      <alignment horizontal="center" vertical="center"/>
    </xf>
    <xf numFmtId="185" fontId="163" fillId="30" borderId="221" xfId="307" applyNumberFormat="1" applyFont="1" applyFill="1" applyBorder="1" applyAlignment="1">
      <alignment vertical="center"/>
    </xf>
    <xf numFmtId="185" fontId="163" fillId="30" borderId="220" xfId="307" applyNumberFormat="1" applyFont="1" applyFill="1" applyBorder="1" applyAlignment="1">
      <alignment vertical="center"/>
    </xf>
    <xf numFmtId="185" fontId="164" fillId="0" borderId="223" xfId="307" applyNumberFormat="1" applyFont="1" applyBorder="1" applyAlignment="1">
      <alignment horizontal="left" vertical="center"/>
    </xf>
    <xf numFmtId="0" fontId="146" fillId="0" borderId="78" xfId="307" applyFont="1" applyBorder="1" applyAlignment="1">
      <alignment horizontal="center" vertical="center"/>
    </xf>
    <xf numFmtId="185" fontId="146" fillId="0" borderId="78" xfId="307" applyNumberFormat="1" applyFont="1" applyBorder="1" applyAlignment="1">
      <alignment horizontal="center" vertical="center"/>
    </xf>
    <xf numFmtId="166" fontId="146" fillId="0" borderId="78" xfId="251" applyFont="1" applyBorder="1" applyAlignment="1">
      <alignment horizontal="center" vertical="center"/>
    </xf>
    <xf numFmtId="185" fontId="165" fillId="0" borderId="78" xfId="307" applyNumberFormat="1" applyFont="1" applyBorder="1" applyAlignment="1">
      <alignment horizontal="center" vertical="center"/>
    </xf>
    <xf numFmtId="43" fontId="1" fillId="0" borderId="0" xfId="307" applyNumberFormat="1"/>
    <xf numFmtId="185" fontId="159" fillId="0" borderId="0" xfId="307" applyNumberFormat="1" applyFont="1" applyAlignment="1">
      <alignment vertical="center"/>
    </xf>
    <xf numFmtId="0" fontId="159" fillId="0" borderId="0" xfId="307" applyFont="1" applyAlignment="1">
      <alignment vertical="center"/>
    </xf>
    <xf numFmtId="0" fontId="160" fillId="0" borderId="0" xfId="307" applyFont="1" applyAlignment="1">
      <alignment vertical="center"/>
    </xf>
    <xf numFmtId="185" fontId="164" fillId="0" borderId="78" xfId="307" applyNumberFormat="1" applyFont="1" applyBorder="1" applyAlignment="1">
      <alignment horizontal="center" vertical="center"/>
    </xf>
    <xf numFmtId="0" fontId="47" fillId="5" borderId="266" xfId="45" applyFont="1" applyFill="1" applyBorder="1" applyAlignment="1">
      <alignment vertical="center"/>
    </xf>
    <xf numFmtId="0" fontId="47" fillId="5" borderId="265" xfId="45" applyFont="1" applyFill="1" applyBorder="1" applyAlignment="1">
      <alignment vertical="center"/>
    </xf>
    <xf numFmtId="185" fontId="168" fillId="0" borderId="262" xfId="272" applyNumberFormat="1" applyFont="1" applyBorder="1" applyAlignment="1">
      <alignment horizontal="center" vertical="center"/>
    </xf>
    <xf numFmtId="185" fontId="165" fillId="0" borderId="260" xfId="272" applyNumberFormat="1" applyFont="1" applyBorder="1" applyAlignment="1">
      <alignment horizontal="center" vertical="center"/>
    </xf>
    <xf numFmtId="185" fontId="165" fillId="0" borderId="260" xfId="307" applyNumberFormat="1" applyFont="1" applyBorder="1" applyAlignment="1">
      <alignment horizontal="center" vertical="center"/>
    </xf>
    <xf numFmtId="185" fontId="193" fillId="0" borderId="0" xfId="272" applyNumberFormat="1" applyFont="1" applyAlignment="1">
      <alignment vertical="center"/>
    </xf>
    <xf numFmtId="185" fontId="167" fillId="0" borderId="223" xfId="307" applyNumberFormat="1" applyFont="1" applyBorder="1" applyAlignment="1">
      <alignment horizontal="right" vertical="center"/>
    </xf>
    <xf numFmtId="17" fontId="46" fillId="5" borderId="10" xfId="45" applyNumberFormat="1" applyFont="1" applyFill="1" applyBorder="1" applyAlignment="1">
      <alignment horizontal="left" vertical="center"/>
    </xf>
    <xf numFmtId="185" fontId="168" fillId="0" borderId="78" xfId="307" applyNumberFormat="1" applyFont="1" applyBorder="1" applyAlignment="1">
      <alignment horizontal="center" vertical="center"/>
    </xf>
    <xf numFmtId="185" fontId="168" fillId="0" borderId="262" xfId="307" applyNumberFormat="1" applyFont="1" applyBorder="1" applyAlignment="1">
      <alignment horizontal="center" vertical="center"/>
    </xf>
    <xf numFmtId="185" fontId="162" fillId="29" borderId="259" xfId="272" applyNumberFormat="1" applyFont="1" applyFill="1" applyBorder="1" applyAlignment="1">
      <alignment horizontal="center" vertical="center"/>
    </xf>
    <xf numFmtId="0" fontId="193" fillId="0" borderId="0" xfId="272" applyFont="1" applyAlignment="1">
      <alignment vertical="center"/>
    </xf>
    <xf numFmtId="185" fontId="163" fillId="30" borderId="222" xfId="272" applyNumberFormat="1" applyFont="1" applyFill="1" applyBorder="1" applyAlignment="1">
      <alignment vertical="center"/>
    </xf>
    <xf numFmtId="167" fontId="186" fillId="10" borderId="268" xfId="301" applyNumberFormat="1" applyFont="1" applyFill="1" applyBorder="1"/>
    <xf numFmtId="185" fontId="165" fillId="0" borderId="264" xfId="272" applyNumberFormat="1" applyFont="1" applyBorder="1" applyAlignment="1">
      <alignment horizontal="center" vertical="center"/>
    </xf>
    <xf numFmtId="185" fontId="168" fillId="0" borderId="79" xfId="272" applyNumberFormat="1" applyFont="1" applyBorder="1" applyAlignment="1">
      <alignment horizontal="center" vertical="center"/>
    </xf>
    <xf numFmtId="185" fontId="168" fillId="0" borderId="263" xfId="272" applyNumberFormat="1" applyFont="1" applyBorder="1" applyAlignment="1">
      <alignment horizontal="center" vertical="center"/>
    </xf>
    <xf numFmtId="0" fontId="91" fillId="5" borderId="31" xfId="45" applyFont="1" applyFill="1" applyBorder="1" applyAlignment="1">
      <alignment vertical="center"/>
    </xf>
    <xf numFmtId="0" fontId="168" fillId="0" borderId="262" xfId="272" applyFont="1" applyBorder="1" applyAlignment="1">
      <alignment horizontal="center" vertical="center"/>
    </xf>
    <xf numFmtId="0" fontId="47" fillId="5" borderId="267" xfId="45" applyFont="1" applyFill="1" applyBorder="1" applyAlignment="1">
      <alignment vertical="center"/>
    </xf>
    <xf numFmtId="185" fontId="167" fillId="0" borderId="261" xfId="307" applyNumberFormat="1" applyFont="1" applyBorder="1" applyAlignment="1">
      <alignment horizontal="right" vertical="center"/>
    </xf>
    <xf numFmtId="0" fontId="46" fillId="5" borderId="10" xfId="45" applyFont="1" applyFill="1" applyBorder="1" applyAlignment="1">
      <alignment vertical="center"/>
    </xf>
    <xf numFmtId="0" fontId="141" fillId="18" borderId="171" xfId="69" applyFont="1" applyFill="1" applyBorder="1" applyAlignment="1">
      <alignment horizontal="center" vertical="center" wrapText="1"/>
    </xf>
    <xf numFmtId="0" fontId="141" fillId="18" borderId="172" xfId="69" applyFont="1" applyFill="1" applyBorder="1" applyAlignment="1">
      <alignment horizontal="center" vertical="center" wrapText="1"/>
    </xf>
    <xf numFmtId="185" fontId="140" fillId="18" borderId="177" xfId="69" applyNumberFormat="1" applyFont="1" applyFill="1" applyBorder="1" applyAlignment="1">
      <alignment horizontal="center" vertical="center" wrapText="1"/>
    </xf>
    <xf numFmtId="185" fontId="140" fillId="18" borderId="178" xfId="69" applyNumberFormat="1" applyFont="1" applyFill="1" applyBorder="1" applyAlignment="1">
      <alignment horizontal="center" vertical="center" wrapText="1"/>
    </xf>
    <xf numFmtId="185" fontId="140" fillId="18" borderId="175" xfId="69" applyNumberFormat="1" applyFont="1" applyFill="1" applyBorder="1" applyAlignment="1">
      <alignment horizontal="center" vertical="center" wrapText="1"/>
    </xf>
    <xf numFmtId="185" fontId="140" fillId="18" borderId="172" xfId="69" applyNumberFormat="1" applyFont="1" applyFill="1" applyBorder="1" applyAlignment="1">
      <alignment horizontal="center" vertical="center" wrapText="1"/>
    </xf>
    <xf numFmtId="0" fontId="91" fillId="0" borderId="121" xfId="45" applyFont="1" applyBorder="1" applyAlignment="1">
      <alignment horizontal="center" vertical="center"/>
    </xf>
    <xf numFmtId="0" fontId="91" fillId="0" borderId="122" xfId="45" applyFont="1" applyBorder="1" applyAlignment="1">
      <alignment horizontal="center" vertical="center"/>
    </xf>
    <xf numFmtId="0" fontId="91" fillId="0" borderId="123" xfId="45" applyFont="1" applyBorder="1" applyAlignment="1">
      <alignment horizontal="center" vertical="center"/>
    </xf>
    <xf numFmtId="0" fontId="91" fillId="0" borderId="124" xfId="45" applyFont="1" applyBorder="1" applyAlignment="1">
      <alignment horizontal="center" vertical="center"/>
    </xf>
    <xf numFmtId="17" fontId="122" fillId="14" borderId="118" xfId="45" applyNumberFormat="1" applyFont="1" applyFill="1" applyBorder="1" applyAlignment="1">
      <alignment horizontal="center" vertical="center"/>
    </xf>
    <xf numFmtId="0" fontId="81" fillId="20" borderId="155" xfId="69" applyFont="1" applyFill="1" applyBorder="1" applyAlignment="1">
      <alignment horizontal="center" vertical="center" wrapText="1"/>
    </xf>
    <xf numFmtId="0" fontId="81" fillId="20" borderId="166" xfId="69" applyFont="1" applyFill="1" applyBorder="1" applyAlignment="1">
      <alignment horizontal="center" vertical="center" wrapText="1"/>
    </xf>
    <xf numFmtId="0" fontId="81" fillId="20" borderId="154" xfId="69" applyFont="1" applyFill="1" applyBorder="1" applyAlignment="1">
      <alignment horizontal="center" vertical="center"/>
    </xf>
    <xf numFmtId="0" fontId="81" fillId="20" borderId="4" xfId="69" applyFont="1" applyFill="1" applyBorder="1" applyAlignment="1">
      <alignment horizontal="center" vertical="center"/>
    </xf>
    <xf numFmtId="0" fontId="81" fillId="20" borderId="156" xfId="69" applyFont="1" applyFill="1" applyBorder="1" applyAlignment="1">
      <alignment horizontal="center" vertical="center"/>
    </xf>
    <xf numFmtId="0" fontId="141" fillId="18" borderId="169" xfId="69" applyFont="1" applyFill="1" applyBorder="1" applyAlignment="1">
      <alignment horizontal="center" vertical="center" wrapText="1"/>
    </xf>
    <xf numFmtId="0" fontId="141" fillId="18" borderId="170" xfId="69" applyFont="1" applyFill="1" applyBorder="1" applyAlignment="1">
      <alignment horizontal="center" vertical="center" wrapText="1"/>
    </xf>
    <xf numFmtId="0" fontId="91" fillId="5" borderId="31" xfId="45" applyFont="1" applyFill="1" applyBorder="1" applyAlignment="1">
      <alignment horizontal="center" vertical="center"/>
    </xf>
    <xf numFmtId="0" fontId="91" fillId="5" borderId="250" xfId="45" applyFont="1" applyFill="1" applyBorder="1" applyAlignment="1">
      <alignment horizontal="center" vertical="center"/>
    </xf>
    <xf numFmtId="0" fontId="91" fillId="5" borderId="10" xfId="45" applyFont="1" applyFill="1" applyBorder="1" applyAlignment="1">
      <alignment horizontal="center" vertical="center"/>
    </xf>
    <xf numFmtId="0" fontId="91" fillId="5" borderId="122" xfId="45" applyFont="1" applyFill="1" applyBorder="1" applyAlignment="1">
      <alignment horizontal="center" vertical="center"/>
    </xf>
    <xf numFmtId="0" fontId="91" fillId="5" borderId="253" xfId="45" applyFont="1" applyFill="1" applyBorder="1" applyAlignment="1">
      <alignment horizontal="center" vertical="center"/>
    </xf>
    <xf numFmtId="0" fontId="91" fillId="5" borderId="124" xfId="45" applyFont="1" applyFill="1" applyBorder="1" applyAlignment="1">
      <alignment horizontal="center" vertical="center"/>
    </xf>
    <xf numFmtId="17" fontId="122" fillId="14" borderId="254" xfId="45" applyNumberFormat="1" applyFont="1" applyFill="1" applyBorder="1" applyAlignment="1">
      <alignment horizontal="center" vertical="center"/>
    </xf>
    <xf numFmtId="4" fontId="79" fillId="3" borderId="109" xfId="47" applyNumberFormat="1" applyFont="1" applyFill="1" applyBorder="1" applyAlignment="1">
      <alignment horizontal="center" vertical="center"/>
    </xf>
    <xf numFmtId="4" fontId="79" fillId="3" borderId="111" xfId="47" applyNumberFormat="1" applyFont="1" applyFill="1" applyBorder="1" applyAlignment="1">
      <alignment horizontal="center" vertical="center"/>
    </xf>
    <xf numFmtId="0" fontId="172" fillId="20" borderId="235" xfId="277" applyFont="1" applyFill="1" applyBorder="1" applyAlignment="1">
      <alignment horizontal="center" vertical="center"/>
    </xf>
    <xf numFmtId="0" fontId="172" fillId="20" borderId="236" xfId="277" applyFont="1" applyFill="1" applyBorder="1" applyAlignment="1">
      <alignment horizontal="center" vertical="center"/>
    </xf>
    <xf numFmtId="0" fontId="172" fillId="20" borderId="237" xfId="277" applyFont="1" applyFill="1" applyBorder="1" applyAlignment="1">
      <alignment horizontal="center" vertical="center"/>
    </xf>
    <xf numFmtId="49" fontId="90" fillId="14" borderId="15" xfId="53" applyNumberFormat="1" applyFont="1" applyFill="1" applyBorder="1" applyAlignment="1">
      <alignment horizontal="center" vertical="center" wrapText="1"/>
    </xf>
    <xf numFmtId="0" fontId="31" fillId="0" borderId="0" xfId="57" applyAlignment="1">
      <alignment horizontal="center"/>
    </xf>
    <xf numFmtId="0" fontId="75" fillId="23" borderId="10" xfId="0" applyFont="1" applyFill="1" applyBorder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0" fontId="33" fillId="5" borderId="194" xfId="0" applyFont="1" applyFill="1" applyBorder="1" applyAlignment="1">
      <alignment horizontal="center"/>
    </xf>
    <xf numFmtId="0" fontId="33" fillId="5" borderId="0" xfId="0" applyFont="1" applyFill="1" applyAlignment="1">
      <alignment horizontal="center"/>
    </xf>
    <xf numFmtId="0" fontId="33" fillId="5" borderId="195" xfId="0" applyFont="1" applyFill="1" applyBorder="1" applyAlignment="1">
      <alignment horizontal="center"/>
    </xf>
    <xf numFmtId="0" fontId="75" fillId="23" borderId="33" xfId="0" applyFont="1" applyFill="1" applyBorder="1" applyAlignment="1">
      <alignment horizontal="center" vertical="center"/>
    </xf>
    <xf numFmtId="0" fontId="75" fillId="23" borderId="24" xfId="0" applyFont="1" applyFill="1" applyBorder="1" applyAlignment="1">
      <alignment horizontal="center" vertical="center"/>
    </xf>
    <xf numFmtId="0" fontId="33" fillId="5" borderId="15" xfId="0" applyFont="1" applyFill="1" applyBorder="1" applyAlignment="1">
      <alignment horizontal="center" vertical="center"/>
    </xf>
    <xf numFmtId="17" fontId="122" fillId="14" borderId="33" xfId="45" applyNumberFormat="1" applyFont="1" applyFill="1" applyBorder="1" applyAlignment="1">
      <alignment horizontal="left" vertical="center"/>
    </xf>
    <xf numFmtId="17" fontId="122" fillId="14" borderId="24" xfId="45" applyNumberFormat="1" applyFont="1" applyFill="1" applyBorder="1" applyAlignment="1">
      <alignment horizontal="left" vertical="center"/>
    </xf>
    <xf numFmtId="17" fontId="128" fillId="14" borderId="182" xfId="45" applyNumberFormat="1" applyFont="1" applyFill="1" applyBorder="1" applyAlignment="1">
      <alignment horizontal="center" vertical="center"/>
    </xf>
    <xf numFmtId="17" fontId="128" fillId="14" borderId="35" xfId="45" applyNumberFormat="1" applyFont="1" applyFill="1" applyBorder="1" applyAlignment="1">
      <alignment horizontal="center" vertical="center"/>
    </xf>
    <xf numFmtId="0" fontId="95" fillId="13" borderId="144" xfId="41" applyFont="1" applyFill="1" applyBorder="1" applyAlignment="1">
      <alignment horizontal="center" vertical="center" wrapText="1"/>
    </xf>
    <xf numFmtId="0" fontId="95" fillId="13" borderId="10" xfId="41" applyFont="1" applyFill="1" applyBorder="1" applyAlignment="1">
      <alignment horizontal="center" vertical="center" wrapText="1"/>
    </xf>
    <xf numFmtId="0" fontId="96" fillId="13" borderId="28" xfId="41" applyFont="1" applyFill="1" applyBorder="1" applyAlignment="1">
      <alignment horizontal="center" vertical="center"/>
    </xf>
    <xf numFmtId="0" fontId="96" fillId="13" borderId="32" xfId="41" applyFont="1" applyFill="1" applyBorder="1" applyAlignment="1">
      <alignment horizontal="center" vertical="center"/>
    </xf>
    <xf numFmtId="0" fontId="96" fillId="13" borderId="249" xfId="41" applyFont="1" applyFill="1" applyBorder="1" applyAlignment="1">
      <alignment horizontal="center" vertical="center"/>
    </xf>
    <xf numFmtId="0" fontId="90" fillId="13" borderId="8" xfId="276" applyFont="1" applyFill="1" applyBorder="1" applyAlignment="1">
      <alignment horizontal="center" vertical="center" wrapText="1"/>
    </xf>
    <xf numFmtId="0" fontId="90" fillId="13" borderId="1" xfId="276" applyFont="1" applyFill="1" applyBorder="1" applyAlignment="1">
      <alignment horizontal="center" vertical="center" wrapText="1"/>
    </xf>
    <xf numFmtId="0" fontId="90" fillId="13" borderId="34" xfId="276" applyFont="1" applyFill="1" applyBorder="1" applyAlignment="1">
      <alignment horizontal="center" vertical="center" wrapText="1"/>
    </xf>
    <xf numFmtId="0" fontId="90" fillId="13" borderId="31" xfId="41" applyFont="1" applyFill="1" applyBorder="1" applyAlignment="1">
      <alignment horizontal="center" vertical="center"/>
    </xf>
    <xf numFmtId="0" fontId="90" fillId="13" borderId="28" xfId="41" applyFont="1" applyFill="1" applyBorder="1" applyAlignment="1">
      <alignment horizontal="center" vertical="center"/>
    </xf>
    <xf numFmtId="0" fontId="177" fillId="13" borderId="33" xfId="276" applyFont="1" applyFill="1" applyBorder="1" applyAlignment="1">
      <alignment horizontal="center" vertical="center"/>
    </xf>
    <xf numFmtId="0" fontId="177" fillId="13" borderId="24" xfId="276" applyFont="1" applyFill="1" applyBorder="1" applyAlignment="1">
      <alignment horizontal="center" vertical="center"/>
    </xf>
    <xf numFmtId="0" fontId="177" fillId="13" borderId="35" xfId="276" applyFont="1" applyFill="1" applyBorder="1" applyAlignment="1">
      <alignment horizontal="center" vertical="center"/>
    </xf>
    <xf numFmtId="0" fontId="177" fillId="13" borderId="31" xfId="41" applyFont="1" applyFill="1" applyBorder="1" applyAlignment="1">
      <alignment horizontal="center" vertical="center"/>
    </xf>
    <xf numFmtId="0" fontId="177" fillId="13" borderId="28" xfId="41" applyFont="1" applyFill="1" applyBorder="1" applyAlignment="1">
      <alignment horizontal="center" vertical="center"/>
    </xf>
    <xf numFmtId="0" fontId="96" fillId="13" borderId="8" xfId="41" applyFont="1" applyFill="1" applyBorder="1" applyAlignment="1">
      <alignment horizontal="center" vertical="center"/>
    </xf>
    <xf numFmtId="0" fontId="96" fillId="13" borderId="1" xfId="41" applyFont="1" applyFill="1" applyBorder="1" applyAlignment="1">
      <alignment horizontal="center" vertical="center"/>
    </xf>
    <xf numFmtId="0" fontId="96" fillId="13" borderId="181" xfId="41" applyFont="1" applyFill="1" applyBorder="1" applyAlignment="1">
      <alignment horizontal="center" vertical="center"/>
    </xf>
    <xf numFmtId="0" fontId="177" fillId="13" borderId="8" xfId="276" applyFont="1" applyFill="1" applyBorder="1" applyAlignment="1">
      <alignment horizontal="center" vertical="center" wrapText="1"/>
    </xf>
    <xf numFmtId="0" fontId="177" fillId="13" borderId="1" xfId="276" applyFont="1" applyFill="1" applyBorder="1" applyAlignment="1">
      <alignment horizontal="center" vertical="center" wrapText="1"/>
    </xf>
    <xf numFmtId="0" fontId="177" fillId="13" borderId="34" xfId="276" applyFont="1" applyFill="1" applyBorder="1" applyAlignment="1">
      <alignment horizontal="center" vertical="center" wrapText="1"/>
    </xf>
    <xf numFmtId="0" fontId="86" fillId="13" borderId="7" xfId="58" applyFont="1" applyFill="1" applyBorder="1" applyAlignment="1">
      <alignment horizontal="center" vertical="center"/>
    </xf>
    <xf numFmtId="0" fontId="86" fillId="13" borderId="28" xfId="58" applyFont="1" applyFill="1" applyBorder="1" applyAlignment="1">
      <alignment horizontal="center" vertical="center"/>
    </xf>
    <xf numFmtId="0" fontId="86" fillId="13" borderId="0" xfId="58" applyFont="1" applyFill="1" applyAlignment="1">
      <alignment horizontal="center" vertical="center"/>
    </xf>
    <xf numFmtId="0" fontId="86" fillId="13" borderId="32" xfId="58" applyFont="1" applyFill="1" applyBorder="1" applyAlignment="1">
      <alignment horizontal="center" vertical="center"/>
    </xf>
    <xf numFmtId="179" fontId="86" fillId="13" borderId="8" xfId="58" applyNumberFormat="1" applyFont="1" applyFill="1" applyBorder="1" applyAlignment="1">
      <alignment horizontal="center" vertical="center"/>
    </xf>
    <xf numFmtId="179" fontId="86" fillId="13" borderId="1" xfId="58" applyNumberFormat="1" applyFont="1" applyFill="1" applyBorder="1" applyAlignment="1">
      <alignment horizontal="center" vertical="center"/>
    </xf>
    <xf numFmtId="17" fontId="122" fillId="14" borderId="126" xfId="45" applyNumberFormat="1" applyFont="1" applyFill="1" applyBorder="1" applyAlignment="1">
      <alignment horizontal="center" vertical="center"/>
    </xf>
    <xf numFmtId="4" fontId="86" fillId="13" borderId="8" xfId="58" applyNumberFormat="1" applyFont="1" applyFill="1" applyBorder="1" applyAlignment="1">
      <alignment horizontal="center" vertical="center"/>
    </xf>
    <xf numFmtId="4" fontId="86" fillId="13" borderId="34" xfId="58" applyNumberFormat="1" applyFont="1" applyFill="1" applyBorder="1" applyAlignment="1">
      <alignment horizontal="center" vertical="center"/>
    </xf>
    <xf numFmtId="0" fontId="128" fillId="14" borderId="23" xfId="41" applyFont="1" applyFill="1" applyBorder="1" applyAlignment="1">
      <alignment horizontal="center" vertical="center"/>
    </xf>
    <xf numFmtId="0" fontId="128" fillId="14" borderId="25" xfId="41" applyFont="1" applyFill="1" applyBorder="1" applyAlignment="1">
      <alignment horizontal="center" vertical="center"/>
    </xf>
    <xf numFmtId="0" fontId="95" fillId="13" borderId="143" xfId="41" applyFont="1" applyFill="1" applyBorder="1" applyAlignment="1">
      <alignment horizontal="center" vertical="center" wrapText="1"/>
    </xf>
    <xf numFmtId="0" fontId="95" fillId="13" borderId="181" xfId="41" applyFont="1" applyFill="1" applyBorder="1" applyAlignment="1">
      <alignment horizontal="center" vertical="center" wrapText="1"/>
    </xf>
    <xf numFmtId="49" fontId="135" fillId="17" borderId="13" xfId="301" applyNumberFormat="1" applyFont="1" applyFill="1" applyBorder="1" applyAlignment="1">
      <alignment horizontal="center"/>
    </xf>
    <xf numFmtId="49" fontId="135" fillId="17" borderId="21" xfId="301" applyNumberFormat="1" applyFont="1" applyFill="1" applyBorder="1" applyAlignment="1">
      <alignment horizontal="center"/>
    </xf>
    <xf numFmtId="49" fontId="135" fillId="17" borderId="22" xfId="301" applyNumberFormat="1" applyFont="1" applyFill="1" applyBorder="1" applyAlignment="1">
      <alignment horizontal="center"/>
    </xf>
    <xf numFmtId="0" fontId="135" fillId="10" borderId="151" xfId="301" applyFont="1" applyFill="1" applyBorder="1" applyAlignment="1">
      <alignment horizontal="center" vertical="center" textRotation="90" wrapText="1"/>
    </xf>
    <xf numFmtId="0" fontId="135" fillId="10" borderId="16" xfId="301" applyFont="1" applyFill="1" applyBorder="1" applyAlignment="1">
      <alignment horizontal="center" vertical="center" textRotation="90" wrapText="1"/>
    </xf>
    <xf numFmtId="0" fontId="135" fillId="10" borderId="17" xfId="301" applyFont="1" applyFill="1" applyBorder="1" applyAlignment="1">
      <alignment horizontal="center" vertical="center" textRotation="90" wrapText="1"/>
    </xf>
    <xf numFmtId="0" fontId="135" fillId="10" borderId="152" xfId="301" applyFont="1" applyFill="1" applyBorder="1" applyAlignment="1">
      <alignment horizontal="center" vertical="center" textRotation="90" wrapText="1"/>
    </xf>
    <xf numFmtId="0" fontId="135" fillId="10" borderId="15" xfId="301" applyFont="1" applyFill="1" applyBorder="1" applyAlignment="1">
      <alignment horizontal="center" vertical="center" textRotation="90" wrapText="1"/>
    </xf>
    <xf numFmtId="0" fontId="135" fillId="10" borderId="18" xfId="301" applyFont="1" applyFill="1" applyBorder="1" applyAlignment="1">
      <alignment horizontal="center" vertical="center" textRotation="90" wrapText="1"/>
    </xf>
    <xf numFmtId="0" fontId="145" fillId="7" borderId="15" xfId="301" applyFont="1" applyFill="1" applyBorder="1" applyAlignment="1">
      <alignment horizontal="center" vertical="center"/>
    </xf>
    <xf numFmtId="0" fontId="145" fillId="7" borderId="18" xfId="301" applyFont="1" applyFill="1" applyBorder="1" applyAlignment="1">
      <alignment horizontal="center" vertical="center"/>
    </xf>
    <xf numFmtId="169" fontId="110" fillId="0" borderId="125" xfId="52" quotePrefix="1" applyNumberFormat="1" applyFont="1" applyFill="1" applyBorder="1" applyAlignment="1">
      <alignment horizontal="left" vertical="center" wrapText="1"/>
    </xf>
    <xf numFmtId="169" fontId="110" fillId="0" borderId="124" xfId="52" quotePrefix="1" applyNumberFormat="1" applyFont="1" applyFill="1" applyBorder="1" applyAlignment="1">
      <alignment horizontal="left" vertical="center" wrapText="1"/>
    </xf>
    <xf numFmtId="17" fontId="128" fillId="14" borderId="112" xfId="45" applyNumberFormat="1" applyFont="1" applyFill="1" applyBorder="1" applyAlignment="1">
      <alignment horizontal="center" vertical="center"/>
    </xf>
    <xf numFmtId="17" fontId="128" fillId="14" borderId="113" xfId="45" applyNumberFormat="1" applyFont="1" applyFill="1" applyBorder="1" applyAlignment="1">
      <alignment horizontal="center" vertical="center"/>
    </xf>
    <xf numFmtId="17" fontId="128" fillId="14" borderId="120" xfId="45" applyNumberFormat="1" applyFont="1" applyFill="1" applyBorder="1" applyAlignment="1">
      <alignment horizontal="center" vertical="center"/>
    </xf>
    <xf numFmtId="0" fontId="95" fillId="13" borderId="143" xfId="41" applyFont="1" applyFill="1" applyBorder="1" applyAlignment="1">
      <alignment horizontal="center" vertical="center"/>
    </xf>
    <xf numFmtId="0" fontId="95" fillId="13" borderId="34" xfId="41" applyFont="1" applyFill="1" applyBorder="1" applyAlignment="1">
      <alignment horizontal="center" vertical="center"/>
    </xf>
    <xf numFmtId="0" fontId="46" fillId="5" borderId="23" xfId="45" applyFont="1" applyFill="1" applyBorder="1" applyAlignment="1">
      <alignment horizontal="left" vertical="center"/>
    </xf>
    <xf numFmtId="0" fontId="46" fillId="5" borderId="25" xfId="45" applyFont="1" applyFill="1" applyBorder="1" applyAlignment="1">
      <alignment horizontal="left" vertical="center"/>
    </xf>
    <xf numFmtId="0" fontId="46" fillId="5" borderId="26" xfId="45" applyFont="1" applyFill="1" applyBorder="1" applyAlignment="1">
      <alignment horizontal="left" vertical="center"/>
    </xf>
    <xf numFmtId="185" fontId="161" fillId="14" borderId="31" xfId="307" applyNumberFormat="1" applyFont="1" applyFill="1" applyBorder="1" applyAlignment="1">
      <alignment horizontal="center" vertical="center"/>
    </xf>
    <xf numFmtId="185" fontId="161" fillId="14" borderId="7" xfId="307" applyNumberFormat="1" applyFont="1" applyFill="1" applyBorder="1" applyAlignment="1">
      <alignment horizontal="center" vertical="center"/>
    </xf>
    <xf numFmtId="185" fontId="146" fillId="0" borderId="258" xfId="307" applyNumberFormat="1" applyFont="1" applyBorder="1" applyAlignment="1">
      <alignment vertical="center"/>
    </xf>
    <xf numFmtId="185" fontId="161" fillId="14" borderId="31" xfId="272" applyNumberFormat="1" applyFont="1" applyFill="1" applyBorder="1" applyAlignment="1">
      <alignment horizontal="center" vertical="center"/>
    </xf>
    <xf numFmtId="185" fontId="161" fillId="14" borderId="7" xfId="272" applyNumberFormat="1" applyFont="1" applyFill="1" applyBorder="1" applyAlignment="1">
      <alignment horizontal="center" vertical="center"/>
    </xf>
    <xf numFmtId="185" fontId="161" fillId="14" borderId="28" xfId="272" applyNumberFormat="1" applyFont="1" applyFill="1" applyBorder="1" applyAlignment="1">
      <alignment horizontal="center" vertical="center"/>
    </xf>
    <xf numFmtId="0" fontId="46" fillId="5" borderId="31" xfId="45" applyFont="1" applyFill="1" applyBorder="1" applyAlignment="1">
      <alignment horizontal="left" vertical="center"/>
    </xf>
    <xf numFmtId="0" fontId="46" fillId="5" borderId="7" xfId="45" applyFont="1" applyFill="1" applyBorder="1" applyAlignment="1">
      <alignment horizontal="left" vertical="center"/>
    </xf>
    <xf numFmtId="0" fontId="46" fillId="5" borderId="28" xfId="45" applyFont="1" applyFill="1" applyBorder="1" applyAlignment="1">
      <alignment horizontal="left" vertical="center"/>
    </xf>
    <xf numFmtId="17" fontId="128" fillId="14" borderId="122" xfId="45" applyNumberFormat="1" applyFont="1" applyFill="1" applyBorder="1" applyAlignment="1">
      <alignment horizontal="center" vertical="center"/>
    </xf>
    <xf numFmtId="17" fontId="122" fillId="14" borderId="0" xfId="45" applyNumberFormat="1" applyFont="1" applyFill="1" applyAlignment="1">
      <alignment horizontal="center" vertical="center"/>
    </xf>
    <xf numFmtId="0" fontId="125" fillId="14" borderId="23" xfId="41" applyFont="1" applyFill="1" applyBorder="1" applyAlignment="1">
      <alignment horizontal="center" vertical="center"/>
    </xf>
    <xf numFmtId="0" fontId="125" fillId="14" borderId="25" xfId="41" applyFont="1" applyFill="1" applyBorder="1" applyAlignment="1">
      <alignment horizontal="center" vertical="center"/>
    </xf>
    <xf numFmtId="0" fontId="125" fillId="14" borderId="26" xfId="41" applyFont="1" applyFill="1" applyBorder="1" applyAlignment="1">
      <alignment horizontal="center" vertical="center"/>
    </xf>
    <xf numFmtId="0" fontId="95" fillId="13" borderId="32" xfId="41" applyFont="1" applyFill="1" applyBorder="1" applyAlignment="1">
      <alignment horizontal="center" vertical="center" wrapText="1"/>
    </xf>
    <xf numFmtId="0" fontId="95" fillId="13" borderId="33" xfId="41" applyFont="1" applyFill="1" applyBorder="1" applyAlignment="1">
      <alignment horizontal="center" vertical="center" wrapText="1"/>
    </xf>
    <xf numFmtId="0" fontId="95" fillId="13" borderId="35" xfId="41" applyFont="1" applyFill="1" applyBorder="1" applyAlignment="1">
      <alignment horizontal="center" vertical="center" wrapText="1"/>
    </xf>
    <xf numFmtId="0" fontId="95" fillId="13" borderId="1" xfId="41" applyFont="1" applyFill="1" applyBorder="1" applyAlignment="1">
      <alignment horizontal="center" vertical="center" wrapText="1"/>
    </xf>
    <xf numFmtId="0" fontId="95" fillId="13" borderId="33" xfId="41" applyFont="1" applyFill="1" applyBorder="1" applyAlignment="1">
      <alignment horizontal="center" vertical="center"/>
    </xf>
    <xf numFmtId="0" fontId="95" fillId="13" borderId="24" xfId="41" applyFont="1" applyFill="1" applyBorder="1" applyAlignment="1">
      <alignment horizontal="center" vertical="center"/>
    </xf>
    <xf numFmtId="0" fontId="95" fillId="13" borderId="35" xfId="41" applyFont="1" applyFill="1" applyBorder="1" applyAlignment="1">
      <alignment horizontal="center" vertical="center"/>
    </xf>
    <xf numFmtId="0" fontId="95" fillId="13" borderId="1" xfId="41" applyFont="1" applyFill="1" applyBorder="1" applyAlignment="1">
      <alignment horizontal="center" vertical="center"/>
    </xf>
    <xf numFmtId="0" fontId="95" fillId="13" borderId="34" xfId="41" applyFont="1" applyFill="1" applyBorder="1" applyAlignment="1">
      <alignment horizontal="center" vertical="center" wrapText="1"/>
    </xf>
    <xf numFmtId="4" fontId="86" fillId="13" borderId="10" xfId="58" applyNumberFormat="1" applyFont="1" applyFill="1" applyBorder="1" applyAlignment="1">
      <alignment horizontal="center" vertical="center"/>
    </xf>
    <xf numFmtId="4" fontId="86" fillId="13" borderId="0" xfId="58" applyNumberFormat="1" applyFont="1" applyFill="1" applyAlignment="1">
      <alignment horizontal="center" vertical="center"/>
    </xf>
    <xf numFmtId="0" fontId="95" fillId="13" borderId="23" xfId="41" applyFont="1" applyFill="1" applyBorder="1" applyAlignment="1">
      <alignment horizontal="center" vertical="center"/>
    </xf>
    <xf numFmtId="0" fontId="95" fillId="13" borderId="26" xfId="41" applyFont="1" applyFill="1" applyBorder="1" applyAlignment="1">
      <alignment horizontal="center" vertical="center"/>
    </xf>
    <xf numFmtId="4" fontId="95" fillId="13" borderId="8" xfId="41" applyNumberFormat="1" applyFont="1" applyFill="1" applyBorder="1" applyAlignment="1">
      <alignment horizontal="center" vertical="center"/>
    </xf>
    <xf numFmtId="4" fontId="95" fillId="13" borderId="34" xfId="41" applyNumberFormat="1" applyFont="1" applyFill="1" applyBorder="1" applyAlignment="1">
      <alignment horizontal="center" vertical="center"/>
    </xf>
    <xf numFmtId="0" fontId="95" fillId="13" borderId="8" xfId="41" applyFont="1" applyFill="1" applyBorder="1" applyAlignment="1">
      <alignment horizontal="center" vertical="center"/>
    </xf>
    <xf numFmtId="0" fontId="95" fillId="13" borderId="28" xfId="41" applyFont="1" applyFill="1" applyBorder="1" applyAlignment="1">
      <alignment horizontal="center" vertical="center"/>
    </xf>
    <xf numFmtId="0" fontId="95" fillId="13" borderId="32" xfId="41" applyFont="1" applyFill="1" applyBorder="1" applyAlignment="1">
      <alignment horizontal="center" vertical="center"/>
    </xf>
    <xf numFmtId="0" fontId="95" fillId="13" borderId="25" xfId="41" applyFont="1" applyFill="1" applyBorder="1" applyAlignment="1">
      <alignment horizontal="center" vertical="center"/>
    </xf>
    <xf numFmtId="0" fontId="95" fillId="13" borderId="8" xfId="41" applyFont="1" applyFill="1" applyBorder="1" applyAlignment="1">
      <alignment horizontal="center" vertical="center" wrapText="1"/>
    </xf>
    <xf numFmtId="0" fontId="95" fillId="13" borderId="31" xfId="41" applyFont="1" applyFill="1" applyBorder="1" applyAlignment="1">
      <alignment horizontal="center" vertical="center"/>
    </xf>
    <xf numFmtId="0" fontId="97" fillId="13" borderId="143" xfId="41" applyFont="1" applyFill="1" applyBorder="1" applyAlignment="1">
      <alignment horizontal="center" vertical="center" wrapText="1"/>
    </xf>
    <xf numFmtId="0" fontId="97" fillId="13" borderId="34" xfId="41" applyFont="1" applyFill="1" applyBorder="1" applyAlignment="1">
      <alignment horizontal="center" vertical="center" wrapText="1"/>
    </xf>
    <xf numFmtId="0" fontId="81" fillId="13" borderId="13" xfId="58" applyFont="1" applyFill="1" applyBorder="1" applyAlignment="1">
      <alignment horizontal="center" vertical="center"/>
    </xf>
    <xf numFmtId="0" fontId="81" fillId="13" borderId="22" xfId="58" applyFont="1" applyFill="1" applyBorder="1" applyAlignment="1">
      <alignment horizontal="center" vertical="center"/>
    </xf>
    <xf numFmtId="0" fontId="95" fillId="13" borderId="31" xfId="41" applyFont="1" applyFill="1" applyBorder="1" applyAlignment="1">
      <alignment horizontal="center" vertical="center" wrapText="1"/>
    </xf>
    <xf numFmtId="0" fontId="81" fillId="13" borderId="8" xfId="41" applyFont="1" applyFill="1" applyBorder="1" applyAlignment="1">
      <alignment horizontal="center" vertical="center" wrapText="1"/>
    </xf>
    <xf numFmtId="0" fontId="81" fillId="13" borderId="34" xfId="41" applyFont="1" applyFill="1" applyBorder="1" applyAlignment="1">
      <alignment horizontal="center" vertical="center" wrapText="1"/>
    </xf>
    <xf numFmtId="0" fontId="81" fillId="13" borderId="8" xfId="41" applyFont="1" applyFill="1" applyBorder="1" applyAlignment="1">
      <alignment horizontal="center" vertical="center"/>
    </xf>
    <xf numFmtId="0" fontId="81" fillId="13" borderId="34" xfId="41" applyFont="1" applyFill="1" applyBorder="1" applyAlignment="1">
      <alignment horizontal="center" vertical="center"/>
    </xf>
    <xf numFmtId="0" fontId="63" fillId="0" borderId="6" xfId="41" applyFont="1" applyBorder="1" applyAlignment="1">
      <alignment horizontal="center" vertical="center"/>
    </xf>
    <xf numFmtId="0" fontId="35" fillId="3" borderId="13" xfId="41" applyFont="1" applyFill="1" applyBorder="1" applyAlignment="1">
      <alignment horizontal="center" vertical="center"/>
    </xf>
    <xf numFmtId="0" fontId="35" fillId="3" borderId="21" xfId="41" applyFont="1" applyFill="1" applyBorder="1" applyAlignment="1">
      <alignment horizontal="center" vertical="center"/>
    </xf>
    <xf numFmtId="0" fontId="35" fillId="3" borderId="22" xfId="41" applyFont="1" applyFill="1" applyBorder="1" applyAlignment="1">
      <alignment horizontal="center" vertical="center"/>
    </xf>
    <xf numFmtId="0" fontId="81" fillId="13" borderId="127" xfId="41" applyFont="1" applyFill="1" applyBorder="1" applyAlignment="1">
      <alignment horizontal="center" vertical="center"/>
    </xf>
    <xf numFmtId="0" fontId="81" fillId="13" borderId="128" xfId="41" applyFont="1" applyFill="1" applyBorder="1" applyAlignment="1">
      <alignment horizontal="center" vertical="center"/>
    </xf>
    <xf numFmtId="0" fontId="81" fillId="13" borderId="8" xfId="57" applyFont="1" applyFill="1" applyBorder="1" applyAlignment="1">
      <alignment horizontal="center" vertical="center" wrapText="1"/>
    </xf>
    <xf numFmtId="0" fontId="81" fillId="13" borderId="1" xfId="57" applyFont="1" applyFill="1" applyBorder="1" applyAlignment="1">
      <alignment horizontal="center" vertical="center" wrapText="1"/>
    </xf>
    <xf numFmtId="0" fontId="81" fillId="13" borderId="1" xfId="57" applyFont="1" applyFill="1" applyBorder="1" applyAlignment="1">
      <alignment horizontal="center" vertical="center"/>
    </xf>
    <xf numFmtId="4" fontId="79" fillId="3" borderId="11" xfId="57" applyNumberFormat="1" applyFont="1" applyFill="1" applyBorder="1" applyAlignment="1">
      <alignment horizontal="left" vertical="center" wrapText="1"/>
    </xf>
    <xf numFmtId="0" fontId="81" fillId="13" borderId="23" xfId="57" applyFont="1" applyFill="1" applyBorder="1" applyAlignment="1">
      <alignment horizontal="center" vertical="center"/>
    </xf>
    <xf numFmtId="0" fontId="81" fillId="13" borderId="25" xfId="57" applyFont="1" applyFill="1" applyBorder="1" applyAlignment="1">
      <alignment horizontal="center" vertical="center"/>
    </xf>
    <xf numFmtId="0" fontId="81" fillId="13" borderId="26" xfId="57" applyFont="1" applyFill="1" applyBorder="1" applyAlignment="1">
      <alignment horizontal="center" vertical="center"/>
    </xf>
    <xf numFmtId="0" fontId="81" fillId="13" borderId="83" xfId="57" applyFont="1" applyFill="1" applyBorder="1" applyAlignment="1">
      <alignment horizontal="center" vertical="center" wrapText="1"/>
    </xf>
    <xf numFmtId="0" fontId="81" fillId="13" borderId="84" xfId="57" applyFont="1" applyFill="1" applyBorder="1" applyAlignment="1">
      <alignment horizontal="center" vertical="center" wrapText="1"/>
    </xf>
    <xf numFmtId="0" fontId="81" fillId="13" borderId="23" xfId="57" applyFont="1" applyFill="1" applyBorder="1" applyAlignment="1">
      <alignment horizontal="center" vertical="center" wrapText="1"/>
    </xf>
    <xf numFmtId="0" fontId="81" fillId="13" borderId="28" xfId="57" applyFont="1" applyFill="1" applyBorder="1" applyAlignment="1">
      <alignment horizontal="center" vertical="center"/>
    </xf>
    <xf numFmtId="0" fontId="81" fillId="13" borderId="32" xfId="57" applyFont="1" applyFill="1" applyBorder="1" applyAlignment="1">
      <alignment horizontal="center" vertical="center"/>
    </xf>
    <xf numFmtId="0" fontId="86" fillId="8" borderId="23" xfId="57" applyFont="1" applyFill="1" applyBorder="1" applyAlignment="1">
      <alignment horizontal="center" vertical="center"/>
    </xf>
    <xf numFmtId="0" fontId="86" fillId="8" borderId="26" xfId="57" applyFont="1" applyFill="1" applyBorder="1" applyAlignment="1">
      <alignment horizontal="center" vertical="center"/>
    </xf>
    <xf numFmtId="0" fontId="86" fillId="8" borderId="8" xfId="57" applyFont="1" applyFill="1" applyBorder="1" applyAlignment="1">
      <alignment horizontal="center" vertical="center"/>
    </xf>
    <xf numFmtId="0" fontId="86" fillId="8" borderId="34" xfId="57" applyFont="1" applyFill="1" applyBorder="1" applyAlignment="1">
      <alignment horizontal="center" vertical="center"/>
    </xf>
    <xf numFmtId="0" fontId="86" fillId="8" borderId="31" xfId="60" applyFont="1" applyFill="1" applyBorder="1" applyAlignment="1">
      <alignment horizontal="center" vertical="center"/>
    </xf>
    <xf numFmtId="0" fontId="86" fillId="8" borderId="7" xfId="60" applyFont="1" applyFill="1" applyBorder="1" applyAlignment="1">
      <alignment horizontal="center" vertical="center"/>
    </xf>
    <xf numFmtId="0" fontId="86" fillId="8" borderId="28" xfId="60" applyFont="1" applyFill="1" applyBorder="1" applyAlignment="1">
      <alignment horizontal="center" vertical="center"/>
    </xf>
    <xf numFmtId="0" fontId="86" fillId="8" borderId="35" xfId="60" applyFont="1" applyFill="1" applyBorder="1" applyAlignment="1">
      <alignment horizontal="center" vertical="center"/>
    </xf>
    <xf numFmtId="0" fontId="86" fillId="8" borderId="8" xfId="60" applyFont="1" applyFill="1" applyBorder="1" applyAlignment="1">
      <alignment horizontal="center" vertical="center"/>
    </xf>
    <xf numFmtId="0" fontId="86" fillId="8" borderId="34" xfId="60" applyFont="1" applyFill="1" applyBorder="1" applyAlignment="1">
      <alignment horizontal="center" vertical="center"/>
    </xf>
    <xf numFmtId="0" fontId="86" fillId="8" borderId="8" xfId="57" applyFont="1" applyFill="1" applyBorder="1" applyAlignment="1">
      <alignment horizontal="center" vertical="center" wrapText="1"/>
    </xf>
    <xf numFmtId="0" fontId="86" fillId="8" borderId="1" xfId="57" applyFont="1" applyFill="1" applyBorder="1" applyAlignment="1">
      <alignment horizontal="center" vertical="center" wrapText="1"/>
    </xf>
    <xf numFmtId="4" fontId="59" fillId="5" borderId="0" xfId="58" applyNumberFormat="1" applyFont="1" applyFill="1" applyAlignment="1">
      <alignment horizontal="center" vertical="center" wrapText="1"/>
    </xf>
    <xf numFmtId="0" fontId="86" fillId="8" borderId="25" xfId="57" applyFont="1" applyFill="1" applyBorder="1" applyAlignment="1">
      <alignment horizontal="center" vertical="center"/>
    </xf>
    <xf numFmtId="0" fontId="86" fillId="8" borderId="1" xfId="57" applyFont="1" applyFill="1" applyBorder="1" applyAlignment="1">
      <alignment horizontal="center" vertical="center"/>
    </xf>
    <xf numFmtId="0" fontId="86" fillId="8" borderId="31" xfId="57" applyFont="1" applyFill="1" applyBorder="1" applyAlignment="1">
      <alignment horizontal="center" vertical="center"/>
    </xf>
    <xf numFmtId="0" fontId="86" fillId="8" borderId="28" xfId="57" applyFont="1" applyFill="1" applyBorder="1" applyAlignment="1">
      <alignment horizontal="center" vertical="center"/>
    </xf>
    <xf numFmtId="0" fontId="86" fillId="8" borderId="33" xfId="57" applyFont="1" applyFill="1" applyBorder="1" applyAlignment="1">
      <alignment horizontal="center" vertical="center"/>
    </xf>
    <xf numFmtId="0" fontId="86" fillId="8" borderId="35" xfId="57" applyFont="1" applyFill="1" applyBorder="1" applyAlignment="1">
      <alignment horizontal="center" vertical="center"/>
    </xf>
    <xf numFmtId="0" fontId="63" fillId="0" borderId="0" xfId="57" applyFont="1" applyAlignment="1">
      <alignment horizontal="center"/>
    </xf>
    <xf numFmtId="0" fontId="33" fillId="0" borderId="0" xfId="57" applyFont="1" applyAlignment="1">
      <alignment horizontal="center" vertical="center"/>
    </xf>
    <xf numFmtId="0" fontId="33" fillId="0" borderId="6" xfId="57" applyFont="1" applyBorder="1" applyAlignment="1">
      <alignment horizontal="center" vertical="center"/>
    </xf>
    <xf numFmtId="0" fontId="86" fillId="8" borderId="15" xfId="57" applyFont="1" applyFill="1" applyBorder="1" applyAlignment="1">
      <alignment horizontal="center" vertical="center"/>
    </xf>
    <xf numFmtId="14" fontId="87" fillId="0" borderId="0" xfId="45" applyNumberFormat="1" applyFont="1" applyAlignment="1">
      <alignment horizontal="left" vertical="center"/>
    </xf>
    <xf numFmtId="0" fontId="95" fillId="8" borderId="13" xfId="0" applyNumberFormat="1" applyFont="1" applyFill="1" applyBorder="1" applyAlignment="1">
      <alignment horizontal="center" vertical="center"/>
    </xf>
    <xf numFmtId="0" fontId="95" fillId="8" borderId="21" xfId="0" applyNumberFormat="1" applyFont="1" applyFill="1" applyBorder="1" applyAlignment="1">
      <alignment horizontal="center" vertical="center"/>
    </xf>
    <xf numFmtId="0" fontId="95" fillId="8" borderId="22" xfId="0" applyNumberFormat="1" applyFont="1" applyFill="1" applyBorder="1" applyAlignment="1">
      <alignment horizontal="center" vertical="center"/>
    </xf>
  </cellXfs>
  <cellStyles count="536">
    <cellStyle name="ARIAL" xfId="37" xr:uid="{00000000-0005-0000-0000-000000000000}"/>
    <cellStyle name="Comma" xfId="1" xr:uid="{00000000-0005-0000-0000-000001000000}"/>
    <cellStyle name="Comma [0]" xfId="88" xr:uid="{00000000-0005-0000-0000-000002000000}"/>
    <cellStyle name="Comma [0] 2" xfId="138" xr:uid="{00000000-0005-0000-0000-000003000000}"/>
    <cellStyle name="Comma [0] 2 2" xfId="198" xr:uid="{00000000-0005-0000-0000-000004000000}"/>
    <cellStyle name="Comma [0] 2 2 2" xfId="453" xr:uid="{77B22D7F-BC6A-4A3B-946C-18B5154068F6}"/>
    <cellStyle name="Comma [0] 2 3" xfId="393" xr:uid="{F532BB49-1C89-4AE6-85CB-376F21542CD0}"/>
    <cellStyle name="Comma [0] 3" xfId="155" xr:uid="{00000000-0005-0000-0000-000005000000}"/>
    <cellStyle name="Comma [0] 3 2" xfId="410" xr:uid="{9C5B5767-09C4-4D9F-9A4A-C8EACE1C8AC1}"/>
    <cellStyle name="Comma [0] 4" xfId="525" xr:uid="{F516C4EF-419E-4FD8-B509-CF21A8501BAC}"/>
    <cellStyle name="Comma [0] 5" xfId="350" xr:uid="{476953B9-6C1E-45D7-842B-682A6F8CEE6F}"/>
    <cellStyle name="Comma 2" xfId="87" xr:uid="{00000000-0005-0000-0000-000006000000}"/>
    <cellStyle name="Comma 2 2" xfId="137" xr:uid="{00000000-0005-0000-0000-000007000000}"/>
    <cellStyle name="Comma 2 2 2" xfId="197" xr:uid="{00000000-0005-0000-0000-000008000000}"/>
    <cellStyle name="Comma 2 2 2 2" xfId="452" xr:uid="{229B5709-4989-4614-BC66-9739F02CA7FE}"/>
    <cellStyle name="Comma 2 2 3" xfId="392" xr:uid="{98ED7014-2177-4AA6-8745-E0D19D8F3634}"/>
    <cellStyle name="Comma 2 3" xfId="154" xr:uid="{00000000-0005-0000-0000-000009000000}"/>
    <cellStyle name="Comma 2 3 2" xfId="409" xr:uid="{7C18510E-7854-44D2-BCCE-3A8073A8D529}"/>
    <cellStyle name="Comma 2 4" xfId="349" xr:uid="{3502B50E-2D56-42CD-BC6B-9327DF79751C}"/>
    <cellStyle name="Comma 3" xfId="524" xr:uid="{FE9F6D99-F4A5-4BCC-9B61-BB6B5F0EA1A0}"/>
    <cellStyle name="Comma 4" xfId="530" xr:uid="{58A916CF-3EC6-4378-95F7-0888427DA7BF}"/>
    <cellStyle name="Comma 5" xfId="533" xr:uid="{7D40286F-8791-45B0-BC44-A5CCE9B52246}"/>
    <cellStyle name="Comma0" xfId="2" xr:uid="{00000000-0005-0000-0000-00000A000000}"/>
    <cellStyle name="Currency" xfId="3" xr:uid="{00000000-0005-0000-0000-00000B000000}"/>
    <cellStyle name="Currency [0]" xfId="86" xr:uid="{00000000-0005-0000-0000-00000C000000}"/>
    <cellStyle name="Currency [0] 2" xfId="136" xr:uid="{00000000-0005-0000-0000-00000D000000}"/>
    <cellStyle name="Currency [0] 2 2" xfId="196" xr:uid="{00000000-0005-0000-0000-00000E000000}"/>
    <cellStyle name="Currency [0] 2 2 2" xfId="451" xr:uid="{FA054644-5A4B-4645-BE1C-27719552DDF4}"/>
    <cellStyle name="Currency [0] 2 3" xfId="391" xr:uid="{1644CFB9-CAB1-40A1-A830-2BC5B81EB98A}"/>
    <cellStyle name="Currency [0] 3" xfId="153" xr:uid="{00000000-0005-0000-0000-00000F000000}"/>
    <cellStyle name="Currency [0] 3 2" xfId="408" xr:uid="{8D21F165-E8FA-4A6C-B946-704F349554C6}"/>
    <cellStyle name="Currency [0] 4" xfId="527" xr:uid="{D82BCA96-EA63-426F-B2C7-16B63B469E41}"/>
    <cellStyle name="Currency [0] 5" xfId="348" xr:uid="{715B4F5B-2CEE-41CC-965C-7B8BB5D9F13C}"/>
    <cellStyle name="Currency 2" xfId="85" xr:uid="{00000000-0005-0000-0000-000010000000}"/>
    <cellStyle name="Currency 2 2" xfId="135" xr:uid="{00000000-0005-0000-0000-000011000000}"/>
    <cellStyle name="Currency 2 2 2" xfId="195" xr:uid="{00000000-0005-0000-0000-000012000000}"/>
    <cellStyle name="Currency 2 2 2 2" xfId="450" xr:uid="{D6981B97-6986-41C1-843F-FABA88E8BE20}"/>
    <cellStyle name="Currency 2 2 3" xfId="390" xr:uid="{A871380D-BD9C-48C4-A0A2-4EC3067E2AAC}"/>
    <cellStyle name="Currency 2 3" xfId="152" xr:uid="{00000000-0005-0000-0000-000013000000}"/>
    <cellStyle name="Currency 2 3 2" xfId="407" xr:uid="{AA395295-7656-4041-B4C5-6AA4011B457A}"/>
    <cellStyle name="Currency 2 4" xfId="347" xr:uid="{7B2F237B-4E46-496F-BA3F-B79E16B195B9}"/>
    <cellStyle name="Currency 3" xfId="526" xr:uid="{BEA0AF46-DC2F-4688-BC7B-9652AD2AD802}"/>
    <cellStyle name="Currency 4" xfId="531" xr:uid="{DE550DFF-C430-4B8F-BA97-B30F36AB4A19}"/>
    <cellStyle name="Currency 5" xfId="532" xr:uid="{DCB4F1A9-C7C0-4EE0-B0C7-3E7473D4960B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89" xr:uid="{00000000-0005-0000-0000-000017000000}"/>
    <cellStyle name="Euro 3" xfId="503" xr:uid="{75C9A7FF-753F-4D0C-BEA9-A9BBA35340CF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" xfId="215" builtinId="8"/>
    <cellStyle name="Hiperlink 2" xfId="212" xr:uid="{C152CADE-20DD-4C2D-8051-0547FB2C3BC0}"/>
    <cellStyle name="Hiperlink 3" xfId="289" xr:uid="{2D758D95-B376-46A6-AE62-18DF72F23AC8}"/>
    <cellStyle name="M S SANS SERIF" xfId="38" xr:uid="{00000000-0005-0000-0000-00001B000000}"/>
    <cellStyle name="M S SANS SERIF 2" xfId="107" xr:uid="{00000000-0005-0000-0000-00001C000000}"/>
    <cellStyle name="Moeda" xfId="237" builtinId="4"/>
    <cellStyle name="Moeda 10" xfId="275" xr:uid="{D54513A5-E11B-471E-98CB-AAA3A5339AD2}"/>
    <cellStyle name="Moeda 10 2" xfId="513" xr:uid="{FDA0F5D4-3CAF-4F8F-B0F8-3582106DB491}"/>
    <cellStyle name="Moeda 11" xfId="254" xr:uid="{D42045F7-949F-46EC-B9D1-E11A039CBB60}"/>
    <cellStyle name="Moeda 11 2" xfId="493" xr:uid="{E0FE7AF6-4F55-49F2-BE8C-58B79D93E7F1}"/>
    <cellStyle name="Moeda 12" xfId="255" xr:uid="{67ABC7CE-F962-4F60-9CD5-434CFE3EEAFD}"/>
    <cellStyle name="Moeda 12 2" xfId="494" xr:uid="{CA5A2458-4651-4B59-8509-F814E562D024}"/>
    <cellStyle name="Moeda 13" xfId="282" xr:uid="{90D798B4-0E15-41D0-88DB-E76302A54EAA}"/>
    <cellStyle name="Moeda 13 2" xfId="293" xr:uid="{6A2E7309-8FD6-4F39-9BAA-CF3A8DF692CC}"/>
    <cellStyle name="Moeda 13 3" xfId="523" xr:uid="{67D703E2-DCA1-4079-9590-AC57F1E64289}"/>
    <cellStyle name="Moeda 14" xfId="259" xr:uid="{331E3390-87E1-4D7B-8EB6-E2FCDA6BF7EB}"/>
    <cellStyle name="Moeda 14 2" xfId="498" xr:uid="{80447D93-9EE3-4EDD-91F9-1FE3C52205D6}"/>
    <cellStyle name="Moeda 15" xfId="528" xr:uid="{6862A1CC-5A46-4272-9D6A-71EE9C021EA0}"/>
    <cellStyle name="Moeda 16" xfId="298" xr:uid="{40A74C28-04D4-4EA2-9196-AF05D53F52EB}"/>
    <cellStyle name="Moeda 16 2" xfId="535" xr:uid="{9E20D5B8-7F6A-42D1-B81B-7EC18DCCE099}"/>
    <cellStyle name="Moeda 2" xfId="214" xr:uid="{2626DF34-C827-4C8C-9515-80B373DC897C}"/>
    <cellStyle name="Moeda 2 2" xfId="248" xr:uid="{EF31BA72-F7D1-4AA3-9655-7D85F04E8C62}"/>
    <cellStyle name="Moeda 2 2 2" xfId="487" xr:uid="{7782AC09-59B8-46C6-A45C-A1FD09F36E6C}"/>
    <cellStyle name="Moeda 2 3" xfId="511" xr:uid="{84D949CA-8ADF-4CA2-A626-843F2C1C9E73}"/>
    <cellStyle name="Moeda 3" xfId="222" xr:uid="{49A2E78B-91D7-4D2D-9DB7-C630B1B3005E}"/>
    <cellStyle name="Moeda 3 2" xfId="287" xr:uid="{17EF6594-9958-486B-9C23-BF7981BDAD2B}"/>
    <cellStyle name="Moeda 3 3" xfId="464" xr:uid="{9F350BA3-09B6-4722-B94E-BF82056A4197}"/>
    <cellStyle name="Moeda 4" xfId="226" xr:uid="{531DA28B-37FC-44BB-A5E1-E9E1EC6BA9CD}"/>
    <cellStyle name="Moeda 4 2" xfId="468" xr:uid="{EDDFA17E-ED1A-4EC2-85D8-C7C0BD1F5C34}"/>
    <cellStyle name="Moeda 5" xfId="230" xr:uid="{2130FB7E-9460-4C99-8BAC-3BA8BF2FC5E4}"/>
    <cellStyle name="Moeda 5 2" xfId="472" xr:uid="{46B032D0-47C4-4101-B459-C3FEA2601A90}"/>
    <cellStyle name="Moeda 6" xfId="234" xr:uid="{9E49DB48-2AE0-4E4A-B103-7B9BDA09B764}"/>
    <cellStyle name="Moeda 6 2" xfId="476" xr:uid="{63A62A69-10CD-4B47-83E0-0046762C3A40}"/>
    <cellStyle name="Moeda 7" xfId="242" xr:uid="{C4838BDE-4580-46E9-A75E-89EAFB1A2043}"/>
    <cellStyle name="Moeda 7 2" xfId="482" xr:uid="{4F387839-1D6F-4E3E-9446-6427A57AC22B}"/>
    <cellStyle name="Moeda 8" xfId="249" xr:uid="{F7C1EDFB-B834-4D5A-A835-AEB50D6BDD6D}"/>
    <cellStyle name="Moeda 8 2" xfId="270" xr:uid="{DEE75667-616E-4680-A64D-BB0D3E41321B}"/>
    <cellStyle name="Moeda 8 2 2" xfId="516" xr:uid="{26B63447-8F71-42EB-9017-ACAA57877ACD}"/>
    <cellStyle name="Moeda 8 3" xfId="488" xr:uid="{9AEA1595-EF99-4A63-A9C9-D22932F3B093}"/>
    <cellStyle name="Moeda 9" xfId="251" xr:uid="{81FBA369-9975-466E-AC29-BEA2E339D31D}"/>
    <cellStyle name="Moeda 9 2" xfId="490" xr:uid="{D0A25F2A-81EE-4518-BC12-1C42DC2E7920}"/>
    <cellStyle name="Normal" xfId="0" builtinId="0"/>
    <cellStyle name="Normal 10" xfId="45" xr:uid="{00000000-0005-0000-0000-000020000000}"/>
    <cellStyle name="Normal 10 2" xfId="200" xr:uid="{DF76C64F-DBE0-4F2F-B01D-B946C836C541}"/>
    <cellStyle name="Normal 11" xfId="48" xr:uid="{00000000-0005-0000-0000-000021000000}"/>
    <cellStyle name="Normal 11 2" xfId="57" xr:uid="{00000000-0005-0000-0000-000022000000}"/>
    <cellStyle name="Normal 12" xfId="60" xr:uid="{00000000-0005-0000-0000-000023000000}"/>
    <cellStyle name="Normal 12 2" xfId="117" xr:uid="{00000000-0005-0000-0000-000024000000}"/>
    <cellStyle name="Normal 13" xfId="66" xr:uid="{00000000-0005-0000-0000-000025000000}"/>
    <cellStyle name="Normal 13 2" xfId="121" xr:uid="{00000000-0005-0000-0000-000026000000}"/>
    <cellStyle name="Normal 14" xfId="73" xr:uid="{00000000-0005-0000-0000-000027000000}"/>
    <cellStyle name="Normal 14 2" xfId="126" xr:uid="{00000000-0005-0000-0000-000028000000}"/>
    <cellStyle name="Normal 14 2 2" xfId="71" xr:uid="{00000000-0005-0000-0000-000029000000}"/>
    <cellStyle name="Normal 14 2 2 2" xfId="74" xr:uid="{00000000-0005-0000-0000-00002A000000}"/>
    <cellStyle name="Normal 14 2 2 2 2" xfId="78" xr:uid="{00000000-0005-0000-0000-00002B000000}"/>
    <cellStyle name="Normal 14 2 2 2 2 2" xfId="131" xr:uid="{00000000-0005-0000-0000-00002C000000}"/>
    <cellStyle name="Normal 14 2 2 2 2 2 2" xfId="191" xr:uid="{00000000-0005-0000-0000-00002D000000}"/>
    <cellStyle name="Normal 14 2 2 2 2 2 2 2" xfId="446" xr:uid="{9DEF36E4-56C4-4FA8-8F4B-A9CC329B0C6C}"/>
    <cellStyle name="Normal 14 2 2 2 2 2 3" xfId="386" xr:uid="{1A11D106-6F66-42F9-AA4F-24400E116B87}"/>
    <cellStyle name="Normal 14 2 2 2 2 3" xfId="149" xr:uid="{00000000-0005-0000-0000-00002E000000}"/>
    <cellStyle name="Normal 14 2 2 2 2 3 2" xfId="404" xr:uid="{8B1DC5B4-34EF-469B-A561-66A177D0C22C}"/>
    <cellStyle name="Normal 14 2 2 2 2 4" xfId="343" xr:uid="{04BF7A66-BF58-4278-8108-B4535B0C0264}"/>
    <cellStyle name="Normal 14 2 2 2 3" xfId="127" xr:uid="{00000000-0005-0000-0000-00002F000000}"/>
    <cellStyle name="Normal 14 2 2 2 3 2" xfId="187" xr:uid="{00000000-0005-0000-0000-000030000000}"/>
    <cellStyle name="Normal 14 2 2 2 3 2 2" xfId="442" xr:uid="{22839EFD-F0DC-4197-BB65-E7B1124FA1DC}"/>
    <cellStyle name="Normal 14 2 2 2 3 3" xfId="382" xr:uid="{A33325D0-9C21-4DDB-828A-66746AC27FEC}"/>
    <cellStyle name="Normal 14 2 2 2 4" xfId="145" xr:uid="{00000000-0005-0000-0000-000031000000}"/>
    <cellStyle name="Normal 14 2 2 2 4 2" xfId="400" xr:uid="{5A876647-4C65-44AA-8083-7FC1FEC21C83}"/>
    <cellStyle name="Normal 14 2 2 2 5" xfId="339" xr:uid="{43C6ABE6-3214-434B-B95A-350C7E0FCE8D}"/>
    <cellStyle name="Normal 14 2 2 3" xfId="76" xr:uid="{00000000-0005-0000-0000-000032000000}"/>
    <cellStyle name="Normal 14 2 2 3 2" xfId="129" xr:uid="{00000000-0005-0000-0000-000033000000}"/>
    <cellStyle name="Normal 14 2 2 3 2 2" xfId="189" xr:uid="{00000000-0005-0000-0000-000034000000}"/>
    <cellStyle name="Normal 14 2 2 3 2 2 2" xfId="444" xr:uid="{E4296A59-B38D-4D74-8A93-C945581788CB}"/>
    <cellStyle name="Normal 14 2 2 3 2 3" xfId="384" xr:uid="{8F7B0493-39FB-43EB-BC4F-FDE8AFFF2555}"/>
    <cellStyle name="Normal 14 2 2 3 3" xfId="147" xr:uid="{00000000-0005-0000-0000-000035000000}"/>
    <cellStyle name="Normal 14 2 2 3 3 2" xfId="402" xr:uid="{E771EF01-023E-431C-A8D3-9C667EBF2F0B}"/>
    <cellStyle name="Normal 14 2 2 3 4" xfId="341" xr:uid="{620837D7-35FD-4612-A68D-87CD1705116B}"/>
    <cellStyle name="Normal 14 2 2 4" xfId="124" xr:uid="{00000000-0005-0000-0000-000036000000}"/>
    <cellStyle name="Normal 14 2 2 4 2" xfId="184" xr:uid="{00000000-0005-0000-0000-000037000000}"/>
    <cellStyle name="Normal 14 2 2 4 2 2" xfId="439" xr:uid="{256639C3-AD83-40D6-BAF3-5C3CD70BAB82}"/>
    <cellStyle name="Normal 14 2 2 4 3" xfId="379" xr:uid="{A7D80780-12C3-441F-9361-635CB60D9E37}"/>
    <cellStyle name="Normal 14 2 2 5" xfId="142" xr:uid="{00000000-0005-0000-0000-000038000000}"/>
    <cellStyle name="Normal 14 2 2 5 2" xfId="397" xr:uid="{5CAEADCD-999C-43A4-A7FF-79FE16ED3C1F}"/>
    <cellStyle name="Normal 14 2 2 6" xfId="336" xr:uid="{1BCAA51A-BC29-4A5E-BAA9-FEE8A8A7EC1A}"/>
    <cellStyle name="Normal 14 2 3" xfId="186" xr:uid="{00000000-0005-0000-0000-000039000000}"/>
    <cellStyle name="Normal 14 2 3 2" xfId="441" xr:uid="{7F8DAA1A-E3D4-4271-8127-4DA45123AF19}"/>
    <cellStyle name="Normal 14 2 4" xfId="381" xr:uid="{E0B60A78-4BCB-446B-BECB-A1F37F31BAB8}"/>
    <cellStyle name="Normal 14 3" xfId="144" xr:uid="{00000000-0005-0000-0000-00003A000000}"/>
    <cellStyle name="Normal 14 3 2" xfId="399" xr:uid="{DFBF997E-1498-4B7B-8DD7-C0D8CFA2FAE5}"/>
    <cellStyle name="Normal 14 4" xfId="283" xr:uid="{CBB10466-A3A9-40AB-9695-2075817E0A69}"/>
    <cellStyle name="Normal 14 5" xfId="291" xr:uid="{234C274E-84F2-4BE4-B2CE-10D31A4263DB}"/>
    <cellStyle name="Normal 14 6" xfId="338" xr:uid="{D0DF3603-FE3E-413B-8B9A-84EC8D17D8B7}"/>
    <cellStyle name="Normal 15" xfId="209" xr:uid="{6B11A424-3E97-45A5-9CB6-19325C68A13E}"/>
    <cellStyle name="Normal 15 2" xfId="301" xr:uid="{F4361C64-4BFA-45AB-828D-8317FD6F626D}"/>
    <cellStyle name="Normal 15 2 2" xfId="303" xr:uid="{B3EFAE67-C6FF-4DA0-B83B-0141CDA988C1}"/>
    <cellStyle name="Normal 15 3" xfId="459" xr:uid="{06AC5E7F-C4E3-42B9-8E8D-A9ABE8C83A63}"/>
    <cellStyle name="Normal 16" xfId="79" xr:uid="{00000000-0005-0000-0000-00003B000000}"/>
    <cellStyle name="Normal 16 2" xfId="132" xr:uid="{00000000-0005-0000-0000-00003C000000}"/>
    <cellStyle name="Normal 16 2 2" xfId="192" xr:uid="{00000000-0005-0000-0000-00003D000000}"/>
    <cellStyle name="Normal 16 2 2 2" xfId="447" xr:uid="{C933EF69-0A62-4851-91D9-D9F73EBC27D6}"/>
    <cellStyle name="Normal 16 2 3" xfId="387" xr:uid="{D503BA84-886A-4933-B53E-396BCB9A54CE}"/>
    <cellStyle name="Normal 16 3" xfId="150" xr:uid="{00000000-0005-0000-0000-00003E000000}"/>
    <cellStyle name="Normal 16 3 2" xfId="405" xr:uid="{0DA67718-6FE7-45CA-9B09-F0F098D66D7A}"/>
    <cellStyle name="Normal 16 4" xfId="284" xr:uid="{6187CC41-A124-4772-93E4-24AA94375C7E}"/>
    <cellStyle name="Normal 16 5" xfId="344" xr:uid="{11E9A664-D8AC-437F-BC41-262961D4F791}"/>
    <cellStyle name="Normal 17" xfId="216" xr:uid="{66DA09ED-17E3-47DE-9028-526EEC478F05}"/>
    <cellStyle name="Normal 17 2" xfId="268" xr:uid="{9280E30A-210C-42E0-87F1-17B2FFB23487}"/>
    <cellStyle name="Normal 17 2 2" xfId="514" xr:uid="{B1A9882B-8566-4132-A21A-3470D66E6E6E}"/>
    <cellStyle name="Normal 17 2 3" xfId="295" xr:uid="{62A9D64B-9862-41C5-B4A9-CA712DC1CECF}"/>
    <cellStyle name="Normal 18" xfId="219" xr:uid="{0E7BFFCE-F1B0-4B40-BC02-30408BF456D8}"/>
    <cellStyle name="Normal 18 2" xfId="461" xr:uid="{12DCC6CC-5421-4DBF-A0C9-2AA2E5FA3F10}"/>
    <cellStyle name="Normal 19" xfId="220" xr:uid="{EBE6931E-55F9-4A8A-91D7-69D20ED99964}"/>
    <cellStyle name="Normal 19 2" xfId="462" xr:uid="{C1CA2A6B-C9DA-4555-AEBD-FBA4C0E7FB3B}"/>
    <cellStyle name="Normal 2" xfId="10" xr:uid="{00000000-0005-0000-0000-00003F000000}"/>
    <cellStyle name="Normal 2 2" xfId="11" xr:uid="{00000000-0005-0000-0000-000040000000}"/>
    <cellStyle name="Normal 2 2 2" xfId="51" xr:uid="{00000000-0005-0000-0000-000041000000}"/>
    <cellStyle name="Normal 2 2 2 2" xfId="208" xr:uid="{966D92B3-B124-43D1-9851-7256E35C976B}"/>
    <cellStyle name="Normal 2 2 3" xfId="82" xr:uid="{00000000-0005-0000-0000-000042000000}"/>
    <cellStyle name="Normal 2 2 4" xfId="236" xr:uid="{2707109F-577C-4030-8E72-7E6D9BEDCDE4}"/>
    <cellStyle name="Normal 2 2 4 2" xfId="478" xr:uid="{ADFC4B9B-2C1C-423E-A56A-9270CA4E255B}"/>
    <cellStyle name="Normal 2 2 6" xfId="260" xr:uid="{418A11B8-B4EF-4828-AA73-DF92DE56DD04}"/>
    <cellStyle name="Normal 2 2 6 2" xfId="499" xr:uid="{824237AF-0864-4A0B-BBC0-4E315EEF73B7}"/>
    <cellStyle name="Normal 2 3" xfId="12" xr:uid="{00000000-0005-0000-0000-000043000000}"/>
    <cellStyle name="Normal 2 4" xfId="69" xr:uid="{00000000-0005-0000-0000-000044000000}"/>
    <cellStyle name="Normal 2 4 3" xfId="205" xr:uid="{014AE214-F5F1-4A2C-AEEA-C6E8EDE19A3F}"/>
    <cellStyle name="Normal 2 5" xfId="238" xr:uid="{B82FF700-53D0-46AA-8D5C-DCC45D66A894}"/>
    <cellStyle name="Normal 2 5 2" xfId="479" xr:uid="{14470249-B0BC-4872-8E70-8B8EEED229A6}"/>
    <cellStyle name="Normal 20" xfId="223" xr:uid="{03E83E6F-8725-4B29-B23C-18702E1D0E50}"/>
    <cellStyle name="Normal 20 2" xfId="465" xr:uid="{14B7F7CB-EEBB-41DA-B722-90F7DFF623B9}"/>
    <cellStyle name="Normal 21" xfId="228" xr:uid="{B3EA1DFE-463D-4D99-8ED1-12861D73D4A9}"/>
    <cellStyle name="Normal 21 2" xfId="470" xr:uid="{EC0B8807-2CEC-4B77-942D-78FCA11B238B}"/>
    <cellStyle name="Normal 22" xfId="233" xr:uid="{E5538568-DA69-4648-9E46-D08381458FFE}"/>
    <cellStyle name="Normal 22 2" xfId="475" xr:uid="{692DFC19-9047-48D0-A25C-A6A626844248}"/>
    <cellStyle name="Normal 23" xfId="240" xr:uid="{78D9F5B8-0B8B-4CCD-B02E-C9BE846BA4E3}"/>
    <cellStyle name="Normal 24" xfId="241" xr:uid="{D8385557-A3BE-44A5-9D73-9FF3909E7F2A}"/>
    <cellStyle name="Normal 24 2" xfId="481" xr:uid="{52718D88-8048-43D3-B983-A759CF5E6732}"/>
    <cellStyle name="Normal 25" xfId="263" xr:uid="{0BA3AAEF-2E6E-4B85-9F21-84027F37CE0B}"/>
    <cellStyle name="Normal 25 2" xfId="502" xr:uid="{2E3D77CD-5C6F-4F62-AAE9-964D79F8DB3F}"/>
    <cellStyle name="Normal 26" xfId="273" xr:uid="{F09DF720-55D7-43BA-9159-5FC633B575DE}"/>
    <cellStyle name="Normal 26 2" xfId="519" xr:uid="{F5204805-C0CB-40EF-B325-5F58426A2D69}"/>
    <cellStyle name="Normal 27" xfId="265" xr:uid="{6926E863-DF2D-4568-9C1A-CD6C7C78090D}"/>
    <cellStyle name="Normal 27 2" xfId="280" xr:uid="{B3ECD4B7-3E68-47BD-A4E3-43D7033FFE5A}"/>
    <cellStyle name="Normal 27 3" xfId="521" xr:uid="{7D54D497-4708-486C-8C7C-DE0DCA800AA1}"/>
    <cellStyle name="Normal 28" xfId="277" xr:uid="{AE4AC348-98D0-444B-BF12-C5B56DC8BF6A}"/>
    <cellStyle name="Normal 28 2" xfId="279" xr:uid="{8E0A9929-39A2-49A9-AB64-604A54187067}"/>
    <cellStyle name="Normal 28 2 2" xfId="294" xr:uid="{A34C180E-0E12-4EFB-A5E2-CFCAAA9E29A3}"/>
    <cellStyle name="Normal 28 3" xfId="522" xr:uid="{D9C8FD1D-A6C7-43F2-989C-62B2F8CB6758}"/>
    <cellStyle name="Normal 29" xfId="252" xr:uid="{CB9D3E87-1053-4F55-A279-4A1C27234D02}"/>
    <cellStyle name="Normal 29 2" xfId="491" xr:uid="{3E641B4F-FE3E-4C35-819E-BEBEEFAE0BBC}"/>
    <cellStyle name="Normal 3" xfId="13" xr:uid="{00000000-0005-0000-0000-000045000000}"/>
    <cellStyle name="Normal 3 2" xfId="14" xr:uid="{00000000-0005-0000-0000-000046000000}"/>
    <cellStyle name="Normal 3 3" xfId="67" xr:uid="{00000000-0005-0000-0000-000047000000}"/>
    <cellStyle name="Normal 3 3 2" xfId="122" xr:uid="{00000000-0005-0000-0000-000048000000}"/>
    <cellStyle name="Normal 3 3 2 2" xfId="183" xr:uid="{00000000-0005-0000-0000-000049000000}"/>
    <cellStyle name="Normal 3 3 2 2 2" xfId="438" xr:uid="{B09931EF-E869-4585-BB41-A198B2EBABAD}"/>
    <cellStyle name="Normal 3 3 2 3" xfId="378" xr:uid="{D4DFED39-3269-4A97-AEEA-654E599FEA7A}"/>
    <cellStyle name="Normal 3 3 3" xfId="141" xr:uid="{00000000-0005-0000-0000-00004A000000}"/>
    <cellStyle name="Normal 3 3 3 2" xfId="396" xr:uid="{71CFA0DC-54C1-403F-8A90-1BC9319DDB3C}"/>
    <cellStyle name="Normal 3 3 4" xfId="335" xr:uid="{27B68E5A-5DB3-4019-992D-6B5373B5E189}"/>
    <cellStyle name="Normal 3 4" xfId="81" xr:uid="{00000000-0005-0000-0000-00004B000000}"/>
    <cellStyle name="Normal 3 5" xfId="90" xr:uid="{00000000-0005-0000-0000-00004C000000}"/>
    <cellStyle name="Normal 3 6" xfId="507" xr:uid="{98E4E3B8-4CA1-4EBB-B6F7-6B1B3ADF6351}"/>
    <cellStyle name="Normal 30" xfId="297" xr:uid="{40C0C4D8-6D3E-4902-94E0-7D8A367A692E}"/>
    <cellStyle name="Normal 30 2" xfId="534" xr:uid="{39830127-82A0-474D-AE74-65E63B0C0C8D}"/>
    <cellStyle name="Normal 31" xfId="306" xr:uid="{1F79EBCF-9B45-4434-BFED-A016294BC34D}"/>
    <cellStyle name="Normal 31 2" xfId="299" xr:uid="{A880FABE-788C-4624-8BA6-F71D5D86031C}"/>
    <cellStyle name="Normal 32" xfId="253" xr:uid="{878BEC6A-E2CD-4DEA-993D-D770A2EB9039}"/>
    <cellStyle name="Normal 32 2" xfId="492" xr:uid="{8A88799D-73D0-45FD-87D1-75A837D5F619}"/>
    <cellStyle name="Normal 33" xfId="257" xr:uid="{A7002F52-5BB9-4AF5-805C-B568EEF6F35B}"/>
    <cellStyle name="Normal 33 2" xfId="496" xr:uid="{CE5EE7CC-4D9E-493B-81DA-29117952F31D}"/>
    <cellStyle name="Normal 39" xfId="305" xr:uid="{7B8A9E5B-87FF-47DB-ABAB-4C681B5563D0}"/>
    <cellStyle name="Normal 4" xfId="15" xr:uid="{00000000-0005-0000-0000-00004D000000}"/>
    <cellStyle name="Normal 4 2" xfId="53" xr:uid="{00000000-0005-0000-0000-00004E000000}"/>
    <cellStyle name="Normal 4 3" xfId="213" xr:uid="{128A6384-C6AF-4864-BC9B-32CA45155972}"/>
    <cellStyle name="Normal 4 3 2" xfId="246" xr:uid="{696A2F0D-7C0A-4930-949B-0D2882EBB75D}"/>
    <cellStyle name="Normal 5" xfId="16" xr:uid="{00000000-0005-0000-0000-00004F000000}"/>
    <cellStyle name="Normal 5 2" xfId="17" xr:uid="{00000000-0005-0000-0000-000050000000}"/>
    <cellStyle name="Normal 5 2 2" xfId="65" xr:uid="{00000000-0005-0000-0000-000051000000}"/>
    <cellStyle name="Normal 5 3" xfId="55" xr:uid="{00000000-0005-0000-0000-000052000000}"/>
    <cellStyle name="Normal 5 4" xfId="509" xr:uid="{5A2E5C3B-B78C-4618-AF6E-3EF8ECFCE942}"/>
    <cellStyle name="Normal 6" xfId="18" xr:uid="{00000000-0005-0000-0000-000053000000}"/>
    <cellStyle name="Normal 6 2" xfId="40" xr:uid="{00000000-0005-0000-0000-000054000000}"/>
    <cellStyle name="Normal 6 2 2" xfId="108" xr:uid="{00000000-0005-0000-0000-000055000000}"/>
    <cellStyle name="Normal 6 2 2 2" xfId="171" xr:uid="{00000000-0005-0000-0000-000056000000}"/>
    <cellStyle name="Normal 6 2 2 2 2" xfId="426" xr:uid="{0F1102FB-3FEE-4F48-8D3C-68F79EE5A329}"/>
    <cellStyle name="Normal 6 2 2 3" xfId="366" xr:uid="{3EDFD422-07BB-4807-8D3C-A113133D13DF}"/>
    <cellStyle name="Normal 6 2 3" xfId="140" xr:uid="{00000000-0005-0000-0000-000057000000}"/>
    <cellStyle name="Normal 6 2 3 2" xfId="395" xr:uid="{B29C8B0C-37AE-4960-85DB-4FAA433A3986}"/>
    <cellStyle name="Normal 6 2 4" xfId="323" xr:uid="{12F09077-9F45-4DB2-994A-10EF683BFCD3}"/>
    <cellStyle name="Normal 6 3" xfId="68" xr:uid="{00000000-0005-0000-0000-000058000000}"/>
    <cellStyle name="Normal 6 4" xfId="91" xr:uid="{00000000-0005-0000-0000-000059000000}"/>
    <cellStyle name="Normal 6 4 2" xfId="156" xr:uid="{00000000-0005-0000-0000-00005A000000}"/>
    <cellStyle name="Normal 6 4 2 2" xfId="411" xr:uid="{6FC9B882-D6BC-4265-AD80-5104253A76C9}"/>
    <cellStyle name="Normal 6 4 3" xfId="351" xr:uid="{6022950D-E5AE-4985-B187-2EC6580CFC3D}"/>
    <cellStyle name="Normal 6 5" xfId="139" xr:uid="{00000000-0005-0000-0000-00005B000000}"/>
    <cellStyle name="Normal 6 5 2" xfId="394" xr:uid="{CAC98860-8043-4B83-8982-74AFD2904F4C}"/>
    <cellStyle name="Normal 6 6" xfId="510" xr:uid="{25478DA7-33AD-44CA-B26F-55635C824687}"/>
    <cellStyle name="Normal 6 7" xfId="308" xr:uid="{20C7A28A-34F5-4133-A26F-952DF7117D8E}"/>
    <cellStyle name="Normal 7" xfId="36" xr:uid="{00000000-0005-0000-0000-00005C000000}"/>
    <cellStyle name="Normal 7 2" xfId="231" xr:uid="{E97CCB13-9E83-4026-B9CB-7C05E06ABBCA}"/>
    <cellStyle name="Normal 7 2 2" xfId="473" xr:uid="{644DB8E4-512C-463A-9865-3DABB5BD1952}"/>
    <cellStyle name="Normal 7 3" xfId="272" xr:uid="{918CD3A2-75F9-4451-8251-43D82784D48B}"/>
    <cellStyle name="Normal 7 3 2" xfId="307" xr:uid="{1BE7B4FC-6CC2-4ECA-ABBA-3CC51B521FFC}"/>
    <cellStyle name="Normal 8" xfId="41" xr:uid="{00000000-0005-0000-0000-00005D000000}"/>
    <cellStyle name="Normal 8 4" xfId="206" xr:uid="{249D2AA0-4DAA-4BCA-BCBA-CDADF64B847F}"/>
    <cellStyle name="Normal 9" xfId="43" xr:uid="{00000000-0005-0000-0000-00005E000000}"/>
    <cellStyle name="Normal 9 2" xfId="64" xr:uid="{00000000-0005-0000-0000-00005F000000}"/>
    <cellStyle name="Normal 9 2 2" xfId="285" xr:uid="{18F25928-818C-4B94-ADCB-AD3C9B9333E1}"/>
    <cellStyle name="Normal 9 3" xfId="224" xr:uid="{006C36D3-8362-4B53-A813-2A67F57A9A6C}"/>
    <cellStyle name="Normal 9 3 2" xfId="466" xr:uid="{75C34660-E80F-4BB2-AB90-61EFEA370015}"/>
    <cellStyle name="Normal 9 4" xfId="243" xr:uid="{32ED79ED-2E6B-48FB-81F7-590E833BB2A3}"/>
    <cellStyle name="Normal 9 4 2" xfId="483" xr:uid="{E2E26AEF-9CCF-4C28-9B92-BC2AF8D4B9F9}"/>
    <cellStyle name="Normal 9 5" xfId="261" xr:uid="{CCC5E3BA-44B7-49B7-B353-829A875BCCB5}"/>
    <cellStyle name="Normal 9 5 2" xfId="500" xr:uid="{005ADEEB-B446-42DD-9DBE-EB74448BD344}"/>
    <cellStyle name="Normal_00_Classes" xfId="47" xr:uid="{00000000-0005-0000-0000-000060000000}"/>
    <cellStyle name="Normal_LD_01_estruturas" xfId="276" xr:uid="{D2CB940C-570C-4340-9579-515D05681BC8}"/>
    <cellStyle name="Normal_LD_estrutura_arm_escadas" xfId="58" xr:uid="{00000000-0005-0000-0000-000064000000}"/>
    <cellStyle name="Percent" xfId="19" xr:uid="{00000000-0005-0000-0000-000066000000}"/>
    <cellStyle name="Percent 2" xfId="84" xr:uid="{00000000-0005-0000-0000-000067000000}"/>
    <cellStyle name="planilhas" xfId="39" xr:uid="{00000000-0005-0000-0000-000068000000}"/>
    <cellStyle name="Porcentagem" xfId="70" builtinId="5"/>
    <cellStyle name="Porcentagem 2" xfId="20" xr:uid="{00000000-0005-0000-0000-00006A000000}"/>
    <cellStyle name="Porcentagem 2 2" xfId="92" xr:uid="{00000000-0005-0000-0000-00006B000000}"/>
    <cellStyle name="Porcentagem 2 3" xfId="203" xr:uid="{C2E974F5-5B88-4F34-A7F2-E95644B423E1}"/>
    <cellStyle name="Porcentagem 3" xfId="59" xr:uid="{00000000-0005-0000-0000-00006C000000}"/>
    <cellStyle name="Porcentagem 4" xfId="123" xr:uid="{00000000-0005-0000-0000-00006D000000}"/>
    <cellStyle name="Porcentagem 5" xfId="210" xr:uid="{AC67FB52-169F-4F70-AFBC-1869A6613FEA}"/>
    <cellStyle name="Porcentagem 6" xfId="218" xr:uid="{F3A50E94-BDC4-4335-996F-71738F7FA114}"/>
    <cellStyle name="Porcentagem 7" xfId="232" xr:uid="{5030DC1B-DA52-4AA8-A965-D3E61EAF6695}"/>
    <cellStyle name="Porcentagem 7 2" xfId="474" xr:uid="{F5DC4A94-9B0C-4845-AD24-F98A69CA650A}"/>
    <cellStyle name="Porcentagem 8" xfId="520" xr:uid="{DAA63BF7-5131-4C51-89C2-B2CE1FFE0643}"/>
    <cellStyle name="Sep. milhar [0]" xfId="504" xr:uid="{E937A272-9389-42AE-9CCA-65AA4C283F1E}"/>
    <cellStyle name="Separador de m" xfId="21" xr:uid="{00000000-0005-0000-0000-00006E000000}"/>
    <cellStyle name="Separador de milhares 2" xfId="22" xr:uid="{00000000-0005-0000-0000-00006F000000}"/>
    <cellStyle name="Separador de milhares 2 2" xfId="23" xr:uid="{00000000-0005-0000-0000-000070000000}"/>
    <cellStyle name="Separador de milhares 2 2 2" xfId="61" xr:uid="{00000000-0005-0000-0000-000071000000}"/>
    <cellStyle name="Separador de milhares 2 2 2 2" xfId="118" xr:uid="{00000000-0005-0000-0000-000072000000}"/>
    <cellStyle name="Separador de milhares 2 2 2 2 2" xfId="180" xr:uid="{00000000-0005-0000-0000-000073000000}"/>
    <cellStyle name="Separador de milhares 2 2 2 2 2 2" xfId="435" xr:uid="{7C3FB760-8288-4ED7-A47E-AB01BDBAC843}"/>
    <cellStyle name="Separador de milhares 2 2 2 2 3" xfId="375" xr:uid="{DA528D62-2BFA-48AD-BD9B-93E1849A2D7D}"/>
    <cellStyle name="Separador de milhares 2 2 2 3" xfId="332" xr:uid="{E592D3FF-36A6-47E3-BB99-3C7F6A91D6EC}"/>
    <cellStyle name="Separador de milhares 2 2 2 5" xfId="518" xr:uid="{8BF93081-80B8-4E9D-85D2-3E60331F20AD}"/>
    <cellStyle name="Separador de milhares 2 2 3" xfId="94" xr:uid="{00000000-0005-0000-0000-000074000000}"/>
    <cellStyle name="Separador de milhares 2 2 3 2" xfId="158" xr:uid="{00000000-0005-0000-0000-000075000000}"/>
    <cellStyle name="Separador de milhares 2 2 3 2 2" xfId="413" xr:uid="{BDEF0E7C-A737-4095-99CD-F52997059FF9}"/>
    <cellStyle name="Separador de milhares 2 2 3 3" xfId="353" xr:uid="{CF4EF454-EBA0-4F85-9880-5BDA7EC3E2F7}"/>
    <cellStyle name="Separador de milhares 2 2 4" xfId="310" xr:uid="{7BEA3D8A-B2D4-4993-8CD5-8D061A6308A3}"/>
    <cellStyle name="Separador de milhares 2 3" xfId="93" xr:uid="{00000000-0005-0000-0000-000076000000}"/>
    <cellStyle name="Separador de milhares 2 3 2" xfId="157" xr:uid="{00000000-0005-0000-0000-000077000000}"/>
    <cellStyle name="Separador de milhares 2 3 2 2" xfId="412" xr:uid="{D3B8D9EB-B852-4676-B318-A1080754932E}"/>
    <cellStyle name="Separador de milhares 2 3 3" xfId="352" xr:uid="{86A7A443-3D38-428E-A627-EBECF74685DE}"/>
    <cellStyle name="Separador de milhares 2 4" xfId="309" xr:uid="{FEB0D2AB-3BEF-47D0-9440-D9393BE06084}"/>
    <cellStyle name="Separador de milhares 3" xfId="24" xr:uid="{00000000-0005-0000-0000-000078000000}"/>
    <cellStyle name="Separador de milhares 3 2" xfId="25" xr:uid="{00000000-0005-0000-0000-000079000000}"/>
    <cellStyle name="Separador de milhares 3 2 2" xfId="26" xr:uid="{00000000-0005-0000-0000-00007A000000}"/>
    <cellStyle name="Separador de milhares 3 2 2 2" xfId="27" xr:uid="{00000000-0005-0000-0000-00007B000000}"/>
    <cellStyle name="Separador de milhares 3 2 2 2 2" xfId="28" xr:uid="{00000000-0005-0000-0000-00007C000000}"/>
    <cellStyle name="Separador de milhares 3 2 2 2 2 2" xfId="29" xr:uid="{00000000-0005-0000-0000-00007D000000}"/>
    <cellStyle name="Separador de milhares 3 2 2 2 2 2 2" xfId="100" xr:uid="{00000000-0005-0000-0000-00007E000000}"/>
    <cellStyle name="Separador de milhares 3 2 2 2 2 2 2 2" xfId="164" xr:uid="{00000000-0005-0000-0000-00007F000000}"/>
    <cellStyle name="Separador de milhares 3 2 2 2 2 2 2 2 2" xfId="419" xr:uid="{7CEE4F81-A213-41AA-9124-BEECD6A213AE}"/>
    <cellStyle name="Separador de milhares 3 2 2 2 2 2 2 3" xfId="359" xr:uid="{11D9A077-254E-4E91-B8AF-70D18C3F6703}"/>
    <cellStyle name="Separador de milhares 3 2 2 2 2 2 3" xfId="316" xr:uid="{8A529279-0D45-4E8C-94F6-7865893627B0}"/>
    <cellStyle name="Separador de milhares 3 2 2 2 2 3" xfId="99" xr:uid="{00000000-0005-0000-0000-000080000000}"/>
    <cellStyle name="Separador de milhares 3 2 2 2 2 3 2" xfId="163" xr:uid="{00000000-0005-0000-0000-000081000000}"/>
    <cellStyle name="Separador de milhares 3 2 2 2 2 3 2 2" xfId="418" xr:uid="{C9AF00A8-C5C0-4052-BD41-5C32BBF912B6}"/>
    <cellStyle name="Separador de milhares 3 2 2 2 2 3 3" xfId="358" xr:uid="{8090EB1C-0C93-477B-8378-7573BA45C7D2}"/>
    <cellStyle name="Separador de milhares 3 2 2 2 2 4" xfId="315" xr:uid="{BB0493C3-2EB3-4C3E-AF80-67F9271EDD7A}"/>
    <cellStyle name="Separador de milhares 3 2 2 2 3" xfId="98" xr:uid="{00000000-0005-0000-0000-000082000000}"/>
    <cellStyle name="Separador de milhares 3 2 2 2 3 2" xfId="162" xr:uid="{00000000-0005-0000-0000-000083000000}"/>
    <cellStyle name="Separador de milhares 3 2 2 2 3 2 2" xfId="417" xr:uid="{D53C9385-910E-43D1-A343-A6AE6C7E5F15}"/>
    <cellStyle name="Separador de milhares 3 2 2 2 3 3" xfId="357" xr:uid="{3B49A016-70D3-478C-B43C-B46B804F8A3C}"/>
    <cellStyle name="Separador de milhares 3 2 2 2 4" xfId="314" xr:uid="{57C6735C-964A-4DFD-84CD-2FB5373CB2E1}"/>
    <cellStyle name="Separador de milhares 3 2 2 3" xfId="97" xr:uid="{00000000-0005-0000-0000-000084000000}"/>
    <cellStyle name="Separador de milhares 3 2 2 3 2" xfId="161" xr:uid="{00000000-0005-0000-0000-000085000000}"/>
    <cellStyle name="Separador de milhares 3 2 2 3 2 2" xfId="416" xr:uid="{9AE30E2B-1A8F-41B4-BCAE-99784FD7CFA8}"/>
    <cellStyle name="Separador de milhares 3 2 2 3 3" xfId="356" xr:uid="{9054A88C-A5F1-45D7-9576-83907CBD9D1D}"/>
    <cellStyle name="Separador de milhares 3 2 2 4" xfId="313" xr:uid="{0A1B71F1-8A11-4EE9-B5E1-3D2D9346B894}"/>
    <cellStyle name="Separador de milhares 3 2 3" xfId="96" xr:uid="{00000000-0005-0000-0000-000086000000}"/>
    <cellStyle name="Separador de milhares 3 2 3 2" xfId="160" xr:uid="{00000000-0005-0000-0000-000087000000}"/>
    <cellStyle name="Separador de milhares 3 2 3 2 2" xfId="415" xr:uid="{0D2BD9E1-B158-4A50-840B-E99409CFC5F7}"/>
    <cellStyle name="Separador de milhares 3 2 3 3" xfId="355" xr:uid="{B822C5C7-F484-4813-885A-DB997CD9F6CF}"/>
    <cellStyle name="Separador de milhares 3 2 4" xfId="312" xr:uid="{CE01D51B-8C0F-4D68-945F-C8AC9E04AACA}"/>
    <cellStyle name="Separador de milhares 3 3" xfId="95" xr:uid="{00000000-0005-0000-0000-000088000000}"/>
    <cellStyle name="Separador de milhares 3 3 2" xfId="159" xr:uid="{00000000-0005-0000-0000-000089000000}"/>
    <cellStyle name="Separador de milhares 3 3 2 2" xfId="414" xr:uid="{35E23307-7B7B-41FF-9A6A-586D3A0735D9}"/>
    <cellStyle name="Separador de milhares 3 3 3" xfId="354" xr:uid="{74CF1303-B4AD-401F-AADE-5CC64D4ECA7A}"/>
    <cellStyle name="Separador de milhares 3 4" xfId="311" xr:uid="{24280BC6-4C4D-421E-B88D-B1DC9A07A0F4}"/>
    <cellStyle name="Separador de milhares 4" xfId="42" xr:uid="{00000000-0005-0000-0000-00008A000000}"/>
    <cellStyle name="Separador de milhares 4 2" xfId="109" xr:uid="{00000000-0005-0000-0000-00008B000000}"/>
    <cellStyle name="Separador de milhares 4 2 2" xfId="172" xr:uid="{00000000-0005-0000-0000-00008C000000}"/>
    <cellStyle name="Separador de milhares 4 2 2 2" xfId="427" xr:uid="{054CA3D0-2882-43F5-8986-910922D0525A}"/>
    <cellStyle name="Separador de milhares 4 2 3" xfId="367" xr:uid="{A3481D7E-B55E-4BA7-A3F4-2B674E12D025}"/>
    <cellStyle name="Separador de milhares 4 3" xfId="324" xr:uid="{5EB04C9C-7F88-4942-BD9F-194570B7A771}"/>
    <cellStyle name="Separador de milhares 5" xfId="44" xr:uid="{00000000-0005-0000-0000-00008D000000}"/>
    <cellStyle name="Separador de milhares 5 2" xfId="62" xr:uid="{00000000-0005-0000-0000-00008E000000}"/>
    <cellStyle name="Separador de milhares 5 2 2" xfId="119" xr:uid="{00000000-0005-0000-0000-00008F000000}"/>
    <cellStyle name="Separador de milhares 5 2 2 2" xfId="181" xr:uid="{00000000-0005-0000-0000-000090000000}"/>
    <cellStyle name="Separador de milhares 5 2 2 2 2" xfId="436" xr:uid="{BC8A391B-DE87-4611-B0FD-DA8948FCE09F}"/>
    <cellStyle name="Separador de milhares 5 2 2 3" xfId="376" xr:uid="{B86E9C0B-243A-4E4B-A3BC-172B6EF253E0}"/>
    <cellStyle name="Separador de milhares 5 2 3" xfId="333" xr:uid="{1D850F4E-FD17-43BE-BFBD-885E0D8EAE85}"/>
    <cellStyle name="Separador de milhares 5 3" xfId="110" xr:uid="{00000000-0005-0000-0000-000091000000}"/>
    <cellStyle name="Separador de milhares 5 3 2" xfId="173" xr:uid="{00000000-0005-0000-0000-000092000000}"/>
    <cellStyle name="Separador de milhares 5 3 2 2" xfId="428" xr:uid="{D7D8923A-7183-4DE6-8A0A-BE08A7EBEF15}"/>
    <cellStyle name="Separador de milhares 5 3 3" xfId="368" xr:uid="{6C7A80B2-F304-4346-B9A3-ABB1CF86C5DC}"/>
    <cellStyle name="Separador de milhares 5 4" xfId="325" xr:uid="{E553AD46-A306-4BE0-8993-109332804CD9}"/>
    <cellStyle name="Separador de milhares 6" xfId="46" xr:uid="{00000000-0005-0000-0000-000093000000}"/>
    <cellStyle name="Separador de milhares 6 2" xfId="111" xr:uid="{00000000-0005-0000-0000-000094000000}"/>
    <cellStyle name="Separador de milhares 6 2 2" xfId="174" xr:uid="{00000000-0005-0000-0000-000095000000}"/>
    <cellStyle name="Separador de milhares 6 2 2 2" xfId="429" xr:uid="{E8331C7A-0A36-4579-A714-E261C7A2926C}"/>
    <cellStyle name="Separador de milhares 6 2 3" xfId="369" xr:uid="{C0E37B4D-EA78-4683-89A7-C41FE8B0A945}"/>
    <cellStyle name="Separador de milhares 6 3" xfId="326" xr:uid="{055BA360-AF9A-487A-AADE-E17CB129C7D3}"/>
    <cellStyle name="times" xfId="505" xr:uid="{3F93DFF3-A74D-437F-96F8-4797DDD3AD12}"/>
    <cellStyle name="Vírgula" xfId="30" builtinId="3"/>
    <cellStyle name="Vírgula 10" xfId="101" xr:uid="{00000000-0005-0000-0000-000098000000}"/>
    <cellStyle name="Vírgula 10 2" xfId="165" xr:uid="{00000000-0005-0000-0000-000099000000}"/>
    <cellStyle name="Vírgula 10 2 2" xfId="72" xr:uid="{00000000-0005-0000-0000-00009A000000}"/>
    <cellStyle name="Vírgula 10 2 2 2" xfId="75" xr:uid="{00000000-0005-0000-0000-00009B000000}"/>
    <cellStyle name="Vírgula 10 2 2 2 2" xfId="128" xr:uid="{00000000-0005-0000-0000-00009C000000}"/>
    <cellStyle name="Vírgula 10 2 2 2 2 2" xfId="188" xr:uid="{00000000-0005-0000-0000-00009D000000}"/>
    <cellStyle name="Vírgula 10 2 2 2 2 2 2" xfId="443" xr:uid="{5ED2EDBD-9D4F-4903-92A1-C7FAD1A0A2BE}"/>
    <cellStyle name="Vírgula 10 2 2 2 2 3" xfId="383" xr:uid="{593D8484-B13E-43F8-A9D6-E5277B4B1CD0}"/>
    <cellStyle name="Vírgula 10 2 2 2 3" xfId="146" xr:uid="{00000000-0005-0000-0000-00009E000000}"/>
    <cellStyle name="Vírgula 10 2 2 2 3 2" xfId="401" xr:uid="{601A2F33-FBE0-469A-8544-65C3EB74A908}"/>
    <cellStyle name="Vírgula 10 2 2 2 4" xfId="340" xr:uid="{949BE728-378D-46CF-B777-4FF60A221291}"/>
    <cellStyle name="Vírgula 10 2 2 3" xfId="77" xr:uid="{00000000-0005-0000-0000-00009F000000}"/>
    <cellStyle name="Vírgula 10 2 2 3 2" xfId="130" xr:uid="{00000000-0005-0000-0000-0000A0000000}"/>
    <cellStyle name="Vírgula 10 2 2 3 2 2" xfId="190" xr:uid="{00000000-0005-0000-0000-0000A1000000}"/>
    <cellStyle name="Vírgula 10 2 2 3 2 2 2" xfId="445" xr:uid="{CA456ECD-0FC8-45ED-83D3-52DCC0624AC9}"/>
    <cellStyle name="Vírgula 10 2 2 3 2 3" xfId="385" xr:uid="{907792B7-71BF-4341-B87D-3F1364B1F656}"/>
    <cellStyle name="Vírgula 10 2 2 3 3" xfId="148" xr:uid="{00000000-0005-0000-0000-0000A2000000}"/>
    <cellStyle name="Vírgula 10 2 2 3 3 2" xfId="403" xr:uid="{D0F6D23C-9314-4A1A-B9CC-1507481D81BA}"/>
    <cellStyle name="Vírgula 10 2 2 3 4" xfId="342" xr:uid="{9A637354-7537-4FAD-AA1E-D682754CB248}"/>
    <cellStyle name="Vírgula 10 2 2 4" xfId="125" xr:uid="{00000000-0005-0000-0000-0000A3000000}"/>
    <cellStyle name="Vírgula 10 2 2 4 2" xfId="185" xr:uid="{00000000-0005-0000-0000-0000A4000000}"/>
    <cellStyle name="Vírgula 10 2 2 4 2 2" xfId="440" xr:uid="{7EB2DC65-2FDE-4351-AD75-C31505E130C8}"/>
    <cellStyle name="Vírgula 10 2 2 4 3" xfId="380" xr:uid="{66147E27-2B3D-49A1-B51B-E9B7D09689E1}"/>
    <cellStyle name="Vírgula 10 2 2 5" xfId="143" xr:uid="{00000000-0005-0000-0000-0000A5000000}"/>
    <cellStyle name="Vírgula 10 2 2 5 2" xfId="398" xr:uid="{6A9C8A02-2C01-40CA-8C57-20477138969B}"/>
    <cellStyle name="Vírgula 10 2 2 6" xfId="337" xr:uid="{EF5A331E-E1B6-445C-993C-74BFD92DE76D}"/>
    <cellStyle name="Vírgula 10 2 3" xfId="420" xr:uid="{E5FD9D6D-BB5D-46E2-B988-49D403699371}"/>
    <cellStyle name="Vírgula 10 3" xfId="286" xr:uid="{9C744172-2C35-4E61-9C2D-74498BF68456}"/>
    <cellStyle name="Vírgula 10 4" xfId="360" xr:uid="{8BA9D0D3-9E2A-4480-AB7A-68C7F583F74C}"/>
    <cellStyle name="Vírgula 11" xfId="211" xr:uid="{4AC29524-2F7C-40FD-9022-4608867968DC}"/>
    <cellStyle name="Vírgula 11 2" xfId="460" xr:uid="{57EE91EA-23EA-4210-9AF3-12886A771D81}"/>
    <cellStyle name="Vírgula 12" xfId="217" xr:uid="{ADBFA212-780D-47C7-B929-0392A31D7756}"/>
    <cellStyle name="Vírgula 12 2" xfId="269" xr:uid="{C9697049-E8DF-4FB5-8B90-660E20F5DDC5}"/>
    <cellStyle name="Vírgula 12 2 2" xfId="271" xr:uid="{9C1C3C4E-8630-4C3D-8175-D57565B1AAF4}"/>
    <cellStyle name="Vírgula 12 2 2 2" xfId="296" xr:uid="{5B22828D-E77C-4DEE-B20A-F39FC68E3F5A}"/>
    <cellStyle name="Vírgula 12 2 3" xfId="517" xr:uid="{6156DB18-5573-45DE-9069-87C65D4351D1}"/>
    <cellStyle name="Vírgula 12 3" xfId="515" xr:uid="{78881440-CDC8-4B3D-BD4B-14F590183E40}"/>
    <cellStyle name="Vírgula 13" xfId="221" xr:uid="{DD7D4107-AFF0-4394-B01D-924FF0E420C3}"/>
    <cellStyle name="Vírgula 13 2" xfId="463" xr:uid="{08A66F6E-0204-4DC6-86E9-99CFC82034D2}"/>
    <cellStyle name="Vírgula 14" xfId="225" xr:uid="{A6ED6EB3-8155-43A9-84AC-DB5E007CD794}"/>
    <cellStyle name="Vírgula 14 2" xfId="467" xr:uid="{8F0EB72F-3511-4023-83EC-BFC73DE9DF81}"/>
    <cellStyle name="Vírgula 15" xfId="229" xr:uid="{C4EA0C74-D207-47D9-9019-7480FD94EC6C}"/>
    <cellStyle name="Vírgula 15 2" xfId="471" xr:uid="{66E0BA66-86EF-49FA-A2D4-A8F225F1779E}"/>
    <cellStyle name="Vírgula 16" xfId="202" xr:uid="{AE95FBF3-6CC7-400B-A670-ECA389BFB5DF}"/>
    <cellStyle name="Vírgula 16 2" xfId="456" xr:uid="{9A9611C8-C370-4C10-8070-7C227643295E}"/>
    <cellStyle name="Vírgula 17" xfId="235" xr:uid="{899C35AE-9D7B-4DCA-96EB-4A411FF37FA1}"/>
    <cellStyle name="Vírgula 17 2" xfId="477" xr:uid="{13224848-5CA4-4DC9-8D63-354F0492CB17}"/>
    <cellStyle name="Vírgula 18" xfId="239" xr:uid="{2E0B0D27-E9F4-46CE-A217-63F0AF8BB7C1}"/>
    <cellStyle name="Vírgula 18 2" xfId="480" xr:uid="{4C789520-52F5-4ECB-A740-8B862D9A53E8}"/>
    <cellStyle name="Vírgula 19" xfId="245" xr:uid="{976079D1-6BF9-49A0-82FB-F09EB5115B63}"/>
    <cellStyle name="Vírgula 19 2" xfId="485" xr:uid="{E1C4ADEE-4CDC-4A8D-8957-9D5223CEB188}"/>
    <cellStyle name="Vírgula 2" xfId="31" xr:uid="{00000000-0005-0000-0000-0000A6000000}"/>
    <cellStyle name="Vírgula 2 2" xfId="83" xr:uid="{00000000-0005-0000-0000-0000A7000000}"/>
    <cellStyle name="Vírgula 2 2 2" xfId="134" xr:uid="{00000000-0005-0000-0000-0000A8000000}"/>
    <cellStyle name="Vírgula 2 2 2 2" xfId="194" xr:uid="{00000000-0005-0000-0000-0000A9000000}"/>
    <cellStyle name="Vírgula 2 2 2 2 2" xfId="449" xr:uid="{14D6CB9D-5F64-4BC6-B952-1B9F7D7B71BD}"/>
    <cellStyle name="Vírgula 2 2 2 3" xfId="389" xr:uid="{1B14A067-FC81-4185-B901-4559F6F80DD6}"/>
    <cellStyle name="Vírgula 2 2 3" xfId="346" xr:uid="{FA209358-ED49-4594-88FF-7F8D94948945}"/>
    <cellStyle name="Vírgula 2 2 8" xfId="204" xr:uid="{3AFB02C5-493B-4DB2-AA56-1AEC53FFABFD}"/>
    <cellStyle name="Vírgula 2 2 8 2" xfId="457" xr:uid="{35081FF7-C1D9-412B-BE83-4DB31D8E582A}"/>
    <cellStyle name="Vírgula 2 3" xfId="102" xr:uid="{00000000-0005-0000-0000-0000AA000000}"/>
    <cellStyle name="Vírgula 2 3 2" xfId="166" xr:uid="{00000000-0005-0000-0000-0000AB000000}"/>
    <cellStyle name="Vírgula 2 3 2 2" xfId="421" xr:uid="{FEBAE8EA-BF2D-4816-9C15-73D66042AA41}"/>
    <cellStyle name="Vírgula 2 3 3" xfId="361" xr:uid="{05CF64FC-5DCA-4550-B7C9-BDC7ED57B498}"/>
    <cellStyle name="Vírgula 2 4" xfId="508" xr:uid="{EB94C19E-821C-444E-9959-0048C0FAEF7B}"/>
    <cellStyle name="Vírgula 2 5" xfId="318" xr:uid="{FD243BA8-236B-432E-8533-4D863BB9A513}"/>
    <cellStyle name="Vírgula 20" xfId="227" xr:uid="{E1235771-F45D-4210-AB53-BF02DA9CBE41}"/>
    <cellStyle name="Vírgula 20 2" xfId="244" xr:uid="{7861CF31-732B-4A12-A78B-387FEBD9E84A}"/>
    <cellStyle name="Vírgula 20 2 2" xfId="484" xr:uid="{7D104948-0F41-4A83-ADB3-F78856D8DCBE}"/>
    <cellStyle name="Vírgula 20 3" xfId="262" xr:uid="{09621DCE-A5E0-42AA-8048-0183A971C9B6}"/>
    <cellStyle name="Vírgula 20 3 2" xfId="501" xr:uid="{4A8EE218-C1C7-4459-8928-D7133B6FFAD5}"/>
    <cellStyle name="Vírgula 20 4" xfId="288" xr:uid="{7151E379-45AA-4B26-B9B6-05475E2FE47C}"/>
    <cellStyle name="Vírgula 20 5" xfId="469" xr:uid="{392A6982-E3DA-49EC-95DE-C45F7B283A86}"/>
    <cellStyle name="Vírgula 21" xfId="264" xr:uid="{78449DFE-0C3B-489A-81C3-55D18DF5325A}"/>
    <cellStyle name="Vírgula 21 2" xfId="506" xr:uid="{93C00E58-291B-4A3A-B89B-038F8DC03803}"/>
    <cellStyle name="Vírgula 22" xfId="274" xr:uid="{48D5C973-CB58-42E5-8155-A04DF7B90015}"/>
    <cellStyle name="Vírgula 22 2" xfId="529" xr:uid="{D40C5EE1-BDD6-4536-88E6-D8DFCC9EF731}"/>
    <cellStyle name="Vírgula 23" xfId="266" xr:uid="{4EC4D55E-5F04-469B-8146-3D955F66424A}"/>
    <cellStyle name="Vírgula 23 2" xfId="281" xr:uid="{1951F2F6-E69C-487C-8E6A-16C306377FED}"/>
    <cellStyle name="Vírgula 23 2 2" xfId="292" xr:uid="{0ADEA474-D53E-48D7-93F9-2E157D7D514C}"/>
    <cellStyle name="Vírgula 23 3" xfId="302" xr:uid="{E07E44E3-27FA-4E25-8B6D-017D4A68FF8C}"/>
    <cellStyle name="Vírgula 23 3 2" xfId="304" xr:uid="{CB2AF464-1FC2-4C5D-A366-22134748FF28}"/>
    <cellStyle name="Vírgula 24" xfId="278" xr:uid="{E347F694-13A3-4107-A5AA-4F47B2AFA8B4}"/>
    <cellStyle name="Vírgula 25" xfId="317" xr:uid="{41E486D5-46F3-42DE-AB22-CA83F2271222}"/>
    <cellStyle name="Vírgula 26 2" xfId="300" xr:uid="{C372EE4C-9972-46C2-B2BD-42143650F042}"/>
    <cellStyle name="Vírgula 27" xfId="256" xr:uid="{72D94563-9DD2-41F2-AB87-9FACE1529AD0}"/>
    <cellStyle name="Vírgula 27 2" xfId="495" xr:uid="{30707EEF-5821-4CD4-AACE-F4A5182FBBA2}"/>
    <cellStyle name="Vírgula 28" xfId="258" xr:uid="{9F6B3FA6-B267-4B00-9D8C-C87440B96B8A}"/>
    <cellStyle name="Vírgula 28 2" xfId="497" xr:uid="{9B572C70-1A9C-4F3C-8542-4CDE2CDE01A9}"/>
    <cellStyle name="Vírgula 3" xfId="32" xr:uid="{00000000-0005-0000-0000-0000AC000000}"/>
    <cellStyle name="Vírgula 3 2" xfId="52" xr:uid="{00000000-0005-0000-0000-0000AD000000}"/>
    <cellStyle name="Vírgula 3 2 2" xfId="114" xr:uid="{00000000-0005-0000-0000-0000AE000000}"/>
    <cellStyle name="Vírgula 3 2 2 2" xfId="177" xr:uid="{00000000-0005-0000-0000-0000AF000000}"/>
    <cellStyle name="Vírgula 3 2 2 2 2" xfId="432" xr:uid="{667E92B4-CCFB-47BD-97DF-03521D26E3B4}"/>
    <cellStyle name="Vírgula 3 2 2 3" xfId="372" xr:uid="{F4E15D60-8F20-4CB4-BC55-63E9F66CC9CA}"/>
    <cellStyle name="Vírgula 3 2 3" xfId="329" xr:uid="{50429091-EAD2-4DD1-85EB-686215453D4B}"/>
    <cellStyle name="Vírgula 3 2 9" xfId="201" xr:uid="{F745D35F-2B44-4F95-A8C9-8421873C18E8}"/>
    <cellStyle name="Vírgula 3 2 9 2" xfId="455" xr:uid="{51FE942D-ABDD-4635-BCBE-2C72772C00E0}"/>
    <cellStyle name="Vírgula 3 3" xfId="103" xr:uid="{00000000-0005-0000-0000-0000B0000000}"/>
    <cellStyle name="Vírgula 3 3 2" xfId="167" xr:uid="{00000000-0005-0000-0000-0000B1000000}"/>
    <cellStyle name="Vírgula 3 3 2 2" xfId="422" xr:uid="{0D2810D6-CD3A-475A-A1E3-9FF6C5CB3A5D}"/>
    <cellStyle name="Vírgula 3 3 3" xfId="362" xr:uid="{92FD2D2B-4AA1-4C52-A5FB-09A9171DC075}"/>
    <cellStyle name="Vírgula 3 4" xfId="267" xr:uid="{7CFA0B70-7404-4CE9-9BDA-CAA82CF7847A}"/>
    <cellStyle name="Vírgula 3 4 2" xfId="512" xr:uid="{1930318D-BBDE-4E4D-9A95-6145867F312B}"/>
    <cellStyle name="Vírgula 3 5" xfId="319" xr:uid="{5AF88BDA-179C-4E0B-B5F6-0CD58A5B6013}"/>
    <cellStyle name="Vírgula 39" xfId="247" xr:uid="{877BCF98-0365-4212-AB9F-307CC4DE5E17}"/>
    <cellStyle name="Vírgula 39 2" xfId="486" xr:uid="{A6B9C2F8-307B-40AE-87BD-0C6B8E365D22}"/>
    <cellStyle name="Vírgula 4" xfId="33" xr:uid="{00000000-0005-0000-0000-0000B2000000}"/>
    <cellStyle name="Vírgula 4 2" xfId="54" xr:uid="{00000000-0005-0000-0000-0000B3000000}"/>
    <cellStyle name="Vírgula 4 2 2" xfId="115" xr:uid="{00000000-0005-0000-0000-0000B4000000}"/>
    <cellStyle name="Vírgula 4 2 2 2" xfId="178" xr:uid="{00000000-0005-0000-0000-0000B5000000}"/>
    <cellStyle name="Vírgula 4 2 2 2 2" xfId="433" xr:uid="{B365966F-7083-48B5-92EE-67194F8B1D83}"/>
    <cellStyle name="Vírgula 4 2 2 3" xfId="373" xr:uid="{4C4A8F22-00C0-485D-8812-590800494AC7}"/>
    <cellStyle name="Vírgula 4 2 3" xfId="330" xr:uid="{66183A97-EABF-43E4-B308-53D8FEDFAFC4}"/>
    <cellStyle name="Vírgula 4 3" xfId="104" xr:uid="{00000000-0005-0000-0000-0000B6000000}"/>
    <cellStyle name="Vírgula 4 3 2" xfId="168" xr:uid="{00000000-0005-0000-0000-0000B7000000}"/>
    <cellStyle name="Vírgula 4 3 2 2" xfId="423" xr:uid="{C6E80A45-E02F-4388-8329-16E1268D83CF}"/>
    <cellStyle name="Vírgula 4 3 3" xfId="363" xr:uid="{6D59D7BE-BEA8-497F-A1CF-334B09FB7DEF}"/>
    <cellStyle name="Vírgula 4 4" xfId="250" xr:uid="{7A1C43BD-EF33-4C7E-8A34-E524C4199778}"/>
    <cellStyle name="Vírgula 4 4 2" xfId="489" xr:uid="{F579B5A6-0DC2-4C8A-AF55-E3D173D716E4}"/>
    <cellStyle name="Vírgula 4 5" xfId="320" xr:uid="{0441A896-EB13-4FE4-9CD2-543E9B3F6D75}"/>
    <cellStyle name="Vírgula 5" xfId="34" xr:uid="{00000000-0005-0000-0000-0000B8000000}"/>
    <cellStyle name="Vírgula 5 2" xfId="105" xr:uid="{00000000-0005-0000-0000-0000B9000000}"/>
    <cellStyle name="Vírgula 5 2 2" xfId="169" xr:uid="{00000000-0005-0000-0000-0000BA000000}"/>
    <cellStyle name="Vírgula 5 2 2 2" xfId="424" xr:uid="{8DCE6C12-2715-43B6-BDF9-9B262D1BAD31}"/>
    <cellStyle name="Vírgula 5 2 3" xfId="364" xr:uid="{6F7A4C66-B723-4FE6-9CCF-4E5E0AEC7177}"/>
    <cellStyle name="Vírgula 5 3" xfId="321" xr:uid="{33FCC9CA-B0A5-4116-B174-6A5019EC1C3E}"/>
    <cellStyle name="Vírgula 6" xfId="35" xr:uid="{00000000-0005-0000-0000-0000BB000000}"/>
    <cellStyle name="Vírgula 6 2" xfId="56" xr:uid="{00000000-0005-0000-0000-0000BC000000}"/>
    <cellStyle name="Vírgula 6 2 2" xfId="116" xr:uid="{00000000-0005-0000-0000-0000BD000000}"/>
    <cellStyle name="Vírgula 6 2 2 2" xfId="179" xr:uid="{00000000-0005-0000-0000-0000BE000000}"/>
    <cellStyle name="Vírgula 6 2 2 2 2" xfId="434" xr:uid="{3B29ADA6-A35E-429F-B5A0-6426D01867C8}"/>
    <cellStyle name="Vírgula 6 2 2 3" xfId="374" xr:uid="{0AB23B6F-5D14-4B52-A12B-2C77A30C727E}"/>
    <cellStyle name="Vírgula 6 2 3" xfId="331" xr:uid="{215AC05D-31D8-40C1-BB95-6C5DEC6DE664}"/>
    <cellStyle name="Vírgula 6 3" xfId="106" xr:uid="{00000000-0005-0000-0000-0000BF000000}"/>
    <cellStyle name="Vírgula 6 3 2" xfId="170" xr:uid="{00000000-0005-0000-0000-0000C0000000}"/>
    <cellStyle name="Vírgula 6 3 2 2" xfId="425" xr:uid="{656E4987-C145-4889-A105-A8150CAB8BDF}"/>
    <cellStyle name="Vírgula 6 3 3" xfId="365" xr:uid="{4617F2B2-BC0A-4774-B2A5-41941A7C027C}"/>
    <cellStyle name="Vírgula 6 4" xfId="322" xr:uid="{110D6FE7-D796-40AC-931A-E6FD8B67D79F}"/>
    <cellStyle name="Vírgula 7" xfId="49" xr:uid="{00000000-0005-0000-0000-0000C1000000}"/>
    <cellStyle name="Vírgula 7 2" xfId="63" xr:uid="{00000000-0005-0000-0000-0000C2000000}"/>
    <cellStyle name="Vírgula 7 2 2" xfId="120" xr:uid="{00000000-0005-0000-0000-0000C3000000}"/>
    <cellStyle name="Vírgula 7 2 2 2" xfId="182" xr:uid="{00000000-0005-0000-0000-0000C4000000}"/>
    <cellStyle name="Vírgula 7 2 2 2 2" xfId="437" xr:uid="{FD6760A8-AB6F-4CB9-A979-90E0B099DBCB}"/>
    <cellStyle name="Vírgula 7 2 2 3" xfId="377" xr:uid="{77B98C32-AC42-4D92-B8E6-B44BB50D9D2C}"/>
    <cellStyle name="Vírgula 7 2 3" xfId="334" xr:uid="{49C2F343-CCC4-4280-8656-85F563D9BA41}"/>
    <cellStyle name="Vírgula 7 2 4" xfId="199" xr:uid="{F6DEF2A0-BF23-4F57-A9EA-A551A5648FFF}"/>
    <cellStyle name="Vírgula 7 2 4 2" xfId="454" xr:uid="{787976E8-D697-4C7B-81EF-96E3E9C6592E}"/>
    <cellStyle name="Vírgula 7 3" xfId="112" xr:uid="{00000000-0005-0000-0000-0000C5000000}"/>
    <cellStyle name="Vírgula 7 3 2" xfId="175" xr:uid="{00000000-0005-0000-0000-0000C6000000}"/>
    <cellStyle name="Vírgula 7 3 2 2" xfId="430" xr:uid="{BF0E8F53-4BE2-4DAB-B5DC-6AE8315B43D0}"/>
    <cellStyle name="Vírgula 7 3 3" xfId="370" xr:uid="{05FD065B-9BDB-4247-936E-3A833FFB7EC0}"/>
    <cellStyle name="Vírgula 7 4" xfId="290" xr:uid="{7DEE66CC-D440-43CD-89BA-1DD629EBAE21}"/>
    <cellStyle name="Vírgula 7 5" xfId="327" xr:uid="{919F8304-5D2A-4802-BD8F-D6966B8F1BE5}"/>
    <cellStyle name="Vírgula 8" xfId="50" xr:uid="{00000000-0005-0000-0000-0000C7000000}"/>
    <cellStyle name="Vírgula 8 2" xfId="113" xr:uid="{00000000-0005-0000-0000-0000C8000000}"/>
    <cellStyle name="Vírgula 8 2 2" xfId="176" xr:uid="{00000000-0005-0000-0000-0000C9000000}"/>
    <cellStyle name="Vírgula 8 2 2 2" xfId="431" xr:uid="{D1FBABD5-63A9-4B1B-B948-C584E2CB60FB}"/>
    <cellStyle name="Vírgula 8 2 3" xfId="371" xr:uid="{EBA5B0A3-9902-4405-A691-9B828B0623E8}"/>
    <cellStyle name="Vírgula 8 3" xfId="328" xr:uid="{DD48C7E4-5ADB-40B5-AF54-0EBB012852A5}"/>
    <cellStyle name="Vírgula 8 5" xfId="207" xr:uid="{3F97D957-D722-45E8-85F9-0C6FEEFE2B6D}"/>
    <cellStyle name="Vírgula 8 5 2" xfId="458" xr:uid="{9668B6BC-B263-4ED9-B96A-A90D54D454D8}"/>
    <cellStyle name="Vírgula 9" xfId="80" xr:uid="{00000000-0005-0000-0000-0000CA000000}"/>
    <cellStyle name="Vírgula 9 2" xfId="133" xr:uid="{00000000-0005-0000-0000-0000CB000000}"/>
    <cellStyle name="Vírgula 9 2 2" xfId="193" xr:uid="{00000000-0005-0000-0000-0000CC000000}"/>
    <cellStyle name="Vírgula 9 2 2 2" xfId="448" xr:uid="{9DC6227A-49AB-4116-9463-75BBBC5353DC}"/>
    <cellStyle name="Vírgula 9 2 3" xfId="388" xr:uid="{913EAFD4-4BF2-4C2A-B499-B000DB4AF12B}"/>
    <cellStyle name="Vírgula 9 3" xfId="151" xr:uid="{00000000-0005-0000-0000-0000CD000000}"/>
    <cellStyle name="Vírgula 9 3 2" xfId="406" xr:uid="{1088CE2A-0581-4FB7-B88C-A0AD2C9336A3}"/>
    <cellStyle name="Vírgula 9 4" xfId="345" xr:uid="{D4981AB5-1504-4EF6-AA6E-9A0A1DEF81AC}"/>
  </cellStyles>
  <dxfs count="3122"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43800"/>
      </font>
    </dxf>
    <dxf>
      <font>
        <b/>
        <i val="0"/>
        <color rgb="FFF43800"/>
      </font>
    </dxf>
    <dxf>
      <font>
        <b/>
        <i val="0"/>
        <color rgb="FF1851D6"/>
      </font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color rgb="FFFF0000"/>
      </font>
      <fill>
        <patternFill>
          <bgColor rgb="FFFECAD1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color rgb="FFFF0000"/>
      </font>
      <fill>
        <patternFill>
          <bgColor rgb="FFFECAD1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111113"/>
      <color rgb="FF1851D6"/>
      <color rgb="FFB4B4B4"/>
      <color rgb="FFF43800"/>
      <color rgb="FF83A5F1"/>
      <color rgb="FFD23200"/>
      <color rgb="FF29292F"/>
      <color rgb="FF0065B0"/>
      <color rgb="FF1B1B1F"/>
      <color rgb="FF8DB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4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16.jpeg"/><Relationship Id="rId4" Type="http://schemas.openxmlformats.org/officeDocument/2006/relationships/hyperlink" Target="#Resumo!A1"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hyperlink" Target="#Resumo!A1"/><Relationship Id="rId4" Type="http://schemas.openxmlformats.org/officeDocument/2006/relationships/image" Target="../media/image20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Resum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297466</xdr:colOff>
      <xdr:row>0</xdr:row>
      <xdr:rowOff>141977</xdr:rowOff>
    </xdr:from>
    <xdr:to>
      <xdr:col>9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55CD1-9943-4E10-A7EF-4331FED2547B}"/>
            </a:ext>
          </a:extLst>
        </xdr:cNvPr>
        <xdr:cNvSpPr/>
      </xdr:nvSpPr>
      <xdr:spPr>
        <a:xfrm>
          <a:off x="12879991" y="141977"/>
          <a:ext cx="932222" cy="2226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254342</xdr:colOff>
      <xdr:row>0</xdr:row>
      <xdr:rowOff>56842</xdr:rowOff>
    </xdr:from>
    <xdr:to>
      <xdr:col>1</xdr:col>
      <xdr:colOff>1871070</xdr:colOff>
      <xdr:row>1</xdr:row>
      <xdr:rowOff>186171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0A80501-EAFB-4093-8051-F4F1832C0E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4342" y="56842"/>
          <a:ext cx="1889143" cy="319829"/>
        </a:xfrm>
        <a:prstGeom prst="rect">
          <a:avLst/>
        </a:prstGeom>
        <a:ln/>
      </xdr:spPr>
    </xdr:pic>
    <xdr:clientData/>
  </xdr:twoCellAnchor>
  <xdr:twoCellAnchor editAs="oneCell">
    <xdr:from>
      <xdr:col>6</xdr:col>
      <xdr:colOff>105834</xdr:colOff>
      <xdr:row>6</xdr:row>
      <xdr:rowOff>31751</xdr:rowOff>
    </xdr:from>
    <xdr:to>
      <xdr:col>8</xdr:col>
      <xdr:colOff>719666</xdr:colOff>
      <xdr:row>28</xdr:row>
      <xdr:rowOff>29405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2E2917F-1C22-2596-0CEC-73DBDC1DE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5501" y="1344084"/>
          <a:ext cx="6138332" cy="3482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958210</xdr:colOff>
      <xdr:row>0</xdr:row>
      <xdr:rowOff>156211</xdr:rowOff>
    </xdr:from>
    <xdr:to>
      <xdr:col>6</xdr:col>
      <xdr:colOff>2666999</xdr:colOff>
      <xdr:row>2</xdr:row>
      <xdr:rowOff>34290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3E5696-AD6D-4FA2-B522-AB9FB78355D7}"/>
            </a:ext>
          </a:extLst>
        </xdr:cNvPr>
        <xdr:cNvSpPr/>
      </xdr:nvSpPr>
      <xdr:spPr>
        <a:xfrm>
          <a:off x="8500105" y="156211"/>
          <a:ext cx="1710694" cy="35051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1</xdr:col>
      <xdr:colOff>387238</xdr:colOff>
      <xdr:row>0</xdr:row>
      <xdr:rowOff>128644</xdr:rowOff>
    </xdr:from>
    <xdr:ext cx="1719580" cy="369570"/>
    <xdr:pic>
      <xdr:nvPicPr>
        <xdr:cNvPr id="3" name="image3.png">
          <a:extLst>
            <a:ext uri="{FF2B5EF4-FFF2-40B4-BE49-F238E27FC236}">
              <a16:creationId xmlns:a16="http://schemas.microsoft.com/office/drawing/2014/main" id="{C0A2AF78-BDEB-46F4-85DD-E86657301E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758713" y="132454"/>
          <a:ext cx="1719580" cy="369570"/>
        </a:xfrm>
        <a:prstGeom prst="rect">
          <a:avLst/>
        </a:prstGeom>
        <a:ln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2" name="image3.png">
          <a:extLst>
            <a:ext uri="{FF2B5EF4-FFF2-40B4-BE49-F238E27FC236}">
              <a16:creationId xmlns:a16="http://schemas.microsoft.com/office/drawing/2014/main" id="{15DFB48E-19CB-4942-92B6-27E6B5324E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1323975"/>
          <a:ext cx="3648075" cy="29051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1CE38342-9775-4AEF-9346-FFBA517212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77175" y="8572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BE337BE9-A899-4DE8-9A41-784C1B051996}"/>
            </a:ext>
          </a:extLst>
        </xdr:cNvPr>
        <xdr:cNvSpPr>
          <a:spLocks noChangeArrowheads="1"/>
        </xdr:cNvSpPr>
      </xdr:nvSpPr>
      <xdr:spPr bwMode="auto">
        <a:xfrm>
          <a:off x="3741420" y="222885"/>
          <a:ext cx="6014085" cy="2571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oneCellAnchor>
    <xdr:from>
      <xdr:col>6</xdr:col>
      <xdr:colOff>45720</xdr:colOff>
      <xdr:row>1</xdr:row>
      <xdr:rowOff>91440</xdr:rowOff>
    </xdr:from>
    <xdr:ext cx="1579880" cy="276225"/>
    <xdr:pic>
      <xdr:nvPicPr>
        <xdr:cNvPr id="3" name="image3.png">
          <a:extLst>
            <a:ext uri="{FF2B5EF4-FFF2-40B4-BE49-F238E27FC236}">
              <a16:creationId xmlns:a16="http://schemas.microsoft.com/office/drawing/2014/main" id="{7CCEF4BF-750C-432A-AEBC-5050FBB749C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703320" y="281940"/>
          <a:ext cx="1579880" cy="276225"/>
        </a:xfrm>
        <a:prstGeom prst="rect">
          <a:avLst/>
        </a:prstGeom>
        <a:ln/>
      </xdr:spPr>
    </xdr:pic>
    <xdr:clientData/>
  </xdr:one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2146065E-2B1B-4D3C-A4AD-68F4ADABB761}"/>
            </a:ext>
          </a:extLst>
        </xdr:cNvPr>
        <xdr:cNvCxnSpPr/>
      </xdr:nvCxnSpPr>
      <xdr:spPr>
        <a:xfrm>
          <a:off x="5905500" y="190500"/>
          <a:ext cx="0" cy="381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55E7E7F7-EB82-4025-B832-18BFFF16D970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10528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6</xdr:col>
      <xdr:colOff>45720</xdr:colOff>
      <xdr:row>1</xdr:row>
      <xdr:rowOff>91440</xdr:rowOff>
    </xdr:from>
    <xdr:to>
      <xdr:col>7</xdr:col>
      <xdr:colOff>1141769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3A06246B-2A76-437A-8B91-8195ACE66A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two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1A1067-5AE8-4CBE-836C-D5868A965340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331695</xdr:colOff>
      <xdr:row>1</xdr:row>
      <xdr:rowOff>134472</xdr:rowOff>
    </xdr:from>
    <xdr:to>
      <xdr:col>3</xdr:col>
      <xdr:colOff>499110</xdr:colOff>
      <xdr:row>6</xdr:row>
      <xdr:rowOff>148590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9C74C9-907B-47E1-AD0A-D60D4E979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CD27CD-4FA6-4522-9EE9-9BA08338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73FF22A-4E01-4724-A6EF-62D48809D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D37866F-AFFC-4DC7-B979-CFC8F6E11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F0CA981-9ED6-49EC-9919-BC1DD5B13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4D7E9AB-43E6-4A61-B726-AC04EFEB3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114300</xdr:rowOff>
    </xdr:from>
    <xdr:to>
      <xdr:col>2</xdr:col>
      <xdr:colOff>453813</xdr:colOff>
      <xdr:row>2</xdr:row>
      <xdr:rowOff>72813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972F16C5-3953-4D25-9640-06B5D6A145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40653" cy="339513"/>
        </a:xfrm>
        <a:prstGeom prst="rect">
          <a:avLst/>
        </a:prstGeom>
        <a:ln/>
      </xdr:spPr>
    </xdr:pic>
    <xdr:clientData/>
  </xdr:twoCellAnchor>
  <xdr:twoCellAnchor editAs="oneCell">
    <xdr:from>
      <xdr:col>22</xdr:col>
      <xdr:colOff>916483</xdr:colOff>
      <xdr:row>12</xdr:row>
      <xdr:rowOff>184097</xdr:rowOff>
    </xdr:from>
    <xdr:to>
      <xdr:col>27</xdr:col>
      <xdr:colOff>151665</xdr:colOff>
      <xdr:row>19</xdr:row>
      <xdr:rowOff>80922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05AD68-EDA0-48F7-BAA8-1AB71C41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60630" y="2940744"/>
          <a:ext cx="2944329" cy="1150203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29</xdr:col>
      <xdr:colOff>89648</xdr:colOff>
      <xdr:row>20</xdr:row>
      <xdr:rowOff>11206</xdr:rowOff>
    </xdr:from>
    <xdr:to>
      <xdr:col>36</xdr:col>
      <xdr:colOff>71765</xdr:colOff>
      <xdr:row>41</xdr:row>
      <xdr:rowOff>638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8EEC883-6510-5C84-E251-67A0421FA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48913" y="9782735"/>
          <a:ext cx="4217940" cy="3608932"/>
        </a:xfrm>
        <a:prstGeom prst="rect">
          <a:avLst/>
        </a:prstGeom>
      </xdr:spPr>
    </xdr:pic>
    <xdr:clientData/>
  </xdr:twoCellAnchor>
  <xdr:twoCellAnchor editAs="oneCell">
    <xdr:from>
      <xdr:col>29</xdr:col>
      <xdr:colOff>89646</xdr:colOff>
      <xdr:row>9</xdr:row>
      <xdr:rowOff>112058</xdr:rowOff>
    </xdr:from>
    <xdr:to>
      <xdr:col>38</xdr:col>
      <xdr:colOff>302227</xdr:colOff>
      <xdr:row>19</xdr:row>
      <xdr:rowOff>155469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32E0C87-B1B5-DA61-AECF-B417C2654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548911" y="7832911"/>
          <a:ext cx="5658640" cy="1924319"/>
        </a:xfrm>
        <a:prstGeom prst="rect">
          <a:avLst/>
        </a:prstGeom>
      </xdr:spPr>
    </xdr:pic>
    <xdr:clientData/>
  </xdr:twoCellAnchor>
  <xdr:twoCellAnchor editAs="oneCell">
    <xdr:from>
      <xdr:col>22</xdr:col>
      <xdr:colOff>112060</xdr:colOff>
      <xdr:row>41</xdr:row>
      <xdr:rowOff>22413</xdr:rowOff>
    </xdr:from>
    <xdr:to>
      <xdr:col>27</xdr:col>
      <xdr:colOff>536560</xdr:colOff>
      <xdr:row>50</xdr:row>
      <xdr:rowOff>72951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16FF585-A053-B81C-5D5C-8CF46C46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56207" y="13413442"/>
          <a:ext cx="4135552" cy="14567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474345</xdr:colOff>
      <xdr:row>0</xdr:row>
      <xdr:rowOff>160019</xdr:rowOff>
    </xdr:from>
    <xdr:to>
      <xdr:col>15</xdr:col>
      <xdr:colOff>175260</xdr:colOff>
      <xdr:row>1</xdr:row>
      <xdr:rowOff>184785</xdr:rowOff>
    </xdr:to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89128-8C0E-4C20-9D4B-B81F1EAB3157}"/>
            </a:ext>
          </a:extLst>
        </xdr:cNvPr>
        <xdr:cNvSpPr/>
      </xdr:nvSpPr>
      <xdr:spPr>
        <a:xfrm>
          <a:off x="9018270" y="160019"/>
          <a:ext cx="853440" cy="215266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3810</xdr:colOff>
      <xdr:row>1</xdr:row>
      <xdr:rowOff>19050</xdr:rowOff>
    </xdr:from>
    <xdr:to>
      <xdr:col>0</xdr:col>
      <xdr:colOff>1870710</xdr:colOff>
      <xdr:row>2</xdr:row>
      <xdr:rowOff>148590</xdr:rowOff>
    </xdr:to>
    <xdr:pic>
      <xdr:nvPicPr>
        <xdr:cNvPr id="14" name="image3.png">
          <a:extLst>
            <a:ext uri="{FF2B5EF4-FFF2-40B4-BE49-F238E27FC236}">
              <a16:creationId xmlns:a16="http://schemas.microsoft.com/office/drawing/2014/main" id="{45E7C1F1-EDA8-41C7-B6DC-8BA1D1AC9EB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810" y="20955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</xdr:row>
      <xdr:rowOff>23408</xdr:rowOff>
    </xdr:from>
    <xdr:to>
      <xdr:col>14</xdr:col>
      <xdr:colOff>515921</xdr:colOff>
      <xdr:row>2</xdr:row>
      <xdr:rowOff>85725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2D7BC0-9A1A-46C2-8647-19BFA5A2E784}"/>
            </a:ext>
          </a:extLst>
        </xdr:cNvPr>
        <xdr:cNvSpPr/>
      </xdr:nvSpPr>
      <xdr:spPr>
        <a:xfrm>
          <a:off x="8848725" y="213908"/>
          <a:ext cx="1011221" cy="252817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351641</xdr:colOff>
      <xdr:row>0</xdr:row>
      <xdr:rowOff>180862</xdr:rowOff>
    </xdr:from>
    <xdr:to>
      <xdr:col>2</xdr:col>
      <xdr:colOff>1207</xdr:colOff>
      <xdr:row>2</xdr:row>
      <xdr:rowOff>152710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44750F6D-ABBF-4AB5-BD02-620E9524942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641" y="180862"/>
          <a:ext cx="1823171" cy="350943"/>
        </a:xfrm>
        <a:prstGeom prst="rect">
          <a:avLst/>
        </a:prstGeom>
        <a:ln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300848</xdr:colOff>
      <xdr:row>1</xdr:row>
      <xdr:rowOff>31931</xdr:rowOff>
    </xdr:from>
    <xdr:to>
      <xdr:col>9</xdr:col>
      <xdr:colOff>513615</xdr:colOff>
      <xdr:row>2</xdr:row>
      <xdr:rowOff>63979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63ED2A-9E45-4547-A1B1-B6C649B729AB}"/>
            </a:ext>
          </a:extLst>
        </xdr:cNvPr>
        <xdr:cNvSpPr/>
      </xdr:nvSpPr>
      <xdr:spPr>
        <a:xfrm>
          <a:off x="7454123" y="222431"/>
          <a:ext cx="955717" cy="22254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555978</xdr:colOff>
      <xdr:row>1</xdr:row>
      <xdr:rowOff>24252</xdr:rowOff>
    </xdr:from>
    <xdr:to>
      <xdr:col>1</xdr:col>
      <xdr:colOff>796431</xdr:colOff>
      <xdr:row>3</xdr:row>
      <xdr:rowOff>33799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19D2C857-D3A1-460B-9978-BDB5E727C15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55978" y="216757"/>
          <a:ext cx="1844664" cy="362474"/>
        </a:xfrm>
        <a:prstGeom prst="rect">
          <a:avLst/>
        </a:prstGeom>
        <a:ln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792480</xdr:colOff>
      <xdr:row>12</xdr:row>
      <xdr:rowOff>184271</xdr:rowOff>
    </xdr:from>
    <xdr:to>
      <xdr:col>0</xdr:col>
      <xdr:colOff>2546985</xdr:colOff>
      <xdr:row>14</xdr:row>
      <xdr:rowOff>112395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5B4F9875-20F0-4926-A7B6-2DE8870672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794385" y="186176"/>
          <a:ext cx="1754505" cy="309124"/>
        </a:xfrm>
        <a:prstGeom prst="rect">
          <a:avLst/>
        </a:prstGeom>
        <a:ln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782955</xdr:colOff>
      <xdr:row>12</xdr:row>
      <xdr:rowOff>50921</xdr:rowOff>
    </xdr:from>
    <xdr:to>
      <xdr:col>0</xdr:col>
      <xdr:colOff>2539365</xdr:colOff>
      <xdr:row>13</xdr:row>
      <xdr:rowOff>171450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B1961B5E-730F-4A04-9CB6-17FE955DE5B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782955" y="50921"/>
          <a:ext cx="1756410" cy="311029"/>
        </a:xfrm>
        <a:prstGeom prst="rect">
          <a:avLst/>
        </a:prstGeom>
        <a:ln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70185</xdr:colOff>
      <xdr:row>1</xdr:row>
      <xdr:rowOff>31931</xdr:rowOff>
    </xdr:from>
    <xdr:to>
      <xdr:col>5</xdr:col>
      <xdr:colOff>1012659</xdr:colOff>
      <xdr:row>2</xdr:row>
      <xdr:rowOff>80211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3485D3-3C7E-45D8-AA05-1A6B377F6773}"/>
            </a:ext>
          </a:extLst>
        </xdr:cNvPr>
        <xdr:cNvSpPr/>
      </xdr:nvSpPr>
      <xdr:spPr>
        <a:xfrm>
          <a:off x="6394785" y="222431"/>
          <a:ext cx="942474" cy="23878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661737</xdr:colOff>
      <xdr:row>0</xdr:row>
      <xdr:rowOff>150784</xdr:rowOff>
    </xdr:from>
    <xdr:to>
      <xdr:col>1</xdr:col>
      <xdr:colOff>1344852</xdr:colOff>
      <xdr:row>2</xdr:row>
      <xdr:rowOff>118822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6454534D-5864-4774-A2D1-DA96D39C022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1737" y="150784"/>
          <a:ext cx="1829524" cy="350943"/>
        </a:xfrm>
        <a:prstGeom prst="rect">
          <a:avLst/>
        </a:prstGeom>
        <a:ln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8</xdr:col>
      <xdr:colOff>418998</xdr:colOff>
      <xdr:row>22</xdr:row>
      <xdr:rowOff>132547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887A7E-D4AB-158E-5174-92AD7DFC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"/>
          <a:ext cx="5295798" cy="3774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45155</xdr:rowOff>
    </xdr:from>
    <xdr:to>
      <xdr:col>15</xdr:col>
      <xdr:colOff>78210</xdr:colOff>
      <xdr:row>44</xdr:row>
      <xdr:rowOff>521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57374DE-3386-1068-719E-79D5A843E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06715"/>
          <a:ext cx="9527010" cy="24699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99060</xdr:rowOff>
    </xdr:from>
    <xdr:to>
      <xdr:col>15</xdr:col>
      <xdr:colOff>75399</xdr:colOff>
      <xdr:row>60</xdr:row>
      <xdr:rowOff>70981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4DC8436-D42A-322D-57A7-DCAEA9AE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9524199" cy="23188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3617</xdr:rowOff>
    </xdr:from>
    <xdr:to>
      <xdr:col>15</xdr:col>
      <xdr:colOff>342900</xdr:colOff>
      <xdr:row>84</xdr:row>
      <xdr:rowOff>164684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03AC60F-0063-68BC-E804-B9116E72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29657"/>
          <a:ext cx="9791700" cy="40167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20</xdr:col>
      <xdr:colOff>411376</xdr:colOff>
      <xdr:row>102</xdr:row>
      <xdr:rowOff>53675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379C09-E7F6-1148-B79B-9801E941A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752320"/>
          <a:ext cx="12908176" cy="2400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452600</xdr:colOff>
      <xdr:row>0</xdr:row>
      <xdr:rowOff>144780</xdr:rowOff>
    </xdr:from>
    <xdr:to>
      <xdr:col>4</xdr:col>
      <xdr:colOff>1251921</xdr:colOff>
      <xdr:row>2</xdr:row>
      <xdr:rowOff>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B44845-4137-4181-A66F-915EA6136FAA}"/>
            </a:ext>
          </a:extLst>
        </xdr:cNvPr>
        <xdr:cNvSpPr/>
      </xdr:nvSpPr>
      <xdr:spPr>
        <a:xfrm>
          <a:off x="8865080" y="144780"/>
          <a:ext cx="799321" cy="23622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53340</xdr:colOff>
      <xdr:row>0</xdr:row>
      <xdr:rowOff>106680</xdr:rowOff>
    </xdr:from>
    <xdr:to>
      <xdr:col>0</xdr:col>
      <xdr:colOff>1920240</xdr:colOff>
      <xdr:row>2</xdr:row>
      <xdr:rowOff>45720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301FF33D-9046-44A8-970E-AB45187597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3340" y="10668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297656</xdr:colOff>
      <xdr:row>0</xdr:row>
      <xdr:rowOff>170975</xdr:rowOff>
    </xdr:from>
    <xdr:to>
      <xdr:col>14</xdr:col>
      <xdr:colOff>720090</xdr:colOff>
      <xdr:row>2</xdr:row>
      <xdr:rowOff>23813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C4FA5-C526-444B-8C67-D7D84CD46750}"/>
            </a:ext>
          </a:extLst>
        </xdr:cNvPr>
        <xdr:cNvSpPr/>
      </xdr:nvSpPr>
      <xdr:spPr>
        <a:xfrm>
          <a:off x="11394281" y="170975"/>
          <a:ext cx="1232059" cy="23383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1936115</xdr:colOff>
      <xdr:row>2</xdr:row>
      <xdr:rowOff>41275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1F026AB0-A936-4201-A08E-14AF56527E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0</xdr:colOff>
      <xdr:row>181</xdr:row>
      <xdr:rowOff>60960</xdr:rowOff>
    </xdr:from>
    <xdr:to>
      <xdr:col>18</xdr:col>
      <xdr:colOff>530527</xdr:colOff>
      <xdr:row>236</xdr:row>
      <xdr:rowOff>72114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A7766D7-424B-D8A4-E16D-B3075511B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5813707" cy="712569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0</xdr:row>
      <xdr:rowOff>198119</xdr:rowOff>
    </xdr:from>
    <xdr:to>
      <xdr:col>14</xdr:col>
      <xdr:colOff>441960</xdr:colOff>
      <xdr:row>2</xdr:row>
      <xdr:rowOff>22860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0ECE0-02D6-47A7-A82B-A1E89E32D15D}"/>
            </a:ext>
          </a:extLst>
        </xdr:cNvPr>
        <xdr:cNvSpPr/>
      </xdr:nvSpPr>
      <xdr:spPr>
        <a:xfrm>
          <a:off x="8968740" y="190499"/>
          <a:ext cx="800100" cy="21336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1927860</xdr:colOff>
      <xdr:row>2</xdr:row>
      <xdr:rowOff>53340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62EE6FEB-18CC-4696-8D5E-5A21B04846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58</xdr:row>
      <xdr:rowOff>85725</xdr:rowOff>
    </xdr:from>
    <xdr:to>
      <xdr:col>13</xdr:col>
      <xdr:colOff>352425</xdr:colOff>
      <xdr:row>62</xdr:row>
      <xdr:rowOff>66675</xdr:rowOff>
    </xdr:to>
    <xdr:grpSp>
      <xdr:nvGrpSpPr>
        <xdr:cNvPr id="2" name="Group 10">
          <a:extLst>
            <a:ext uri="{FF2B5EF4-FFF2-40B4-BE49-F238E27FC236}">
              <a16:creationId xmlns:a16="http://schemas.microsoft.com/office/drawing/2014/main" id="{584173EE-BADA-4340-8C86-E0D0354E24F3}"/>
            </a:ext>
          </a:extLst>
        </xdr:cNvPr>
        <xdr:cNvGrpSpPr>
          <a:grpSpLocks/>
        </xdr:cNvGrpSpPr>
      </xdr:nvGrpSpPr>
      <xdr:grpSpPr bwMode="auto">
        <a:xfrm>
          <a:off x="5570220" y="11209020"/>
          <a:ext cx="2575560" cy="746760"/>
          <a:chOff x="233" y="674"/>
          <a:chExt cx="387" cy="87"/>
        </a:xfrm>
      </xdr:grpSpPr>
      <xdr:sp macro="" textlink="">
        <xdr:nvSpPr>
          <xdr:cNvPr id="3" name="Text Box 4">
            <a:extLst>
              <a:ext uri="{FF2B5EF4-FFF2-40B4-BE49-F238E27FC236}">
                <a16:creationId xmlns:a16="http://schemas.microsoft.com/office/drawing/2014/main" id="{2F49FD13-D897-621E-2B84-A710EF497DE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742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C</a:t>
            </a:r>
            <a:endParaRPr lang="pt-BR"/>
          </a:p>
        </xdr:txBody>
      </xdr:sp>
      <xdr:sp macro="" textlink="">
        <xdr:nvSpPr>
          <xdr:cNvPr id="4" name="Text Box 5">
            <a:extLst>
              <a:ext uri="{FF2B5EF4-FFF2-40B4-BE49-F238E27FC236}">
                <a16:creationId xmlns:a16="http://schemas.microsoft.com/office/drawing/2014/main" id="{1CAE827B-C54D-1E38-68AC-E84BAAEBFA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3" y="708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B</a:t>
            </a:r>
            <a:endParaRPr lang="pt-BR"/>
          </a:p>
        </xdr:txBody>
      </xdr:sp>
      <xdr:sp macro="" textlink="">
        <xdr:nvSpPr>
          <xdr:cNvPr id="5" name="AutoShape 6" descr="Papel jornal">
            <a:extLst>
              <a:ext uri="{FF2B5EF4-FFF2-40B4-BE49-F238E27FC236}">
                <a16:creationId xmlns:a16="http://schemas.microsoft.com/office/drawing/2014/main" id="{F5F4AF49-210F-E2BF-2F84-F1CEE74FEF34}"/>
              </a:ext>
            </a:extLst>
          </xdr:cNvPr>
          <xdr:cNvSpPr>
            <a:spLocks noChangeArrowheads="1"/>
          </xdr:cNvSpPr>
        </xdr:nvSpPr>
        <xdr:spPr bwMode="auto">
          <a:xfrm>
            <a:off x="285" y="674"/>
            <a:ext cx="285" cy="64"/>
          </a:xfrm>
          <a:prstGeom prst="cube">
            <a:avLst>
              <a:gd name="adj" fmla="val 34616"/>
            </a:avLst>
          </a:prstGeom>
          <a:blipFill dpi="0" rotWithShape="0">
            <a:blip xmlns:r="http://schemas.openxmlformats.org/officeDocument/2006/relationships" r:embed="rId1" cstate="print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Text Box 7">
            <a:extLst>
              <a:ext uri="{FF2B5EF4-FFF2-40B4-BE49-F238E27FC236}">
                <a16:creationId xmlns:a16="http://schemas.microsoft.com/office/drawing/2014/main" id="{AFC47AD4-7056-A3D5-F930-05AD09B279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3" y="698"/>
            <a:ext cx="57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27432" bIns="32004" anchor="ctr" upright="1"/>
          <a:lstStyle/>
          <a:p>
            <a:pPr algn="ctr" rtl="0">
              <a:defRPr sz="1000"/>
            </a:pPr>
            <a:r>
              <a:rPr lang="pt-BR" sz="1000" b="1" i="0" u="none" strike="noStrike" baseline="0">
                <a:solidFill>
                  <a:srgbClr val="000000"/>
                </a:solidFill>
                <a:latin typeface="Trebuchet MS"/>
              </a:rPr>
              <a:t>A</a:t>
            </a:r>
            <a:endParaRPr lang="pt-BR"/>
          </a:p>
        </xdr:txBody>
      </xdr:sp>
    </xdr:grp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1927860</xdr:colOff>
      <xdr:row>2</xdr:row>
      <xdr:rowOff>53340</xdr:rowOff>
    </xdr:to>
    <xdr:pic>
      <xdr:nvPicPr>
        <xdr:cNvPr id="9" name="image3.png">
          <a:extLst>
            <a:ext uri="{FF2B5EF4-FFF2-40B4-BE49-F238E27FC236}">
              <a16:creationId xmlns:a16="http://schemas.microsoft.com/office/drawing/2014/main" id="{72BE44C3-7143-4FA0-93E5-C9506923168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>
    <xdr:from>
      <xdr:col>18</xdr:col>
      <xdr:colOff>190500</xdr:colOff>
      <xdr:row>0</xdr:row>
      <xdr:rowOff>152400</xdr:rowOff>
    </xdr:from>
    <xdr:to>
      <xdr:col>19</xdr:col>
      <xdr:colOff>410252</xdr:colOff>
      <xdr:row>1</xdr:row>
      <xdr:rowOff>186690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ACA7FA-3E72-432C-A01A-E2ACF46561B5}"/>
            </a:ext>
          </a:extLst>
        </xdr:cNvPr>
        <xdr:cNvSpPr/>
      </xdr:nvSpPr>
      <xdr:spPr>
        <a:xfrm>
          <a:off x="11369040" y="152400"/>
          <a:ext cx="783632" cy="22479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35171</xdr:colOff>
      <xdr:row>0</xdr:row>
      <xdr:rowOff>70339</xdr:rowOff>
    </xdr:from>
    <xdr:to>
      <xdr:col>1</xdr:col>
      <xdr:colOff>187571</xdr:colOff>
      <xdr:row>0</xdr:row>
      <xdr:rowOff>187570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EA9A1B5A-BF4E-4F4D-BDE2-6BDBC97201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71" y="70339"/>
          <a:ext cx="709246" cy="117231"/>
        </a:xfrm>
        <a:prstGeom prst="rect">
          <a:avLst/>
        </a:prstGeom>
        <a:ln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167639</xdr:rowOff>
    </xdr:from>
    <xdr:to>
      <xdr:col>16</xdr:col>
      <xdr:colOff>1051560</xdr:colOff>
      <xdr:row>1</xdr:row>
      <xdr:rowOff>175260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559548-A7C9-433B-9975-03C6FB90FB2F}"/>
            </a:ext>
          </a:extLst>
        </xdr:cNvPr>
        <xdr:cNvSpPr/>
      </xdr:nvSpPr>
      <xdr:spPr>
        <a:xfrm>
          <a:off x="10134600" y="167639"/>
          <a:ext cx="853440" cy="205741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45720</xdr:colOff>
      <xdr:row>0</xdr:row>
      <xdr:rowOff>106680</xdr:rowOff>
    </xdr:from>
    <xdr:to>
      <xdr:col>0</xdr:col>
      <xdr:colOff>1912620</xdr:colOff>
      <xdr:row>2</xdr:row>
      <xdr:rowOff>30480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23F3686-DEFD-4818-88C8-8DBDD606408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5720" y="10668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11</xdr:col>
      <xdr:colOff>45720</xdr:colOff>
      <xdr:row>0</xdr:row>
      <xdr:rowOff>403861</xdr:rowOff>
    </xdr:to>
    <xdr:sp macro="" textlink="">
      <xdr:nvSpPr>
        <xdr:cNvPr id="11" name="Rectangle 13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036320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PILARES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12</xdr:col>
      <xdr:colOff>7620</xdr:colOff>
      <xdr:row>0</xdr:row>
      <xdr:rowOff>403861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8976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VIGAS</a:t>
          </a:r>
        </a:p>
      </xdr:txBody>
    </xdr:sp>
    <xdr:clientData/>
  </xdr:twoCellAnchor>
  <xdr:twoCellAnchor>
    <xdr:from>
      <xdr:col>11</xdr:col>
      <xdr:colOff>0</xdr:colOff>
      <xdr:row>0</xdr:row>
      <xdr:rowOff>133350</xdr:rowOff>
    </xdr:from>
    <xdr:to>
      <xdr:col>12</xdr:col>
      <xdr:colOff>19050</xdr:colOff>
      <xdr:row>0</xdr:row>
      <xdr:rowOff>342900</xdr:rowOff>
    </xdr:to>
    <xdr:sp macro="" textlink="">
      <xdr:nvSpPr>
        <xdr:cNvPr id="14" name="Retângulo: Cantos Arredondado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ABA86-3368-458C-A376-485056831257}"/>
            </a:ext>
          </a:extLst>
        </xdr:cNvPr>
        <xdr:cNvSpPr/>
      </xdr:nvSpPr>
      <xdr:spPr>
        <a:xfrm>
          <a:off x="9344025" y="13335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66674</xdr:colOff>
      <xdr:row>6</xdr:row>
      <xdr:rowOff>83820</xdr:rowOff>
    </xdr:from>
    <xdr:to>
      <xdr:col>17</xdr:col>
      <xdr:colOff>1118714</xdr:colOff>
      <xdr:row>8</xdr:row>
      <xdr:rowOff>122191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969" b="-1"/>
        <a:stretch/>
      </xdr:blipFill>
      <xdr:spPr>
        <a:xfrm>
          <a:off x="10346054" y="2209800"/>
          <a:ext cx="1052040" cy="373651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10</xdr:row>
      <xdr:rowOff>57150</xdr:rowOff>
    </xdr:from>
    <xdr:to>
      <xdr:col>17</xdr:col>
      <xdr:colOff>1111094</xdr:colOff>
      <xdr:row>12</xdr:row>
      <xdr:rowOff>106971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1501"/>
        <a:stretch/>
      </xdr:blipFill>
      <xdr:spPr>
        <a:xfrm>
          <a:off x="9812654" y="2971800"/>
          <a:ext cx="1052040" cy="373671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14</xdr:row>
      <xdr:rowOff>106680</xdr:rowOff>
    </xdr:from>
    <xdr:to>
      <xdr:col>17</xdr:col>
      <xdr:colOff>1111094</xdr:colOff>
      <xdr:row>17</xdr:row>
      <xdr:rowOff>69857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8434" y="3665220"/>
          <a:ext cx="1052040" cy="466097"/>
        </a:xfrm>
        <a:prstGeom prst="rect">
          <a:avLst/>
        </a:prstGeom>
      </xdr:spPr>
    </xdr:pic>
    <xdr:clientData/>
  </xdr:twoCellAnchor>
  <xdr:twoCellAnchor editAs="oneCell">
    <xdr:from>
      <xdr:col>17</xdr:col>
      <xdr:colOff>59054</xdr:colOff>
      <xdr:row>19</xdr:row>
      <xdr:rowOff>53340</xdr:rowOff>
    </xdr:from>
    <xdr:to>
      <xdr:col>17</xdr:col>
      <xdr:colOff>1111094</xdr:colOff>
      <xdr:row>21</xdr:row>
      <xdr:rowOff>141110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196"/>
        <a:stretch/>
      </xdr:blipFill>
      <xdr:spPr>
        <a:xfrm>
          <a:off x="10338434" y="4450080"/>
          <a:ext cx="1052040" cy="423050"/>
        </a:xfrm>
        <a:prstGeom prst="rect">
          <a:avLst/>
        </a:prstGeom>
      </xdr:spPr>
    </xdr:pic>
    <xdr:clientData/>
  </xdr:twoCellAnchor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17</xdr:col>
      <xdr:colOff>1165860</xdr:colOff>
      <xdr:row>0</xdr:row>
      <xdr:rowOff>403861</xdr:rowOff>
    </xdr:to>
    <xdr:sp macro="" textlink="">
      <xdr:nvSpPr>
        <xdr:cNvPr id="16" name="Rectangle 13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643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LAJES</a:t>
          </a:r>
        </a:p>
      </xdr:txBody>
    </xdr:sp>
    <xdr:clientData/>
  </xdr:twoCellAnchor>
  <xdr:twoCellAnchor>
    <xdr:from>
      <xdr:col>17</xdr:col>
      <xdr:colOff>361950</xdr:colOff>
      <xdr:row>0</xdr:row>
      <xdr:rowOff>123825</xdr:rowOff>
    </xdr:from>
    <xdr:to>
      <xdr:col>17</xdr:col>
      <xdr:colOff>1095375</xdr:colOff>
      <xdr:row>0</xdr:row>
      <xdr:rowOff>333375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2F4F0C-0CDB-4F76-98D4-F59E1D78DCD8}"/>
            </a:ext>
          </a:extLst>
        </xdr:cNvPr>
        <xdr:cNvSpPr/>
      </xdr:nvSpPr>
      <xdr:spPr>
        <a:xfrm>
          <a:off x="10115550" y="123825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28</xdr:row>
      <xdr:rowOff>0</xdr:rowOff>
    </xdr:from>
    <xdr:to>
      <xdr:col>3</xdr:col>
      <xdr:colOff>438150</xdr:colOff>
      <xdr:row>32</xdr:row>
      <xdr:rowOff>114300</xdr:rowOff>
    </xdr:to>
    <xdr:sp macro="" textlink="">
      <xdr:nvSpPr>
        <xdr:cNvPr id="2" name="Line 59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ShapeType="1"/>
        </xdr:cNvSpPr>
      </xdr:nvSpPr>
      <xdr:spPr bwMode="auto">
        <a:xfrm flipV="1">
          <a:off x="2705100" y="4400550"/>
          <a:ext cx="0" cy="7715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28</xdr:row>
      <xdr:rowOff>0</xdr:rowOff>
    </xdr:from>
    <xdr:to>
      <xdr:col>5</xdr:col>
      <xdr:colOff>9525</xdr:colOff>
      <xdr:row>30</xdr:row>
      <xdr:rowOff>104775</xdr:rowOff>
    </xdr:to>
    <xdr:sp macro="" textlink="">
      <xdr:nvSpPr>
        <xdr:cNvPr id="3" name="Line 60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>
          <a:spLocks noChangeShapeType="1"/>
        </xdr:cNvSpPr>
      </xdr:nvSpPr>
      <xdr:spPr bwMode="auto">
        <a:xfrm flipV="1">
          <a:off x="3171825" y="4400550"/>
          <a:ext cx="0" cy="4286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29</xdr:row>
      <xdr:rowOff>142875</xdr:rowOff>
    </xdr:from>
    <xdr:to>
      <xdr:col>5</xdr:col>
      <xdr:colOff>142875</xdr:colOff>
      <xdr:row>29</xdr:row>
      <xdr:rowOff>142875</xdr:rowOff>
    </xdr:to>
    <xdr:sp macro="" textlink="">
      <xdr:nvSpPr>
        <xdr:cNvPr id="4" name="Line 6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>
          <a:spLocks noChangeShapeType="1"/>
        </xdr:cNvSpPr>
      </xdr:nvSpPr>
      <xdr:spPr bwMode="auto">
        <a:xfrm>
          <a:off x="2571750" y="4705350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314325</xdr:colOff>
      <xdr:row>28</xdr:row>
      <xdr:rowOff>133350</xdr:rowOff>
    </xdr:from>
    <xdr:to>
      <xdr:col>4</xdr:col>
      <xdr:colOff>161925</xdr:colOff>
      <xdr:row>30</xdr:row>
      <xdr:rowOff>104775</xdr:rowOff>
    </xdr:to>
    <xdr:sp macro="" textlink="">
      <xdr:nvSpPr>
        <xdr:cNvPr id="5" name="Line 6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>
          <a:spLocks noChangeShapeType="1"/>
        </xdr:cNvSpPr>
      </xdr:nvSpPr>
      <xdr:spPr bwMode="auto">
        <a:xfrm flipH="1">
          <a:off x="2581275" y="4533900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29</xdr:row>
      <xdr:rowOff>19050</xdr:rowOff>
    </xdr:from>
    <xdr:to>
      <xdr:col>5</xdr:col>
      <xdr:colOff>133350</xdr:colOff>
      <xdr:row>30</xdr:row>
      <xdr:rowOff>152400</xdr:rowOff>
    </xdr:to>
    <xdr:sp macro="" textlink="">
      <xdr:nvSpPr>
        <xdr:cNvPr id="6" name="Line 63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>
          <a:spLocks noChangeShapeType="1"/>
        </xdr:cNvSpPr>
      </xdr:nvSpPr>
      <xdr:spPr bwMode="auto">
        <a:xfrm flipH="1">
          <a:off x="3000375" y="4581525"/>
          <a:ext cx="295275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32</xdr:row>
      <xdr:rowOff>28575</xdr:rowOff>
    </xdr:from>
    <xdr:to>
      <xdr:col>3</xdr:col>
      <xdr:colOff>95250</xdr:colOff>
      <xdr:row>36</xdr:row>
      <xdr:rowOff>0</xdr:rowOff>
    </xdr:to>
    <xdr:sp macro="" textlink="">
      <xdr:nvSpPr>
        <xdr:cNvPr id="7" name="Line 6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>
          <a:spLocks noChangeShapeType="1"/>
        </xdr:cNvSpPr>
      </xdr:nvSpPr>
      <xdr:spPr bwMode="auto">
        <a:xfrm>
          <a:off x="2362200" y="508635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33</xdr:row>
      <xdr:rowOff>19050</xdr:rowOff>
    </xdr:from>
    <xdr:to>
      <xdr:col>3</xdr:col>
      <xdr:colOff>304800</xdr:colOff>
      <xdr:row>33</xdr:row>
      <xdr:rowOff>19050</xdr:rowOff>
    </xdr:to>
    <xdr:sp macro="" textlink="">
      <xdr:nvSpPr>
        <xdr:cNvPr id="8" name="Line 65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>
          <a:spLocks noChangeShapeType="1"/>
        </xdr:cNvSpPr>
      </xdr:nvSpPr>
      <xdr:spPr bwMode="auto">
        <a:xfrm>
          <a:off x="1838325" y="5248275"/>
          <a:ext cx="733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390525</xdr:colOff>
      <xdr:row>32</xdr:row>
      <xdr:rowOff>47625</xdr:rowOff>
    </xdr:from>
    <xdr:to>
      <xdr:col>3</xdr:col>
      <xdr:colOff>238125</xdr:colOff>
      <xdr:row>34</xdr:row>
      <xdr:rowOff>19050</xdr:rowOff>
    </xdr:to>
    <xdr:sp macro="" textlink="">
      <xdr:nvSpPr>
        <xdr:cNvPr id="9" name="Line 66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>
          <a:spLocks noChangeShapeType="1"/>
        </xdr:cNvSpPr>
      </xdr:nvSpPr>
      <xdr:spPr bwMode="auto">
        <a:xfrm flipH="1">
          <a:off x="2209800" y="510540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409575</xdr:colOff>
      <xdr:row>34</xdr:row>
      <xdr:rowOff>0</xdr:rowOff>
    </xdr:from>
    <xdr:to>
      <xdr:col>3</xdr:col>
      <xdr:colOff>257175</xdr:colOff>
      <xdr:row>35</xdr:row>
      <xdr:rowOff>133350</xdr:rowOff>
    </xdr:to>
    <xdr:sp macro="" textlink="">
      <xdr:nvSpPr>
        <xdr:cNvPr id="10" name="Line 67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>
          <a:spLocks noChangeShapeType="1"/>
        </xdr:cNvSpPr>
      </xdr:nvSpPr>
      <xdr:spPr bwMode="auto">
        <a:xfrm flipH="1">
          <a:off x="2228850" y="5391150"/>
          <a:ext cx="2952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33</xdr:row>
      <xdr:rowOff>0</xdr:rowOff>
    </xdr:from>
    <xdr:to>
      <xdr:col>6</xdr:col>
      <xdr:colOff>0</xdr:colOff>
      <xdr:row>37</xdr:row>
      <xdr:rowOff>9525</xdr:rowOff>
    </xdr:to>
    <xdr:sp macro="" textlink="">
      <xdr:nvSpPr>
        <xdr:cNvPr id="11" name="Line 68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>
          <a:spLocks noChangeShapeType="1"/>
        </xdr:cNvSpPr>
      </xdr:nvSpPr>
      <xdr:spPr bwMode="auto">
        <a:xfrm flipV="1">
          <a:off x="2705100" y="5229225"/>
          <a:ext cx="904875" cy="6762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37</xdr:row>
      <xdr:rowOff>28575</xdr:rowOff>
    </xdr:from>
    <xdr:to>
      <xdr:col>4</xdr:col>
      <xdr:colOff>219075</xdr:colOff>
      <xdr:row>38</xdr:row>
      <xdr:rowOff>142875</xdr:rowOff>
    </xdr:to>
    <xdr:sp macro="" textlink="">
      <xdr:nvSpPr>
        <xdr:cNvPr id="12" name="Line 75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>
          <a:spLocks noChangeShapeType="1"/>
        </xdr:cNvSpPr>
      </xdr:nvSpPr>
      <xdr:spPr bwMode="auto">
        <a:xfrm>
          <a:off x="2733675" y="5924550"/>
          <a:ext cx="2000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33</xdr:row>
      <xdr:rowOff>47625</xdr:rowOff>
    </xdr:from>
    <xdr:to>
      <xdr:col>6</xdr:col>
      <xdr:colOff>228600</xdr:colOff>
      <xdr:row>35</xdr:row>
      <xdr:rowOff>0</xdr:rowOff>
    </xdr:to>
    <xdr:sp macro="" textlink="">
      <xdr:nvSpPr>
        <xdr:cNvPr id="13" name="Line 76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>
          <a:spLocks noChangeShapeType="1"/>
        </xdr:cNvSpPr>
      </xdr:nvSpPr>
      <xdr:spPr bwMode="auto">
        <a:xfrm>
          <a:off x="3638550" y="5276850"/>
          <a:ext cx="200025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33</xdr:row>
      <xdr:rowOff>76200</xdr:rowOff>
    </xdr:from>
    <xdr:to>
      <xdr:col>6</xdr:col>
      <xdr:colOff>200025</xdr:colOff>
      <xdr:row>38</xdr:row>
      <xdr:rowOff>47625</xdr:rowOff>
    </xdr:to>
    <xdr:sp macro="" textlink="">
      <xdr:nvSpPr>
        <xdr:cNvPr id="14" name="Line 77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>
          <a:spLocks noChangeShapeType="1"/>
        </xdr:cNvSpPr>
      </xdr:nvSpPr>
      <xdr:spPr bwMode="auto">
        <a:xfrm flipV="1">
          <a:off x="2752725" y="5305425"/>
          <a:ext cx="1057275" cy="800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37</xdr:row>
      <xdr:rowOff>0</xdr:rowOff>
    </xdr:from>
    <xdr:to>
      <xdr:col>4</xdr:col>
      <xdr:colOff>161925</xdr:colOff>
      <xdr:row>39</xdr:row>
      <xdr:rowOff>28575</xdr:rowOff>
    </xdr:to>
    <xdr:sp macro="" textlink="">
      <xdr:nvSpPr>
        <xdr:cNvPr id="15" name="Line 78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SpPr>
          <a:spLocks noChangeShapeType="1"/>
        </xdr:cNvSpPr>
      </xdr:nvSpPr>
      <xdr:spPr bwMode="auto">
        <a:xfrm flipH="1">
          <a:off x="2790825" y="589597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32</xdr:row>
      <xdr:rowOff>152400</xdr:rowOff>
    </xdr:from>
    <xdr:to>
      <xdr:col>6</xdr:col>
      <xdr:colOff>142875</xdr:colOff>
      <xdr:row>35</xdr:row>
      <xdr:rowOff>19050</xdr:rowOff>
    </xdr:to>
    <xdr:sp macro="" textlink="">
      <xdr:nvSpPr>
        <xdr:cNvPr id="16" name="Line 79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SpPr>
          <a:spLocks noChangeShapeType="1"/>
        </xdr:cNvSpPr>
      </xdr:nvSpPr>
      <xdr:spPr bwMode="auto">
        <a:xfrm flipH="1">
          <a:off x="3667125" y="5210175"/>
          <a:ext cx="857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438150</xdr:colOff>
      <xdr:row>29</xdr:row>
      <xdr:rowOff>9525</xdr:rowOff>
    </xdr:from>
    <xdr:to>
      <xdr:col>7</xdr:col>
      <xdr:colOff>352425</xdr:colOff>
      <xdr:row>32</xdr:row>
      <xdr:rowOff>161925</xdr:rowOff>
    </xdr:to>
    <xdr:sp macro="" textlink="">
      <xdr:nvSpPr>
        <xdr:cNvPr id="17" name="Line 81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>
          <a:spLocks noChangeShapeType="1"/>
        </xdr:cNvSpPr>
      </xdr:nvSpPr>
      <xdr:spPr bwMode="auto">
        <a:xfrm flipV="1">
          <a:off x="3600450" y="4572000"/>
          <a:ext cx="8096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27</xdr:row>
      <xdr:rowOff>123825</xdr:rowOff>
    </xdr:from>
    <xdr:to>
      <xdr:col>7</xdr:col>
      <xdr:colOff>161925</xdr:colOff>
      <xdr:row>32</xdr:row>
      <xdr:rowOff>123825</xdr:rowOff>
    </xdr:to>
    <xdr:sp macro="" textlink="">
      <xdr:nvSpPr>
        <xdr:cNvPr id="18" name="Line 82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SpPr>
          <a:spLocks noChangeShapeType="1"/>
        </xdr:cNvSpPr>
      </xdr:nvSpPr>
      <xdr:spPr bwMode="auto">
        <a:xfrm flipV="1">
          <a:off x="3171825" y="4362450"/>
          <a:ext cx="1047750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27</xdr:row>
      <xdr:rowOff>114300</xdr:rowOff>
    </xdr:from>
    <xdr:to>
      <xdr:col>7</xdr:col>
      <xdr:colOff>209550</xdr:colOff>
      <xdr:row>31</xdr:row>
      <xdr:rowOff>28575</xdr:rowOff>
    </xdr:to>
    <xdr:sp macro="" textlink="">
      <xdr:nvSpPr>
        <xdr:cNvPr id="19" name="Line 83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SpPr>
          <a:spLocks noChangeShapeType="1"/>
        </xdr:cNvSpPr>
      </xdr:nvSpPr>
      <xdr:spPr bwMode="auto">
        <a:xfrm>
          <a:off x="3876675" y="4352925"/>
          <a:ext cx="390525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352425</xdr:colOff>
      <xdr:row>27</xdr:row>
      <xdr:rowOff>114300</xdr:rowOff>
    </xdr:from>
    <xdr:to>
      <xdr:col>6</xdr:col>
      <xdr:colOff>438150</xdr:colOff>
      <xdr:row>29</xdr:row>
      <xdr:rowOff>142875</xdr:rowOff>
    </xdr:to>
    <xdr:sp macro="" textlink="">
      <xdr:nvSpPr>
        <xdr:cNvPr id="20" name="Line 84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SpPr>
          <a:spLocks noChangeShapeType="1"/>
        </xdr:cNvSpPr>
      </xdr:nvSpPr>
      <xdr:spPr bwMode="auto">
        <a:xfrm flipH="1">
          <a:off x="3962400" y="4352925"/>
          <a:ext cx="857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47625</xdr:colOff>
      <xdr:row>29</xdr:row>
      <xdr:rowOff>38100</xdr:rowOff>
    </xdr:from>
    <xdr:to>
      <xdr:col>7</xdr:col>
      <xdr:colOff>133350</xdr:colOff>
      <xdr:row>31</xdr:row>
      <xdr:rowOff>66675</xdr:rowOff>
    </xdr:to>
    <xdr:sp macro="" textlink="">
      <xdr:nvSpPr>
        <xdr:cNvPr id="21" name="Line 85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SpPr>
          <a:spLocks noChangeShapeType="1"/>
        </xdr:cNvSpPr>
      </xdr:nvSpPr>
      <xdr:spPr bwMode="auto">
        <a:xfrm flipH="1">
          <a:off x="4105275" y="4600575"/>
          <a:ext cx="857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1239153</xdr:colOff>
      <xdr:row>0</xdr:row>
      <xdr:rowOff>0</xdr:rowOff>
    </xdr:from>
    <xdr:to>
      <xdr:col>0</xdr:col>
      <xdr:colOff>1242060</xdr:colOff>
      <xdr:row>0</xdr:row>
      <xdr:rowOff>468852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CxnSpPr/>
      </xdr:nvCxnSpPr>
      <xdr:spPr>
        <a:xfrm flipH="1">
          <a:off x="1239153" y="0"/>
          <a:ext cx="2907" cy="46885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38100</xdr:rowOff>
    </xdr:from>
    <xdr:to>
      <xdr:col>17</xdr:col>
      <xdr:colOff>1165860</xdr:colOff>
      <xdr:row>0</xdr:row>
      <xdr:rowOff>403861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SpPr>
          <a:spLocks noChangeArrowheads="1"/>
        </xdr:cNvSpPr>
      </xdr:nvSpPr>
      <xdr:spPr bwMode="auto">
        <a:xfrm>
          <a:off x="22860" y="38100"/>
          <a:ext cx="11643360" cy="365761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ysClr val="windowText" lastClr="000000"/>
              </a:solidFill>
              <a:latin typeface="+mn-lt"/>
              <a:ea typeface="Tahoma"/>
              <a:cs typeface="Tahoma"/>
            </a:rPr>
            <a:t>ESTRUTURA - ESCADAS</a:t>
          </a:r>
        </a:p>
      </xdr:txBody>
    </xdr:sp>
    <xdr:clientData/>
  </xdr:twoCellAnchor>
  <xdr:twoCellAnchor>
    <xdr:from>
      <xdr:col>17</xdr:col>
      <xdr:colOff>0</xdr:colOff>
      <xdr:row>0</xdr:row>
      <xdr:rowOff>133350</xdr:rowOff>
    </xdr:from>
    <xdr:to>
      <xdr:col>18</xdr:col>
      <xdr:colOff>0</xdr:colOff>
      <xdr:row>0</xdr:row>
      <xdr:rowOff>342900</xdr:rowOff>
    </xdr:to>
    <xdr:sp macro="" textlink="">
      <xdr:nvSpPr>
        <xdr:cNvPr id="31" name="Retângulo: Cantos Arredondado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7073E5-F079-49BA-BF58-0DB2F22FBB84}"/>
            </a:ext>
          </a:extLst>
        </xdr:cNvPr>
        <xdr:cNvSpPr/>
      </xdr:nvSpPr>
      <xdr:spPr>
        <a:xfrm>
          <a:off x="10353675" y="13335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45720</xdr:rowOff>
    </xdr:from>
    <xdr:to>
      <xdr:col>15</xdr:col>
      <xdr:colOff>57149</xdr:colOff>
      <xdr:row>0</xdr:row>
      <xdr:rowOff>381000</xdr:rowOff>
    </xdr:to>
    <xdr:sp macro="" textlink="">
      <xdr:nvSpPr>
        <xdr:cNvPr id="10" name="Rectangle 13">
          <a:extLst>
            <a:ext uri="{FF2B5EF4-FFF2-40B4-BE49-F238E27FC236}">
              <a16:creationId xmlns:a16="http://schemas.microsoft.com/office/drawing/2014/main" id="{AD7A80B0-1A24-4D64-8964-E4A285E730B6}"/>
            </a:ext>
          </a:extLst>
        </xdr:cNvPr>
        <xdr:cNvSpPr>
          <a:spLocks noChangeArrowheads="1"/>
        </xdr:cNvSpPr>
      </xdr:nvSpPr>
      <xdr:spPr bwMode="auto">
        <a:xfrm>
          <a:off x="0" y="45720"/>
          <a:ext cx="13354049" cy="33528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ÍNDICES DE BLOCO - ALVENARIA ESTRUTURAL</a:t>
          </a:r>
        </a:p>
      </xdr:txBody>
    </xdr:sp>
    <xdr:clientData/>
  </xdr:twoCellAnchor>
  <xdr:twoCellAnchor>
    <xdr:from>
      <xdr:col>14</xdr:col>
      <xdr:colOff>200025</xdr:colOff>
      <xdr:row>0</xdr:row>
      <xdr:rowOff>114300</xdr:rowOff>
    </xdr:from>
    <xdr:to>
      <xdr:col>14</xdr:col>
      <xdr:colOff>933450</xdr:colOff>
      <xdr:row>0</xdr:row>
      <xdr:rowOff>323850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783917-7A4E-449D-ABCF-159071405EB4}"/>
            </a:ext>
          </a:extLst>
        </xdr:cNvPr>
        <xdr:cNvSpPr/>
      </xdr:nvSpPr>
      <xdr:spPr>
        <a:xfrm>
          <a:off x="11058525" y="114300"/>
          <a:ext cx="733425" cy="209550"/>
        </a:xfrm>
        <a:prstGeom prst="roundRect">
          <a:avLst/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71718</xdr:rowOff>
    </xdr:from>
    <xdr:to>
      <xdr:col>11</xdr:col>
      <xdr:colOff>13</xdr:colOff>
      <xdr:row>1</xdr:row>
      <xdr:rowOff>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7ECEF73C-4EAD-4856-ACFF-B9B64EBF168C}"/>
            </a:ext>
          </a:extLst>
        </xdr:cNvPr>
        <xdr:cNvSpPr>
          <a:spLocks noChangeArrowheads="1"/>
        </xdr:cNvSpPr>
      </xdr:nvSpPr>
      <xdr:spPr bwMode="auto">
        <a:xfrm>
          <a:off x="0" y="71718"/>
          <a:ext cx="10847307" cy="385482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20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RESUMO ESQUADRIAS</a:t>
          </a:r>
        </a:p>
      </xdr:txBody>
    </xdr:sp>
    <xdr:clientData/>
  </xdr:twoCellAnchor>
  <xdr:twoCellAnchor>
    <xdr:from>
      <xdr:col>2</xdr:col>
      <xdr:colOff>59359</xdr:colOff>
      <xdr:row>0</xdr:row>
      <xdr:rowOff>8965</xdr:rowOff>
    </xdr:from>
    <xdr:to>
      <xdr:col>2</xdr:col>
      <xdr:colOff>62755</xdr:colOff>
      <xdr:row>0</xdr:row>
      <xdr:rowOff>449905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3ED1ABC-B340-4103-A3A9-F27C7D640C0F}"/>
            </a:ext>
          </a:extLst>
        </xdr:cNvPr>
        <xdr:cNvCxnSpPr/>
      </xdr:nvCxnSpPr>
      <xdr:spPr>
        <a:xfrm flipH="1">
          <a:off x="1260630" y="8965"/>
          <a:ext cx="3396" cy="44094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116541</xdr:colOff>
      <xdr:row>0</xdr:row>
      <xdr:rowOff>104338</xdr:rowOff>
    </xdr:from>
    <xdr:to>
      <xdr:col>9</xdr:col>
      <xdr:colOff>888485</xdr:colOff>
      <xdr:row>0</xdr:row>
      <xdr:rowOff>322730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0CD74-78BF-4994-8D7E-DDD6EA983101}"/>
            </a:ext>
          </a:extLst>
        </xdr:cNvPr>
        <xdr:cNvSpPr/>
      </xdr:nvSpPr>
      <xdr:spPr>
        <a:xfrm>
          <a:off x="9932894" y="104338"/>
          <a:ext cx="771944" cy="218392"/>
        </a:xfrm>
        <a:prstGeom prst="roundRect">
          <a:avLst>
            <a:gd name="adj" fmla="val 24367"/>
          </a:avLst>
        </a:prstGeom>
        <a:solidFill>
          <a:srgbClr val="28486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1</xdr:col>
      <xdr:colOff>16064</xdr:colOff>
      <xdr:row>13</xdr:row>
      <xdr:rowOff>250852</xdr:rowOff>
    </xdr:from>
    <xdr:ext cx="9594486" cy="937629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6CDA44B-4126-4615-9315-4E47DB2CCB1F}"/>
            </a:ext>
          </a:extLst>
        </xdr:cNvPr>
        <xdr:cNvSpPr/>
      </xdr:nvSpPr>
      <xdr:spPr>
        <a:xfrm>
          <a:off x="676464" y="3654452"/>
          <a:ext cx="959448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Verificar Guarda corpo - m ou un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www.google.com/shopping/product/816597366598251235?client=opera-gx&amp;sca_esv=0c30d914e1d01d18&amp;q=Placa%C2%A060,5%C2%A0x%C2%A060,5cm+ceramico+parede&amp;fbs=ABzOT_BYhiZpMrUAF0c9tORwPGlsjfkTCQbVbkeDjnTQtijddBq82CQX-xUBR9s0VVH0Uz4YZWXmkEwVISjw0MO8OaXMUOqsQuww0bKTeQ607n8oTdLAw3M8YuINd_u-RUAwx28dcsTnLjriLIo6vJpmIfMKufFGiWm3BDOt1TN2aSktoHih0KKvBZ3KR4MQRS54riOwJnfwdRUjA_6bbNITZaWAh0rEqA&amp;ictx=111&amp;prds=eto:12204749333006783484_0,pid:3688055815818705133&amp;sa=X&amp;ved=0ahUKEwiL3Pu1o7yLAxXMH7kGHRv-EmMQ8wIInAg" TargetMode="External"/><Relationship Id="rId1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Relationship Id="rId6" Type="http://schemas.openxmlformats.org/officeDocument/2006/relationships/vmlDrawing" Target="../drawings/vmlDrawing3.v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google.com/shopping/product/816597366598251235?client=opera-gx&amp;sca_esv=0c30d914e1d01d18&amp;q=Placa%C2%A060,5%C2%A0x%C2%A060,5cm+ceramico+parede&amp;fbs=ABzOT_BYhiZpMrUAF0c9tORwPGlsjfkTCQbVbkeDjnTQtijddBq82CQX-xUBR9s0VVH0Uz4YZWXmkEwVISjw0MO8OaXMUOqsQuww0bKTeQ607n8oTdLAw3M8YuINd_u-RUAwx28dcsTnLjriLIo6vJpmIfMKufFGiWm3BDOt1TN2aSktoHih0KKvBZ3KR4MQRS54riOwJnfwdRUjA_6bbNITZaWAh0rEqA&amp;ictx=111&amp;prds=eto:12204749333006783484_0,pid:3688055815818705133&amp;sa=X&amp;ved=0ahUKEwiL3Pu1o7yLAxXMH7kGHRv-EmMQ8wIInA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roymerlin.com.br/kit-3-rolos-de-tela-fachadeira-6x3-3x100-300m2_1571811772?srsltid=AfmBOorqa8qCk4Y_veiSFWZArBrvWDNFifl_-S-G8oMTeThy9bTGNSQOT_Y" TargetMode="External"/><Relationship Id="rId2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Relationship Id="rId1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Relationship Id="rId4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2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349-95B6-400C-B137-3AB070959EAA}">
  <sheetPr>
    <tabColor rgb="FF111113"/>
  </sheetPr>
  <dimension ref="A1:M54"/>
  <sheetViews>
    <sheetView showGridLines="0" tabSelected="1" zoomScale="90" zoomScaleNormal="90" workbookViewId="0">
      <pane ySplit="4" topLeftCell="A5" activePane="bottomLeft" state="frozen"/>
      <selection activeCell="C121" sqref="C121"/>
      <selection pane="bottomLeft" activeCell="C29" sqref="C29:D29"/>
    </sheetView>
  </sheetViews>
  <sheetFormatPr defaultRowHeight="12.75" x14ac:dyDescent="0.2"/>
  <cols>
    <col min="1" max="1" width="4" style="766" customWidth="1"/>
    <col min="2" max="2" width="50.140625" style="766" bestFit="1" customWidth="1"/>
    <col min="3" max="3" width="18.28515625" style="766" bestFit="1" customWidth="1"/>
    <col min="4" max="4" width="10.7109375" style="766" customWidth="1"/>
    <col min="5" max="5" width="20.5703125" style="766" customWidth="1"/>
    <col min="6" max="6" width="2.140625" style="766" customWidth="1"/>
    <col min="7" max="8" width="41.42578125" style="766" customWidth="1"/>
    <col min="9" max="9" width="12" style="766" bestFit="1" customWidth="1"/>
    <col min="10" max="10" width="9.140625" style="766"/>
    <col min="11" max="11" width="4" style="766" customWidth="1"/>
    <col min="12" max="16384" width="9.140625" style="766"/>
  </cols>
  <sheetData>
    <row r="1" spans="1:13" s="71" customFormat="1" ht="15" customHeight="1" x14ac:dyDescent="0.2">
      <c r="A1" s="1190"/>
      <c r="B1" s="1191"/>
      <c r="C1" s="623" t="s">
        <v>388</v>
      </c>
      <c r="D1" s="594" t="s">
        <v>996</v>
      </c>
      <c r="E1" s="594"/>
      <c r="F1" s="594"/>
      <c r="G1" s="594"/>
      <c r="H1" s="594"/>
      <c r="I1" s="601"/>
      <c r="J1" s="602"/>
      <c r="K1" s="93"/>
      <c r="L1" s="93"/>
      <c r="M1" s="93"/>
    </row>
    <row r="2" spans="1:13" s="348" customFormat="1" ht="15" customHeight="1" x14ac:dyDescent="0.2">
      <c r="A2" s="1190"/>
      <c r="B2" s="1191"/>
      <c r="C2" s="623" t="s">
        <v>358</v>
      </c>
      <c r="D2" s="594" t="s">
        <v>1000</v>
      </c>
      <c r="E2" s="635"/>
      <c r="F2" s="635"/>
      <c r="G2" s="635"/>
      <c r="H2" s="635"/>
      <c r="I2" s="603"/>
      <c r="J2" s="604"/>
    </row>
    <row r="3" spans="1:13" s="348" customFormat="1" ht="15" customHeight="1" x14ac:dyDescent="0.2">
      <c r="A3" s="1192"/>
      <c r="B3" s="1193"/>
      <c r="C3" s="623" t="s">
        <v>359</v>
      </c>
      <c r="D3" s="594" t="s">
        <v>874</v>
      </c>
      <c r="E3" s="765"/>
      <c r="F3" s="765"/>
      <c r="G3" s="765"/>
      <c r="H3" s="765"/>
      <c r="I3" s="605"/>
      <c r="J3" s="606"/>
    </row>
    <row r="4" spans="1:13" s="90" customFormat="1" ht="20.45" customHeight="1" x14ac:dyDescent="0.2">
      <c r="A4" s="1194" t="s">
        <v>483</v>
      </c>
      <c r="B4" s="1194"/>
      <c r="C4" s="1194"/>
      <c r="D4" s="1194"/>
      <c r="E4" s="1194"/>
      <c r="F4" s="1194"/>
      <c r="G4" s="1194"/>
      <c r="H4" s="1194"/>
      <c r="I4" s="1194"/>
      <c r="J4" s="1194"/>
    </row>
    <row r="5" spans="1:13" ht="18.75" customHeight="1" thickBot="1" x14ac:dyDescent="0.25"/>
    <row r="6" spans="1:13" ht="18.75" customHeight="1" x14ac:dyDescent="0.2">
      <c r="B6" s="767" t="s">
        <v>0</v>
      </c>
      <c r="C6" s="1195" t="s">
        <v>96</v>
      </c>
      <c r="D6" s="1196"/>
      <c r="E6" s="768" t="s">
        <v>110</v>
      </c>
      <c r="G6" s="1197" t="s">
        <v>860</v>
      </c>
      <c r="H6" s="1198"/>
      <c r="I6" s="1198"/>
      <c r="J6" s="1199"/>
    </row>
    <row r="7" spans="1:13" x14ac:dyDescent="0.2">
      <c r="B7" s="769" t="s">
        <v>484</v>
      </c>
      <c r="C7" s="1200" t="s">
        <v>485</v>
      </c>
      <c r="D7" s="1201"/>
      <c r="E7" s="770">
        <v>14</v>
      </c>
      <c r="G7" s="872"/>
      <c r="J7" s="873"/>
    </row>
    <row r="8" spans="1:13" x14ac:dyDescent="0.2">
      <c r="B8" s="769" t="s">
        <v>486</v>
      </c>
      <c r="C8" s="1184" t="s">
        <v>861</v>
      </c>
      <c r="D8" s="1185"/>
      <c r="E8" s="770">
        <v>434.37</v>
      </c>
      <c r="G8" s="872"/>
      <c r="J8" s="873"/>
    </row>
    <row r="9" spans="1:13" x14ac:dyDescent="0.2">
      <c r="B9" s="771" t="s">
        <v>487</v>
      </c>
      <c r="C9" s="1184" t="s">
        <v>861</v>
      </c>
      <c r="D9" s="1185"/>
      <c r="E9" s="770">
        <v>329.57</v>
      </c>
      <c r="G9" s="872"/>
      <c r="J9" s="873"/>
      <c r="K9" s="874"/>
    </row>
    <row r="10" spans="1:13" x14ac:dyDescent="0.2">
      <c r="B10" s="771" t="s">
        <v>490</v>
      </c>
      <c r="C10" s="1188" t="s">
        <v>491</v>
      </c>
      <c r="D10" s="1189"/>
      <c r="E10" s="770">
        <v>1</v>
      </c>
      <c r="G10" s="872"/>
      <c r="J10" s="873"/>
    </row>
    <row r="11" spans="1:13" x14ac:dyDescent="0.2">
      <c r="B11" s="771" t="s">
        <v>862</v>
      </c>
      <c r="C11" s="1188" t="s">
        <v>491</v>
      </c>
      <c r="D11" s="1189"/>
      <c r="E11" s="770">
        <v>0</v>
      </c>
      <c r="G11" s="872"/>
      <c r="J11" s="873"/>
    </row>
    <row r="12" spans="1:13" x14ac:dyDescent="0.2">
      <c r="B12" s="771" t="s">
        <v>492</v>
      </c>
      <c r="C12" s="1184" t="s">
        <v>861</v>
      </c>
      <c r="D12" s="1185"/>
      <c r="E12" s="773">
        <v>329.57</v>
      </c>
      <c r="G12" s="872"/>
      <c r="J12" s="873"/>
    </row>
    <row r="13" spans="1:13" x14ac:dyDescent="0.2">
      <c r="B13" s="875" t="s">
        <v>493</v>
      </c>
      <c r="C13" s="1184" t="s">
        <v>491</v>
      </c>
      <c r="D13" s="1185"/>
      <c r="E13" s="770">
        <v>4</v>
      </c>
      <c r="G13" s="872"/>
      <c r="J13" s="873"/>
    </row>
    <row r="14" spans="1:13" x14ac:dyDescent="0.2">
      <c r="B14" s="772"/>
      <c r="C14" s="1184"/>
      <c r="D14" s="1185"/>
      <c r="E14" s="770"/>
      <c r="G14" s="872"/>
      <c r="J14" s="873"/>
    </row>
    <row r="15" spans="1:13" x14ac:dyDescent="0.2">
      <c r="B15" s="772" t="s">
        <v>528</v>
      </c>
      <c r="C15" s="1184" t="s">
        <v>861</v>
      </c>
      <c r="D15" s="1185"/>
      <c r="E15" s="770">
        <v>162.78</v>
      </c>
      <c r="G15" s="872"/>
      <c r="J15" s="873"/>
    </row>
    <row r="16" spans="1:13" x14ac:dyDescent="0.2">
      <c r="B16" s="772" t="s">
        <v>1144</v>
      </c>
      <c r="C16" s="1184" t="s">
        <v>861</v>
      </c>
      <c r="D16" s="1185"/>
      <c r="E16" s="770">
        <v>166.79</v>
      </c>
      <c r="G16" s="872"/>
      <c r="J16" s="873"/>
    </row>
    <row r="17" spans="2:10" x14ac:dyDescent="0.2">
      <c r="B17" s="772" t="s">
        <v>831</v>
      </c>
      <c r="C17" s="1184" t="s">
        <v>861</v>
      </c>
      <c r="D17" s="1185"/>
      <c r="E17" s="770">
        <v>188.81</v>
      </c>
      <c r="G17" s="872"/>
      <c r="J17" s="873"/>
    </row>
    <row r="18" spans="2:10" x14ac:dyDescent="0.2">
      <c r="B18" s="772" t="s">
        <v>1145</v>
      </c>
      <c r="C18" s="1184" t="s">
        <v>861</v>
      </c>
      <c r="D18" s="1185"/>
      <c r="E18" s="770">
        <v>10.039999999999999</v>
      </c>
      <c r="G18" s="872"/>
      <c r="J18" s="873"/>
    </row>
    <row r="19" spans="2:10" x14ac:dyDescent="0.2">
      <c r="B19" s="772"/>
      <c r="C19" s="1184"/>
      <c r="D19" s="1185"/>
      <c r="E19" s="770"/>
      <c r="G19" s="872"/>
      <c r="J19" s="873"/>
    </row>
    <row r="20" spans="2:10" x14ac:dyDescent="0.2">
      <c r="B20" s="772"/>
      <c r="C20" s="1184"/>
      <c r="D20" s="1185"/>
      <c r="E20" s="770"/>
      <c r="G20" s="872"/>
      <c r="J20" s="873"/>
    </row>
    <row r="21" spans="2:10" x14ac:dyDescent="0.2">
      <c r="B21" s="772"/>
      <c r="C21" s="1184"/>
      <c r="D21" s="1185"/>
      <c r="E21" s="770"/>
      <c r="G21" s="872"/>
      <c r="J21" s="873"/>
    </row>
    <row r="22" spans="2:10" x14ac:dyDescent="0.2">
      <c r="B22" s="772"/>
      <c r="C22" s="1184"/>
      <c r="D22" s="1185"/>
      <c r="E22" s="770"/>
      <c r="G22" s="872"/>
      <c r="J22" s="873"/>
    </row>
    <row r="23" spans="2:10" x14ac:dyDescent="0.2">
      <c r="B23" s="772"/>
      <c r="C23" s="1184"/>
      <c r="D23" s="1185"/>
      <c r="E23" s="770"/>
      <c r="G23" s="872"/>
      <c r="J23" s="873"/>
    </row>
    <row r="24" spans="2:10" x14ac:dyDescent="0.2">
      <c r="B24" s="772"/>
      <c r="C24" s="1184"/>
      <c r="D24" s="1185"/>
      <c r="E24" s="770"/>
      <c r="G24" s="872"/>
      <c r="J24" s="873"/>
    </row>
    <row r="25" spans="2:10" x14ac:dyDescent="0.2">
      <c r="B25" s="772"/>
      <c r="C25" s="1184"/>
      <c r="D25" s="1185"/>
      <c r="E25" s="770"/>
      <c r="G25" s="872"/>
      <c r="J25" s="873"/>
    </row>
    <row r="26" spans="2:10" x14ac:dyDescent="0.2">
      <c r="B26" s="772"/>
      <c r="C26" s="1184"/>
      <c r="D26" s="1185"/>
      <c r="E26" s="770"/>
      <c r="G26" s="872"/>
      <c r="J26" s="873"/>
    </row>
    <row r="27" spans="2:10" x14ac:dyDescent="0.2">
      <c r="B27" s="772"/>
      <c r="C27" s="1184"/>
      <c r="D27" s="1185"/>
      <c r="E27" s="770"/>
      <c r="G27" s="872"/>
      <c r="J27" s="873"/>
    </row>
    <row r="28" spans="2:10" x14ac:dyDescent="0.2">
      <c r="B28" s="772"/>
      <c r="C28" s="1184"/>
      <c r="D28" s="1185"/>
      <c r="E28" s="770"/>
      <c r="G28" s="872"/>
      <c r="J28" s="873"/>
    </row>
    <row r="29" spans="2:10" ht="13.5" thickBot="1" x14ac:dyDescent="0.25">
      <c r="B29" s="876"/>
      <c r="C29" s="1186"/>
      <c r="D29" s="1187"/>
      <c r="E29" s="774"/>
      <c r="G29" s="872"/>
      <c r="J29" s="873"/>
    </row>
    <row r="30" spans="2:10" ht="13.5" thickBot="1" x14ac:dyDescent="0.25">
      <c r="G30" s="872"/>
      <c r="J30" s="873"/>
    </row>
    <row r="31" spans="2:10" x14ac:dyDescent="0.2">
      <c r="B31" s="877" t="s">
        <v>474</v>
      </c>
      <c r="C31" s="878" t="s">
        <v>494</v>
      </c>
      <c r="D31" s="878" t="s">
        <v>495</v>
      </c>
      <c r="E31" s="879" t="s">
        <v>496</v>
      </c>
      <c r="G31" s="872"/>
      <c r="J31" s="873"/>
    </row>
    <row r="32" spans="2:10" x14ac:dyDescent="0.2">
      <c r="B32" s="880" t="s">
        <v>497</v>
      </c>
      <c r="C32" s="775">
        <f ca="1">'Ger_Tec e Adm'!N71</f>
        <v>243899.46582717574</v>
      </c>
      <c r="D32" s="776">
        <f t="shared" ref="D32:D46" ca="1" si="0">C32/C$47</f>
        <v>0.15212845699990077</v>
      </c>
      <c r="E32" s="881">
        <f t="shared" ref="E32:E46" ca="1" si="1">C32/$E$9</f>
        <v>740.05360265550792</v>
      </c>
      <c r="G32" s="872"/>
      <c r="J32" s="873"/>
    </row>
    <row r="33" spans="2:10" x14ac:dyDescent="0.2">
      <c r="B33" s="882" t="s">
        <v>371</v>
      </c>
      <c r="C33" s="778">
        <f ca="1">Ger_Executivo!N8</f>
        <v>113009.79858982813</v>
      </c>
      <c r="D33" s="777">
        <f t="shared" ca="1" si="0"/>
        <v>7.0488085027304512E-2</v>
      </c>
      <c r="E33" s="883">
        <f t="shared" ca="1" si="1"/>
        <v>342.90074518259593</v>
      </c>
      <c r="G33" s="872"/>
      <c r="J33" s="873"/>
    </row>
    <row r="34" spans="2:10" x14ac:dyDescent="0.2">
      <c r="B34" s="880" t="s">
        <v>397</v>
      </c>
      <c r="C34" s="775">
        <f ca="1">Ger_Executivo!N35</f>
        <v>190194.42273595065</v>
      </c>
      <c r="D34" s="776">
        <f t="shared" ca="1" si="0"/>
        <v>0.11863078077140723</v>
      </c>
      <c r="E34" s="881">
        <f t="shared" ca="1" si="1"/>
        <v>577.09871267394078</v>
      </c>
      <c r="G34" s="872"/>
      <c r="J34" s="873"/>
    </row>
    <row r="35" spans="2:10" x14ac:dyDescent="0.2">
      <c r="B35" s="882" t="s">
        <v>498</v>
      </c>
      <c r="C35" s="778">
        <f ca="1">Ger_Executivo!N59</f>
        <v>60429.042308205993</v>
      </c>
      <c r="D35" s="777">
        <f t="shared" ca="1" si="0"/>
        <v>3.7691665019238429E-2</v>
      </c>
      <c r="E35" s="883">
        <f t="shared" ca="1" si="1"/>
        <v>183.35723005190397</v>
      </c>
      <c r="G35" s="872"/>
      <c r="J35" s="873"/>
    </row>
    <row r="36" spans="2:10" x14ac:dyDescent="0.2">
      <c r="B36" s="880" t="s">
        <v>499</v>
      </c>
      <c r="C36" s="775">
        <f ca="1">Ger_Executivo!N76+Ger_Executivo!N85+Ger_Executivo!N101</f>
        <v>207012.27485779699</v>
      </c>
      <c r="D36" s="776">
        <f t="shared" ca="1" si="0"/>
        <v>0.12912065160680256</v>
      </c>
      <c r="E36" s="881">
        <f t="shared" ca="1" si="1"/>
        <v>628.12839414326845</v>
      </c>
      <c r="G36" s="872"/>
      <c r="J36" s="873"/>
    </row>
    <row r="37" spans="2:10" x14ac:dyDescent="0.2">
      <c r="B37" s="882" t="s">
        <v>451</v>
      </c>
      <c r="C37" s="778">
        <f ca="1">Ger_Executivo!N107</f>
        <v>11221.223</v>
      </c>
      <c r="D37" s="777">
        <f t="shared" ca="1" si="0"/>
        <v>6.9990614159499837E-3</v>
      </c>
      <c r="E37" s="883">
        <f t="shared" ca="1" si="1"/>
        <v>34.048071729829779</v>
      </c>
      <c r="G37" s="872"/>
      <c r="J37" s="873"/>
    </row>
    <row r="38" spans="2:10" x14ac:dyDescent="0.2">
      <c r="B38" s="880" t="s">
        <v>863</v>
      </c>
      <c r="C38" s="775">
        <f ca="1">Ger_Executivo!N113</f>
        <v>80151.68611905002</v>
      </c>
      <c r="D38" s="776">
        <f t="shared" ca="1" si="0"/>
        <v>4.9993353998862414E-2</v>
      </c>
      <c r="E38" s="881">
        <f t="shared" ca="1" si="1"/>
        <v>243.20079533649914</v>
      </c>
      <c r="G38" s="872"/>
      <c r="J38" s="873"/>
    </row>
    <row r="39" spans="2:10" x14ac:dyDescent="0.2">
      <c r="B39" s="882" t="s">
        <v>632</v>
      </c>
      <c r="C39" s="778">
        <f ca="1">Ger_Executivo!N131</f>
        <v>70071.757923655285</v>
      </c>
      <c r="D39" s="777">
        <f t="shared" ca="1" si="0"/>
        <v>4.3706157272807362E-2</v>
      </c>
      <c r="E39" s="883">
        <f t="shared" ca="1" si="1"/>
        <v>212.61570508133411</v>
      </c>
      <c r="G39" s="872"/>
      <c r="J39" s="873"/>
    </row>
    <row r="40" spans="2:10" x14ac:dyDescent="0.2">
      <c r="B40" s="880" t="s">
        <v>2610</v>
      </c>
      <c r="C40" s="775">
        <f ca="1">Ger_Executivo!N148</f>
        <v>150930.29667800004</v>
      </c>
      <c r="D40" s="776">
        <f t="shared" ca="1" si="0"/>
        <v>9.4140399489153204E-2</v>
      </c>
      <c r="E40" s="881">
        <f ca="1">C40/$E$9</f>
        <v>457.96127280395683</v>
      </c>
      <c r="G40" s="872"/>
      <c r="J40" s="873"/>
    </row>
    <row r="41" spans="2:10" x14ac:dyDescent="0.2">
      <c r="B41" s="882" t="s">
        <v>2611</v>
      </c>
      <c r="C41" s="778">
        <f ca="1">Ger_Executivo!N174</f>
        <v>50473.2022</v>
      </c>
      <c r="D41" s="777">
        <f t="shared" ca="1" si="0"/>
        <v>3.1481866286541302E-2</v>
      </c>
      <c r="E41" s="883">
        <f ca="1">C41/$E$9</f>
        <v>153.14865491397882</v>
      </c>
      <c r="G41" s="872"/>
      <c r="J41" s="873"/>
    </row>
    <row r="42" spans="2:10" x14ac:dyDescent="0.2">
      <c r="B42" s="880" t="s">
        <v>410</v>
      </c>
      <c r="C42" s="775">
        <f ca="1">Ger_Executivo!N187</f>
        <v>41028.63363603333</v>
      </c>
      <c r="D42" s="776">
        <f t="shared" ca="1" si="0"/>
        <v>2.5590965140886032E-2</v>
      </c>
      <c r="E42" s="881">
        <f t="shared" ca="1" si="1"/>
        <v>124.4914089147475</v>
      </c>
      <c r="G42" s="872"/>
      <c r="J42" s="873"/>
    </row>
    <row r="43" spans="2:10" x14ac:dyDescent="0.2">
      <c r="B43" s="882" t="s">
        <v>502</v>
      </c>
      <c r="C43" s="778">
        <f ca="1">Ger_Executivo!N216</f>
        <v>184438.30568505928</v>
      </c>
      <c r="D43" s="777">
        <f t="shared" ca="1" si="0"/>
        <v>0.1150404932638347</v>
      </c>
      <c r="E43" s="883">
        <f t="shared" ca="1" si="1"/>
        <v>559.63317560778978</v>
      </c>
      <c r="G43" s="872"/>
      <c r="J43" s="873"/>
    </row>
    <row r="44" spans="2:10" x14ac:dyDescent="0.2">
      <c r="B44" s="880" t="s">
        <v>414</v>
      </c>
      <c r="C44" s="775">
        <f ca="1">Ger_Executivo!N197</f>
        <v>137257.00257303804</v>
      </c>
      <c r="D44" s="776">
        <f t="shared" ca="1" si="0"/>
        <v>8.5611897275180995E-2</v>
      </c>
      <c r="E44" s="881">
        <f t="shared" ca="1" si="1"/>
        <v>416.47298775082089</v>
      </c>
      <c r="G44" s="872"/>
      <c r="J44" s="873"/>
    </row>
    <row r="45" spans="2:10" x14ac:dyDescent="0.2">
      <c r="B45" s="882" t="s">
        <v>503</v>
      </c>
      <c r="C45" s="778">
        <f ca="1">Ger_Executivo!N234</f>
        <v>36475.844044765749</v>
      </c>
      <c r="D45" s="777">
        <f t="shared" ca="1" si="0"/>
        <v>2.2751234216442269E-2</v>
      </c>
      <c r="E45" s="883">
        <f t="shared" ca="1" si="1"/>
        <v>110.677076326018</v>
      </c>
      <c r="G45" s="872"/>
      <c r="J45" s="873"/>
    </row>
    <row r="46" spans="2:10" x14ac:dyDescent="0.2">
      <c r="B46" s="880" t="s">
        <v>865</v>
      </c>
      <c r="C46" s="775">
        <f ca="1">Ger_Executivo!N250</f>
        <v>26653.869807027662</v>
      </c>
      <c r="D46" s="776">
        <f t="shared" ca="1" si="0"/>
        <v>1.6624932215688216E-2</v>
      </c>
      <c r="E46" s="881">
        <f t="shared" ca="1" si="1"/>
        <v>80.874684610333659</v>
      </c>
      <c r="G46" s="872"/>
      <c r="J46" s="873"/>
    </row>
    <row r="47" spans="2:10" x14ac:dyDescent="0.2">
      <c r="B47" s="884" t="s">
        <v>10</v>
      </c>
      <c r="C47" s="779">
        <f ca="1">SUM(C32:C46)</f>
        <v>1603246.825985587</v>
      </c>
      <c r="D47" s="780">
        <f ca="1">SUM(D32:D46)</f>
        <v>0.99999999999999989</v>
      </c>
      <c r="E47" s="885">
        <f ca="1">SUM(E32:E46)</f>
        <v>4864.6625177825254</v>
      </c>
      <c r="F47" s="886"/>
      <c r="G47" s="887"/>
      <c r="J47" s="873"/>
    </row>
    <row r="48" spans="2:10" ht="13.5" thickBot="1" x14ac:dyDescent="0.25">
      <c r="B48" s="888" t="s">
        <v>504</v>
      </c>
      <c r="C48" s="889">
        <v>2978.02</v>
      </c>
      <c r="D48" s="890">
        <v>45870</v>
      </c>
      <c r="E48" s="891" t="str">
        <f ca="1">ROUNDUP(+E47/C48,2)&amp;" CUB"</f>
        <v>1,64 CUB</v>
      </c>
      <c r="G48" s="892"/>
      <c r="H48" s="893"/>
      <c r="I48" s="893"/>
      <c r="J48" s="894"/>
    </row>
    <row r="53" spans="3:4" x14ac:dyDescent="0.2">
      <c r="C53" s="886">
        <f ca="1">SUM(C33:C45)*0.19</f>
        <v>253211.76316676283</v>
      </c>
      <c r="D53" s="766">
        <f>190649.26/964799.8</f>
        <v>0.19760499535758611</v>
      </c>
    </row>
    <row r="54" spans="3:4" x14ac:dyDescent="0.2">
      <c r="C54" s="886">
        <f ca="1">C53*0.11</f>
        <v>27853.293948343911</v>
      </c>
    </row>
  </sheetData>
  <mergeCells count="27">
    <mergeCell ref="C8:D8"/>
    <mergeCell ref="A1:B3"/>
    <mergeCell ref="A4:J4"/>
    <mergeCell ref="C6:D6"/>
    <mergeCell ref="G6:J6"/>
    <mergeCell ref="C7:D7"/>
    <mergeCell ref="C20:D20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7:D27"/>
    <mergeCell ref="C28:D28"/>
    <mergeCell ref="C29:D29"/>
    <mergeCell ref="C21:D21"/>
    <mergeCell ref="C22:D22"/>
    <mergeCell ref="C23:D23"/>
    <mergeCell ref="C24:D24"/>
    <mergeCell ref="C25:D25"/>
    <mergeCell ref="C26:D26"/>
  </mergeCells>
  <pageMargins left="0.511811024" right="0.511811024" top="0.78740157499999996" bottom="0.78740157499999996" header="0.31496062000000002" footer="0.31496062000000002"/>
  <pageSetup paperSize="9" scale="42" orientation="portrait" r:id="rId1"/>
  <colBreaks count="1" manualBreakCount="1">
    <brk id="11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4AF1-979F-4BCB-98C6-A5257EFBBFBC}">
  <sheetPr>
    <tabColor rgb="FFF43800"/>
  </sheetPr>
  <dimension ref="A1:D28"/>
  <sheetViews>
    <sheetView showGridLines="0" zoomScale="145" zoomScaleNormal="145" workbookViewId="0">
      <selection activeCell="B10" sqref="B10"/>
    </sheetView>
  </sheetViews>
  <sheetFormatPr defaultRowHeight="12.75" x14ac:dyDescent="0.2"/>
  <cols>
    <col min="1" max="1" width="40" bestFit="1" customWidth="1"/>
    <col min="2" max="2" width="13.5703125" bestFit="1" customWidth="1"/>
    <col min="3" max="3" width="6" bestFit="1" customWidth="1"/>
    <col min="4" max="4" width="9.5703125" bestFit="1" customWidth="1"/>
  </cols>
  <sheetData>
    <row r="1" spans="1:4" x14ac:dyDescent="0.2">
      <c r="A1" s="877" t="s">
        <v>474</v>
      </c>
      <c r="B1" s="878" t="s">
        <v>494</v>
      </c>
      <c r="C1" s="878" t="s">
        <v>495</v>
      </c>
      <c r="D1" s="879" t="s">
        <v>496</v>
      </c>
    </row>
    <row r="2" spans="1:4" x14ac:dyDescent="0.2">
      <c r="A2" s="880" t="s">
        <v>497</v>
      </c>
      <c r="B2" s="775">
        <f ca="1">'Obra '!C32</f>
        <v>243899.46582717574</v>
      </c>
      <c r="C2" s="776">
        <f t="shared" ref="C2:C26" ca="1" si="0">B2/$B$27</f>
        <v>0.15212845699990071</v>
      </c>
      <c r="D2" s="881">
        <f ca="1">B2/'Obra '!$E$9</f>
        <v>740.05360265550792</v>
      </c>
    </row>
    <row r="3" spans="1:4" x14ac:dyDescent="0.2">
      <c r="A3" s="882" t="s">
        <v>368</v>
      </c>
      <c r="B3" s="778">
        <f ca="1">Ger_Executivo!N9</f>
        <v>10084.167840185286</v>
      </c>
      <c r="C3" s="777">
        <f t="shared" ca="1" si="0"/>
        <v>6.2898411378335944E-3</v>
      </c>
      <c r="D3" s="883">
        <f ca="1">B3/'Obra '!$E$9</f>
        <v>30.597954426025687</v>
      </c>
    </row>
    <row r="4" spans="1:4" x14ac:dyDescent="0.2">
      <c r="A4" s="880" t="s">
        <v>371</v>
      </c>
      <c r="B4" s="775">
        <f ca="1">Ger_Executivo!N19</f>
        <v>102925.63074964285</v>
      </c>
      <c r="C4" s="776">
        <f t="shared" ca="1" si="0"/>
        <v>6.4198243889470902E-2</v>
      </c>
      <c r="D4" s="881">
        <f ca="1">B4/'Obra '!$E$9</f>
        <v>312.30279075657023</v>
      </c>
    </row>
    <row r="5" spans="1:4" x14ac:dyDescent="0.2">
      <c r="A5" s="882" t="s">
        <v>397</v>
      </c>
      <c r="B5" s="778">
        <f ca="1">Ger_Executivo!N35</f>
        <v>190194.42273595065</v>
      </c>
      <c r="C5" s="777">
        <f t="shared" ca="1" si="0"/>
        <v>0.11863078077140719</v>
      </c>
      <c r="D5" s="883">
        <f ca="1">B5/'Obra '!$E$9</f>
        <v>577.09871267394078</v>
      </c>
    </row>
    <row r="6" spans="1:4" x14ac:dyDescent="0.2">
      <c r="A6" s="880" t="s">
        <v>498</v>
      </c>
      <c r="B6" s="775">
        <f ca="1">Ger_Executivo!N59</f>
        <v>60429.042308205993</v>
      </c>
      <c r="C6" s="776">
        <f t="shared" ca="1" si="0"/>
        <v>3.7691665019238423E-2</v>
      </c>
      <c r="D6" s="881">
        <f ca="1">B6/'Obra '!$E$9</f>
        <v>183.35723005190397</v>
      </c>
    </row>
    <row r="7" spans="1:4" x14ac:dyDescent="0.2">
      <c r="A7" s="882" t="s">
        <v>499</v>
      </c>
      <c r="B7" s="778">
        <f ca="1">Ger_Executivo!N76+Ger_Executivo!N85+Ger_Executivo!N101-B10-B23</f>
        <v>127201.76085779698</v>
      </c>
      <c r="C7" s="777">
        <f t="shared" ca="1" si="0"/>
        <v>7.9340098352978422E-2</v>
      </c>
      <c r="D7" s="883">
        <f ca="1">B7/'Obra '!$E$9</f>
        <v>385.9628026149133</v>
      </c>
    </row>
    <row r="8" spans="1:4" x14ac:dyDescent="0.2">
      <c r="A8" s="880" t="s">
        <v>451</v>
      </c>
      <c r="B8" s="775">
        <f ca="1">Ger_Executivo!N107</f>
        <v>11221.223</v>
      </c>
      <c r="C8" s="776">
        <f t="shared" ca="1" si="0"/>
        <v>6.9990614159499819E-3</v>
      </c>
      <c r="D8" s="881">
        <f ca="1">B8/'Obra '!$E$9</f>
        <v>34.048071729829779</v>
      </c>
    </row>
    <row r="9" spans="1:4" x14ac:dyDescent="0.2">
      <c r="A9" s="882" t="s">
        <v>450</v>
      </c>
      <c r="B9" s="778">
        <v>0</v>
      </c>
      <c r="C9" s="777">
        <f t="shared" ca="1" si="0"/>
        <v>0</v>
      </c>
      <c r="D9" s="883">
        <f>B9/'Obra '!$E$9</f>
        <v>0</v>
      </c>
    </row>
    <row r="10" spans="1:4" x14ac:dyDescent="0.2">
      <c r="A10" s="880" t="s">
        <v>2603</v>
      </c>
      <c r="B10" s="775">
        <f ca="1">Ger_Executivo!N97</f>
        <v>10955.697999999999</v>
      </c>
      <c r="C10" s="776">
        <f t="shared" ca="1" si="0"/>
        <v>6.8334443720261488E-3</v>
      </c>
      <c r="D10" s="881">
        <f ca="1">B10/'Obra '!$E$9</f>
        <v>33.242400703947567</v>
      </c>
    </row>
    <row r="11" spans="1:4" x14ac:dyDescent="0.2">
      <c r="A11" s="882" t="s">
        <v>2604</v>
      </c>
      <c r="B11" s="778">
        <f>SUMIF(Ger_Executivo!Q:Q,A11,Ger_Executivo!N:N)</f>
        <v>26511.959507799998</v>
      </c>
      <c r="C11" s="777">
        <f t="shared" ca="1" si="0"/>
        <v>1.6536417897788078E-2</v>
      </c>
      <c r="D11" s="883">
        <f>B11/'Obra '!$E$9</f>
        <v>80.444092325757808</v>
      </c>
    </row>
    <row r="12" spans="1:4" x14ac:dyDescent="0.2">
      <c r="A12" s="880" t="s">
        <v>2605</v>
      </c>
      <c r="B12" s="775">
        <f>SUMIF(Ger_Executivo!Q:Q,A12,Ger_Executivo!N:N)</f>
        <v>33446.834324250005</v>
      </c>
      <c r="C12" s="776">
        <f t="shared" ca="1" si="0"/>
        <v>2.0861937028123379E-2</v>
      </c>
      <c r="D12" s="881">
        <f>B12/'Obra '!$E$9</f>
        <v>101.4862831090512</v>
      </c>
    </row>
    <row r="13" spans="1:4" x14ac:dyDescent="0.2">
      <c r="A13" s="882" t="s">
        <v>864</v>
      </c>
      <c r="B13" s="778">
        <f ca="1">SUMIF(Ger_Executivo!Q:Q,A13,Ger_Executivo!N:N)</f>
        <v>380.67219999999998</v>
      </c>
      <c r="C13" s="777">
        <f t="shared" ca="1" si="0"/>
        <v>2.3743829947455767E-4</v>
      </c>
      <c r="D13" s="883">
        <f ca="1">B13/'Obra '!$E$9</f>
        <v>1.1550571957399034</v>
      </c>
    </row>
    <row r="14" spans="1:4" x14ac:dyDescent="0.2">
      <c r="A14" s="880" t="s">
        <v>632</v>
      </c>
      <c r="B14" s="775">
        <f ca="1">SUMIF(Ger_Executivo!Q:Q,A14,Ger_Executivo!N:N)</f>
        <v>90264.650210655294</v>
      </c>
      <c r="C14" s="776">
        <f t="shared" ca="1" si="0"/>
        <v>5.6301156345758288E-2</v>
      </c>
      <c r="D14" s="881">
        <f ca="1">B14/'Obra '!$E$9</f>
        <v>273.88612498302422</v>
      </c>
    </row>
    <row r="15" spans="1:4" x14ac:dyDescent="0.2">
      <c r="A15" s="882" t="s">
        <v>829</v>
      </c>
      <c r="B15" s="778">
        <f ca="1">SUMIF(Ger_Executivo!Q:Q,A15,Ger_Executivo!N:N)</f>
        <v>28197.116854000004</v>
      </c>
      <c r="C15" s="777">
        <f t="shared" ca="1" si="0"/>
        <v>1.7587508296899933E-2</v>
      </c>
      <c r="D15" s="883">
        <f ca="1">B15/'Obra '!$E$9</f>
        <v>85.557292393118317</v>
      </c>
    </row>
    <row r="16" spans="1:4" x14ac:dyDescent="0.2">
      <c r="A16" s="880" t="s">
        <v>500</v>
      </c>
      <c r="B16" s="775">
        <f ca="1">SUMIF(Ger_Executivo!Q:Q,A16,Ger_Executivo!N:N)</f>
        <v>122733.17982400004</v>
      </c>
      <c r="C16" s="776">
        <f t="shared" ca="1" si="0"/>
        <v>7.6552891192253239E-2</v>
      </c>
      <c r="D16" s="881">
        <f ca="1">B16/'Obra '!$E$9</f>
        <v>372.40398041083847</v>
      </c>
    </row>
    <row r="17" spans="1:4" x14ac:dyDescent="0.2">
      <c r="A17" s="882" t="s">
        <v>501</v>
      </c>
      <c r="B17" s="778">
        <f ca="1">SUMIF(Ger_Executivo!Q:Q,A17,Ger_Executivo!N:N)</f>
        <v>50092.53</v>
      </c>
      <c r="C17" s="777">
        <f t="shared" ca="1" si="0"/>
        <v>3.1244427987066736E-2</v>
      </c>
      <c r="D17" s="883">
        <f ca="1">B17/'Obra '!$E$9</f>
        <v>151.99359771823893</v>
      </c>
    </row>
    <row r="18" spans="1:4" x14ac:dyDescent="0.2">
      <c r="A18" s="880" t="s">
        <v>410</v>
      </c>
      <c r="B18" s="775">
        <f ca="1">SUMIF(Ger_Executivo!Q:Q,A18,Ger_Executivo!N:N)</f>
        <v>41028.63363603333</v>
      </c>
      <c r="C18" s="776">
        <f t="shared" ca="1" si="0"/>
        <v>2.5590965140886025E-2</v>
      </c>
      <c r="D18" s="881">
        <f ca="1">B18/'Obra '!$E$9</f>
        <v>124.4914089147475</v>
      </c>
    </row>
    <row r="19" spans="1:4" x14ac:dyDescent="0.2">
      <c r="A19" s="882" t="s">
        <v>2606</v>
      </c>
      <c r="B19" s="778">
        <f ca="1">SUMIF(Ger_Executivo!Q:Q,A19,Ger_Executivo!N:N)</f>
        <v>49075.814340671212</v>
      </c>
      <c r="C19" s="777">
        <f t="shared" ca="1" si="0"/>
        <v>3.0610267580291086E-2</v>
      </c>
      <c r="D19" s="883">
        <f ca="1">B19/'Obra '!$E$9</f>
        <v>148.9086213571357</v>
      </c>
    </row>
    <row r="20" spans="1:4" x14ac:dyDescent="0.2">
      <c r="A20" s="880" t="s">
        <v>2607</v>
      </c>
      <c r="B20" s="775">
        <f ca="1">SUMIF(Ger_Executivo!Q:Q,A20,Ger_Executivo!N:N)</f>
        <v>48409.091874559992</v>
      </c>
      <c r="C20" s="776">
        <f t="shared" ca="1" si="0"/>
        <v>3.0194409924872774E-2</v>
      </c>
      <c r="D20" s="881">
        <f ca="1">B20/'Obra '!$E$9</f>
        <v>146.88561420808929</v>
      </c>
    </row>
    <row r="21" spans="1:4" x14ac:dyDescent="0.2">
      <c r="A21" s="882" t="s">
        <v>2608</v>
      </c>
      <c r="B21" s="778">
        <f ca="1">SUMIF(Ger_Executivo!Q:Q,A21,Ger_Executivo!N:N)</f>
        <v>100308.05190661384</v>
      </c>
      <c r="C21" s="777">
        <f t="shared" ca="1" si="0"/>
        <v>6.2565570242092944E-2</v>
      </c>
      <c r="D21" s="883">
        <f ca="1">B21/'Obra '!$E$9</f>
        <v>304.36038446039942</v>
      </c>
    </row>
    <row r="22" spans="1:4" x14ac:dyDescent="0.2">
      <c r="A22" s="880" t="s">
        <v>414</v>
      </c>
      <c r="B22" s="775">
        <f ca="1">SUMIF(Ger_Executivo!Q:Q,A22,Ger_Executivo!N:N)</f>
        <v>137257.00257303804</v>
      </c>
      <c r="C22" s="776">
        <f t="shared" ca="1" si="0"/>
        <v>8.5611897275180968E-2</v>
      </c>
      <c r="D22" s="881">
        <f ca="1">B22/'Obra '!$E$9</f>
        <v>416.47298775082089</v>
      </c>
    </row>
    <row r="23" spans="1:4" x14ac:dyDescent="0.2">
      <c r="A23" s="882" t="s">
        <v>418</v>
      </c>
      <c r="B23" s="778">
        <f ca="1">Ger_Executivo!N81</f>
        <v>68854.816000000006</v>
      </c>
      <c r="C23" s="777">
        <f t="shared" ca="1" si="0"/>
        <v>4.2947108881797959E-2</v>
      </c>
      <c r="D23" s="883">
        <f ca="1">B23/'Obra '!$E$9</f>
        <v>208.92319082440758</v>
      </c>
    </row>
    <row r="24" spans="1:4" x14ac:dyDescent="0.2">
      <c r="A24" s="880" t="s">
        <v>92</v>
      </c>
      <c r="B24" s="775">
        <f>Ger_Executivo!N379</f>
        <v>0</v>
      </c>
      <c r="C24" s="776">
        <f t="shared" ca="1" si="0"/>
        <v>0</v>
      </c>
      <c r="D24" s="881">
        <f>B24/'Obra '!$E$9</f>
        <v>0</v>
      </c>
    </row>
    <row r="25" spans="1:4" x14ac:dyDescent="0.2">
      <c r="A25" s="882" t="s">
        <v>503</v>
      </c>
      <c r="B25" s="778">
        <f ca="1">Ger_Executivo!N242+Ger_Executivo!N236</f>
        <v>23121.191607979999</v>
      </c>
      <c r="C25" s="777">
        <f t="shared" ca="1" si="0"/>
        <v>1.442147973302013E-2</v>
      </c>
      <c r="D25" s="883">
        <f ca="1">B25/'Obra '!$E$9</f>
        <v>70.155631908183395</v>
      </c>
    </row>
    <row r="26" spans="1:4" x14ac:dyDescent="0.2">
      <c r="A26" s="880" t="s">
        <v>865</v>
      </c>
      <c r="B26" s="775">
        <f ca="1">Ger_Executivo!N250</f>
        <v>26653.869807027662</v>
      </c>
      <c r="C26" s="776">
        <f t="shared" ca="1" si="0"/>
        <v>1.6624932215688209E-2</v>
      </c>
      <c r="D26" s="881">
        <f ca="1">B26/'Obra '!$E$9</f>
        <v>80.874684610333659</v>
      </c>
    </row>
    <row r="27" spans="1:4" x14ac:dyDescent="0.2">
      <c r="A27" s="884" t="s">
        <v>10</v>
      </c>
      <c r="B27" s="779">
        <f ca="1">SUM(B2:B26)</f>
        <v>1603246.8259855874</v>
      </c>
      <c r="C27" s="780">
        <f ca="1">SUM(C2:C26)</f>
        <v>0.99999999999999956</v>
      </c>
      <c r="D27" s="885">
        <f ca="1">SUM(D2:D26)</f>
        <v>4864.6625177825263</v>
      </c>
    </row>
    <row r="28" spans="1:4" ht="13.5" thickBot="1" x14ac:dyDescent="0.25">
      <c r="A28" s="888" t="s">
        <v>504</v>
      </c>
      <c r="B28" s="889">
        <v>2978.02</v>
      </c>
      <c r="C28" s="890">
        <v>45870</v>
      </c>
      <c r="D28" s="891" t="str">
        <f ca="1">ROUNDUP(+D27/B28,2)&amp;" CUB"</f>
        <v>1,64 CUB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143F-DE94-4861-B42A-0F952945B1F0}">
  <sheetPr>
    <tabColor rgb="FF1851D6"/>
    <outlinePr summaryBelow="0"/>
    <pageSetUpPr fitToPage="1"/>
  </sheetPr>
  <dimension ref="A1:L12"/>
  <sheetViews>
    <sheetView showGridLines="0" topLeftCell="B1" zoomScale="85" zoomScaleNormal="85" workbookViewId="0">
      <selection activeCell="B27" sqref="B27"/>
    </sheetView>
  </sheetViews>
  <sheetFormatPr defaultColWidth="9.140625" defaultRowHeight="18.75" outlineLevelRow="1" outlineLevelCol="1" x14ac:dyDescent="0.55000000000000004"/>
  <cols>
    <col min="1" max="1" width="5.5703125" style="1012" customWidth="1"/>
    <col min="2" max="2" width="51.28515625" style="1012" customWidth="1"/>
    <col min="3" max="3" width="7.85546875" style="1036" bestFit="1" customWidth="1"/>
    <col min="4" max="4" width="15.7109375" style="1012" customWidth="1"/>
    <col min="5" max="5" width="12" style="1037" customWidth="1"/>
    <col min="6" max="6" width="20.5703125" style="1038" customWidth="1"/>
    <col min="7" max="7" width="100.5703125" style="1037" customWidth="1" outlineLevel="1"/>
    <col min="8" max="8" width="5.5703125" style="1012" customWidth="1"/>
    <col min="9" max="9" width="12.42578125" style="1012" customWidth="1"/>
    <col min="10" max="10" width="15.28515625" style="1012" customWidth="1"/>
    <col min="11" max="11" width="20.5703125" style="1012" customWidth="1"/>
    <col min="12" max="12" width="6.28515625" style="1012" customWidth="1"/>
    <col min="13" max="13" width="18.28515625" style="1012" customWidth="1"/>
    <col min="14" max="14" width="26.28515625" style="1012" customWidth="1"/>
    <col min="15" max="16384" width="9.140625" style="1012"/>
  </cols>
  <sheetData>
    <row r="1" spans="1:12" x14ac:dyDescent="0.55000000000000004">
      <c r="A1" s="1202"/>
      <c r="B1" s="1203"/>
      <c r="C1" s="1008" t="s">
        <v>388</v>
      </c>
      <c r="D1" s="1009" t="str">
        <f>'Obra '!D1</f>
        <v>Mowe</v>
      </c>
      <c r="E1" s="1010"/>
      <c r="F1" s="1010"/>
      <c r="G1" s="1011"/>
    </row>
    <row r="2" spans="1:12" x14ac:dyDescent="0.55000000000000004">
      <c r="A2" s="1204"/>
      <c r="B2" s="1205"/>
      <c r="C2" s="797" t="s">
        <v>358</v>
      </c>
      <c r="D2" s="1009" t="str">
        <f>'Obra '!D2</f>
        <v>MARTINS|FRANCEZ ENGENHARIA</v>
      </c>
      <c r="E2" s="1013"/>
      <c r="F2" s="1013"/>
      <c r="G2" s="1014"/>
    </row>
    <row r="3" spans="1:12" x14ac:dyDescent="0.55000000000000004">
      <c r="A3" s="1206"/>
      <c r="B3" s="1207"/>
      <c r="C3" s="797" t="s">
        <v>359</v>
      </c>
      <c r="D3" s="1009" t="str">
        <f>'Obra '!D3</f>
        <v>R00</v>
      </c>
      <c r="E3" s="1013"/>
      <c r="F3" s="1013"/>
      <c r="G3" s="1015"/>
    </row>
    <row r="4" spans="1:12" ht="19.5" customHeight="1" x14ac:dyDescent="0.55000000000000004">
      <c r="A4" s="1208" t="s">
        <v>932</v>
      </c>
      <c r="B4" s="1208"/>
      <c r="C4" s="1208"/>
      <c r="D4" s="1208"/>
      <c r="E4" s="1208"/>
      <c r="F4" s="1208"/>
      <c r="G4" s="1208"/>
    </row>
    <row r="5" spans="1:12" s="1023" customFormat="1" ht="37.5" x14ac:dyDescent="0.2">
      <c r="A5" s="1016" t="s">
        <v>21</v>
      </c>
      <c r="B5" s="1017" t="s">
        <v>681</v>
      </c>
      <c r="C5" s="1017" t="s">
        <v>535</v>
      </c>
      <c r="D5" s="1018" t="s">
        <v>682</v>
      </c>
      <c r="E5" s="1019" t="s">
        <v>683</v>
      </c>
      <c r="F5" s="1020" t="s">
        <v>684</v>
      </c>
      <c r="G5" s="1021" t="s">
        <v>465</v>
      </c>
      <c r="H5" s="1022"/>
    </row>
    <row r="6" spans="1:12" s="1023" customFormat="1" ht="16.899999999999999" customHeight="1" x14ac:dyDescent="0.2">
      <c r="A6" s="576"/>
      <c r="B6" s="577" t="s">
        <v>685</v>
      </c>
      <c r="C6" s="576"/>
      <c r="D6" s="577"/>
      <c r="E6" s="576"/>
      <c r="F6" s="577">
        <f>SUM(F7:F11)</f>
        <v>3490</v>
      </c>
      <c r="G6" s="576"/>
      <c r="H6" s="1022"/>
    </row>
    <row r="7" spans="1:12" s="1023" customFormat="1" ht="16.899999999999999" customHeight="1" outlineLevel="1" x14ac:dyDescent="0.2">
      <c r="A7" s="798">
        <v>1</v>
      </c>
      <c r="B7" s="1024" t="s">
        <v>686</v>
      </c>
      <c r="C7" s="798" t="s">
        <v>419</v>
      </c>
      <c r="D7" s="799">
        <v>1450</v>
      </c>
      <c r="E7" s="1025">
        <v>1</v>
      </c>
      <c r="F7" s="1026">
        <f t="shared" ref="F7:F11" si="0">$D7*E7</f>
        <v>1450</v>
      </c>
      <c r="G7" s="1027"/>
      <c r="H7" s="1022"/>
      <c r="I7" s="1028"/>
      <c r="K7" s="1029"/>
    </row>
    <row r="8" spans="1:12" s="1023" customFormat="1" ht="16.899999999999999" customHeight="1" outlineLevel="1" x14ac:dyDescent="0.2">
      <c r="A8" s="798">
        <f>A7+1</f>
        <v>2</v>
      </c>
      <c r="B8" s="1024" t="s">
        <v>933</v>
      </c>
      <c r="C8" s="798" t="s">
        <v>687</v>
      </c>
      <c r="D8" s="799">
        <v>20</v>
      </c>
      <c r="E8" s="1025">
        <f>ROUNDUP(Ger_Executivo!L32/8,0)*4</f>
        <v>16</v>
      </c>
      <c r="F8" s="1026">
        <f t="shared" si="0"/>
        <v>320</v>
      </c>
      <c r="G8" s="1027" t="s">
        <v>688</v>
      </c>
      <c r="H8" s="1022"/>
      <c r="I8" s="1030"/>
      <c r="K8" s="1029"/>
      <c r="L8" s="1031"/>
    </row>
    <row r="9" spans="1:12" s="1023" customFormat="1" ht="16.899999999999999" customHeight="1" outlineLevel="1" x14ac:dyDescent="0.2">
      <c r="A9" s="798" t="e">
        <f>#REF!+1</f>
        <v>#REF!</v>
      </c>
      <c r="B9" s="1024" t="s">
        <v>934</v>
      </c>
      <c r="C9" s="798" t="s">
        <v>687</v>
      </c>
      <c r="D9" s="799">
        <v>20</v>
      </c>
      <c r="E9" s="1025">
        <f>ROUNDUP(Ger_Executivo!L54/8,0)*4</f>
        <v>32</v>
      </c>
      <c r="F9" s="1026">
        <f t="shared" si="0"/>
        <v>640</v>
      </c>
      <c r="G9" s="1027" t="s">
        <v>688</v>
      </c>
      <c r="H9" s="1022"/>
      <c r="I9" s="1030"/>
      <c r="K9" s="1029"/>
      <c r="L9" s="1031"/>
    </row>
    <row r="10" spans="1:12" s="1023" customFormat="1" ht="56.25" outlineLevel="1" x14ac:dyDescent="0.2">
      <c r="A10" s="798">
        <f>A8+1</f>
        <v>3</v>
      </c>
      <c r="B10" s="1024" t="s">
        <v>689</v>
      </c>
      <c r="C10" s="798" t="s">
        <v>690</v>
      </c>
      <c r="D10" s="799">
        <v>12.5</v>
      </c>
      <c r="E10" s="1025">
        <f>E8+E9</f>
        <v>48</v>
      </c>
      <c r="F10" s="1026">
        <f t="shared" si="0"/>
        <v>600</v>
      </c>
      <c r="G10" s="1027"/>
      <c r="H10" s="1022"/>
      <c r="I10" s="1028"/>
      <c r="K10" s="1029"/>
    </row>
    <row r="11" spans="1:12" s="1023" customFormat="1" ht="56.25" outlineLevel="1" x14ac:dyDescent="0.2">
      <c r="A11" s="798">
        <f>A10+1</f>
        <v>4</v>
      </c>
      <c r="B11" s="1024" t="s">
        <v>691</v>
      </c>
      <c r="C11" s="800" t="s">
        <v>692</v>
      </c>
      <c r="D11" s="801">
        <v>480</v>
      </c>
      <c r="E11" s="1025">
        <v>1</v>
      </c>
      <c r="F11" s="1032">
        <f t="shared" si="0"/>
        <v>480</v>
      </c>
      <c r="G11" s="1033" t="s">
        <v>693</v>
      </c>
      <c r="H11" s="1022"/>
      <c r="I11" s="1028"/>
      <c r="K11" s="1029"/>
    </row>
    <row r="12" spans="1:12" s="1023" customFormat="1" ht="16.899999999999999" customHeight="1" x14ac:dyDescent="0.2">
      <c r="A12" s="802"/>
      <c r="B12" s="802"/>
      <c r="C12" s="1209" t="s">
        <v>694</v>
      </c>
      <c r="D12" s="1210"/>
      <c r="E12" s="1034"/>
      <c r="F12" s="1035">
        <f>F6</f>
        <v>3490</v>
      </c>
      <c r="G12" s="576"/>
      <c r="H12" s="1022"/>
      <c r="I12" s="1028"/>
      <c r="K12" s="1029"/>
    </row>
  </sheetData>
  <sheetProtection selectLockedCells="1"/>
  <mergeCells count="3">
    <mergeCell ref="A1:B3"/>
    <mergeCell ref="A4:G4"/>
    <mergeCell ref="C12:D12"/>
  </mergeCells>
  <conditionalFormatting sqref="D7:D11">
    <cfRule type="cellIs" dxfId="2059" priority="10" operator="equal">
      <formula>#REF!</formula>
    </cfRule>
  </conditionalFormatting>
  <printOptions horizontalCentered="1"/>
  <pageMargins left="0.31496062992125984" right="0.11811023622047245" top="0.39370078740157483" bottom="0.19685039370078741" header="0.11811023622047245" footer="0"/>
  <pageSetup paperSize="8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1CF7-3FD8-444A-B094-88DD0F18D549}">
  <sheetPr>
    <tabColor rgb="FF1851D6"/>
  </sheetPr>
  <dimension ref="A1:H23"/>
  <sheetViews>
    <sheetView showGridLines="0" zoomScaleNormal="100" workbookViewId="0">
      <pane ySplit="4" topLeftCell="A5" activePane="bottomLeft" state="frozen"/>
      <selection activeCell="B27" sqref="B27"/>
      <selection pane="bottomLeft" activeCell="A18" sqref="A18:XFD64"/>
    </sheetView>
  </sheetViews>
  <sheetFormatPr defaultColWidth="14.42578125" defaultRowHeight="15" customHeight="1" x14ac:dyDescent="0.25"/>
  <cols>
    <col min="1" max="1" width="12" style="900" customWidth="1"/>
    <col min="2" max="2" width="41" style="900" bestFit="1" customWidth="1"/>
    <col min="3" max="3" width="15.5703125" style="900" customWidth="1"/>
    <col min="4" max="4" width="12.42578125" style="900" customWidth="1"/>
    <col min="5" max="5" width="12.7109375" style="900" customWidth="1"/>
    <col min="6" max="7" width="10.42578125" style="900" customWidth="1"/>
    <col min="8" max="8" width="36" style="900" customWidth="1"/>
    <col min="9" max="12" width="16.28515625" style="900" customWidth="1"/>
    <col min="13" max="16" width="8.7109375" style="900" customWidth="1"/>
    <col min="17" max="16384" width="14.42578125" style="900"/>
  </cols>
  <sheetData>
    <row r="1" spans="1:8" ht="21.75" x14ac:dyDescent="0.6">
      <c r="A1" s="895" t="s">
        <v>357</v>
      </c>
      <c r="B1" s="896" t="str">
        <f>'Obra '!D1</f>
        <v>Mowe</v>
      </c>
      <c r="C1" s="897"/>
      <c r="D1" s="898"/>
      <c r="E1" s="899"/>
      <c r="F1" s="899"/>
      <c r="G1" s="899"/>
      <c r="H1" s="925"/>
    </row>
    <row r="2" spans="1:8" ht="21.75" x14ac:dyDescent="0.6">
      <c r="A2" s="901" t="s">
        <v>358</v>
      </c>
      <c r="B2" s="902" t="str">
        <f>'Obra '!D2</f>
        <v>MARTINS|FRANCEZ ENGENHARIA</v>
      </c>
      <c r="C2" s="903"/>
      <c r="D2" s="904"/>
      <c r="E2" s="905"/>
      <c r="F2" s="905"/>
      <c r="G2" s="905"/>
      <c r="H2" s="926"/>
    </row>
    <row r="3" spans="1:8" ht="22.5" thickBot="1" x14ac:dyDescent="0.65">
      <c r="A3" s="901" t="s">
        <v>359</v>
      </c>
      <c r="B3" s="902" t="str">
        <f>'Obra '!D3</f>
        <v>R00</v>
      </c>
      <c r="C3" s="903"/>
      <c r="D3" s="904"/>
      <c r="E3" s="905"/>
      <c r="F3" s="927"/>
      <c r="G3" s="927"/>
      <c r="H3" s="926"/>
    </row>
    <row r="4" spans="1:8" ht="30.75" thickBot="1" x14ac:dyDescent="0.3">
      <c r="A4" s="1211" t="s">
        <v>667</v>
      </c>
      <c r="B4" s="1212"/>
      <c r="C4" s="1212"/>
      <c r="D4" s="1212"/>
      <c r="E4" s="1212"/>
      <c r="F4" s="1212"/>
      <c r="G4" s="1212"/>
      <c r="H4" s="1213"/>
    </row>
    <row r="5" spans="1:8" ht="22.5" thickTop="1" x14ac:dyDescent="0.6">
      <c r="A5" s="906" t="s">
        <v>667</v>
      </c>
      <c r="B5" s="907"/>
      <c r="C5" s="907"/>
      <c r="D5" s="908"/>
      <c r="E5" s="909"/>
      <c r="F5" s="909"/>
      <c r="G5" s="909"/>
      <c r="H5" s="910"/>
    </row>
    <row r="6" spans="1:8" ht="22.5" thickBot="1" x14ac:dyDescent="0.65">
      <c r="A6" s="911"/>
      <c r="B6" s="912"/>
      <c r="C6" s="912"/>
      <c r="D6" s="913"/>
      <c r="E6" s="914"/>
      <c r="F6" s="914"/>
      <c r="G6" s="914"/>
      <c r="H6" s="915"/>
    </row>
    <row r="7" spans="1:8" ht="21.75" x14ac:dyDescent="0.6">
      <c r="A7" s="911"/>
      <c r="B7" s="916" t="s">
        <v>0</v>
      </c>
      <c r="C7" s="917" t="s">
        <v>96</v>
      </c>
      <c r="D7" s="918" t="s">
        <v>110</v>
      </c>
      <c r="E7" s="914"/>
      <c r="F7" s="914"/>
      <c r="G7" s="914"/>
      <c r="H7" s="915"/>
    </row>
    <row r="8" spans="1:8" ht="21.75" x14ac:dyDescent="0.6">
      <c r="A8" s="911"/>
      <c r="B8" s="921" t="s">
        <v>668</v>
      </c>
      <c r="C8" s="922" t="s">
        <v>669</v>
      </c>
      <c r="D8" s="928">
        <f>'Obra '!$E$9/'Obra '!$E$7</f>
        <v>23.540714285714284</v>
      </c>
      <c r="E8" s="914"/>
      <c r="F8" s="914"/>
      <c r="G8" s="914"/>
      <c r="H8" s="915"/>
    </row>
    <row r="9" spans="1:8" ht="21.75" x14ac:dyDescent="0.6">
      <c r="A9" s="911"/>
      <c r="B9" s="923" t="s">
        <v>670</v>
      </c>
      <c r="C9" s="924" t="s">
        <v>671</v>
      </c>
      <c r="D9" s="929">
        <v>49</v>
      </c>
      <c r="E9" s="914"/>
      <c r="F9" s="914"/>
      <c r="G9" s="914"/>
      <c r="H9" s="915"/>
    </row>
    <row r="10" spans="1:8" ht="21.75" x14ac:dyDescent="0.6">
      <c r="A10" s="911"/>
      <c r="B10" s="930" t="s">
        <v>672</v>
      </c>
      <c r="C10" s="931" t="s">
        <v>2</v>
      </c>
      <c r="D10" s="932">
        <f>ROUNDUP(('Obra '!E9*D9)/'Obra '!E7/180,)</f>
        <v>7</v>
      </c>
      <c r="E10" s="914"/>
      <c r="F10" s="914"/>
      <c r="G10" s="914"/>
      <c r="H10" s="915"/>
    </row>
    <row r="11" spans="1:8" ht="21.75" x14ac:dyDescent="0.6">
      <c r="A11" s="911"/>
      <c r="B11" s="933" t="s">
        <v>673</v>
      </c>
      <c r="C11" s="934" t="s">
        <v>2</v>
      </c>
      <c r="D11" s="935">
        <v>2</v>
      </c>
      <c r="E11" s="914"/>
      <c r="F11" s="914"/>
      <c r="G11" s="914"/>
      <c r="H11" s="915"/>
    </row>
    <row r="12" spans="1:8" ht="21.75" x14ac:dyDescent="0.6">
      <c r="A12" s="911"/>
      <c r="B12" s="936" t="s">
        <v>867</v>
      </c>
      <c r="C12" s="937" t="s">
        <v>2</v>
      </c>
      <c r="D12" s="938">
        <f>ROUNDUP($D$10/20,0)</f>
        <v>1</v>
      </c>
      <c r="E12" s="939" t="s">
        <v>868</v>
      </c>
      <c r="F12" s="939"/>
      <c r="G12" s="939"/>
      <c r="H12" s="915"/>
    </row>
    <row r="13" spans="1:8" ht="21.75" x14ac:dyDescent="0.6">
      <c r="A13" s="911"/>
      <c r="B13" s="919" t="s">
        <v>870</v>
      </c>
      <c r="C13" s="937" t="s">
        <v>2</v>
      </c>
      <c r="D13" s="940">
        <f>ROUNDUP('Obra '!$E$13/5,0)</f>
        <v>1</v>
      </c>
      <c r="E13" s="939" t="s">
        <v>871</v>
      </c>
      <c r="F13" s="939"/>
      <c r="G13" s="939"/>
      <c r="H13" s="915"/>
    </row>
    <row r="14" spans="1:8" ht="21.75" x14ac:dyDescent="0.6">
      <c r="A14" s="920"/>
      <c r="B14" s="936" t="s">
        <v>674</v>
      </c>
      <c r="C14" s="937" t="s">
        <v>675</v>
      </c>
      <c r="D14" s="941">
        <f>800*D10</f>
        <v>5600</v>
      </c>
      <c r="E14" s="939" t="s">
        <v>676</v>
      </c>
      <c r="F14" s="939"/>
      <c r="G14" s="939"/>
      <c r="H14" s="915"/>
    </row>
    <row r="15" spans="1:8" ht="18" x14ac:dyDescent="0.45">
      <c r="A15" s="942"/>
      <c r="B15" s="936" t="s">
        <v>677</v>
      </c>
      <c r="C15" s="937" t="s">
        <v>675</v>
      </c>
      <c r="D15" s="941">
        <f>500*(D10+D11)</f>
        <v>4500</v>
      </c>
      <c r="E15" s="939" t="s">
        <v>678</v>
      </c>
      <c r="F15" s="943"/>
      <c r="G15" s="943"/>
      <c r="H15" s="944"/>
    </row>
    <row r="16" spans="1:8" ht="18.75" thickBot="1" x14ac:dyDescent="0.5">
      <c r="A16" s="942"/>
      <c r="B16" s="945" t="s">
        <v>679</v>
      </c>
      <c r="C16" s="946" t="s">
        <v>2</v>
      </c>
      <c r="D16" s="947">
        <f>ROUNDUP($D$10/20,0)</f>
        <v>1</v>
      </c>
      <c r="E16" s="939" t="s">
        <v>680</v>
      </c>
      <c r="F16" s="939"/>
      <c r="G16" s="939"/>
      <c r="H16" s="944"/>
    </row>
    <row r="17" spans="1:8" x14ac:dyDescent="0.25">
      <c r="A17" s="942"/>
      <c r="B17" s="948"/>
      <c r="C17" s="948"/>
      <c r="D17" s="948"/>
      <c r="E17" s="948"/>
      <c r="F17" s="948"/>
      <c r="G17" s="948"/>
      <c r="H17" s="944"/>
    </row>
    <row r="18" spans="1:8" ht="15.75" customHeight="1" x14ac:dyDescent="0.25">
      <c r="A18" s="949"/>
      <c r="B18" s="950"/>
      <c r="C18" s="950"/>
      <c r="D18" s="950"/>
      <c r="E18" s="951"/>
      <c r="F18" s="950"/>
      <c r="G18" s="952"/>
      <c r="H18" s="944"/>
    </row>
    <row r="19" spans="1:8" ht="15.75" customHeight="1" x14ac:dyDescent="0.25">
      <c r="A19" s="949"/>
      <c r="B19" s="953"/>
      <c r="C19" s="950"/>
      <c r="D19" s="950"/>
      <c r="E19" s="951"/>
      <c r="F19" s="950"/>
      <c r="G19" s="952"/>
      <c r="H19" s="944"/>
    </row>
    <row r="20" spans="1:8" ht="15.75" customHeight="1" thickBot="1" x14ac:dyDescent="0.3">
      <c r="A20" s="954"/>
      <c r="B20" s="955"/>
      <c r="C20" s="955"/>
      <c r="D20" s="955"/>
      <c r="E20" s="955"/>
      <c r="F20" s="955"/>
      <c r="G20" s="955"/>
      <c r="H20" s="956"/>
    </row>
    <row r="21" spans="1:8" ht="15.75" customHeight="1" x14ac:dyDescent="0.25"/>
    <row r="22" spans="1:8" ht="15.75" customHeight="1" x14ac:dyDescent="0.25"/>
    <row r="23" spans="1:8" ht="15.75" customHeight="1" x14ac:dyDescent="0.25"/>
  </sheetData>
  <mergeCells count="1">
    <mergeCell ref="A4:H4"/>
  </mergeCells>
  <pageMargins left="0.511811024" right="0.511811024" top="0.78740157499999996" bottom="0.78740157499999996" header="0" footer="0"/>
  <pageSetup paperSize="9" scale="61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4E09-CD71-4D5D-B168-B6A0AAF524C0}">
  <sheetPr codeName="Planilha10">
    <tabColor rgb="FF111113"/>
    <outlinePr summaryBelow="0"/>
    <pageSetUpPr fitToPage="1"/>
  </sheetPr>
  <dimension ref="A1:Q708"/>
  <sheetViews>
    <sheetView showGridLines="0" topLeftCell="F1" zoomScaleNormal="100" zoomScaleSheetLayoutView="100" workbookViewId="0">
      <pane ySplit="7" topLeftCell="A8" activePane="bottomLeft" state="frozen"/>
      <selection activeCell="I4" sqref="I4:I5"/>
      <selection pane="bottomLeft" activeCell="O23" sqref="O23"/>
    </sheetView>
  </sheetViews>
  <sheetFormatPr defaultColWidth="9.140625" defaultRowHeight="14.1" customHeight="1" outlineLevelRow="1" outlineLevelCol="1" x14ac:dyDescent="0.2"/>
  <cols>
    <col min="1" max="5" width="4" style="65" hidden="1" customWidth="1" outlineLevel="1"/>
    <col min="6" max="6" width="3.140625" style="65" customWidth="1" collapsed="1"/>
    <col min="7" max="7" width="7.28515625" style="148" customWidth="1"/>
    <col min="8" max="8" width="8.5703125" style="148" customWidth="1" outlineLevel="1"/>
    <col min="9" max="9" width="12.28515625" style="148" customWidth="1"/>
    <col min="10" max="10" width="32.7109375" style="65" customWidth="1"/>
    <col min="11" max="11" width="6.85546875" style="146" customWidth="1"/>
    <col min="12" max="12" width="11.140625" style="567" customWidth="1"/>
    <col min="13" max="13" width="13.5703125" style="567" bestFit="1" customWidth="1"/>
    <col min="14" max="14" width="11.140625" style="737" customWidth="1"/>
    <col min="15" max="15" width="36.140625" style="638" customWidth="1" outlineLevel="1"/>
    <col min="16" max="16" width="17.5703125" style="147" customWidth="1"/>
    <col min="17" max="17" width="10.42578125" style="65" bestFit="1" customWidth="1"/>
    <col min="18" max="16384" width="9.140625" style="65"/>
  </cols>
  <sheetData>
    <row r="1" spans="1:17" s="48" customFormat="1" ht="6.75" customHeight="1" x14ac:dyDescent="0.2">
      <c r="G1" s="46"/>
      <c r="H1" s="46"/>
      <c r="I1" s="46"/>
      <c r="J1" s="47"/>
      <c r="K1" s="180"/>
      <c r="L1" s="47"/>
      <c r="M1" s="47"/>
      <c r="N1" s="732"/>
      <c r="O1" s="47"/>
      <c r="P1" s="155"/>
    </row>
    <row r="2" spans="1:17" s="49" customFormat="1" ht="17.45" customHeight="1" x14ac:dyDescent="0.2">
      <c r="G2" s="195"/>
      <c r="H2" s="566"/>
      <c r="I2" s="566"/>
      <c r="J2" s="566"/>
      <c r="K2" s="211"/>
      <c r="L2" s="211"/>
      <c r="M2" s="211"/>
      <c r="N2" s="733"/>
      <c r="O2" s="636"/>
      <c r="P2" s="154"/>
    </row>
    <row r="3" spans="1:17" s="49" customFormat="1" ht="18" customHeight="1" x14ac:dyDescent="0.2">
      <c r="G3" s="196"/>
      <c r="H3" s="197"/>
      <c r="I3" s="197"/>
      <c r="J3" s="197"/>
      <c r="K3" s="212"/>
      <c r="L3" s="212"/>
      <c r="M3" s="212"/>
      <c r="N3" s="734"/>
      <c r="O3" s="637"/>
      <c r="P3" s="153"/>
    </row>
    <row r="4" spans="1:17" s="352" customFormat="1" ht="15" customHeight="1" x14ac:dyDescent="0.2">
      <c r="G4" s="687" t="s">
        <v>194</v>
      </c>
      <c r="H4" s="343"/>
      <c r="I4" s="348" t="str">
        <f>'Obra '!D1</f>
        <v>Mowe</v>
      </c>
      <c r="J4" s="669"/>
      <c r="N4" s="735"/>
      <c r="O4" s="343" t="s">
        <v>18</v>
      </c>
      <c r="P4" s="688" t="s">
        <v>192</v>
      </c>
      <c r="Q4" s="75"/>
    </row>
    <row r="5" spans="1:17" s="354" customFormat="1" ht="15" customHeight="1" x14ac:dyDescent="0.2">
      <c r="G5" s="738" t="s">
        <v>389</v>
      </c>
      <c r="H5" s="750"/>
      <c r="I5" s="89" t="str">
        <f>'Obra '!D2</f>
        <v>MARTINS|FRANCEZ ENGENHARIA</v>
      </c>
      <c r="J5" s="739"/>
      <c r="N5" s="736"/>
      <c r="O5" s="740" t="str">
        <f>'Obra '!D3</f>
        <v>R00</v>
      </c>
      <c r="P5" s="741">
        <v>45551</v>
      </c>
    </row>
    <row r="6" spans="1:17" s="209" customFormat="1" ht="18" customHeight="1" x14ac:dyDescent="0.2">
      <c r="A6" s="850" t="s">
        <v>467</v>
      </c>
      <c r="B6" s="850" t="s">
        <v>468</v>
      </c>
      <c r="C6" s="850" t="s">
        <v>469</v>
      </c>
      <c r="D6" s="850" t="s">
        <v>470</v>
      </c>
      <c r="E6" s="850" t="s">
        <v>471</v>
      </c>
      <c r="F6" s="354"/>
      <c r="G6" s="1214" t="s">
        <v>379</v>
      </c>
      <c r="H6" s="1214"/>
      <c r="I6" s="1214"/>
      <c r="J6" s="1214"/>
      <c r="K6" s="1214"/>
      <c r="L6" s="1214"/>
      <c r="M6" s="1214"/>
      <c r="N6" s="1214"/>
      <c r="O6" s="1214"/>
      <c r="P6" s="1214"/>
    </row>
    <row r="7" spans="1:17" s="207" customFormat="1" ht="24" customHeight="1" x14ac:dyDescent="0.2">
      <c r="A7" s="751">
        <v>0</v>
      </c>
      <c r="B7" s="751">
        <v>0</v>
      </c>
      <c r="C7" s="751">
        <v>0</v>
      </c>
      <c r="D7" s="752">
        <v>0</v>
      </c>
      <c r="E7" s="752">
        <v>0</v>
      </c>
      <c r="G7" s="563" t="s">
        <v>197</v>
      </c>
      <c r="H7" s="753" t="s">
        <v>472</v>
      </c>
      <c r="I7" s="564" t="s">
        <v>21</v>
      </c>
      <c r="J7" s="727" t="s">
        <v>0</v>
      </c>
      <c r="K7" s="670" t="s">
        <v>96</v>
      </c>
      <c r="L7" s="671" t="s">
        <v>354</v>
      </c>
      <c r="M7" s="671" t="s">
        <v>461</v>
      </c>
      <c r="N7" s="671" t="s">
        <v>16</v>
      </c>
      <c r="O7" s="730" t="s">
        <v>378</v>
      </c>
      <c r="P7" s="565" t="s">
        <v>288</v>
      </c>
    </row>
    <row r="8" spans="1:17" s="209" customFormat="1" ht="13.9" customHeight="1" x14ac:dyDescent="0.2">
      <c r="A8" s="751">
        <f ca="1">IF($H8="UNIDADE CONSTRUTIVA",OFFSET(A8,-1,0)+1,LARGE(A$3:A7,1))</f>
        <v>0</v>
      </c>
      <c r="B8" s="751">
        <f t="shared" ref="B8" ca="1" si="0">IF(H8="UNIDADE CONSTRUTIVA",0,IF(H8="CÉLULA CONSTRUTIVA",OFFSET(B8,-1,0)+1,OFFSET(B8,-1,0)))</f>
        <v>1</v>
      </c>
      <c r="C8" s="751">
        <f t="shared" ref="C8" ca="1" si="1">IF(H8="CÉLULA CONSTRUTIVA",0,IF(H8="ETAPA",OFFSET(C8,-1,0)+1,OFFSET(C8,-1,0)))</f>
        <v>0</v>
      </c>
      <c r="D8" s="752">
        <f t="shared" ref="D8" ca="1" si="2">IF(H8="ETAPA",0,IF(H8="SUBETAPA",OFFSET(D8,-1,0)+1,OFFSET(D8,-1,0)))</f>
        <v>0</v>
      </c>
      <c r="E8" s="752">
        <f t="shared" ref="E8" ca="1" si="3">IF(H8="Subetapa",0,IF(H8="serviço",OFFSET(E8,-1,0)+1,OFFSET(E8,-1,0)))</f>
        <v>0</v>
      </c>
      <c r="G8" s="754"/>
      <c r="H8" s="755" t="s">
        <v>473</v>
      </c>
      <c r="I8" s="756" t="str">
        <f t="shared" ref="I8:I41" ca="1" si="4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757" t="s">
        <v>701</v>
      </c>
      <c r="K8" s="758"/>
      <c r="L8" s="759"/>
      <c r="M8" s="759"/>
      <c r="N8" s="868">
        <f t="shared" ref="N8:N39" ca="1" si="5">IF(H8="Serviço",M8*L8,IF(H8="CÉLULA CONSTRUTIVA",SUMIFS($N$8:$N$368,$B$8:$B$368,B8,$H$8:$H$368,"Serviço"),IF(H8="ETAPA",SUMIFS($N$8:$N$368,$B$8:$B$368,B8,$C$8:$C$368,C8,$H$8:$H$368,"Serviço"),IF(H8="SUBETAPA",SUMIFS($N$8:$N$368,$B$8:$B$368,B8,$C$8:$C$368,C8,$D$8:$D$368,D8,$H$8:$H$368,"Serviço"),0))))</f>
        <v>103622.50791556614</v>
      </c>
      <c r="O8" s="760"/>
      <c r="P8" s="761"/>
      <c r="Q8" s="209">
        <f ca="1">N8/'Obra '!$E$9</f>
        <v>314.41729500733118</v>
      </c>
    </row>
    <row r="9" spans="1:17" s="209" customFormat="1" ht="13.9" customHeight="1" outlineLevel="1" x14ac:dyDescent="0.2">
      <c r="A9" s="751">
        <f ca="1">IF($H9="UNIDADE CONSTRUTIVA",OFFSET(A9,-1,0)+1,LARGE(A$3:A8,1))</f>
        <v>0</v>
      </c>
      <c r="B9" s="751">
        <f t="shared" ref="B9:B41" ca="1" si="6">IF(H9="UNIDADE CONSTRUTIVA",0,IF(H9="CÉLULA CONSTRUTIVA",OFFSET(B9,-1,0)+1,OFFSET(B9,-1,0)))</f>
        <v>1</v>
      </c>
      <c r="C9" s="751">
        <f t="shared" ref="C9:C41" ca="1" si="7">IF(H9="CÉLULA CONSTRUTIVA",0,IF(H9="ETAPA",OFFSET(C9,-1,0)+1,OFFSET(C9,-1,0)))</f>
        <v>1</v>
      </c>
      <c r="D9" s="752">
        <f t="shared" ref="D9:D41" ca="1" si="8">IF(H9="ETAPA",0,IF(H9="SUBETAPA",OFFSET(D9,-1,0)+1,OFFSET(D9,-1,0)))</f>
        <v>0</v>
      </c>
      <c r="E9" s="752">
        <f t="shared" ref="E9:E41" ca="1" si="9">IF(H9="Subetapa",0,IF(H9="serviço",OFFSET(E9,-1,0)+1,OFFSET(E9,-1,0)))</f>
        <v>0</v>
      </c>
      <c r="G9" s="754"/>
      <c r="H9" s="755" t="s">
        <v>474</v>
      </c>
      <c r="I9" s="756" t="str">
        <f t="shared" ca="1" si="4"/>
        <v>01.001</v>
      </c>
      <c r="J9" s="757" t="s">
        <v>1350</v>
      </c>
      <c r="K9" s="758"/>
      <c r="L9" s="759"/>
      <c r="M9" s="759"/>
      <c r="N9" s="868">
        <f t="shared" ca="1" si="5"/>
        <v>78606.075861040823</v>
      </c>
      <c r="O9" s="760"/>
      <c r="P9" s="761"/>
    </row>
    <row r="10" spans="1:17" s="209" customFormat="1" ht="13.9" customHeight="1" outlineLevel="1" x14ac:dyDescent="0.2">
      <c r="A10" s="751">
        <f ca="1">IF($H10="UNIDADE CONSTRUTIVA",OFFSET(A10,-1,0)+1,LARGE(A$3:A9,1))</f>
        <v>0</v>
      </c>
      <c r="B10" s="751">
        <f t="shared" ca="1" si="6"/>
        <v>1</v>
      </c>
      <c r="C10" s="751">
        <f t="shared" ca="1" si="7"/>
        <v>1</v>
      </c>
      <c r="D10" s="752">
        <f t="shared" ca="1" si="8"/>
        <v>1</v>
      </c>
      <c r="E10" s="752">
        <f t="shared" ca="1" si="9"/>
        <v>0</v>
      </c>
      <c r="G10" s="754"/>
      <c r="H10" s="755" t="s">
        <v>475</v>
      </c>
      <c r="I10" s="756" t="str">
        <f t="shared" ca="1" si="4"/>
        <v>01.001.001</v>
      </c>
      <c r="J10" s="757" t="s">
        <v>702</v>
      </c>
      <c r="K10" s="758"/>
      <c r="L10" s="759"/>
      <c r="M10" s="759"/>
      <c r="N10" s="868">
        <f t="shared" ca="1" si="5"/>
        <v>8070.3783701985167</v>
      </c>
      <c r="O10" s="760"/>
      <c r="P10" s="761"/>
    </row>
    <row r="11" spans="1:17" s="209" customFormat="1" ht="13.9" customHeight="1" outlineLevel="1" x14ac:dyDescent="0.2">
      <c r="A11" s="751">
        <f ca="1">IF($H11="UNIDADE CONSTRUTIVA",OFFSET(A11,-1,0)+1,LARGE(A$3:A10,1))</f>
        <v>0</v>
      </c>
      <c r="B11" s="751">
        <f t="shared" ca="1" si="6"/>
        <v>1</v>
      </c>
      <c r="C11" s="751">
        <f t="shared" ca="1" si="7"/>
        <v>1</v>
      </c>
      <c r="D11" s="752">
        <f t="shared" ca="1" si="8"/>
        <v>1</v>
      </c>
      <c r="E11" s="752">
        <f t="shared" ca="1" si="9"/>
        <v>1</v>
      </c>
      <c r="G11" s="754"/>
      <c r="H11" s="755" t="s">
        <v>476</v>
      </c>
      <c r="I11" s="756" t="str">
        <f t="shared" ca="1" si="4"/>
        <v>01.001.001.001</v>
      </c>
      <c r="J11" s="757" t="s">
        <v>695</v>
      </c>
      <c r="K11" s="758" t="s">
        <v>419</v>
      </c>
      <c r="L11" s="759">
        <v>1</v>
      </c>
      <c r="M11" s="759">
        <v>3769.3982806915228</v>
      </c>
      <c r="N11" s="868">
        <f t="shared" si="5"/>
        <v>3769.3982806915228</v>
      </c>
      <c r="O11" s="760" t="s">
        <v>740</v>
      </c>
      <c r="P11" s="761" t="s">
        <v>2630</v>
      </c>
    </row>
    <row r="12" spans="1:17" s="209" customFormat="1" ht="13.9" customHeight="1" outlineLevel="1" x14ac:dyDescent="0.2">
      <c r="A12" s="751">
        <f ca="1">IF($H12="UNIDADE CONSTRUTIVA",OFFSET(A12,-1,0)+1,LARGE(A$3:A11,1))</f>
        <v>0</v>
      </c>
      <c r="B12" s="751">
        <f t="shared" ca="1" si="6"/>
        <v>1</v>
      </c>
      <c r="C12" s="751">
        <f t="shared" ca="1" si="7"/>
        <v>1</v>
      </c>
      <c r="D12" s="752">
        <f t="shared" ca="1" si="8"/>
        <v>1</v>
      </c>
      <c r="E12" s="752">
        <f t="shared" ca="1" si="9"/>
        <v>2</v>
      </c>
      <c r="G12" s="754"/>
      <c r="H12" s="755" t="s">
        <v>476</v>
      </c>
      <c r="I12" s="756" t="str">
        <f t="shared" ca="1" si="4"/>
        <v>01.001.001.002</v>
      </c>
      <c r="J12" s="757" t="s">
        <v>703</v>
      </c>
      <c r="K12" s="758" t="s">
        <v>419</v>
      </c>
      <c r="L12" s="759">
        <v>1</v>
      </c>
      <c r="M12" s="759">
        <v>4300.9800895069939</v>
      </c>
      <c r="N12" s="868">
        <f t="shared" si="5"/>
        <v>4300.9800895069939</v>
      </c>
      <c r="O12" s="760" t="s">
        <v>740</v>
      </c>
      <c r="P12" s="761" t="s">
        <v>2630</v>
      </c>
    </row>
    <row r="13" spans="1:17" s="209" customFormat="1" ht="13.9" customHeight="1" outlineLevel="1" x14ac:dyDescent="0.2">
      <c r="A13" s="751">
        <f ca="1">IF($H13="UNIDADE CONSTRUTIVA",OFFSET(A13,-1,0)+1,LARGE(A$3:A12,1))</f>
        <v>0</v>
      </c>
      <c r="B13" s="751">
        <f t="shared" ca="1" si="6"/>
        <v>1</v>
      </c>
      <c r="C13" s="751">
        <f t="shared" ca="1" si="7"/>
        <v>1</v>
      </c>
      <c r="D13" s="752">
        <f t="shared" ca="1" si="8"/>
        <v>2</v>
      </c>
      <c r="E13" s="752">
        <f t="shared" ca="1" si="9"/>
        <v>0</v>
      </c>
      <c r="G13" s="754"/>
      <c r="H13" s="755" t="s">
        <v>475</v>
      </c>
      <c r="I13" s="756" t="str">
        <f t="shared" ca="1" si="4"/>
        <v>01.001.002</v>
      </c>
      <c r="J13" s="757" t="s">
        <v>704</v>
      </c>
      <c r="K13" s="758"/>
      <c r="L13" s="759"/>
      <c r="M13" s="759"/>
      <c r="N13" s="868">
        <f t="shared" ca="1" si="5"/>
        <v>49545.6974908423</v>
      </c>
      <c r="O13" s="760"/>
      <c r="P13" s="761"/>
    </row>
    <row r="14" spans="1:17" s="209" customFormat="1" ht="13.9" customHeight="1" outlineLevel="1" x14ac:dyDescent="0.2">
      <c r="A14" s="751">
        <f ca="1">IF($H14="UNIDADE CONSTRUTIVA",OFFSET(A14,-1,0)+1,LARGE(A$3:A13,1))</f>
        <v>0</v>
      </c>
      <c r="B14" s="751">
        <f t="shared" ca="1" si="6"/>
        <v>1</v>
      </c>
      <c r="C14" s="751">
        <f t="shared" ca="1" si="7"/>
        <v>1</v>
      </c>
      <c r="D14" s="752">
        <f t="shared" ca="1" si="8"/>
        <v>2</v>
      </c>
      <c r="E14" s="752">
        <f t="shared" ca="1" si="9"/>
        <v>1</v>
      </c>
      <c r="G14" s="754"/>
      <c r="H14" s="755" t="s">
        <v>476</v>
      </c>
      <c r="I14" s="756" t="str">
        <f t="shared" ca="1" si="4"/>
        <v>01.001.002.001</v>
      </c>
      <c r="J14" s="757" t="s">
        <v>705</v>
      </c>
      <c r="K14" s="758" t="s">
        <v>419</v>
      </c>
      <c r="L14" s="759">
        <v>1</v>
      </c>
      <c r="M14" s="759">
        <v>24522.284080562473</v>
      </c>
      <c r="N14" s="868">
        <f t="shared" si="5"/>
        <v>24522.284080562473</v>
      </c>
      <c r="O14" s="760" t="s">
        <v>740</v>
      </c>
      <c r="P14" s="761" t="s">
        <v>2630</v>
      </c>
    </row>
    <row r="15" spans="1:17" s="209" customFormat="1" ht="13.9" customHeight="1" outlineLevel="1" x14ac:dyDescent="0.2">
      <c r="A15" s="751">
        <f ca="1">IF($H15="UNIDADE CONSTRUTIVA",OFFSET(A15,-1,0)+1,LARGE(A$3:A14,1))</f>
        <v>0</v>
      </c>
      <c r="B15" s="751">
        <f t="shared" ca="1" si="6"/>
        <v>1</v>
      </c>
      <c r="C15" s="751">
        <f t="shared" ca="1" si="7"/>
        <v>1</v>
      </c>
      <c r="D15" s="752">
        <f t="shared" ca="1" si="8"/>
        <v>2</v>
      </c>
      <c r="E15" s="752">
        <f t="shared" ca="1" si="9"/>
        <v>2</v>
      </c>
      <c r="G15" s="754"/>
      <c r="H15" s="755" t="s">
        <v>476</v>
      </c>
      <c r="I15" s="756" t="str">
        <f t="shared" ca="1" si="4"/>
        <v>01.001.002.002</v>
      </c>
      <c r="J15" s="757" t="s">
        <v>706</v>
      </c>
      <c r="K15" s="758" t="s">
        <v>419</v>
      </c>
      <c r="L15" s="759">
        <v>1</v>
      </c>
      <c r="M15" s="759">
        <v>8348.0116018936096</v>
      </c>
      <c r="N15" s="868">
        <f t="shared" si="5"/>
        <v>8348.0116018936096</v>
      </c>
      <c r="O15" s="760" t="s">
        <v>740</v>
      </c>
      <c r="P15" s="761" t="s">
        <v>2630</v>
      </c>
    </row>
    <row r="16" spans="1:17" s="209" customFormat="1" ht="13.9" customHeight="1" outlineLevel="1" x14ac:dyDescent="0.2">
      <c r="A16" s="751">
        <f ca="1">IF($H16="UNIDADE CONSTRUTIVA",OFFSET(A16,-1,0)+1,LARGE(A$3:A15,1))</f>
        <v>0</v>
      </c>
      <c r="B16" s="751">
        <f t="shared" ca="1" si="6"/>
        <v>1</v>
      </c>
      <c r="C16" s="751">
        <f t="shared" ca="1" si="7"/>
        <v>1</v>
      </c>
      <c r="D16" s="752">
        <f t="shared" ca="1" si="8"/>
        <v>2</v>
      </c>
      <c r="E16" s="752">
        <f t="shared" ca="1" si="9"/>
        <v>3</v>
      </c>
      <c r="G16" s="754"/>
      <c r="H16" s="755" t="s">
        <v>476</v>
      </c>
      <c r="I16" s="756" t="str">
        <f t="shared" ca="1" si="4"/>
        <v>01.001.002.003</v>
      </c>
      <c r="J16" s="757" t="s">
        <v>707</v>
      </c>
      <c r="K16" s="758" t="s">
        <v>419</v>
      </c>
      <c r="L16" s="759">
        <v>1</v>
      </c>
      <c r="M16" s="759">
        <v>2066.3815050724065</v>
      </c>
      <c r="N16" s="868">
        <f t="shared" si="5"/>
        <v>2066.3815050724065</v>
      </c>
      <c r="O16" s="760" t="s">
        <v>740</v>
      </c>
      <c r="P16" s="761" t="s">
        <v>2630</v>
      </c>
    </row>
    <row r="17" spans="1:16" s="209" customFormat="1" ht="13.9" customHeight="1" outlineLevel="1" x14ac:dyDescent="0.2">
      <c r="A17" s="751">
        <f ca="1">IF($H17="UNIDADE CONSTRUTIVA",OFFSET(A17,-1,0)+1,LARGE(A$3:A16,1))</f>
        <v>0</v>
      </c>
      <c r="B17" s="751">
        <f t="shared" ca="1" si="6"/>
        <v>1</v>
      </c>
      <c r="C17" s="751">
        <f t="shared" ca="1" si="7"/>
        <v>1</v>
      </c>
      <c r="D17" s="752">
        <f t="shared" ca="1" si="8"/>
        <v>2</v>
      </c>
      <c r="E17" s="752">
        <f t="shared" ca="1" si="9"/>
        <v>4</v>
      </c>
      <c r="G17" s="754"/>
      <c r="H17" s="755" t="s">
        <v>476</v>
      </c>
      <c r="I17" s="756" t="str">
        <f t="shared" ca="1" si="4"/>
        <v>01.001.002.004</v>
      </c>
      <c r="J17" s="757" t="s">
        <v>835</v>
      </c>
      <c r="K17" s="758" t="s">
        <v>419</v>
      </c>
      <c r="L17" s="759">
        <v>1</v>
      </c>
      <c r="M17" s="759">
        <v>7304.5101516569066</v>
      </c>
      <c r="N17" s="868">
        <f t="shared" si="5"/>
        <v>7304.5101516569066</v>
      </c>
      <c r="O17" s="760" t="s">
        <v>740</v>
      </c>
      <c r="P17" s="761" t="s">
        <v>2630</v>
      </c>
    </row>
    <row r="18" spans="1:16" s="209" customFormat="1" ht="13.9" customHeight="1" outlineLevel="1" x14ac:dyDescent="0.2">
      <c r="A18" s="751">
        <f ca="1">IF($H18="UNIDADE CONSTRUTIVA",OFFSET(A18,-1,0)+1,LARGE(A$3:A17,1))</f>
        <v>0</v>
      </c>
      <c r="B18" s="751">
        <f t="shared" ref="B18" ca="1" si="10">IF(H18="UNIDADE CONSTRUTIVA",0,IF(H18="CÉLULA CONSTRUTIVA",OFFSET(B18,-1,0)+1,OFFSET(B18,-1,0)))</f>
        <v>1</v>
      </c>
      <c r="C18" s="751">
        <f t="shared" ref="C18" ca="1" si="11">IF(H18="CÉLULA CONSTRUTIVA",0,IF(H18="ETAPA",OFFSET(C18,-1,0)+1,OFFSET(C18,-1,0)))</f>
        <v>1</v>
      </c>
      <c r="D18" s="752">
        <f t="shared" ref="D18" ca="1" si="12">IF(H18="ETAPA",0,IF(H18="SUBETAPA",OFFSET(D18,-1,0)+1,OFFSET(D18,-1,0)))</f>
        <v>2</v>
      </c>
      <c r="E18" s="752">
        <f t="shared" ref="E18" ca="1" si="13">IF(H18="Subetapa",0,IF(H18="serviço",OFFSET(E18,-1,0)+1,OFFSET(E18,-1,0)))</f>
        <v>5</v>
      </c>
      <c r="G18" s="754"/>
      <c r="H18" s="755" t="s">
        <v>476</v>
      </c>
      <c r="I18" s="756" t="str">
        <f t="shared" ca="1" si="4"/>
        <v>01.001.002.005</v>
      </c>
      <c r="J18" s="757" t="s">
        <v>836</v>
      </c>
      <c r="K18" s="758" t="s">
        <v>419</v>
      </c>
      <c r="L18" s="759">
        <v>1</v>
      </c>
      <c r="M18" s="759">
        <v>7304.5101516569066</v>
      </c>
      <c r="N18" s="868">
        <f t="shared" si="5"/>
        <v>7304.5101516569066</v>
      </c>
      <c r="O18" s="760" t="s">
        <v>740</v>
      </c>
      <c r="P18" s="761" t="s">
        <v>2630</v>
      </c>
    </row>
    <row r="19" spans="1:16" s="209" customFormat="1" ht="13.9" customHeight="1" outlineLevel="1" x14ac:dyDescent="0.2">
      <c r="A19" s="751">
        <f ca="1">IF($H19="UNIDADE CONSTRUTIVA",OFFSET(A19,-1,0)+1,LARGE(A$3:A17,1))</f>
        <v>0</v>
      </c>
      <c r="B19" s="751">
        <f t="shared" ca="1" si="6"/>
        <v>1</v>
      </c>
      <c r="C19" s="751">
        <f t="shared" ca="1" si="7"/>
        <v>1</v>
      </c>
      <c r="D19" s="752">
        <f t="shared" ca="1" si="8"/>
        <v>3</v>
      </c>
      <c r="E19" s="752">
        <f t="shared" ca="1" si="9"/>
        <v>0</v>
      </c>
      <c r="G19" s="754"/>
      <c r="H19" s="755" t="s">
        <v>475</v>
      </c>
      <c r="I19" s="756" t="str">
        <f t="shared" ca="1" si="4"/>
        <v>01.001.003</v>
      </c>
      <c r="J19" s="757" t="s">
        <v>708</v>
      </c>
      <c r="K19" s="758"/>
      <c r="L19" s="759"/>
      <c r="M19" s="759"/>
      <c r="N19" s="868">
        <f t="shared" ca="1" si="5"/>
        <v>17500</v>
      </c>
      <c r="O19" s="760"/>
      <c r="P19" s="761"/>
    </row>
    <row r="20" spans="1:16" s="209" customFormat="1" ht="13.9" customHeight="1" outlineLevel="1" x14ac:dyDescent="0.2">
      <c r="A20" s="751">
        <f ca="1">IF($H20="UNIDADE CONSTRUTIVA",OFFSET(A20,-1,0)+1,LARGE(A$3:A19,1))</f>
        <v>0</v>
      </c>
      <c r="B20" s="751">
        <f t="shared" ca="1" si="6"/>
        <v>1</v>
      </c>
      <c r="C20" s="751">
        <f t="shared" ca="1" si="7"/>
        <v>1</v>
      </c>
      <c r="D20" s="752">
        <f t="shared" ca="1" si="8"/>
        <v>3</v>
      </c>
      <c r="E20" s="752">
        <f t="shared" ca="1" si="9"/>
        <v>1</v>
      </c>
      <c r="G20" s="754"/>
      <c r="H20" s="755" t="s">
        <v>476</v>
      </c>
      <c r="I20" s="756" t="str">
        <f t="shared" ca="1" si="4"/>
        <v>01.001.003.001</v>
      </c>
      <c r="J20" s="757" t="s">
        <v>837</v>
      </c>
      <c r="K20" s="758" t="s">
        <v>419</v>
      </c>
      <c r="L20" s="759">
        <v>1</v>
      </c>
      <c r="M20" s="759">
        <v>3638.39</v>
      </c>
      <c r="N20" s="868">
        <f t="shared" si="5"/>
        <v>3638.39</v>
      </c>
      <c r="O20" s="760" t="s">
        <v>2636</v>
      </c>
      <c r="P20" s="761" t="s">
        <v>2630</v>
      </c>
    </row>
    <row r="21" spans="1:16" s="209" customFormat="1" ht="13.9" customHeight="1" outlineLevel="1" x14ac:dyDescent="0.2">
      <c r="A21" s="751">
        <f ca="1">IF($H21="UNIDADE CONSTRUTIVA",OFFSET(A21,-1,0)+1,LARGE(A$3:A20,1))</f>
        <v>0</v>
      </c>
      <c r="B21" s="751">
        <f t="shared" ca="1" si="6"/>
        <v>1</v>
      </c>
      <c r="C21" s="751">
        <f t="shared" ca="1" si="7"/>
        <v>1</v>
      </c>
      <c r="D21" s="752">
        <f t="shared" ca="1" si="8"/>
        <v>3</v>
      </c>
      <c r="E21" s="752">
        <f t="shared" ca="1" si="9"/>
        <v>2</v>
      </c>
      <c r="G21" s="754"/>
      <c r="H21" s="755" t="s">
        <v>476</v>
      </c>
      <c r="I21" s="756" t="str">
        <f t="shared" ca="1" si="4"/>
        <v>01.001.003.002</v>
      </c>
      <c r="J21" s="757" t="s">
        <v>709</v>
      </c>
      <c r="K21" s="758" t="s">
        <v>419</v>
      </c>
      <c r="L21" s="759">
        <v>1</v>
      </c>
      <c r="M21" s="759">
        <f>8083.27+4032.46+1745.88</f>
        <v>13861.61</v>
      </c>
      <c r="N21" s="868">
        <f t="shared" si="5"/>
        <v>13861.61</v>
      </c>
      <c r="O21" s="760" t="s">
        <v>2636</v>
      </c>
      <c r="P21" s="761" t="s">
        <v>2630</v>
      </c>
    </row>
    <row r="22" spans="1:16" s="209" customFormat="1" ht="13.9" customHeight="1" outlineLevel="1" x14ac:dyDescent="0.2">
      <c r="A22" s="751">
        <f ca="1">IF($H22="UNIDADE CONSTRUTIVA",OFFSET(A22,-1,0)+1,LARGE(A$3:A21,1))</f>
        <v>0</v>
      </c>
      <c r="B22" s="751">
        <f t="shared" ca="1" si="6"/>
        <v>1</v>
      </c>
      <c r="C22" s="751">
        <f t="shared" ca="1" si="7"/>
        <v>1</v>
      </c>
      <c r="D22" s="752">
        <f t="shared" ca="1" si="8"/>
        <v>4</v>
      </c>
      <c r="E22" s="752">
        <f t="shared" ca="1" si="9"/>
        <v>0</v>
      </c>
      <c r="G22" s="754"/>
      <c r="H22" s="755" t="s">
        <v>475</v>
      </c>
      <c r="I22" s="756" t="str">
        <f t="shared" ca="1" si="4"/>
        <v>01.001.004</v>
      </c>
      <c r="J22" s="757" t="s">
        <v>710</v>
      </c>
      <c r="K22" s="758"/>
      <c r="L22" s="759"/>
      <c r="M22" s="759"/>
      <c r="N22" s="868">
        <f t="shared" ca="1" si="5"/>
        <v>3490</v>
      </c>
      <c r="O22" s="760"/>
      <c r="P22" s="761"/>
    </row>
    <row r="23" spans="1:16" s="209" customFormat="1" ht="13.9" customHeight="1" outlineLevel="1" x14ac:dyDescent="0.2">
      <c r="A23" s="751">
        <f ca="1">IF($H23="UNIDADE CONSTRUTIVA",OFFSET(A23,-1,0)+1,LARGE(A$3:A22,1))</f>
        <v>0</v>
      </c>
      <c r="B23" s="751">
        <f t="shared" ca="1" si="6"/>
        <v>1</v>
      </c>
      <c r="C23" s="751">
        <f t="shared" ca="1" si="7"/>
        <v>1</v>
      </c>
      <c r="D23" s="752">
        <f t="shared" ca="1" si="8"/>
        <v>4</v>
      </c>
      <c r="E23" s="752">
        <f t="shared" ca="1" si="9"/>
        <v>1</v>
      </c>
      <c r="G23" s="754"/>
      <c r="H23" s="755" t="s">
        <v>476</v>
      </c>
      <c r="I23" s="756" t="str">
        <f t="shared" ca="1" si="4"/>
        <v>01.001.004.001</v>
      </c>
      <c r="J23" s="757" t="s">
        <v>711</v>
      </c>
      <c r="K23" s="758" t="s">
        <v>419</v>
      </c>
      <c r="L23" s="759">
        <v>1</v>
      </c>
      <c r="M23" s="759">
        <f>'Ensaios '!F12</f>
        <v>3490</v>
      </c>
      <c r="N23" s="868">
        <f t="shared" si="5"/>
        <v>3490</v>
      </c>
      <c r="O23" s="760" t="s">
        <v>2637</v>
      </c>
      <c r="P23" s="761" t="s">
        <v>2630</v>
      </c>
    </row>
    <row r="24" spans="1:16" s="209" customFormat="1" ht="13.9" customHeight="1" outlineLevel="1" x14ac:dyDescent="0.2">
      <c r="A24" s="751">
        <f ca="1">IF($H24="UNIDADE CONSTRUTIVA",OFFSET(A24,-1,0)+1,LARGE(A$3:A23,1))</f>
        <v>0</v>
      </c>
      <c r="B24" s="751">
        <f t="shared" ca="1" si="6"/>
        <v>1</v>
      </c>
      <c r="C24" s="751">
        <f t="shared" ca="1" si="7"/>
        <v>2</v>
      </c>
      <c r="D24" s="752">
        <f t="shared" ca="1" si="8"/>
        <v>0</v>
      </c>
      <c r="E24" s="752">
        <f t="shared" ca="1" si="9"/>
        <v>1</v>
      </c>
      <c r="G24" s="754"/>
      <c r="H24" s="755" t="s">
        <v>474</v>
      </c>
      <c r="I24" s="756" t="str">
        <f t="shared" ca="1" si="4"/>
        <v>01.002</v>
      </c>
      <c r="J24" s="757" t="s">
        <v>839</v>
      </c>
      <c r="K24" s="758"/>
      <c r="L24" s="759"/>
      <c r="M24" s="759"/>
      <c r="N24" s="868">
        <f t="shared" ca="1" si="5"/>
        <v>25016.432054525318</v>
      </c>
      <c r="O24" s="760"/>
      <c r="P24" s="761" t="s">
        <v>142</v>
      </c>
    </row>
    <row r="25" spans="1:16" s="209" customFormat="1" ht="13.9" customHeight="1" outlineLevel="1" x14ac:dyDescent="0.2">
      <c r="A25" s="751">
        <f ca="1">IF($H25="UNIDADE CONSTRUTIVA",OFFSET(A25,-1,0)+1,LARGE(A$3:A24,1))</f>
        <v>0</v>
      </c>
      <c r="B25" s="751">
        <f t="shared" ca="1" si="6"/>
        <v>1</v>
      </c>
      <c r="C25" s="751">
        <f t="shared" ca="1" si="7"/>
        <v>2</v>
      </c>
      <c r="D25" s="752">
        <f t="shared" ca="1" si="8"/>
        <v>1</v>
      </c>
      <c r="E25" s="752">
        <f t="shared" ca="1" si="9"/>
        <v>0</v>
      </c>
      <c r="G25" s="754"/>
      <c r="H25" s="755" t="s">
        <v>475</v>
      </c>
      <c r="I25" s="756" t="str">
        <f t="shared" ca="1" si="4"/>
        <v>01.002.001</v>
      </c>
      <c r="J25" s="757" t="s">
        <v>712</v>
      </c>
      <c r="K25" s="758"/>
      <c r="L25" s="759"/>
      <c r="M25" s="759"/>
      <c r="N25" s="868">
        <f t="shared" ca="1" si="5"/>
        <v>6545.3002782551484</v>
      </c>
      <c r="O25" s="760"/>
      <c r="P25" s="761"/>
    </row>
    <row r="26" spans="1:16" s="209" customFormat="1" ht="13.9" customHeight="1" outlineLevel="1" x14ac:dyDescent="0.2">
      <c r="A26" s="751">
        <f ca="1">IF($H26="UNIDADE CONSTRUTIVA",OFFSET(A26,-1,0)+1,LARGE(A$3:A25,1))</f>
        <v>0</v>
      </c>
      <c r="B26" s="751">
        <f t="shared" ca="1" si="6"/>
        <v>1</v>
      </c>
      <c r="C26" s="751">
        <f t="shared" ca="1" si="7"/>
        <v>2</v>
      </c>
      <c r="D26" s="752">
        <f t="shared" ca="1" si="8"/>
        <v>1</v>
      </c>
      <c r="E26" s="752">
        <f t="shared" ca="1" si="9"/>
        <v>1</v>
      </c>
      <c r="G26" s="754"/>
      <c r="H26" s="755" t="s">
        <v>476</v>
      </c>
      <c r="I26" s="756" t="str">
        <f t="shared" ca="1" si="4"/>
        <v>01.002.001.001</v>
      </c>
      <c r="J26" s="757" t="s">
        <v>713</v>
      </c>
      <c r="K26" s="758" t="s">
        <v>419</v>
      </c>
      <c r="L26" s="759">
        <v>1</v>
      </c>
      <c r="M26" s="759">
        <v>1200</v>
      </c>
      <c r="N26" s="868">
        <f t="shared" si="5"/>
        <v>1200</v>
      </c>
      <c r="O26" s="760" t="s">
        <v>740</v>
      </c>
      <c r="P26" s="761" t="s">
        <v>2630</v>
      </c>
    </row>
    <row r="27" spans="1:16" s="209" customFormat="1" ht="13.9" customHeight="1" outlineLevel="1" x14ac:dyDescent="0.2">
      <c r="A27" s="751">
        <f ca="1">IF($H27="UNIDADE CONSTRUTIVA",OFFSET(A27,-1,0)+1,LARGE(A$3:A26,1))</f>
        <v>0</v>
      </c>
      <c r="B27" s="751">
        <f t="shared" ca="1" si="6"/>
        <v>1</v>
      </c>
      <c r="C27" s="751">
        <f t="shared" ca="1" si="7"/>
        <v>2</v>
      </c>
      <c r="D27" s="752">
        <f t="shared" ca="1" si="8"/>
        <v>1</v>
      </c>
      <c r="E27" s="752">
        <f t="shared" ca="1" si="9"/>
        <v>2</v>
      </c>
      <c r="G27" s="754"/>
      <c r="H27" s="755" t="s">
        <v>476</v>
      </c>
      <c r="I27" s="756" t="str">
        <f t="shared" ca="1" si="4"/>
        <v>01.002.001.002</v>
      </c>
      <c r="J27" s="757" t="s">
        <v>714</v>
      </c>
      <c r="K27" s="758" t="s">
        <v>419</v>
      </c>
      <c r="L27" s="759">
        <v>1</v>
      </c>
      <c r="M27" s="759">
        <v>1000</v>
      </c>
      <c r="N27" s="868">
        <f t="shared" si="5"/>
        <v>1000</v>
      </c>
      <c r="O27" s="760" t="s">
        <v>740</v>
      </c>
      <c r="P27" s="761" t="s">
        <v>2630</v>
      </c>
    </row>
    <row r="28" spans="1:16" s="209" customFormat="1" ht="13.9" customHeight="1" outlineLevel="1" x14ac:dyDescent="0.2">
      <c r="A28" s="751">
        <f ca="1">IF($H28="UNIDADE CONSTRUTIVA",OFFSET(A28,-1,0)+1,LARGE(A$3:A27,1))</f>
        <v>0</v>
      </c>
      <c r="B28" s="751">
        <f t="shared" ca="1" si="6"/>
        <v>1</v>
      </c>
      <c r="C28" s="751">
        <f t="shared" ca="1" si="7"/>
        <v>2</v>
      </c>
      <c r="D28" s="752">
        <f t="shared" ca="1" si="8"/>
        <v>1</v>
      </c>
      <c r="E28" s="752">
        <f t="shared" ca="1" si="9"/>
        <v>3</v>
      </c>
      <c r="G28" s="754"/>
      <c r="H28" s="755" t="s">
        <v>476</v>
      </c>
      <c r="I28" s="756" t="str">
        <f t="shared" ca="1" si="4"/>
        <v>01.002.001.003</v>
      </c>
      <c r="J28" s="757" t="s">
        <v>715</v>
      </c>
      <c r="K28" s="758" t="s">
        <v>419</v>
      </c>
      <c r="L28" s="759">
        <v>1</v>
      </c>
      <c r="M28" s="759">
        <v>1080.1761882526609</v>
      </c>
      <c r="N28" s="868">
        <f t="shared" si="5"/>
        <v>1080.1761882526609</v>
      </c>
      <c r="O28" s="760" t="s">
        <v>740</v>
      </c>
      <c r="P28" s="761" t="s">
        <v>2630</v>
      </c>
    </row>
    <row r="29" spans="1:16" s="209" customFormat="1" ht="13.9" customHeight="1" outlineLevel="1" x14ac:dyDescent="0.2">
      <c r="A29" s="751">
        <f ca="1">IF($H29="UNIDADE CONSTRUTIVA",OFFSET(A29,-1,0)+1,LARGE(A$3:A28,1))</f>
        <v>0</v>
      </c>
      <c r="B29" s="751">
        <f t="shared" ca="1" si="6"/>
        <v>1</v>
      </c>
      <c r="C29" s="751">
        <f t="shared" ca="1" si="7"/>
        <v>2</v>
      </c>
      <c r="D29" s="752">
        <f t="shared" ca="1" si="8"/>
        <v>1</v>
      </c>
      <c r="E29" s="752">
        <f t="shared" ca="1" si="9"/>
        <v>4</v>
      </c>
      <c r="G29" s="754"/>
      <c r="H29" s="755" t="s">
        <v>476</v>
      </c>
      <c r="I29" s="756" t="str">
        <f t="shared" ca="1" si="4"/>
        <v>01.002.001.004</v>
      </c>
      <c r="J29" s="757" t="s">
        <v>716</v>
      </c>
      <c r="K29" s="758" t="s">
        <v>419</v>
      </c>
      <c r="L29" s="759">
        <v>1</v>
      </c>
      <c r="M29" s="759">
        <v>1857.0058759117637</v>
      </c>
      <c r="N29" s="868">
        <f t="shared" si="5"/>
        <v>1857.0058759117637</v>
      </c>
      <c r="O29" s="760" t="s">
        <v>740</v>
      </c>
      <c r="P29" s="761" t="s">
        <v>2630</v>
      </c>
    </row>
    <row r="30" spans="1:16" s="209" customFormat="1" ht="13.9" customHeight="1" outlineLevel="1" x14ac:dyDescent="0.2">
      <c r="A30" s="751">
        <f ca="1">IF($H30="UNIDADE CONSTRUTIVA",OFFSET(A30,-1,0)+1,LARGE(A$3:A29,1))</f>
        <v>0</v>
      </c>
      <c r="B30" s="751">
        <f t="shared" ca="1" si="6"/>
        <v>1</v>
      </c>
      <c r="C30" s="751">
        <f t="shared" ca="1" si="7"/>
        <v>2</v>
      </c>
      <c r="D30" s="752">
        <f t="shared" ca="1" si="8"/>
        <v>1</v>
      </c>
      <c r="E30" s="752">
        <f t="shared" ca="1" si="9"/>
        <v>5</v>
      </c>
      <c r="G30" s="754"/>
      <c r="H30" s="755" t="s">
        <v>476</v>
      </c>
      <c r="I30" s="756" t="str">
        <f t="shared" ca="1" si="4"/>
        <v>01.002.001.005</v>
      </c>
      <c r="J30" s="757" t="s">
        <v>717</v>
      </c>
      <c r="K30" s="758" t="s">
        <v>419</v>
      </c>
      <c r="L30" s="759">
        <v>1</v>
      </c>
      <c r="M30" s="759">
        <v>390</v>
      </c>
      <c r="N30" s="868">
        <f t="shared" si="5"/>
        <v>390</v>
      </c>
      <c r="O30" s="760" t="s">
        <v>740</v>
      </c>
      <c r="P30" s="761" t="s">
        <v>2630</v>
      </c>
    </row>
    <row r="31" spans="1:16" s="209" customFormat="1" ht="13.9" customHeight="1" outlineLevel="1" x14ac:dyDescent="0.2">
      <c r="A31" s="751">
        <f ca="1">IF($H31="UNIDADE CONSTRUTIVA",OFFSET(A31,-1,0)+1,LARGE(A$3:A30,1))</f>
        <v>0</v>
      </c>
      <c r="B31" s="751">
        <f t="shared" ca="1" si="6"/>
        <v>1</v>
      </c>
      <c r="C31" s="751">
        <f t="shared" ca="1" si="7"/>
        <v>2</v>
      </c>
      <c r="D31" s="752">
        <f t="shared" ca="1" si="8"/>
        <v>1</v>
      </c>
      <c r="E31" s="752">
        <f t="shared" ca="1" si="9"/>
        <v>6</v>
      </c>
      <c r="G31" s="754"/>
      <c r="H31" s="755" t="s">
        <v>476</v>
      </c>
      <c r="I31" s="756" t="str">
        <f t="shared" ca="1" si="4"/>
        <v>01.002.001.006</v>
      </c>
      <c r="J31" s="757" t="s">
        <v>718</v>
      </c>
      <c r="K31" s="758" t="s">
        <v>419</v>
      </c>
      <c r="L31" s="759">
        <v>1</v>
      </c>
      <c r="M31" s="759">
        <v>1018.1182140907242</v>
      </c>
      <c r="N31" s="868">
        <f t="shared" si="5"/>
        <v>1018.1182140907242</v>
      </c>
      <c r="O31" s="760" t="s">
        <v>740</v>
      </c>
      <c r="P31" s="761" t="s">
        <v>2630</v>
      </c>
    </row>
    <row r="32" spans="1:16" s="209" customFormat="1" ht="13.9" customHeight="1" outlineLevel="1" x14ac:dyDescent="0.2">
      <c r="A32" s="751">
        <f ca="1">IF($H32="UNIDADE CONSTRUTIVA",OFFSET(A32,-1,0)+1,LARGE(A$3:A31,1))</f>
        <v>0</v>
      </c>
      <c r="B32" s="751">
        <f t="shared" ca="1" si="6"/>
        <v>1</v>
      </c>
      <c r="C32" s="751">
        <f t="shared" ca="1" si="7"/>
        <v>2</v>
      </c>
      <c r="D32" s="752">
        <f t="shared" ca="1" si="8"/>
        <v>2</v>
      </c>
      <c r="E32" s="752">
        <f t="shared" ca="1" si="9"/>
        <v>0</v>
      </c>
      <c r="G32" s="754"/>
      <c r="H32" s="755" t="s">
        <v>475</v>
      </c>
      <c r="I32" s="756" t="str">
        <f t="shared" ca="1" si="4"/>
        <v>01.002.002</v>
      </c>
      <c r="J32" s="757" t="s">
        <v>719</v>
      </c>
      <c r="K32" s="758"/>
      <c r="L32" s="759"/>
      <c r="M32" s="759"/>
      <c r="N32" s="868">
        <f t="shared" ca="1" si="5"/>
        <v>18471.131776270169</v>
      </c>
      <c r="O32" s="760"/>
      <c r="P32" s="761"/>
    </row>
    <row r="33" spans="1:17" s="209" customFormat="1" ht="13.9" customHeight="1" outlineLevel="1" x14ac:dyDescent="0.2">
      <c r="A33" s="751">
        <f ca="1">IF($H33="UNIDADE CONSTRUTIVA",OFFSET(A33,-1,0)+1,LARGE(A$3:A32,1))</f>
        <v>0</v>
      </c>
      <c r="B33" s="751">
        <f t="shared" ca="1" si="6"/>
        <v>1</v>
      </c>
      <c r="C33" s="751">
        <f t="shared" ca="1" si="7"/>
        <v>2</v>
      </c>
      <c r="D33" s="752">
        <f t="shared" ca="1" si="8"/>
        <v>2</v>
      </c>
      <c r="E33" s="752">
        <f t="shared" ca="1" si="9"/>
        <v>1</v>
      </c>
      <c r="G33" s="754"/>
      <c r="H33" s="755" t="s">
        <v>476</v>
      </c>
      <c r="I33" s="756" t="str">
        <f t="shared" ca="1" si="4"/>
        <v>01.002.002.001</v>
      </c>
      <c r="J33" s="757" t="s">
        <v>720</v>
      </c>
      <c r="K33" s="758" t="s">
        <v>419</v>
      </c>
      <c r="L33" s="759">
        <v>1</v>
      </c>
      <c r="M33" s="759">
        <f ca="1">(SUM('Obra '!C33:C45)*0.18)*0.11*0.7</f>
        <v>18471.131776270169</v>
      </c>
      <c r="N33" s="868">
        <f t="shared" ca="1" si="5"/>
        <v>18471.131776270169</v>
      </c>
      <c r="O33" s="760" t="s">
        <v>2645</v>
      </c>
      <c r="P33" s="761" t="s">
        <v>2630</v>
      </c>
    </row>
    <row r="34" spans="1:17" s="209" customFormat="1" ht="13.9" customHeight="1" x14ac:dyDescent="0.2">
      <c r="A34" s="751">
        <f ca="1">IF($H34="UNIDADE CONSTRUTIVA",OFFSET(A34,-1,0)+1,LARGE(A$3:A33,1))</f>
        <v>0</v>
      </c>
      <c r="B34" s="751">
        <f t="shared" ca="1" si="6"/>
        <v>2</v>
      </c>
      <c r="C34" s="751">
        <f t="shared" ca="1" si="7"/>
        <v>0</v>
      </c>
      <c r="D34" s="752">
        <f t="shared" ca="1" si="8"/>
        <v>2</v>
      </c>
      <c r="E34" s="752">
        <f t="shared" ca="1" si="9"/>
        <v>1</v>
      </c>
      <c r="G34" s="754"/>
      <c r="H34" s="755" t="s">
        <v>473</v>
      </c>
      <c r="I34" s="1007" t="str">
        <f t="shared" ca="1" si="4"/>
        <v>02</v>
      </c>
      <c r="J34" s="757" t="s">
        <v>696</v>
      </c>
      <c r="K34" s="758"/>
      <c r="L34" s="759"/>
      <c r="M34" s="759"/>
      <c r="N34" s="868">
        <f t="shared" ca="1" si="5"/>
        <v>125416.66291160956</v>
      </c>
      <c r="O34" s="760"/>
      <c r="P34" s="761"/>
      <c r="Q34" s="209">
        <f ca="1">N34/'Obra '!$E$9</f>
        <v>380.54635710656174</v>
      </c>
    </row>
    <row r="35" spans="1:17" s="209" customFormat="1" ht="13.9" customHeight="1" outlineLevel="1" x14ac:dyDescent="0.2">
      <c r="A35" s="751">
        <f ca="1">IF($H35="UNIDADE CONSTRUTIVA",OFFSET(A35,-1,0)+1,LARGE(A$3:A34,1))</f>
        <v>0</v>
      </c>
      <c r="B35" s="751">
        <f t="shared" ca="1" si="6"/>
        <v>2</v>
      </c>
      <c r="C35" s="751">
        <f t="shared" ca="1" si="7"/>
        <v>1</v>
      </c>
      <c r="D35" s="752">
        <f t="shared" ca="1" si="8"/>
        <v>0</v>
      </c>
      <c r="E35" s="752">
        <f t="shared" ca="1" si="9"/>
        <v>1</v>
      </c>
      <c r="G35" s="754"/>
      <c r="H35" s="755" t="s">
        <v>474</v>
      </c>
      <c r="I35" s="756" t="str">
        <f t="shared" ca="1" si="4"/>
        <v>02.001</v>
      </c>
      <c r="J35" s="757" t="s">
        <v>721</v>
      </c>
      <c r="K35" s="758"/>
      <c r="L35" s="759"/>
      <c r="M35" s="759"/>
      <c r="N35" s="868">
        <f t="shared" ca="1" si="5"/>
        <v>9321.2489922490913</v>
      </c>
      <c r="O35" s="760"/>
      <c r="P35" s="761"/>
    </row>
    <row r="36" spans="1:17" s="209" customFormat="1" ht="13.9" customHeight="1" outlineLevel="1" x14ac:dyDescent="0.2">
      <c r="A36" s="751">
        <f ca="1">IF($H36="UNIDADE CONSTRUTIVA",OFFSET(A36,-1,0)+1,LARGE(A$3:A35,1))</f>
        <v>0</v>
      </c>
      <c r="B36" s="751">
        <f t="shared" ca="1" si="6"/>
        <v>2</v>
      </c>
      <c r="C36" s="751">
        <f t="shared" ca="1" si="7"/>
        <v>1</v>
      </c>
      <c r="D36" s="752">
        <f t="shared" ca="1" si="8"/>
        <v>1</v>
      </c>
      <c r="E36" s="752">
        <f t="shared" ca="1" si="9"/>
        <v>0</v>
      </c>
      <c r="G36" s="754"/>
      <c r="H36" s="755" t="s">
        <v>475</v>
      </c>
      <c r="I36" s="756" t="str">
        <f t="shared" ca="1" si="4"/>
        <v>02.001.001</v>
      </c>
      <c r="J36" s="757" t="s">
        <v>722</v>
      </c>
      <c r="K36" s="758"/>
      <c r="L36" s="759"/>
      <c r="M36" s="759"/>
      <c r="N36" s="868">
        <f t="shared" ca="1" si="5"/>
        <v>4500</v>
      </c>
      <c r="O36" s="760"/>
      <c r="P36" s="761"/>
    </row>
    <row r="37" spans="1:17" s="209" customFormat="1" ht="13.9" customHeight="1" outlineLevel="1" x14ac:dyDescent="0.2">
      <c r="A37" s="751">
        <f ca="1">IF($H37="UNIDADE CONSTRUTIVA",OFFSET(A37,-1,0)+1,LARGE(A$3:A36,1))</f>
        <v>0</v>
      </c>
      <c r="B37" s="751">
        <f t="shared" ca="1" si="6"/>
        <v>2</v>
      </c>
      <c r="C37" s="751">
        <f t="shared" ca="1" si="7"/>
        <v>1</v>
      </c>
      <c r="D37" s="752">
        <f t="shared" ca="1" si="8"/>
        <v>1</v>
      </c>
      <c r="E37" s="752">
        <f t="shared" ca="1" si="9"/>
        <v>1</v>
      </c>
      <c r="G37" s="754"/>
      <c r="H37" s="755" t="s">
        <v>476</v>
      </c>
      <c r="I37" s="756" t="str">
        <f t="shared" ca="1" si="4"/>
        <v>02.001.001.001</v>
      </c>
      <c r="J37" s="757" t="s">
        <v>724</v>
      </c>
      <c r="K37" s="758" t="s">
        <v>419</v>
      </c>
      <c r="L37" s="759">
        <v>1</v>
      </c>
      <c r="M37" s="759">
        <f>CANTEIRO!D15</f>
        <v>4500</v>
      </c>
      <c r="N37" s="868">
        <f t="shared" si="5"/>
        <v>4500</v>
      </c>
      <c r="O37" s="760" t="s">
        <v>2638</v>
      </c>
      <c r="P37" s="761" t="s">
        <v>2630</v>
      </c>
    </row>
    <row r="38" spans="1:17" s="209" customFormat="1" ht="13.9" customHeight="1" outlineLevel="1" x14ac:dyDescent="0.2">
      <c r="A38" s="751">
        <f ca="1">IF($H38="UNIDADE CONSTRUTIVA",OFFSET(A38,-1,0)+1,LARGE(A$3:A37,1))</f>
        <v>0</v>
      </c>
      <c r="B38" s="751">
        <f t="shared" ca="1" si="6"/>
        <v>2</v>
      </c>
      <c r="C38" s="751">
        <f t="shared" ca="1" si="7"/>
        <v>1</v>
      </c>
      <c r="D38" s="752">
        <f t="shared" ca="1" si="8"/>
        <v>2</v>
      </c>
      <c r="E38" s="752">
        <f t="shared" ca="1" si="9"/>
        <v>0</v>
      </c>
      <c r="G38" s="754"/>
      <c r="H38" s="755" t="s">
        <v>475</v>
      </c>
      <c r="I38" s="756" t="str">
        <f t="shared" ca="1" si="4"/>
        <v>02.001.002</v>
      </c>
      <c r="J38" s="757" t="s">
        <v>1351</v>
      </c>
      <c r="K38" s="758"/>
      <c r="L38" s="759"/>
      <c r="M38" s="795"/>
      <c r="N38" s="868">
        <f t="shared" ca="1" si="5"/>
        <v>821.24899224909086</v>
      </c>
      <c r="O38" s="760"/>
      <c r="P38" s="761"/>
    </row>
    <row r="39" spans="1:17" s="209" customFormat="1" ht="13.9" customHeight="1" outlineLevel="1" x14ac:dyDescent="0.2">
      <c r="A39" s="751">
        <f ca="1">IF($H39="UNIDADE CONSTRUTIVA",OFFSET(A39,-1,0)+1,LARGE(A$3:A38,1))</f>
        <v>0</v>
      </c>
      <c r="B39" s="751">
        <f t="shared" ca="1" si="6"/>
        <v>2</v>
      </c>
      <c r="C39" s="751">
        <f t="shared" ca="1" si="7"/>
        <v>1</v>
      </c>
      <c r="D39" s="752">
        <f t="shared" ca="1" si="8"/>
        <v>2</v>
      </c>
      <c r="E39" s="752">
        <f t="shared" ca="1" si="9"/>
        <v>1</v>
      </c>
      <c r="G39" s="754"/>
      <c r="H39" s="755" t="s">
        <v>476</v>
      </c>
      <c r="I39" s="756" t="str">
        <f t="shared" ca="1" si="4"/>
        <v>02.001.002.001</v>
      </c>
      <c r="J39" s="757" t="s">
        <v>725</v>
      </c>
      <c r="K39" s="758" t="s">
        <v>3</v>
      </c>
      <c r="L39" s="759">
        <f>Ger_Executivo!L203/1.1</f>
        <v>13.583636363636364</v>
      </c>
      <c r="M39" s="759">
        <f>CPU!H164</f>
        <v>38.622647000000001</v>
      </c>
      <c r="N39" s="868">
        <f t="shared" si="5"/>
        <v>524.63599224909092</v>
      </c>
      <c r="O39" s="760"/>
      <c r="P39" s="761" t="s">
        <v>2630</v>
      </c>
    </row>
    <row r="40" spans="1:17" s="209" customFormat="1" ht="13.9" customHeight="1" outlineLevel="1" x14ac:dyDescent="0.2">
      <c r="A40" s="751">
        <f ca="1">IF($H40="UNIDADE CONSTRUTIVA",OFFSET(A40,-1,0)+1,LARGE(A$3:A39,1))</f>
        <v>0</v>
      </c>
      <c r="B40" s="751">
        <f t="shared" ca="1" si="6"/>
        <v>2</v>
      </c>
      <c r="C40" s="751">
        <f t="shared" ca="1" si="7"/>
        <v>1</v>
      </c>
      <c r="D40" s="752">
        <f t="shared" ca="1" si="8"/>
        <v>2</v>
      </c>
      <c r="E40" s="752">
        <f t="shared" ca="1" si="9"/>
        <v>2</v>
      </c>
      <c r="G40" s="754"/>
      <c r="H40" s="755" t="s">
        <v>476</v>
      </c>
      <c r="I40" s="756" t="str">
        <f t="shared" ca="1" si="4"/>
        <v>02.001.002.002</v>
      </c>
      <c r="J40" s="757" t="s">
        <v>1349</v>
      </c>
      <c r="K40" s="758" t="s">
        <v>633</v>
      </c>
      <c r="L40" s="759">
        <v>1</v>
      </c>
      <c r="M40" s="759">
        <v>296.613</v>
      </c>
      <c r="N40" s="868">
        <f t="shared" ref="N40:N71" si="14">IF(H40="Serviço",M40*L40,IF(H40="CÉLULA CONSTRUTIVA",SUMIFS($N$8:$N$368,$B$8:$B$368,B40,$H$8:$H$368,"Serviço"),IF(H40="ETAPA",SUMIFS($N$8:$N$368,$B$8:$B$368,B40,$C$8:$C$368,C40,$H$8:$H$368,"Serviço"),IF(H40="SUBETAPA",SUMIFS($N$8:$N$368,$B$8:$B$368,B40,$C$8:$C$368,C40,$D$8:$D$368,D40,$H$8:$H$368,"Serviço"),0))))</f>
        <v>296.613</v>
      </c>
      <c r="O40" s="760" t="s">
        <v>740</v>
      </c>
      <c r="P40" s="761" t="s">
        <v>2630</v>
      </c>
    </row>
    <row r="41" spans="1:17" s="209" customFormat="1" ht="13.9" customHeight="1" outlineLevel="1" x14ac:dyDescent="0.2">
      <c r="A41" s="751">
        <f ca="1">IF($H41="UNIDADE CONSTRUTIVA",OFFSET(A41,-1,0)+1,LARGE(A$3:A39,1))</f>
        <v>0</v>
      </c>
      <c r="B41" s="751">
        <f t="shared" ca="1" si="6"/>
        <v>2</v>
      </c>
      <c r="C41" s="751">
        <f t="shared" ca="1" si="7"/>
        <v>1</v>
      </c>
      <c r="D41" s="752">
        <f t="shared" ca="1" si="8"/>
        <v>3</v>
      </c>
      <c r="E41" s="752">
        <f t="shared" ca="1" si="9"/>
        <v>0</v>
      </c>
      <c r="G41" s="754"/>
      <c r="H41" s="755" t="s">
        <v>475</v>
      </c>
      <c r="I41" s="756" t="str">
        <f t="shared" ca="1" si="4"/>
        <v>02.001.003</v>
      </c>
      <c r="J41" s="757" t="s">
        <v>727</v>
      </c>
      <c r="K41" s="758"/>
      <c r="L41" s="759"/>
      <c r="M41" s="795"/>
      <c r="N41" s="868">
        <f t="shared" ca="1" si="14"/>
        <v>4000</v>
      </c>
      <c r="O41" s="760"/>
      <c r="P41" s="761"/>
    </row>
    <row r="42" spans="1:17" s="209" customFormat="1" ht="13.9" customHeight="1" outlineLevel="1" x14ac:dyDescent="0.2">
      <c r="A42" s="751">
        <f ca="1">IF($H42="UNIDADE CONSTRUTIVA",OFFSET(A42,-1,0)+1,LARGE(A$3:A41,1))</f>
        <v>0</v>
      </c>
      <c r="B42" s="751">
        <f t="shared" ref="B42:B87" ca="1" si="15">IF(H42="UNIDADE CONSTRUTIVA",0,IF(H42="CÉLULA CONSTRUTIVA",OFFSET(B42,-1,0)+1,OFFSET(B42,-1,0)))</f>
        <v>2</v>
      </c>
      <c r="C42" s="751">
        <f t="shared" ref="C42:C87" ca="1" si="16">IF(H42="CÉLULA CONSTRUTIVA",0,IF(H42="ETAPA",OFFSET(C42,-1,0)+1,OFFSET(C42,-1,0)))</f>
        <v>1</v>
      </c>
      <c r="D42" s="752">
        <f t="shared" ref="D42:D87" ca="1" si="17">IF(H42="ETAPA",0,IF(H42="SUBETAPA",OFFSET(D42,-1,0)+1,OFFSET(D42,-1,0)))</f>
        <v>3</v>
      </c>
      <c r="E42" s="752">
        <f t="shared" ref="E42:E87" ca="1" si="18">IF(H42="Subetapa",0,IF(H42="serviço",OFFSET(E42,-1,0)+1,OFFSET(E42,-1,0)))</f>
        <v>1</v>
      </c>
      <c r="G42" s="754"/>
      <c r="H42" s="755" t="s">
        <v>476</v>
      </c>
      <c r="I42" s="756" t="str">
        <f t="shared" ref="I42:I68" ca="1" si="19">IF(H42="Unidade Construtiva",TEXT(A42,"00"),IF(H42="Célula Construtiva",TEXT(B42,"00"),IF(H42="Etapa",CONCATENATE(TEXT(B42,"00"),".",TEXT(C42,"000")),IF(H42="Subetapa",CONCATENATE(TEXT(B42,"00"),".",TEXT(C42,"000"),".",TEXT(D42,"000")),IF(H42="Serviço",CONCATENATE(TEXT(B42,"00"),".",TEXT(C42,"000"),".",TEXT(D42,"000"),".",TEXT(E42,"000")),"")))))</f>
        <v>02.001.003.001</v>
      </c>
      <c r="J42" s="757" t="s">
        <v>697</v>
      </c>
      <c r="K42" s="758" t="s">
        <v>419</v>
      </c>
      <c r="L42" s="759">
        <v>1</v>
      </c>
      <c r="M42" s="759">
        <f>400*10</f>
        <v>4000</v>
      </c>
      <c r="N42" s="868">
        <f t="shared" si="14"/>
        <v>4000</v>
      </c>
      <c r="O42" s="760" t="s">
        <v>2642</v>
      </c>
      <c r="P42" s="761" t="s">
        <v>2630</v>
      </c>
    </row>
    <row r="43" spans="1:17" s="209" customFormat="1" ht="11.25" outlineLevel="1" x14ac:dyDescent="0.2">
      <c r="A43" s="751">
        <f ca="1">IF($H43="UNIDADE CONSTRUTIVA",OFFSET(A43,-1,0)+1,LARGE(A$3:A42,1))</f>
        <v>0</v>
      </c>
      <c r="B43" s="751">
        <f t="shared" ref="B43" ca="1" si="20">IF(H43="UNIDADE CONSTRUTIVA",0,IF(H43="CÉLULA CONSTRUTIVA",OFFSET(B43,-1,0)+1,OFFSET(B43,-1,0)))</f>
        <v>2</v>
      </c>
      <c r="C43" s="751">
        <f t="shared" ref="C43" ca="1" si="21">IF(H43="CÉLULA CONSTRUTIVA",0,IF(H43="ETAPA",OFFSET(C43,-1,0)+1,OFFSET(C43,-1,0)))</f>
        <v>2</v>
      </c>
      <c r="D43" s="752">
        <f t="shared" ref="D43" ca="1" si="22">IF(H43="ETAPA",0,IF(H43="SUBETAPA",OFFSET(D43,-1,0)+1,OFFSET(D43,-1,0)))</f>
        <v>0</v>
      </c>
      <c r="E43" s="752">
        <f t="shared" ref="E43" ca="1" si="23">IF(H43="Subetapa",0,IF(H43="serviço",OFFSET(E43,-1,0)+1,OFFSET(E43,-1,0)))</f>
        <v>1</v>
      </c>
      <c r="G43" s="754"/>
      <c r="H43" s="755" t="s">
        <v>474</v>
      </c>
      <c r="I43" s="756" t="str">
        <f t="shared" ca="1" si="19"/>
        <v>02.002</v>
      </c>
      <c r="J43" s="757" t="s">
        <v>698</v>
      </c>
      <c r="K43" s="758"/>
      <c r="L43" s="759"/>
      <c r="M43" s="759"/>
      <c r="N43" s="868">
        <f t="shared" ca="1" si="14"/>
        <v>116095.41391936046</v>
      </c>
      <c r="O43" s="760"/>
      <c r="P43" s="761"/>
    </row>
    <row r="44" spans="1:17" s="209" customFormat="1" ht="13.9" customHeight="1" outlineLevel="1" x14ac:dyDescent="0.2">
      <c r="A44" s="751">
        <f ca="1">IF($H44="UNIDADE CONSTRUTIVA",OFFSET(A44,-1,0)+1,LARGE(A$3:A43,1))</f>
        <v>0</v>
      </c>
      <c r="B44" s="751">
        <f t="shared" ca="1" si="15"/>
        <v>2</v>
      </c>
      <c r="C44" s="751">
        <f t="shared" ca="1" si="16"/>
        <v>2</v>
      </c>
      <c r="D44" s="752">
        <f t="shared" ca="1" si="17"/>
        <v>1</v>
      </c>
      <c r="E44" s="752">
        <f t="shared" ca="1" si="18"/>
        <v>0</v>
      </c>
      <c r="G44" s="754"/>
      <c r="H44" s="755" t="s">
        <v>475</v>
      </c>
      <c r="I44" s="756" t="str">
        <f t="shared" ca="1" si="19"/>
        <v>02.002.001</v>
      </c>
      <c r="J44" s="757" t="s">
        <v>699</v>
      </c>
      <c r="K44" s="758"/>
      <c r="L44" s="759"/>
      <c r="M44" s="759"/>
      <c r="N44" s="868">
        <f t="shared" ca="1" si="14"/>
        <v>56000</v>
      </c>
      <c r="O44" s="760"/>
      <c r="P44" s="761"/>
    </row>
    <row r="45" spans="1:17" s="209" customFormat="1" ht="13.9" customHeight="1" outlineLevel="1" x14ac:dyDescent="0.2">
      <c r="A45" s="751">
        <f ca="1">IF($H45="UNIDADE CONSTRUTIVA",OFFSET(A45,-1,0)+1,LARGE(A$3:A44,1))</f>
        <v>0</v>
      </c>
      <c r="B45" s="751">
        <f t="shared" ca="1" si="15"/>
        <v>2</v>
      </c>
      <c r="C45" s="751">
        <f t="shared" ca="1" si="16"/>
        <v>2</v>
      </c>
      <c r="D45" s="752">
        <f t="shared" ca="1" si="17"/>
        <v>1</v>
      </c>
      <c r="E45" s="752">
        <f t="shared" ca="1" si="18"/>
        <v>1</v>
      </c>
      <c r="G45" s="754"/>
      <c r="H45" s="755" t="s">
        <v>476</v>
      </c>
      <c r="I45" s="756" t="str">
        <f t="shared" ca="1" si="19"/>
        <v>02.002.001.001</v>
      </c>
      <c r="J45" s="757" t="s">
        <v>728</v>
      </c>
      <c r="K45" s="758" t="s">
        <v>723</v>
      </c>
      <c r="L45" s="759">
        <f>'Obra '!E7</f>
        <v>14</v>
      </c>
      <c r="M45" s="759">
        <f>8000/2</f>
        <v>4000</v>
      </c>
      <c r="N45" s="868">
        <f t="shared" si="14"/>
        <v>56000</v>
      </c>
      <c r="O45" s="760" t="s">
        <v>2648</v>
      </c>
      <c r="P45" s="761" t="s">
        <v>2630</v>
      </c>
    </row>
    <row r="46" spans="1:17" s="209" customFormat="1" ht="13.9" customHeight="1" outlineLevel="1" x14ac:dyDescent="0.2">
      <c r="A46" s="751">
        <f ca="1">IF($H46="UNIDADE CONSTRUTIVA",OFFSET(A46,-1,0)+1,LARGE(A$3:A45,1))</f>
        <v>0</v>
      </c>
      <c r="B46" s="751">
        <f t="shared" ca="1" si="15"/>
        <v>2</v>
      </c>
      <c r="C46" s="751">
        <f t="shared" ca="1" si="16"/>
        <v>2</v>
      </c>
      <c r="D46" s="752">
        <f t="shared" ca="1" si="17"/>
        <v>2</v>
      </c>
      <c r="E46" s="752">
        <f t="shared" ca="1" si="18"/>
        <v>0</v>
      </c>
      <c r="G46" s="754"/>
      <c r="H46" s="755" t="s">
        <v>475</v>
      </c>
      <c r="I46" s="756" t="str">
        <f t="shared" ca="1" si="19"/>
        <v>02.002.002</v>
      </c>
      <c r="J46" s="757" t="s">
        <v>729</v>
      </c>
      <c r="K46" s="758"/>
      <c r="L46" s="759"/>
      <c r="M46" s="759"/>
      <c r="N46" s="868">
        <f t="shared" ca="1" si="14"/>
        <v>35144.511950360473</v>
      </c>
      <c r="O46" s="760"/>
      <c r="P46" s="761"/>
    </row>
    <row r="47" spans="1:17" s="209" customFormat="1" ht="13.9" customHeight="1" outlineLevel="1" x14ac:dyDescent="0.2">
      <c r="A47" s="751">
        <f ca="1">IF($H47="UNIDADE CONSTRUTIVA",OFFSET(A47,-1,0)+1,LARGE(A$3:A46,1))</f>
        <v>0</v>
      </c>
      <c r="B47" s="751">
        <f t="shared" ca="1" si="15"/>
        <v>2</v>
      </c>
      <c r="C47" s="751">
        <f t="shared" ca="1" si="16"/>
        <v>2</v>
      </c>
      <c r="D47" s="752">
        <f t="shared" ca="1" si="17"/>
        <v>2</v>
      </c>
      <c r="E47" s="752">
        <f t="shared" ca="1" si="18"/>
        <v>1</v>
      </c>
      <c r="G47" s="754"/>
      <c r="H47" s="755" t="s">
        <v>476</v>
      </c>
      <c r="I47" s="756" t="str">
        <f t="shared" ca="1" si="19"/>
        <v>02.002.002.001</v>
      </c>
      <c r="J47" s="757" t="s">
        <v>730</v>
      </c>
      <c r="K47" s="758" t="s">
        <v>723</v>
      </c>
      <c r="L47" s="759">
        <f>'Obra '!$E$7</f>
        <v>14</v>
      </c>
      <c r="M47" s="759">
        <v>821.1</v>
      </c>
      <c r="N47" s="868">
        <f t="shared" si="14"/>
        <v>11495.4</v>
      </c>
      <c r="O47" s="760" t="s">
        <v>740</v>
      </c>
      <c r="P47" s="761" t="s">
        <v>2630</v>
      </c>
    </row>
    <row r="48" spans="1:17" s="209" customFormat="1" ht="13.9" customHeight="1" outlineLevel="1" x14ac:dyDescent="0.2">
      <c r="A48" s="751">
        <f ca="1">IF($H48="UNIDADE CONSTRUTIVA",OFFSET(A48,-1,0)+1,LARGE(A$3:A47,1))</f>
        <v>0</v>
      </c>
      <c r="B48" s="751">
        <f t="shared" ca="1" si="15"/>
        <v>2</v>
      </c>
      <c r="C48" s="751">
        <f t="shared" ca="1" si="16"/>
        <v>2</v>
      </c>
      <c r="D48" s="752">
        <f t="shared" ca="1" si="17"/>
        <v>2</v>
      </c>
      <c r="E48" s="752">
        <f t="shared" ca="1" si="18"/>
        <v>2</v>
      </c>
      <c r="G48" s="754"/>
      <c r="H48" s="755" t="s">
        <v>476</v>
      </c>
      <c r="I48" s="756" t="str">
        <f t="shared" ca="1" si="19"/>
        <v>02.002.002.002</v>
      </c>
      <c r="J48" s="757" t="s">
        <v>731</v>
      </c>
      <c r="K48" s="758" t="s">
        <v>723</v>
      </c>
      <c r="L48" s="759">
        <f>'Obra '!$E$7</f>
        <v>14</v>
      </c>
      <c r="M48" s="759">
        <v>1000</v>
      </c>
      <c r="N48" s="868">
        <f t="shared" si="14"/>
        <v>14000</v>
      </c>
      <c r="O48" s="760" t="s">
        <v>740</v>
      </c>
      <c r="P48" s="761" t="s">
        <v>2630</v>
      </c>
    </row>
    <row r="49" spans="1:16" s="209" customFormat="1" ht="13.9" customHeight="1" outlineLevel="1" x14ac:dyDescent="0.2">
      <c r="A49" s="751">
        <f ca="1">IF($H49="UNIDADE CONSTRUTIVA",OFFSET(A49,-1,0)+1,LARGE(A$3:A48,1))</f>
        <v>0</v>
      </c>
      <c r="B49" s="751">
        <f t="shared" ca="1" si="15"/>
        <v>2</v>
      </c>
      <c r="C49" s="751">
        <f t="shared" ca="1" si="16"/>
        <v>2</v>
      </c>
      <c r="D49" s="752">
        <f t="shared" ca="1" si="17"/>
        <v>2</v>
      </c>
      <c r="E49" s="752">
        <f t="shared" ca="1" si="18"/>
        <v>3</v>
      </c>
      <c r="G49" s="754"/>
      <c r="H49" s="755" t="s">
        <v>476</v>
      </c>
      <c r="I49" s="756" t="str">
        <f t="shared" ca="1" si="19"/>
        <v>02.002.002.003</v>
      </c>
      <c r="J49" s="757" t="s">
        <v>732</v>
      </c>
      <c r="K49" s="758" t="s">
        <v>723</v>
      </c>
      <c r="L49" s="759">
        <f>'Obra '!$E$7</f>
        <v>14</v>
      </c>
      <c r="M49" s="759">
        <v>120</v>
      </c>
      <c r="N49" s="868">
        <f t="shared" si="14"/>
        <v>1680</v>
      </c>
      <c r="O49" s="760" t="s">
        <v>740</v>
      </c>
      <c r="P49" s="761" t="s">
        <v>2630</v>
      </c>
    </row>
    <row r="50" spans="1:16" s="209" customFormat="1" ht="13.9" customHeight="1" outlineLevel="1" x14ac:dyDescent="0.2">
      <c r="A50" s="751">
        <f ca="1">IF($H50="UNIDADE CONSTRUTIVA",OFFSET(A50,-1,0)+1,LARGE(A$3:A49,1))</f>
        <v>0</v>
      </c>
      <c r="B50" s="751">
        <f t="shared" ca="1" si="15"/>
        <v>2</v>
      </c>
      <c r="C50" s="751">
        <f t="shared" ca="1" si="16"/>
        <v>2</v>
      </c>
      <c r="D50" s="752">
        <f t="shared" ca="1" si="17"/>
        <v>2</v>
      </c>
      <c r="E50" s="752">
        <f t="shared" ca="1" si="18"/>
        <v>4</v>
      </c>
      <c r="G50" s="754"/>
      <c r="H50" s="755" t="s">
        <v>476</v>
      </c>
      <c r="I50" s="756" t="str">
        <f t="shared" ca="1" si="19"/>
        <v>02.002.002.004</v>
      </c>
      <c r="J50" s="757" t="s">
        <v>733</v>
      </c>
      <c r="K50" s="758" t="s">
        <v>723</v>
      </c>
      <c r="L50" s="759">
        <f>'Obra '!$E$7</f>
        <v>14</v>
      </c>
      <c r="M50" s="759">
        <v>61.53</v>
      </c>
      <c r="N50" s="868">
        <f t="shared" si="14"/>
        <v>861.42000000000007</v>
      </c>
      <c r="O50" s="760" t="s">
        <v>740</v>
      </c>
      <c r="P50" s="761" t="s">
        <v>2630</v>
      </c>
    </row>
    <row r="51" spans="1:16" s="209" customFormat="1" ht="13.9" customHeight="1" outlineLevel="1" x14ac:dyDescent="0.2">
      <c r="A51" s="751">
        <f ca="1">IF($H51="UNIDADE CONSTRUTIVA",OFFSET(A51,-1,0)+1,LARGE(A$3:A50,1))</f>
        <v>0</v>
      </c>
      <c r="B51" s="751">
        <f t="shared" ca="1" si="15"/>
        <v>2</v>
      </c>
      <c r="C51" s="751">
        <f t="shared" ca="1" si="16"/>
        <v>2</v>
      </c>
      <c r="D51" s="752">
        <f t="shared" ca="1" si="17"/>
        <v>2</v>
      </c>
      <c r="E51" s="752">
        <f t="shared" ca="1" si="18"/>
        <v>5</v>
      </c>
      <c r="G51" s="754"/>
      <c r="H51" s="755" t="s">
        <v>476</v>
      </c>
      <c r="I51" s="756" t="str">
        <f t="shared" ca="1" si="19"/>
        <v>02.002.002.005</v>
      </c>
      <c r="J51" s="757" t="s">
        <v>734</v>
      </c>
      <c r="K51" s="758" t="s">
        <v>723</v>
      </c>
      <c r="L51" s="759">
        <f>'Obra '!$E$7</f>
        <v>14</v>
      </c>
      <c r="M51" s="759">
        <v>307.92</v>
      </c>
      <c r="N51" s="868">
        <f t="shared" si="14"/>
        <v>4310.88</v>
      </c>
      <c r="O51" s="760" t="s">
        <v>740</v>
      </c>
      <c r="P51" s="761" t="s">
        <v>2630</v>
      </c>
    </row>
    <row r="52" spans="1:16" s="209" customFormat="1" ht="13.9" customHeight="1" outlineLevel="1" x14ac:dyDescent="0.2">
      <c r="A52" s="751">
        <f ca="1">IF($H52="UNIDADE CONSTRUTIVA",OFFSET(A52,-1,0)+1,LARGE(A$3:A51,1))</f>
        <v>0</v>
      </c>
      <c r="B52" s="751">
        <f t="shared" ca="1" si="15"/>
        <v>2</v>
      </c>
      <c r="C52" s="751">
        <f t="shared" ca="1" si="16"/>
        <v>2</v>
      </c>
      <c r="D52" s="752">
        <f t="shared" ca="1" si="17"/>
        <v>2</v>
      </c>
      <c r="E52" s="752">
        <f t="shared" ca="1" si="18"/>
        <v>6</v>
      </c>
      <c r="G52" s="754"/>
      <c r="H52" s="755" t="s">
        <v>476</v>
      </c>
      <c r="I52" s="756" t="str">
        <f t="shared" ca="1" si="19"/>
        <v>02.002.002.006</v>
      </c>
      <c r="J52" s="757" t="s">
        <v>735</v>
      </c>
      <c r="K52" s="758" t="s">
        <v>419</v>
      </c>
      <c r="L52" s="759">
        <v>1</v>
      </c>
      <c r="M52" s="759">
        <v>2796.8119503604748</v>
      </c>
      <c r="N52" s="868">
        <f t="shared" si="14"/>
        <v>2796.8119503604748</v>
      </c>
      <c r="O52" s="760" t="s">
        <v>740</v>
      </c>
      <c r="P52" s="761" t="s">
        <v>2630</v>
      </c>
    </row>
    <row r="53" spans="1:16" s="209" customFormat="1" ht="13.9" customHeight="1" outlineLevel="1" x14ac:dyDescent="0.2">
      <c r="A53" s="751">
        <f ca="1">IF($H53="UNIDADE CONSTRUTIVA",OFFSET(A53,-1,0)+1,LARGE(A$3:A52,1))</f>
        <v>0</v>
      </c>
      <c r="B53" s="751">
        <f t="shared" ca="1" si="15"/>
        <v>2</v>
      </c>
      <c r="C53" s="751">
        <f t="shared" ca="1" si="16"/>
        <v>2</v>
      </c>
      <c r="D53" s="752">
        <f t="shared" ca="1" si="17"/>
        <v>3</v>
      </c>
      <c r="E53" s="752">
        <f t="shared" ca="1" si="18"/>
        <v>0</v>
      </c>
      <c r="G53" s="754"/>
      <c r="H53" s="755" t="s">
        <v>475</v>
      </c>
      <c r="I53" s="756" t="str">
        <f t="shared" ca="1" si="19"/>
        <v>02.002.003</v>
      </c>
      <c r="J53" s="757" t="s">
        <v>1352</v>
      </c>
      <c r="K53" s="758"/>
      <c r="L53" s="759"/>
      <c r="M53" s="759"/>
      <c r="N53" s="868">
        <f t="shared" ca="1" si="14"/>
        <v>22950.901969000002</v>
      </c>
      <c r="O53" s="760"/>
      <c r="P53" s="761"/>
    </row>
    <row r="54" spans="1:16" s="209" customFormat="1" ht="13.9" customHeight="1" outlineLevel="1" x14ac:dyDescent="0.2">
      <c r="A54" s="751">
        <f ca="1">IF($H54="UNIDADE CONSTRUTIVA",OFFSET(A54,-1,0)+1,LARGE(A$3:A53,1))</f>
        <v>0</v>
      </c>
      <c r="B54" s="751">
        <f t="shared" ca="1" si="15"/>
        <v>2</v>
      </c>
      <c r="C54" s="751">
        <f t="shared" ca="1" si="16"/>
        <v>2</v>
      </c>
      <c r="D54" s="752">
        <f t="shared" ca="1" si="17"/>
        <v>3</v>
      </c>
      <c r="E54" s="752">
        <f t="shared" ca="1" si="18"/>
        <v>1</v>
      </c>
      <c r="G54" s="754"/>
      <c r="H54" s="755" t="s">
        <v>476</v>
      </c>
      <c r="I54" s="756" t="str">
        <f t="shared" ca="1" si="19"/>
        <v>02.002.003.001</v>
      </c>
      <c r="J54" s="757" t="s">
        <v>726</v>
      </c>
      <c r="K54" s="758" t="s">
        <v>419</v>
      </c>
      <c r="L54" s="759">
        <v>1</v>
      </c>
      <c r="M54" s="759">
        <v>2938.54</v>
      </c>
      <c r="N54" s="868">
        <f t="shared" si="14"/>
        <v>2938.54</v>
      </c>
      <c r="O54" s="760" t="s">
        <v>740</v>
      </c>
      <c r="P54" s="761" t="s">
        <v>2630</v>
      </c>
    </row>
    <row r="55" spans="1:16" s="209" customFormat="1" ht="13.9" customHeight="1" outlineLevel="1" x14ac:dyDescent="0.2">
      <c r="A55" s="751">
        <f ca="1">IF($H55="UNIDADE CONSTRUTIVA",OFFSET(A55,-1,0)+1,LARGE(A$3:A54,1))</f>
        <v>0</v>
      </c>
      <c r="B55" s="751">
        <f t="shared" ca="1" si="15"/>
        <v>2</v>
      </c>
      <c r="C55" s="751">
        <f t="shared" ca="1" si="16"/>
        <v>2</v>
      </c>
      <c r="D55" s="752">
        <f t="shared" ca="1" si="17"/>
        <v>3</v>
      </c>
      <c r="E55" s="752">
        <f t="shared" ca="1" si="18"/>
        <v>2</v>
      </c>
      <c r="G55" s="754"/>
      <c r="H55" s="755" t="s">
        <v>476</v>
      </c>
      <c r="I55" s="756" t="str">
        <f t="shared" ca="1" si="19"/>
        <v>02.002.003.002</v>
      </c>
      <c r="J55" s="757" t="s">
        <v>741</v>
      </c>
      <c r="K55" s="758" t="s">
        <v>723</v>
      </c>
      <c r="L55" s="759">
        <v>6</v>
      </c>
      <c r="M55" s="759">
        <f>800</f>
        <v>800</v>
      </c>
      <c r="N55" s="868">
        <f t="shared" si="14"/>
        <v>4800</v>
      </c>
      <c r="O55" s="760" t="s">
        <v>2639</v>
      </c>
      <c r="P55" s="761" t="s">
        <v>2630</v>
      </c>
    </row>
    <row r="56" spans="1:16" s="209" customFormat="1" ht="13.9" customHeight="1" outlineLevel="1" x14ac:dyDescent="0.2">
      <c r="A56" s="751">
        <f ca="1">IF($H56="UNIDADE CONSTRUTIVA",OFFSET(A56,-1,0)+1,LARGE(A$3:A55,1))</f>
        <v>0</v>
      </c>
      <c r="B56" s="751">
        <f t="shared" ca="1" si="15"/>
        <v>2</v>
      </c>
      <c r="C56" s="751">
        <f t="shared" ca="1" si="16"/>
        <v>2</v>
      </c>
      <c r="D56" s="752">
        <f t="shared" ca="1" si="17"/>
        <v>3</v>
      </c>
      <c r="E56" s="752">
        <f t="shared" ca="1" si="18"/>
        <v>3</v>
      </c>
      <c r="G56" s="754"/>
      <c r="H56" s="755" t="s">
        <v>476</v>
      </c>
      <c r="I56" s="756" t="str">
        <f t="shared" ca="1" si="19"/>
        <v>02.002.003.003</v>
      </c>
      <c r="J56" s="757" t="s">
        <v>736</v>
      </c>
      <c r="K56" s="758" t="s">
        <v>1</v>
      </c>
      <c r="L56" s="759">
        <f>(30.29+13.86)*2.1</f>
        <v>92.715000000000003</v>
      </c>
      <c r="M56" s="759">
        <f>CPU!H191</f>
        <v>164.07660000000001</v>
      </c>
      <c r="N56" s="868">
        <f t="shared" si="14"/>
        <v>15212.361969000001</v>
      </c>
      <c r="O56" s="760" t="s">
        <v>2640</v>
      </c>
      <c r="P56" s="761" t="s">
        <v>2630</v>
      </c>
    </row>
    <row r="57" spans="1:16" s="209" customFormat="1" ht="13.9" customHeight="1" outlineLevel="1" x14ac:dyDescent="0.2">
      <c r="A57" s="751">
        <f ca="1">IF($H57="UNIDADE CONSTRUTIVA",OFFSET(A57,-1,0)+1,LARGE(A$3:A56,1))</f>
        <v>0</v>
      </c>
      <c r="B57" s="751">
        <f t="shared" ca="1" si="15"/>
        <v>2</v>
      </c>
      <c r="C57" s="751">
        <f t="shared" ca="1" si="16"/>
        <v>2</v>
      </c>
      <c r="D57" s="752">
        <f t="shared" ca="1" si="17"/>
        <v>4</v>
      </c>
      <c r="E57" s="752">
        <f t="shared" ca="1" si="18"/>
        <v>0</v>
      </c>
      <c r="G57" s="754"/>
      <c r="H57" s="755" t="s">
        <v>475</v>
      </c>
      <c r="I57" s="756" t="str">
        <f t="shared" ca="1" si="19"/>
        <v>02.002.004</v>
      </c>
      <c r="J57" s="757" t="s">
        <v>700</v>
      </c>
      <c r="K57" s="758"/>
      <c r="L57" s="759"/>
      <c r="M57" s="759"/>
      <c r="N57" s="868">
        <f t="shared" ca="1" si="14"/>
        <v>2000</v>
      </c>
      <c r="O57" s="760"/>
      <c r="P57" s="761"/>
    </row>
    <row r="58" spans="1:16" s="209" customFormat="1" ht="13.9" customHeight="1" outlineLevel="1" x14ac:dyDescent="0.2">
      <c r="A58" s="751">
        <f ca="1">IF($H58="UNIDADE CONSTRUTIVA",OFFSET(A58,-1,0)+1,LARGE(A$3:A57,1))</f>
        <v>0</v>
      </c>
      <c r="B58" s="751">
        <f t="shared" ca="1" si="15"/>
        <v>2</v>
      </c>
      <c r="C58" s="751">
        <f t="shared" ca="1" si="16"/>
        <v>2</v>
      </c>
      <c r="D58" s="752">
        <f t="shared" ca="1" si="17"/>
        <v>4</v>
      </c>
      <c r="E58" s="752">
        <f t="shared" ca="1" si="18"/>
        <v>1</v>
      </c>
      <c r="G58" s="754"/>
      <c r="H58" s="755" t="s">
        <v>476</v>
      </c>
      <c r="I58" s="756" t="str">
        <f t="shared" ca="1" si="19"/>
        <v>02.002.004.001</v>
      </c>
      <c r="J58" s="757" t="s">
        <v>737</v>
      </c>
      <c r="K58" s="758" t="s">
        <v>419</v>
      </c>
      <c r="L58" s="759">
        <v>1</v>
      </c>
      <c r="M58" s="759">
        <v>1100</v>
      </c>
      <c r="N58" s="868">
        <f t="shared" si="14"/>
        <v>1100</v>
      </c>
      <c r="O58" s="760" t="s">
        <v>740</v>
      </c>
      <c r="P58" s="761" t="s">
        <v>2630</v>
      </c>
    </row>
    <row r="59" spans="1:16" s="209" customFormat="1" ht="13.9" customHeight="1" outlineLevel="1" x14ac:dyDescent="0.2">
      <c r="A59" s="751">
        <f ca="1">IF($H59="UNIDADE CONSTRUTIVA",OFFSET(A59,-1,0)+1,LARGE(A$3:A58,1))</f>
        <v>0</v>
      </c>
      <c r="B59" s="751">
        <f t="shared" ca="1" si="15"/>
        <v>2</v>
      </c>
      <c r="C59" s="751">
        <f t="shared" ca="1" si="16"/>
        <v>2</v>
      </c>
      <c r="D59" s="752">
        <f t="shared" ca="1" si="17"/>
        <v>4</v>
      </c>
      <c r="E59" s="752">
        <f t="shared" ca="1" si="18"/>
        <v>2</v>
      </c>
      <c r="G59" s="754"/>
      <c r="H59" s="755" t="s">
        <v>476</v>
      </c>
      <c r="I59" s="756" t="str">
        <f t="shared" ca="1" si="19"/>
        <v>02.002.004.002</v>
      </c>
      <c r="J59" s="757" t="s">
        <v>738</v>
      </c>
      <c r="K59" s="758" t="s">
        <v>419</v>
      </c>
      <c r="L59" s="759">
        <v>1</v>
      </c>
      <c r="M59" s="759">
        <v>900</v>
      </c>
      <c r="N59" s="868">
        <f t="shared" si="14"/>
        <v>900</v>
      </c>
      <c r="O59" s="760" t="s">
        <v>740</v>
      </c>
      <c r="P59" s="761" t="s">
        <v>2630</v>
      </c>
    </row>
    <row r="60" spans="1:16" s="209" customFormat="1" ht="13.9" customHeight="1" x14ac:dyDescent="0.2">
      <c r="A60" s="751">
        <f ca="1">IF($H60="UNIDADE CONSTRUTIVA",OFFSET(A60,-1,0)+1,LARGE(A$3:A59,1))</f>
        <v>0</v>
      </c>
      <c r="B60" s="751">
        <f t="shared" ref="B60:B61" ca="1" si="24">IF(H60="UNIDADE CONSTRUTIVA",0,IF(H60="CÉLULA CONSTRUTIVA",OFFSET(B60,-1,0)+1,OFFSET(B60,-1,0)))</f>
        <v>3</v>
      </c>
      <c r="C60" s="751">
        <f t="shared" ref="C60:C61" ca="1" si="25">IF(H60="CÉLULA CONSTRUTIVA",0,IF(H60="ETAPA",OFFSET(C60,-1,0)+1,OFFSET(C60,-1,0)))</f>
        <v>0</v>
      </c>
      <c r="D60" s="752">
        <f t="shared" ref="D60:D61" ca="1" si="26">IF(H60="ETAPA",0,IF(H60="SUBETAPA",OFFSET(D60,-1,0)+1,OFFSET(D60,-1,0)))</f>
        <v>4</v>
      </c>
      <c r="E60" s="752">
        <f t="shared" ref="E60:E61" ca="1" si="27">IF(H60="Subetapa",0,IF(H60="serviço",OFFSET(E60,-1,0)+1,OFFSET(E60,-1,0)))</f>
        <v>2</v>
      </c>
      <c r="G60" s="754"/>
      <c r="H60" s="755" t="s">
        <v>473</v>
      </c>
      <c r="I60" s="756" t="str">
        <f t="shared" ref="I60:I64" ca="1" si="28">IF(H60="Unidade Construtiva",TEXT(A60,"00"),IF(H60="Célula Construtiva",TEXT(B60,"00"),IF(H60="Etapa",CONCATENATE(TEXT(B60,"00"),".",TEXT(C60,"000")),IF(H60="Subetapa",CONCATENATE(TEXT(B60,"00"),".",TEXT(C60,"000"),".",TEXT(D60,"000")),IF(H60="Serviço",CONCATENATE(TEXT(B60,"00"),".",TEXT(C60,"000"),".",TEXT(D60,"000"),".",TEXT(E60,"000")),"")))))</f>
        <v>03</v>
      </c>
      <c r="J60" s="757" t="s">
        <v>1353</v>
      </c>
      <c r="K60" s="758"/>
      <c r="L60" s="759"/>
      <c r="M60" s="759"/>
      <c r="N60" s="868">
        <f t="shared" ca="1" si="14"/>
        <v>1977.42</v>
      </c>
      <c r="O60" s="760"/>
      <c r="P60" s="761"/>
    </row>
    <row r="61" spans="1:16" s="209" customFormat="1" ht="13.9" customHeight="1" outlineLevel="1" x14ac:dyDescent="0.2">
      <c r="A61" s="751">
        <f ca="1">IF($H61="UNIDADE CONSTRUTIVA",OFFSET(A61,-1,0)+1,LARGE(A$3:A60,1))</f>
        <v>0</v>
      </c>
      <c r="B61" s="751">
        <f t="shared" ca="1" si="24"/>
        <v>3</v>
      </c>
      <c r="C61" s="751">
        <f t="shared" ca="1" si="25"/>
        <v>0</v>
      </c>
      <c r="D61" s="752">
        <f t="shared" ca="1" si="26"/>
        <v>5</v>
      </c>
      <c r="E61" s="752">
        <f t="shared" ca="1" si="27"/>
        <v>0</v>
      </c>
      <c r="G61" s="754"/>
      <c r="H61" s="755" t="s">
        <v>475</v>
      </c>
      <c r="I61" s="756" t="str">
        <f t="shared" ca="1" si="28"/>
        <v>03.000.005</v>
      </c>
      <c r="J61" s="757" t="s">
        <v>1354</v>
      </c>
      <c r="K61" s="758"/>
      <c r="L61" s="759"/>
      <c r="M61" s="759"/>
      <c r="N61" s="868">
        <f t="shared" ca="1" si="14"/>
        <v>659.14</v>
      </c>
      <c r="O61" s="760"/>
      <c r="P61" s="761"/>
    </row>
    <row r="62" spans="1:16" s="209" customFormat="1" ht="13.9" customHeight="1" outlineLevel="1" x14ac:dyDescent="0.2">
      <c r="A62" s="751">
        <f ca="1">IF($H62="UNIDADE CONSTRUTIVA",OFFSET(A62,-1,0)+1,LARGE(A$3:A61,1))</f>
        <v>0</v>
      </c>
      <c r="B62" s="751">
        <f t="shared" ref="B62" ca="1" si="29">IF(H62="UNIDADE CONSTRUTIVA",0,IF(H62="CÉLULA CONSTRUTIVA",OFFSET(B62,-1,0)+1,OFFSET(B62,-1,0)))</f>
        <v>3</v>
      </c>
      <c r="C62" s="751">
        <f t="shared" ref="C62" ca="1" si="30">IF(H62="CÉLULA CONSTRUTIVA",0,IF(H62="ETAPA",OFFSET(C62,-1,0)+1,OFFSET(C62,-1,0)))</f>
        <v>0</v>
      </c>
      <c r="D62" s="752">
        <f t="shared" ref="D62" ca="1" si="31">IF(H62="ETAPA",0,IF(H62="SUBETAPA",OFFSET(D62,-1,0)+1,OFFSET(D62,-1,0)))</f>
        <v>5</v>
      </c>
      <c r="E62" s="752">
        <f t="shared" ref="E62" ca="1" si="32">IF(H62="Subetapa",0,IF(H62="serviço",OFFSET(E62,-1,0)+1,OFFSET(E62,-1,0)))</f>
        <v>1</v>
      </c>
      <c r="G62" s="754"/>
      <c r="H62" s="755" t="s">
        <v>476</v>
      </c>
      <c r="I62" s="756" t="str">
        <f t="shared" ca="1" si="28"/>
        <v>03.000.005.001</v>
      </c>
      <c r="J62" s="757" t="s">
        <v>842</v>
      </c>
      <c r="K62" s="758" t="s">
        <v>419</v>
      </c>
      <c r="L62" s="759">
        <v>1</v>
      </c>
      <c r="M62" s="759">
        <f>2*'Obra '!E9</f>
        <v>659.14</v>
      </c>
      <c r="N62" s="868">
        <f t="shared" si="14"/>
        <v>659.14</v>
      </c>
      <c r="O62" s="760" t="s">
        <v>740</v>
      </c>
      <c r="P62" s="761" t="s">
        <v>2630</v>
      </c>
    </row>
    <row r="63" spans="1:16" s="209" customFormat="1" ht="13.9" customHeight="1" outlineLevel="1" x14ac:dyDescent="0.2">
      <c r="A63" s="751">
        <f ca="1">IF($H63="UNIDADE CONSTRUTIVA",OFFSET(A63,-1,0)+1,LARGE(A$3:A62,1))</f>
        <v>0</v>
      </c>
      <c r="B63" s="751">
        <f t="shared" ref="B63:B65" ca="1" si="33">IF(H63="UNIDADE CONSTRUTIVA",0,IF(H63="CÉLULA CONSTRUTIVA",OFFSET(B63,-1,0)+1,OFFSET(B63,-1,0)))</f>
        <v>3</v>
      </c>
      <c r="C63" s="751">
        <f t="shared" ref="C63:C65" ca="1" si="34">IF(H63="CÉLULA CONSTRUTIVA",0,IF(H63="ETAPA",OFFSET(C63,-1,0)+1,OFFSET(C63,-1,0)))</f>
        <v>0</v>
      </c>
      <c r="D63" s="752">
        <f t="shared" ref="D63:D65" ca="1" si="35">IF(H63="ETAPA",0,IF(H63="SUBETAPA",OFFSET(D63,-1,0)+1,OFFSET(D63,-1,0)))</f>
        <v>6</v>
      </c>
      <c r="E63" s="752">
        <f t="shared" ref="E63:E65" ca="1" si="36">IF(H63="Subetapa",0,IF(H63="serviço",OFFSET(E63,-1,0)+1,OFFSET(E63,-1,0)))</f>
        <v>0</v>
      </c>
      <c r="G63" s="754"/>
      <c r="H63" s="755" t="s">
        <v>475</v>
      </c>
      <c r="I63" s="756" t="str">
        <f t="shared" ca="1" si="28"/>
        <v>03.000.006</v>
      </c>
      <c r="J63" s="757" t="s">
        <v>1355</v>
      </c>
      <c r="K63" s="758"/>
      <c r="L63" s="759"/>
      <c r="M63" s="759"/>
      <c r="N63" s="868">
        <f t="shared" ca="1" si="14"/>
        <v>1318.28</v>
      </c>
      <c r="O63" s="760"/>
      <c r="P63" s="761"/>
    </row>
    <row r="64" spans="1:16" s="209" customFormat="1" ht="13.9" customHeight="1" outlineLevel="1" x14ac:dyDescent="0.2">
      <c r="A64" s="751">
        <f ca="1">IF($H64="UNIDADE CONSTRUTIVA",OFFSET(A64,-1,0)+1,LARGE(A$3:A63,1))</f>
        <v>0</v>
      </c>
      <c r="B64" s="751">
        <f t="shared" ca="1" si="33"/>
        <v>3</v>
      </c>
      <c r="C64" s="751">
        <f t="shared" ca="1" si="34"/>
        <v>0</v>
      </c>
      <c r="D64" s="752">
        <f t="shared" ca="1" si="35"/>
        <v>6</v>
      </c>
      <c r="E64" s="752">
        <f t="shared" ca="1" si="36"/>
        <v>1</v>
      </c>
      <c r="G64" s="754"/>
      <c r="H64" s="755" t="s">
        <v>476</v>
      </c>
      <c r="I64" s="756" t="str">
        <f t="shared" ca="1" si="28"/>
        <v>03.000.006.001</v>
      </c>
      <c r="J64" s="757" t="s">
        <v>1355</v>
      </c>
      <c r="K64" s="758" t="s">
        <v>419</v>
      </c>
      <c r="L64" s="759">
        <v>1</v>
      </c>
      <c r="M64" s="759">
        <f>4*'Obra '!E9</f>
        <v>1318.28</v>
      </c>
      <c r="N64" s="868">
        <f t="shared" si="14"/>
        <v>1318.28</v>
      </c>
      <c r="O64" s="760" t="s">
        <v>740</v>
      </c>
      <c r="P64" s="761" t="s">
        <v>2630</v>
      </c>
    </row>
    <row r="65" spans="1:17" s="209" customFormat="1" ht="13.9" customHeight="1" x14ac:dyDescent="0.2">
      <c r="A65" s="751">
        <f ca="1">IF($H65="UNIDADE CONSTRUTIVA",OFFSET(A65,-1,0)+1,LARGE(A$3:A64,1))</f>
        <v>0</v>
      </c>
      <c r="B65" s="751">
        <f t="shared" ca="1" si="33"/>
        <v>4</v>
      </c>
      <c r="C65" s="751">
        <f t="shared" ca="1" si="34"/>
        <v>0</v>
      </c>
      <c r="D65" s="752">
        <f t="shared" ca="1" si="35"/>
        <v>6</v>
      </c>
      <c r="E65" s="752">
        <f t="shared" ca="1" si="36"/>
        <v>1</v>
      </c>
      <c r="G65" s="754"/>
      <c r="H65" s="755" t="s">
        <v>473</v>
      </c>
      <c r="I65" s="756" t="str">
        <f t="shared" ca="1" si="19"/>
        <v>04</v>
      </c>
      <c r="J65" s="757" t="s">
        <v>480</v>
      </c>
      <c r="K65" s="758"/>
      <c r="L65" s="759"/>
      <c r="M65" s="759"/>
      <c r="N65" s="868">
        <f t="shared" ca="1" si="14"/>
        <v>12882.875</v>
      </c>
      <c r="O65" s="760"/>
      <c r="P65" s="761"/>
    </row>
    <row r="66" spans="1:17" s="209" customFormat="1" ht="13.9" customHeight="1" outlineLevel="1" x14ac:dyDescent="0.2">
      <c r="A66" s="751">
        <f ca="1">IF($H66="UNIDADE CONSTRUTIVA",OFFSET(A66,-1,0)+1,LARGE(A$3:A65,1))</f>
        <v>0</v>
      </c>
      <c r="B66" s="751">
        <f t="shared" ref="B66:B71" ca="1" si="37">IF(H66="UNIDADE CONSTRUTIVA",0,IF(H66="CÉLULA CONSTRUTIVA",OFFSET(B66,-1,0)+1,OFFSET(B66,-1,0)))</f>
        <v>4</v>
      </c>
      <c r="C66" s="751">
        <f t="shared" ref="C66:C71" ca="1" si="38">IF(H66="CÉLULA CONSTRUTIVA",0,IF(H66="ETAPA",OFFSET(C66,-1,0)+1,OFFSET(C66,-1,0)))</f>
        <v>1</v>
      </c>
      <c r="D66" s="752">
        <f t="shared" ref="D66:D71" ca="1" si="39">IF(H66="ETAPA",0,IF(H66="SUBETAPA",OFFSET(D66,-1,0)+1,OFFSET(D66,-1,0)))</f>
        <v>0</v>
      </c>
      <c r="E66" s="752">
        <f t="shared" ref="E66:E71" ca="1" si="40">IF(H66="Subetapa",0,IF(H66="serviço",OFFSET(E66,-1,0)+1,OFFSET(E66,-1,0)))</f>
        <v>1</v>
      </c>
      <c r="G66" s="754"/>
      <c r="H66" s="755" t="s">
        <v>474</v>
      </c>
      <c r="I66" s="756" t="str">
        <f t="shared" ca="1" si="19"/>
        <v>04.001</v>
      </c>
      <c r="J66" s="757" t="s">
        <v>480</v>
      </c>
      <c r="K66" s="758"/>
      <c r="L66" s="759"/>
      <c r="M66" s="759"/>
      <c r="N66" s="868">
        <f t="shared" ca="1" si="14"/>
        <v>12882.875</v>
      </c>
      <c r="O66" s="760"/>
      <c r="P66" s="761"/>
    </row>
    <row r="67" spans="1:17" s="209" customFormat="1" ht="13.9" customHeight="1" outlineLevel="1" x14ac:dyDescent="0.2">
      <c r="A67" s="751">
        <f ca="1">IF($H67="UNIDADE CONSTRUTIVA",OFFSET(A67,-1,0)+1,LARGE(A$3:A66,1))</f>
        <v>0</v>
      </c>
      <c r="B67" s="751">
        <f t="shared" ca="1" si="37"/>
        <v>4</v>
      </c>
      <c r="C67" s="751">
        <f t="shared" ca="1" si="38"/>
        <v>1</v>
      </c>
      <c r="D67" s="752">
        <f t="shared" ca="1" si="39"/>
        <v>1</v>
      </c>
      <c r="E67" s="752">
        <f t="shared" ca="1" si="40"/>
        <v>0</v>
      </c>
      <c r="G67" s="754"/>
      <c r="H67" s="755" t="s">
        <v>475</v>
      </c>
      <c r="I67" s="756" t="str">
        <f t="shared" ca="1" si="19"/>
        <v>04.001.001</v>
      </c>
      <c r="J67" s="757" t="s">
        <v>739</v>
      </c>
      <c r="K67" s="758"/>
      <c r="L67" s="759"/>
      <c r="M67" s="759"/>
      <c r="N67" s="868">
        <f t="shared" ca="1" si="14"/>
        <v>3200</v>
      </c>
      <c r="O67" s="760"/>
      <c r="P67" s="761"/>
    </row>
    <row r="68" spans="1:17" s="209" customFormat="1" ht="13.9" customHeight="1" outlineLevel="1" x14ac:dyDescent="0.2">
      <c r="A68" s="751">
        <f ca="1">IF($H68="UNIDADE CONSTRUTIVA",OFFSET(A68,-1,0)+1,LARGE(A$3:A67,1))</f>
        <v>0</v>
      </c>
      <c r="B68" s="751">
        <f t="shared" ca="1" si="37"/>
        <v>4</v>
      </c>
      <c r="C68" s="751">
        <f t="shared" ca="1" si="38"/>
        <v>1</v>
      </c>
      <c r="D68" s="752">
        <f t="shared" ca="1" si="39"/>
        <v>1</v>
      </c>
      <c r="E68" s="752">
        <f t="shared" ca="1" si="40"/>
        <v>1</v>
      </c>
      <c r="G68" s="754"/>
      <c r="H68" s="755" t="s">
        <v>476</v>
      </c>
      <c r="I68" s="756" t="str">
        <f t="shared" ca="1" si="19"/>
        <v>04.001.001.001</v>
      </c>
      <c r="J68" s="757" t="s">
        <v>1348</v>
      </c>
      <c r="K68" s="758" t="s">
        <v>723</v>
      </c>
      <c r="L68" s="759">
        <v>8</v>
      </c>
      <c r="M68" s="759">
        <v>400</v>
      </c>
      <c r="N68" s="868">
        <f t="shared" si="14"/>
        <v>3200</v>
      </c>
      <c r="O68" s="760" t="s">
        <v>2646</v>
      </c>
      <c r="P68" s="761" t="s">
        <v>2630</v>
      </c>
    </row>
    <row r="69" spans="1:17" s="209" customFormat="1" ht="13.9" customHeight="1" outlineLevel="1" x14ac:dyDescent="0.2">
      <c r="A69" s="751">
        <f ca="1">IF($H69="UNIDADE CONSTRUTIVA",OFFSET(A69,-1,0)+1,LARGE(A$3:A68,1))</f>
        <v>0</v>
      </c>
      <c r="B69" s="751">
        <f t="shared" ref="B69:B70" ca="1" si="41">IF(H69="UNIDADE CONSTRUTIVA",0,IF(H69="CÉLULA CONSTRUTIVA",OFFSET(B69,-1,0)+1,OFFSET(B69,-1,0)))</f>
        <v>4</v>
      </c>
      <c r="C69" s="751">
        <f t="shared" ref="C69:C70" ca="1" si="42">IF(H69="CÉLULA CONSTRUTIVA",0,IF(H69="ETAPA",OFFSET(C69,-1,0)+1,OFFSET(C69,-1,0)))</f>
        <v>1</v>
      </c>
      <c r="D69" s="752">
        <f t="shared" ref="D69:D70" ca="1" si="43">IF(H69="ETAPA",0,IF(H69="SUBETAPA",OFFSET(D69,-1,0)+1,OFFSET(D69,-1,0)))</f>
        <v>2</v>
      </c>
      <c r="E69" s="752">
        <f t="shared" ref="E69:E70" ca="1" si="44">IF(H69="Subetapa",0,IF(H69="serviço",OFFSET(E69,-1,0)+1,OFFSET(E69,-1,0)))</f>
        <v>0</v>
      </c>
      <c r="G69" s="754"/>
      <c r="H69" s="755" t="s">
        <v>475</v>
      </c>
      <c r="I69" s="756" t="str">
        <f t="shared" ref="I69:I70" ca="1" si="45">IF(H69="Unidade Construtiva",TEXT(A69,"00"),IF(H69="Célula Construtiva",TEXT(B69,"00"),IF(H69="Etapa",CONCATENATE(TEXT(B69,"00"),".",TEXT(C69,"000")),IF(H69="Subetapa",CONCATENATE(TEXT(B69,"00"),".",TEXT(C69,"000"),".",TEXT(D69,"000")),IF(H69="Serviço",CONCATENATE(TEXT(B69,"00"),".",TEXT(C69,"000"),".",TEXT(D69,"000"),".",TEXT(E69,"000")),"")))))</f>
        <v>04.001.002</v>
      </c>
      <c r="J69" s="757" t="s">
        <v>2643</v>
      </c>
      <c r="K69" s="758"/>
      <c r="L69" s="759"/>
      <c r="M69" s="759"/>
      <c r="N69" s="868">
        <f t="shared" ca="1" si="14"/>
        <v>9682.875</v>
      </c>
      <c r="O69" s="760"/>
      <c r="P69" s="761"/>
    </row>
    <row r="70" spans="1:17" s="209" customFormat="1" ht="13.9" customHeight="1" outlineLevel="1" x14ac:dyDescent="0.2">
      <c r="A70" s="751">
        <f ca="1">IF($H70="UNIDADE CONSTRUTIVA",OFFSET(A70,-1,0)+1,LARGE(A$3:A69,1))</f>
        <v>0</v>
      </c>
      <c r="B70" s="751">
        <f t="shared" ca="1" si="41"/>
        <v>4</v>
      </c>
      <c r="C70" s="751">
        <f t="shared" ca="1" si="42"/>
        <v>1</v>
      </c>
      <c r="D70" s="752">
        <f t="shared" ca="1" si="43"/>
        <v>2</v>
      </c>
      <c r="E70" s="752">
        <f t="shared" ca="1" si="44"/>
        <v>1</v>
      </c>
      <c r="G70" s="754"/>
      <c r="H70" s="755" t="s">
        <v>476</v>
      </c>
      <c r="I70" s="756" t="str">
        <f t="shared" ca="1" si="45"/>
        <v>04.001.002.001</v>
      </c>
      <c r="J70" s="757" t="s">
        <v>2644</v>
      </c>
      <c r="K70" s="758" t="s">
        <v>723</v>
      </c>
      <c r="L70" s="759">
        <v>2</v>
      </c>
      <c r="M70" s="759">
        <f>(25*(10.44*2+(1.7+6.46+3.19+6.9)*2)*(3+0.15+3.6))/2</f>
        <v>4841.4375</v>
      </c>
      <c r="N70" s="868">
        <f t="shared" si="14"/>
        <v>9682.875</v>
      </c>
      <c r="O70" s="760" t="s">
        <v>2647</v>
      </c>
      <c r="P70" s="761" t="s">
        <v>2630</v>
      </c>
    </row>
    <row r="71" spans="1:17" s="809" customFormat="1" ht="11.25" x14ac:dyDescent="0.2">
      <c r="A71" s="751">
        <f ca="1">IF($H71="UNIDADE CONSTRUTIVA",OFFSET(A71,-1,0)+1,LARGE(A$3:A68,1))</f>
        <v>0</v>
      </c>
      <c r="B71" s="751">
        <f t="shared" ca="1" si="37"/>
        <v>4</v>
      </c>
      <c r="C71" s="751">
        <f t="shared" ca="1" si="38"/>
        <v>1</v>
      </c>
      <c r="D71" s="752">
        <f t="shared" ca="1" si="39"/>
        <v>2</v>
      </c>
      <c r="E71" s="752">
        <f t="shared" ca="1" si="40"/>
        <v>1</v>
      </c>
      <c r="F71" s="806"/>
      <c r="G71" s="807"/>
      <c r="H71" s="807"/>
      <c r="I71" s="807"/>
      <c r="J71" s="808" t="s">
        <v>10</v>
      </c>
      <c r="K71" s="805"/>
      <c r="L71" s="803"/>
      <c r="M71" s="803"/>
      <c r="N71" s="804">
        <f ca="1">N65+N34+N8+N60</f>
        <v>243899.46582717574</v>
      </c>
      <c r="O71" s="803"/>
      <c r="P71" s="805"/>
      <c r="Q71" s="806"/>
    </row>
    <row r="72" spans="1:17" s="148" customFormat="1" ht="14.1" customHeight="1" x14ac:dyDescent="0.2">
      <c r="A72" s="751">
        <f ca="1">IF($H72="UNIDADE CONSTRUTIVA",OFFSET(A72,-1,0)+1,LARGE(A$3:A71,1))</f>
        <v>0</v>
      </c>
      <c r="B72" s="751">
        <f t="shared" ca="1" si="15"/>
        <v>4</v>
      </c>
      <c r="C72" s="751">
        <f t="shared" ca="1" si="16"/>
        <v>1</v>
      </c>
      <c r="D72" s="752">
        <f t="shared" ca="1" si="17"/>
        <v>2</v>
      </c>
      <c r="E72" s="752">
        <f t="shared" ca="1" si="18"/>
        <v>1</v>
      </c>
      <c r="F72" s="209"/>
      <c r="J72" s="65"/>
      <c r="K72" s="146"/>
      <c r="L72" s="567"/>
      <c r="M72" s="869">
        <f ca="1">SUMIFS($N$7:$N$363,$H$7:$H$363,N72)</f>
        <v>243899.46582717571</v>
      </c>
      <c r="N72" s="870" t="s">
        <v>473</v>
      </c>
      <c r="O72" s="638"/>
      <c r="P72" s="147"/>
      <c r="Q72" s="65"/>
    </row>
    <row r="73" spans="1:17" s="148" customFormat="1" ht="14.1" customHeight="1" x14ac:dyDescent="0.2">
      <c r="A73" s="751">
        <f ca="1">IF($H73="UNIDADE CONSTRUTIVA",OFFSET(A73,-1,0)+1,LARGE(A$3:A72,1))</f>
        <v>0</v>
      </c>
      <c r="B73" s="751">
        <f t="shared" ca="1" si="15"/>
        <v>4</v>
      </c>
      <c r="C73" s="751">
        <f t="shared" ca="1" si="16"/>
        <v>1</v>
      </c>
      <c r="D73" s="752">
        <f t="shared" ca="1" si="17"/>
        <v>2</v>
      </c>
      <c r="E73" s="752">
        <f t="shared" ca="1" si="18"/>
        <v>1</v>
      </c>
      <c r="F73" s="209"/>
      <c r="J73" s="65"/>
      <c r="K73" s="146"/>
      <c r="L73" s="567"/>
      <c r="M73" s="869">
        <f ca="1">SUMIFS($N$7:$N$363,$H$7:$H$363,N73)</f>
        <v>241922.04582717569</v>
      </c>
      <c r="N73" s="870" t="s">
        <v>474</v>
      </c>
      <c r="O73" s="638"/>
      <c r="P73" s="147"/>
      <c r="Q73" s="65"/>
    </row>
    <row r="74" spans="1:17" s="148" customFormat="1" ht="14.1" customHeight="1" x14ac:dyDescent="0.2">
      <c r="A74" s="751">
        <f ca="1">IF($H74="UNIDADE CONSTRUTIVA",OFFSET(A74,-1,0)+1,LARGE(A$3:A73,1))</f>
        <v>0</v>
      </c>
      <c r="B74" s="751">
        <f t="shared" ca="1" si="15"/>
        <v>4</v>
      </c>
      <c r="C74" s="751">
        <f t="shared" ca="1" si="16"/>
        <v>1</v>
      </c>
      <c r="D74" s="752">
        <f t="shared" ca="1" si="17"/>
        <v>2</v>
      </c>
      <c r="E74" s="752">
        <f t="shared" ca="1" si="18"/>
        <v>1</v>
      </c>
      <c r="F74" s="209"/>
      <c r="J74" s="65"/>
      <c r="K74" s="146"/>
      <c r="L74" s="567"/>
      <c r="M74" s="869">
        <f ca="1">SUMIFS($N$7:$N$363,$H$7:$H$363,N74)</f>
        <v>243899.46582717571</v>
      </c>
      <c r="N74" s="870" t="s">
        <v>475</v>
      </c>
      <c r="O74" s="638"/>
      <c r="P74" s="147"/>
      <c r="Q74" s="65"/>
    </row>
    <row r="75" spans="1:17" s="148" customFormat="1" ht="14.1" customHeight="1" x14ac:dyDescent="0.2">
      <c r="A75" s="751">
        <f ca="1">IF($H75="UNIDADE CONSTRUTIVA",OFFSET(A75,-1,0)+1,LARGE(A$3:A74,1))</f>
        <v>0</v>
      </c>
      <c r="B75" s="751">
        <f t="shared" ca="1" si="15"/>
        <v>4</v>
      </c>
      <c r="C75" s="751">
        <f t="shared" ca="1" si="16"/>
        <v>1</v>
      </c>
      <c r="D75" s="752">
        <f t="shared" ca="1" si="17"/>
        <v>2</v>
      </c>
      <c r="E75" s="752">
        <f t="shared" ca="1" si="18"/>
        <v>1</v>
      </c>
      <c r="F75" s="209"/>
      <c r="J75" s="65"/>
      <c r="K75" s="146"/>
      <c r="L75" s="567"/>
      <c r="M75" s="869">
        <f ca="1">SUMIFS($N$7:$N$363,$H$7:$H$363,N75)</f>
        <v>243899.46582717574</v>
      </c>
      <c r="N75" s="870" t="s">
        <v>476</v>
      </c>
      <c r="O75" s="638"/>
      <c r="P75" s="147"/>
      <c r="Q75" s="65"/>
    </row>
    <row r="76" spans="1:17" s="148" customFormat="1" ht="14.1" customHeight="1" x14ac:dyDescent="0.2">
      <c r="A76" s="751">
        <f ca="1">IF($H76="UNIDADE CONSTRUTIVA",OFFSET(A76,-1,0)+1,LARGE(A$3:A75,1))</f>
        <v>0</v>
      </c>
      <c r="B76" s="751">
        <f t="shared" ca="1" si="15"/>
        <v>4</v>
      </c>
      <c r="C76" s="751">
        <f t="shared" ca="1" si="16"/>
        <v>1</v>
      </c>
      <c r="D76" s="752">
        <f t="shared" ca="1" si="17"/>
        <v>2</v>
      </c>
      <c r="E76" s="752">
        <f t="shared" ca="1" si="18"/>
        <v>1</v>
      </c>
      <c r="F76" s="209"/>
      <c r="J76" s="65"/>
      <c r="K76" s="146"/>
      <c r="L76" s="567"/>
      <c r="M76" s="869">
        <f ca="1">'Obra '!C32</f>
        <v>243899.46582717574</v>
      </c>
      <c r="N76" s="870" t="s">
        <v>858</v>
      </c>
      <c r="O76" s="638"/>
      <c r="P76" s="147"/>
      <c r="Q76" s="65"/>
    </row>
    <row r="77" spans="1:17" s="148" customFormat="1" ht="14.1" customHeight="1" x14ac:dyDescent="0.2">
      <c r="A77" s="751">
        <f ca="1">IF($H77="UNIDADE CONSTRUTIVA",OFFSET(A77,-1,0)+1,LARGE(A$3:A76,1))</f>
        <v>0</v>
      </c>
      <c r="B77" s="751">
        <f t="shared" ca="1" si="15"/>
        <v>4</v>
      </c>
      <c r="C77" s="751">
        <f t="shared" ca="1" si="16"/>
        <v>1</v>
      </c>
      <c r="D77" s="752">
        <f t="shared" ca="1" si="17"/>
        <v>2</v>
      </c>
      <c r="E77" s="752">
        <f t="shared" ca="1" si="18"/>
        <v>1</v>
      </c>
      <c r="F77" s="209"/>
      <c r="J77" s="65"/>
      <c r="K77" s="146"/>
      <c r="L77" s="567"/>
      <c r="M77" s="977" t="e">
        <f>#REF!</f>
        <v>#REF!</v>
      </c>
      <c r="N77" s="871" t="s">
        <v>859</v>
      </c>
      <c r="O77" s="638"/>
      <c r="P77" s="147"/>
      <c r="Q77" s="65"/>
    </row>
    <row r="78" spans="1:17" s="148" customFormat="1" ht="14.1" customHeight="1" x14ac:dyDescent="0.2">
      <c r="A78" s="751">
        <f ca="1">IF($H78="UNIDADE CONSTRUTIVA",OFFSET(A78,-1,0)+1,LARGE(A$3:A77,1))</f>
        <v>0</v>
      </c>
      <c r="B78" s="751">
        <f t="shared" ca="1" si="15"/>
        <v>4</v>
      </c>
      <c r="C78" s="751">
        <f t="shared" ca="1" si="16"/>
        <v>1</v>
      </c>
      <c r="D78" s="752">
        <f t="shared" ca="1" si="17"/>
        <v>2</v>
      </c>
      <c r="E78" s="752">
        <f t="shared" ca="1" si="18"/>
        <v>1</v>
      </c>
      <c r="F78" s="209"/>
      <c r="J78" s="65"/>
      <c r="K78" s="146"/>
      <c r="L78" s="567"/>
      <c r="M78" s="567"/>
      <c r="N78" s="737"/>
      <c r="O78" s="638"/>
      <c r="P78" s="147"/>
      <c r="Q78" s="65"/>
    </row>
    <row r="79" spans="1:17" s="148" customFormat="1" ht="14.1" customHeight="1" x14ac:dyDescent="0.2">
      <c r="A79" s="751">
        <f ca="1">IF($H79="UNIDADE CONSTRUTIVA",OFFSET(A79,-1,0)+1,LARGE(A$3:A78,1))</f>
        <v>0</v>
      </c>
      <c r="B79" s="751">
        <f t="shared" ca="1" si="15"/>
        <v>4</v>
      </c>
      <c r="C79" s="751">
        <f t="shared" ca="1" si="16"/>
        <v>1</v>
      </c>
      <c r="D79" s="752">
        <f t="shared" ca="1" si="17"/>
        <v>2</v>
      </c>
      <c r="E79" s="752">
        <f t="shared" ca="1" si="18"/>
        <v>1</v>
      </c>
      <c r="F79" s="209"/>
      <c r="J79" s="65"/>
      <c r="K79" s="146"/>
      <c r="L79" s="567"/>
      <c r="M79" s="567"/>
      <c r="N79" s="737"/>
      <c r="O79" s="638"/>
      <c r="P79" s="147"/>
      <c r="Q79" s="65"/>
    </row>
    <row r="80" spans="1:17" s="148" customFormat="1" ht="14.1" customHeight="1" x14ac:dyDescent="0.2">
      <c r="A80" s="751">
        <f ca="1">IF($H80="UNIDADE CONSTRUTIVA",OFFSET(A80,-1,0)+1,LARGE(A$3:A79,1))</f>
        <v>0</v>
      </c>
      <c r="B80" s="751">
        <f t="shared" ca="1" si="15"/>
        <v>4</v>
      </c>
      <c r="C80" s="751">
        <f t="shared" ca="1" si="16"/>
        <v>1</v>
      </c>
      <c r="D80" s="752">
        <f t="shared" ca="1" si="17"/>
        <v>2</v>
      </c>
      <c r="E80" s="752">
        <f t="shared" ca="1" si="18"/>
        <v>1</v>
      </c>
      <c r="F80" s="209"/>
      <c r="J80" s="65"/>
      <c r="K80" s="146"/>
      <c r="L80" s="567"/>
      <c r="M80" s="567"/>
      <c r="N80" s="737"/>
      <c r="O80" s="638"/>
      <c r="P80" s="147"/>
      <c r="Q80" s="65"/>
    </row>
    <row r="81" spans="1:17" s="148" customFormat="1" ht="14.1" customHeight="1" x14ac:dyDescent="0.2">
      <c r="A81" s="751">
        <f ca="1">IF($H81="UNIDADE CONSTRUTIVA",OFFSET(A81,-1,0)+1,LARGE(A$3:A80,1))</f>
        <v>0</v>
      </c>
      <c r="B81" s="751">
        <f t="shared" ca="1" si="15"/>
        <v>4</v>
      </c>
      <c r="C81" s="751">
        <f t="shared" ca="1" si="16"/>
        <v>1</v>
      </c>
      <c r="D81" s="752">
        <f t="shared" ca="1" si="17"/>
        <v>2</v>
      </c>
      <c r="E81" s="752">
        <f t="shared" ca="1" si="18"/>
        <v>1</v>
      </c>
      <c r="F81" s="209"/>
      <c r="J81" s="65"/>
      <c r="K81" s="146"/>
      <c r="L81" s="567"/>
      <c r="M81" s="567"/>
      <c r="N81" s="737"/>
      <c r="O81" s="638"/>
      <c r="P81" s="147"/>
      <c r="Q81" s="65"/>
    </row>
    <row r="82" spans="1:17" s="148" customFormat="1" ht="14.1" customHeight="1" x14ac:dyDescent="0.2">
      <c r="A82" s="751">
        <f ca="1">IF($H82="UNIDADE CONSTRUTIVA",OFFSET(A82,-1,0)+1,LARGE(A$3:A81,1))</f>
        <v>0</v>
      </c>
      <c r="B82" s="751">
        <f t="shared" ca="1" si="15"/>
        <v>4</v>
      </c>
      <c r="C82" s="751">
        <f t="shared" ca="1" si="16"/>
        <v>1</v>
      </c>
      <c r="D82" s="752">
        <f t="shared" ca="1" si="17"/>
        <v>2</v>
      </c>
      <c r="E82" s="752">
        <f t="shared" ca="1" si="18"/>
        <v>1</v>
      </c>
      <c r="F82" s="209"/>
      <c r="J82" s="65"/>
      <c r="K82" s="146"/>
      <c r="L82" s="567"/>
      <c r="M82" s="567"/>
      <c r="N82" s="737"/>
      <c r="O82" s="638"/>
      <c r="P82" s="147"/>
      <c r="Q82" s="65"/>
    </row>
    <row r="83" spans="1:17" s="148" customFormat="1" ht="14.1" customHeight="1" x14ac:dyDescent="0.2">
      <c r="A83" s="751">
        <f ca="1">IF($H83="UNIDADE CONSTRUTIVA",OFFSET(A83,-1,0)+1,LARGE(A$3:A82,1))</f>
        <v>0</v>
      </c>
      <c r="B83" s="751">
        <f t="shared" ca="1" si="15"/>
        <v>4</v>
      </c>
      <c r="C83" s="751">
        <f t="shared" ca="1" si="16"/>
        <v>1</v>
      </c>
      <c r="D83" s="752">
        <f t="shared" ca="1" si="17"/>
        <v>2</v>
      </c>
      <c r="E83" s="752">
        <f t="shared" ca="1" si="18"/>
        <v>1</v>
      </c>
      <c r="F83" s="209"/>
      <c r="J83" s="65"/>
      <c r="K83" s="146"/>
      <c r="L83" s="567"/>
      <c r="M83" s="567"/>
      <c r="N83" s="737"/>
      <c r="O83" s="638"/>
      <c r="P83" s="147"/>
      <c r="Q83" s="65"/>
    </row>
    <row r="84" spans="1:17" s="148" customFormat="1" ht="14.1" customHeight="1" x14ac:dyDescent="0.2">
      <c r="A84" s="751">
        <f ca="1">IF($H84="UNIDADE CONSTRUTIVA",OFFSET(A84,-1,0)+1,LARGE(A$3:A83,1))</f>
        <v>0</v>
      </c>
      <c r="B84" s="751">
        <f t="shared" ca="1" si="15"/>
        <v>4</v>
      </c>
      <c r="C84" s="751">
        <f t="shared" ca="1" si="16"/>
        <v>1</v>
      </c>
      <c r="D84" s="752">
        <f t="shared" ca="1" si="17"/>
        <v>2</v>
      </c>
      <c r="E84" s="752">
        <f t="shared" ca="1" si="18"/>
        <v>1</v>
      </c>
      <c r="F84" s="209"/>
      <c r="J84" s="65"/>
      <c r="K84" s="146"/>
      <c r="L84" s="567"/>
      <c r="M84" s="567"/>
      <c r="N84" s="737"/>
      <c r="O84" s="638"/>
      <c r="P84" s="147"/>
      <c r="Q84" s="65"/>
    </row>
    <row r="85" spans="1:17" s="148" customFormat="1" ht="14.1" customHeight="1" x14ac:dyDescent="0.2">
      <c r="A85" s="751">
        <f ca="1">IF($H85="UNIDADE CONSTRUTIVA",OFFSET(A85,-1,0)+1,LARGE(A$3:A84,1))</f>
        <v>0</v>
      </c>
      <c r="B85" s="751">
        <f t="shared" ca="1" si="15"/>
        <v>4</v>
      </c>
      <c r="C85" s="751">
        <f t="shared" ca="1" si="16"/>
        <v>1</v>
      </c>
      <c r="D85" s="752">
        <f t="shared" ca="1" si="17"/>
        <v>2</v>
      </c>
      <c r="E85" s="752">
        <f t="shared" ca="1" si="18"/>
        <v>1</v>
      </c>
      <c r="F85" s="209"/>
      <c r="J85" s="65"/>
      <c r="K85" s="146"/>
      <c r="L85" s="567"/>
      <c r="M85" s="567"/>
      <c r="N85" s="737"/>
      <c r="O85" s="638"/>
      <c r="P85" s="147"/>
      <c r="Q85" s="65"/>
    </row>
    <row r="86" spans="1:17" s="148" customFormat="1" ht="14.1" customHeight="1" x14ac:dyDescent="0.2">
      <c r="A86" s="751">
        <f ca="1">IF($H86="UNIDADE CONSTRUTIVA",OFFSET(A86,-1,0)+1,LARGE(A$3:A85,1))</f>
        <v>0</v>
      </c>
      <c r="B86" s="751">
        <f t="shared" ca="1" si="15"/>
        <v>4</v>
      </c>
      <c r="C86" s="751">
        <f t="shared" ca="1" si="16"/>
        <v>1</v>
      </c>
      <c r="D86" s="752">
        <f t="shared" ca="1" si="17"/>
        <v>2</v>
      </c>
      <c r="E86" s="752">
        <f t="shared" ca="1" si="18"/>
        <v>1</v>
      </c>
      <c r="F86" s="209"/>
      <c r="J86" s="65"/>
      <c r="K86" s="146"/>
      <c r="L86" s="567"/>
      <c r="M86" s="567"/>
      <c r="N86" s="737"/>
      <c r="O86" s="638"/>
      <c r="P86" s="147"/>
      <c r="Q86" s="65"/>
    </row>
    <row r="87" spans="1:17" s="148" customFormat="1" ht="14.1" customHeight="1" x14ac:dyDescent="0.2">
      <c r="A87" s="751">
        <f ca="1">IF($H87="UNIDADE CONSTRUTIVA",OFFSET(A87,-1,0)+1,LARGE(A$3:A86,1))</f>
        <v>0</v>
      </c>
      <c r="B87" s="751">
        <f t="shared" ca="1" si="15"/>
        <v>4</v>
      </c>
      <c r="C87" s="751">
        <f t="shared" ca="1" si="16"/>
        <v>1</v>
      </c>
      <c r="D87" s="752">
        <f t="shared" ca="1" si="17"/>
        <v>2</v>
      </c>
      <c r="E87" s="752">
        <f t="shared" ca="1" si="18"/>
        <v>1</v>
      </c>
      <c r="F87" s="209"/>
      <c r="J87" s="65"/>
      <c r="K87" s="146"/>
      <c r="L87" s="567"/>
      <c r="M87" s="567"/>
      <c r="N87" s="737"/>
      <c r="O87" s="638"/>
      <c r="P87" s="147"/>
      <c r="Q87" s="65"/>
    </row>
    <row r="88" spans="1:17" s="148" customFormat="1" ht="14.1" customHeight="1" x14ac:dyDescent="0.2">
      <c r="A88" s="751">
        <f ca="1">IF($H88="UNIDADE CONSTRUTIVA",OFFSET(A88,-1,0)+1,LARGE(A$3:A87,1))</f>
        <v>0</v>
      </c>
      <c r="B88" s="751">
        <f t="shared" ref="B88:B151" ca="1" si="46">IF(H88="UNIDADE CONSTRUTIVA",0,IF(H88="CÉLULA CONSTRUTIVA",OFFSET(B88,-1,0)+1,OFFSET(B88,-1,0)))</f>
        <v>4</v>
      </c>
      <c r="C88" s="751">
        <f t="shared" ref="C88:C151" ca="1" si="47">IF(H88="CÉLULA CONSTRUTIVA",0,IF(H88="ETAPA",OFFSET(C88,-1,0)+1,OFFSET(C88,-1,0)))</f>
        <v>1</v>
      </c>
      <c r="D88" s="752">
        <f t="shared" ref="D88:D151" ca="1" si="48">IF(H88="ETAPA",0,IF(H88="SUBETAPA",OFFSET(D88,-1,0)+1,OFFSET(D88,-1,0)))</f>
        <v>2</v>
      </c>
      <c r="E88" s="752">
        <f t="shared" ref="E88:E151" ca="1" si="49">IF(H88="Subetapa",0,IF(H88="serviço",OFFSET(E88,-1,0)+1,OFFSET(E88,-1,0)))</f>
        <v>1</v>
      </c>
      <c r="F88" s="209"/>
      <c r="J88" s="65"/>
      <c r="K88" s="146"/>
      <c r="L88" s="567"/>
      <c r="M88" s="567"/>
      <c r="N88" s="737"/>
      <c r="O88" s="638"/>
      <c r="P88" s="147"/>
      <c r="Q88" s="65"/>
    </row>
    <row r="89" spans="1:17" s="148" customFormat="1" ht="14.1" customHeight="1" x14ac:dyDescent="0.2">
      <c r="A89" s="751">
        <f ca="1">IF($H89="UNIDADE CONSTRUTIVA",OFFSET(A89,-1,0)+1,LARGE(A$3:A88,1))</f>
        <v>0</v>
      </c>
      <c r="B89" s="751">
        <f t="shared" ca="1" si="46"/>
        <v>4</v>
      </c>
      <c r="C89" s="751">
        <f t="shared" ca="1" si="47"/>
        <v>1</v>
      </c>
      <c r="D89" s="752">
        <f t="shared" ca="1" si="48"/>
        <v>2</v>
      </c>
      <c r="E89" s="752">
        <f t="shared" ca="1" si="49"/>
        <v>1</v>
      </c>
      <c r="F89" s="209"/>
      <c r="J89" s="65"/>
      <c r="K89" s="146"/>
      <c r="L89" s="567"/>
      <c r="M89" s="567"/>
      <c r="N89" s="737"/>
      <c r="O89" s="638"/>
      <c r="P89" s="147"/>
      <c r="Q89" s="65"/>
    </row>
    <row r="90" spans="1:17" s="148" customFormat="1" ht="14.1" customHeight="1" x14ac:dyDescent="0.2">
      <c r="A90" s="751">
        <f ca="1">IF($H90="UNIDADE CONSTRUTIVA",OFFSET(A90,-1,0)+1,LARGE(A$3:A89,1))</f>
        <v>0</v>
      </c>
      <c r="B90" s="751">
        <f t="shared" ca="1" si="46"/>
        <v>4</v>
      </c>
      <c r="C90" s="751">
        <f t="shared" ca="1" si="47"/>
        <v>1</v>
      </c>
      <c r="D90" s="752">
        <f t="shared" ca="1" si="48"/>
        <v>2</v>
      </c>
      <c r="E90" s="752">
        <f t="shared" ca="1" si="49"/>
        <v>1</v>
      </c>
      <c r="F90" s="209"/>
      <c r="J90" s="65"/>
      <c r="K90" s="146"/>
      <c r="L90" s="567"/>
      <c r="M90" s="567"/>
      <c r="N90" s="737"/>
      <c r="O90" s="638"/>
      <c r="P90" s="147"/>
      <c r="Q90" s="65"/>
    </row>
    <row r="91" spans="1:17" s="148" customFormat="1" ht="14.1" customHeight="1" x14ac:dyDescent="0.2">
      <c r="A91" s="751">
        <f ca="1">IF($H91="UNIDADE CONSTRUTIVA",OFFSET(A91,-1,0)+1,LARGE(A$3:A90,1))</f>
        <v>0</v>
      </c>
      <c r="B91" s="751">
        <f t="shared" ca="1" si="46"/>
        <v>4</v>
      </c>
      <c r="C91" s="751">
        <f t="shared" ca="1" si="47"/>
        <v>1</v>
      </c>
      <c r="D91" s="752">
        <f t="shared" ca="1" si="48"/>
        <v>2</v>
      </c>
      <c r="E91" s="752">
        <f t="shared" ca="1" si="49"/>
        <v>1</v>
      </c>
      <c r="F91" s="209"/>
      <c r="J91" s="65"/>
      <c r="K91" s="146"/>
      <c r="L91" s="567"/>
      <c r="M91" s="567"/>
      <c r="N91" s="737"/>
      <c r="O91" s="638"/>
      <c r="P91" s="147"/>
      <c r="Q91" s="65"/>
    </row>
    <row r="92" spans="1:17" s="148" customFormat="1" ht="14.1" customHeight="1" x14ac:dyDescent="0.2">
      <c r="A92" s="751">
        <f ca="1">IF($H92="UNIDADE CONSTRUTIVA",OFFSET(A92,-1,0)+1,LARGE(A$3:A91,1))</f>
        <v>0</v>
      </c>
      <c r="B92" s="751">
        <f t="shared" ca="1" si="46"/>
        <v>4</v>
      </c>
      <c r="C92" s="751">
        <f t="shared" ca="1" si="47"/>
        <v>1</v>
      </c>
      <c r="D92" s="752">
        <f t="shared" ca="1" si="48"/>
        <v>2</v>
      </c>
      <c r="E92" s="752">
        <f t="shared" ca="1" si="49"/>
        <v>1</v>
      </c>
      <c r="F92" s="209"/>
      <c r="J92" s="65"/>
      <c r="K92" s="146"/>
      <c r="L92" s="567"/>
      <c r="M92" s="567"/>
      <c r="N92" s="737"/>
      <c r="O92" s="638"/>
      <c r="P92" s="147"/>
      <c r="Q92" s="65"/>
    </row>
    <row r="93" spans="1:17" s="148" customFormat="1" ht="14.1" customHeight="1" x14ac:dyDescent="0.2">
      <c r="A93" s="751">
        <f ca="1">IF($H93="UNIDADE CONSTRUTIVA",OFFSET(A93,-1,0)+1,LARGE(A$3:A92,1))</f>
        <v>0</v>
      </c>
      <c r="B93" s="751">
        <f t="shared" ca="1" si="46"/>
        <v>4</v>
      </c>
      <c r="C93" s="751">
        <f t="shared" ca="1" si="47"/>
        <v>1</v>
      </c>
      <c r="D93" s="752">
        <f t="shared" ca="1" si="48"/>
        <v>2</v>
      </c>
      <c r="E93" s="752">
        <f t="shared" ca="1" si="49"/>
        <v>1</v>
      </c>
      <c r="F93" s="209"/>
      <c r="J93" s="65"/>
      <c r="K93" s="146"/>
      <c r="L93" s="567"/>
      <c r="M93" s="567"/>
      <c r="N93" s="737"/>
      <c r="O93" s="638"/>
      <c r="P93" s="147"/>
      <c r="Q93" s="65"/>
    </row>
    <row r="94" spans="1:17" s="148" customFormat="1" ht="14.1" customHeight="1" x14ac:dyDescent="0.2">
      <c r="A94" s="751">
        <f ca="1">IF($H94="UNIDADE CONSTRUTIVA",OFFSET(A94,-1,0)+1,LARGE(A$3:A93,1))</f>
        <v>0</v>
      </c>
      <c r="B94" s="751">
        <f t="shared" ca="1" si="46"/>
        <v>4</v>
      </c>
      <c r="C94" s="751">
        <f t="shared" ca="1" si="47"/>
        <v>1</v>
      </c>
      <c r="D94" s="752">
        <f t="shared" ca="1" si="48"/>
        <v>2</v>
      </c>
      <c r="E94" s="752">
        <f t="shared" ca="1" si="49"/>
        <v>1</v>
      </c>
      <c r="F94" s="209"/>
      <c r="J94" s="65"/>
      <c r="K94" s="146"/>
      <c r="L94" s="567"/>
      <c r="M94" s="567"/>
      <c r="N94" s="737"/>
      <c r="O94" s="638"/>
      <c r="P94" s="147"/>
      <c r="Q94" s="65"/>
    </row>
    <row r="95" spans="1:17" s="148" customFormat="1" ht="14.1" customHeight="1" x14ac:dyDescent="0.2">
      <c r="A95" s="751">
        <f ca="1">IF($H95="UNIDADE CONSTRUTIVA",OFFSET(A95,-1,0)+1,LARGE(A$3:A94,1))</f>
        <v>0</v>
      </c>
      <c r="B95" s="751">
        <f t="shared" ca="1" si="46"/>
        <v>4</v>
      </c>
      <c r="C95" s="751">
        <f t="shared" ca="1" si="47"/>
        <v>1</v>
      </c>
      <c r="D95" s="752">
        <f t="shared" ca="1" si="48"/>
        <v>2</v>
      </c>
      <c r="E95" s="752">
        <f t="shared" ca="1" si="49"/>
        <v>1</v>
      </c>
      <c r="F95" s="209"/>
      <c r="J95" s="65"/>
      <c r="K95" s="146"/>
      <c r="L95" s="567"/>
      <c r="M95" s="567"/>
      <c r="N95" s="737"/>
      <c r="O95" s="638"/>
      <c r="P95" s="147"/>
      <c r="Q95" s="65"/>
    </row>
    <row r="96" spans="1:17" s="148" customFormat="1" ht="14.1" customHeight="1" x14ac:dyDescent="0.2">
      <c r="A96" s="751">
        <f ca="1">IF($H96="UNIDADE CONSTRUTIVA",OFFSET(A96,-1,0)+1,LARGE(A$3:A95,1))</f>
        <v>0</v>
      </c>
      <c r="B96" s="751">
        <f t="shared" ca="1" si="46"/>
        <v>4</v>
      </c>
      <c r="C96" s="751">
        <f t="shared" ca="1" si="47"/>
        <v>1</v>
      </c>
      <c r="D96" s="752">
        <f t="shared" ca="1" si="48"/>
        <v>2</v>
      </c>
      <c r="E96" s="752">
        <f t="shared" ca="1" si="49"/>
        <v>1</v>
      </c>
      <c r="F96" s="209"/>
      <c r="J96" s="65"/>
      <c r="K96" s="146"/>
      <c r="L96" s="567"/>
      <c r="M96" s="567"/>
      <c r="N96" s="737"/>
      <c r="O96" s="638"/>
      <c r="P96" s="147"/>
      <c r="Q96" s="65"/>
    </row>
    <row r="97" spans="1:17" s="148" customFormat="1" ht="14.1" customHeight="1" x14ac:dyDescent="0.2">
      <c r="A97" s="751">
        <f ca="1">IF($H97="UNIDADE CONSTRUTIVA",OFFSET(A97,-1,0)+1,LARGE(A$3:A96,1))</f>
        <v>0</v>
      </c>
      <c r="B97" s="751">
        <f t="shared" ca="1" si="46"/>
        <v>4</v>
      </c>
      <c r="C97" s="751">
        <f t="shared" ca="1" si="47"/>
        <v>1</v>
      </c>
      <c r="D97" s="752">
        <f t="shared" ca="1" si="48"/>
        <v>2</v>
      </c>
      <c r="E97" s="752">
        <f t="shared" ca="1" si="49"/>
        <v>1</v>
      </c>
      <c r="F97" s="209"/>
      <c r="J97" s="65"/>
      <c r="K97" s="146"/>
      <c r="L97" s="567"/>
      <c r="M97" s="567"/>
      <c r="N97" s="737"/>
      <c r="O97" s="638"/>
      <c r="P97" s="147"/>
      <c r="Q97" s="65"/>
    </row>
    <row r="98" spans="1:17" s="148" customFormat="1" ht="14.1" customHeight="1" x14ac:dyDescent="0.2">
      <c r="A98" s="751">
        <f ca="1">IF($H98="UNIDADE CONSTRUTIVA",OFFSET(A98,-1,0)+1,LARGE(A$3:A97,1))</f>
        <v>0</v>
      </c>
      <c r="B98" s="751">
        <f t="shared" ca="1" si="46"/>
        <v>4</v>
      </c>
      <c r="C98" s="751">
        <f t="shared" ca="1" si="47"/>
        <v>1</v>
      </c>
      <c r="D98" s="752">
        <f t="shared" ca="1" si="48"/>
        <v>2</v>
      </c>
      <c r="E98" s="752">
        <f t="shared" ca="1" si="49"/>
        <v>1</v>
      </c>
      <c r="F98" s="209"/>
      <c r="J98" s="65"/>
      <c r="K98" s="146"/>
      <c r="L98" s="567"/>
      <c r="M98" s="567"/>
      <c r="N98" s="737"/>
      <c r="O98" s="638"/>
      <c r="P98" s="147"/>
      <c r="Q98" s="65"/>
    </row>
    <row r="99" spans="1:17" s="148" customFormat="1" ht="14.1" customHeight="1" x14ac:dyDescent="0.2">
      <c r="A99" s="751">
        <f ca="1">IF($H99="UNIDADE CONSTRUTIVA",OFFSET(A99,-1,0)+1,LARGE(A$3:A98,1))</f>
        <v>0</v>
      </c>
      <c r="B99" s="751">
        <f t="shared" ca="1" si="46"/>
        <v>4</v>
      </c>
      <c r="C99" s="751">
        <f t="shared" ca="1" si="47"/>
        <v>1</v>
      </c>
      <c r="D99" s="752">
        <f t="shared" ca="1" si="48"/>
        <v>2</v>
      </c>
      <c r="E99" s="752">
        <f t="shared" ca="1" si="49"/>
        <v>1</v>
      </c>
      <c r="F99" s="209"/>
      <c r="J99" s="65"/>
      <c r="K99" s="146"/>
      <c r="L99" s="567"/>
      <c r="M99" s="567"/>
      <c r="N99" s="737"/>
      <c r="O99" s="638"/>
      <c r="P99" s="147"/>
      <c r="Q99" s="65"/>
    </row>
    <row r="100" spans="1:17" s="148" customFormat="1" ht="14.1" customHeight="1" x14ac:dyDescent="0.2">
      <c r="A100" s="751">
        <f ca="1">IF($H100="UNIDADE CONSTRUTIVA",OFFSET(A100,-1,0)+1,LARGE(A$3:A99,1))</f>
        <v>0</v>
      </c>
      <c r="B100" s="751">
        <f t="shared" ca="1" si="46"/>
        <v>4</v>
      </c>
      <c r="C100" s="751">
        <f t="shared" ca="1" si="47"/>
        <v>1</v>
      </c>
      <c r="D100" s="752">
        <f t="shared" ca="1" si="48"/>
        <v>2</v>
      </c>
      <c r="E100" s="752">
        <f t="shared" ca="1" si="49"/>
        <v>1</v>
      </c>
      <c r="F100" s="209"/>
      <c r="J100" s="65"/>
      <c r="K100" s="146"/>
      <c r="L100" s="567"/>
      <c r="M100" s="567"/>
      <c r="N100" s="737"/>
      <c r="O100" s="638"/>
      <c r="P100" s="147"/>
      <c r="Q100" s="65"/>
    </row>
    <row r="101" spans="1:17" s="148" customFormat="1" ht="14.1" customHeight="1" x14ac:dyDescent="0.2">
      <c r="A101" s="751">
        <f ca="1">IF($H101="UNIDADE CONSTRUTIVA",OFFSET(A101,-1,0)+1,LARGE(A$3:A100,1))</f>
        <v>0</v>
      </c>
      <c r="B101" s="751">
        <f t="shared" ca="1" si="46"/>
        <v>4</v>
      </c>
      <c r="C101" s="751">
        <f t="shared" ca="1" si="47"/>
        <v>1</v>
      </c>
      <c r="D101" s="752">
        <f t="shared" ca="1" si="48"/>
        <v>2</v>
      </c>
      <c r="E101" s="752">
        <f t="shared" ca="1" si="49"/>
        <v>1</v>
      </c>
      <c r="F101" s="209"/>
      <c r="J101" s="65"/>
      <c r="K101" s="146"/>
      <c r="L101" s="567"/>
      <c r="M101" s="567"/>
      <c r="N101" s="737"/>
      <c r="O101" s="638"/>
      <c r="P101" s="147"/>
      <c r="Q101" s="65"/>
    </row>
    <row r="102" spans="1:17" s="148" customFormat="1" ht="14.1" customHeight="1" x14ac:dyDescent="0.2">
      <c r="A102" s="751">
        <f ca="1">IF($H102="UNIDADE CONSTRUTIVA",OFFSET(A102,-1,0)+1,LARGE(A$3:A101,1))</f>
        <v>0</v>
      </c>
      <c r="B102" s="751">
        <f t="shared" ca="1" si="46"/>
        <v>4</v>
      </c>
      <c r="C102" s="751">
        <f t="shared" ca="1" si="47"/>
        <v>1</v>
      </c>
      <c r="D102" s="752">
        <f t="shared" ca="1" si="48"/>
        <v>2</v>
      </c>
      <c r="E102" s="752">
        <f t="shared" ca="1" si="49"/>
        <v>1</v>
      </c>
      <c r="F102" s="209"/>
      <c r="J102" s="65"/>
      <c r="K102" s="146"/>
      <c r="L102" s="567"/>
      <c r="M102" s="567"/>
      <c r="N102" s="737"/>
      <c r="O102" s="638"/>
      <c r="P102" s="147"/>
      <c r="Q102" s="65"/>
    </row>
    <row r="103" spans="1:17" s="148" customFormat="1" ht="14.1" customHeight="1" x14ac:dyDescent="0.2">
      <c r="A103" s="751">
        <f ca="1">IF($H103="UNIDADE CONSTRUTIVA",OFFSET(A103,-1,0)+1,LARGE(A$3:A102,1))</f>
        <v>0</v>
      </c>
      <c r="B103" s="751">
        <f t="shared" ca="1" si="46"/>
        <v>4</v>
      </c>
      <c r="C103" s="751">
        <f t="shared" ca="1" si="47"/>
        <v>1</v>
      </c>
      <c r="D103" s="752">
        <f t="shared" ca="1" si="48"/>
        <v>2</v>
      </c>
      <c r="E103" s="752">
        <f t="shared" ca="1" si="49"/>
        <v>1</v>
      </c>
      <c r="F103" s="209"/>
      <c r="J103" s="65"/>
      <c r="K103" s="146"/>
      <c r="L103" s="567"/>
      <c r="M103" s="567"/>
      <c r="N103" s="737"/>
      <c r="O103" s="638"/>
      <c r="P103" s="147"/>
      <c r="Q103" s="65"/>
    </row>
    <row r="104" spans="1:17" s="148" customFormat="1" ht="14.1" customHeight="1" x14ac:dyDescent="0.2">
      <c r="A104" s="751">
        <f ca="1">IF($H104="UNIDADE CONSTRUTIVA",OFFSET(A104,-1,0)+1,LARGE(A$3:A103,1))</f>
        <v>0</v>
      </c>
      <c r="B104" s="751">
        <f t="shared" ca="1" si="46"/>
        <v>4</v>
      </c>
      <c r="C104" s="751">
        <f t="shared" ca="1" si="47"/>
        <v>1</v>
      </c>
      <c r="D104" s="752">
        <f t="shared" ca="1" si="48"/>
        <v>2</v>
      </c>
      <c r="E104" s="752">
        <f t="shared" ca="1" si="49"/>
        <v>1</v>
      </c>
      <c r="F104" s="209"/>
      <c r="J104" s="65"/>
      <c r="K104" s="146"/>
      <c r="L104" s="567"/>
      <c r="M104" s="567"/>
      <c r="N104" s="737"/>
      <c r="O104" s="638"/>
      <c r="P104" s="147"/>
      <c r="Q104" s="65"/>
    </row>
    <row r="105" spans="1:17" s="148" customFormat="1" ht="14.1" customHeight="1" x14ac:dyDescent="0.2">
      <c r="A105" s="751">
        <f ca="1">IF($H105="UNIDADE CONSTRUTIVA",OFFSET(A105,-1,0)+1,LARGE(A$3:A104,1))</f>
        <v>0</v>
      </c>
      <c r="B105" s="751">
        <f t="shared" ca="1" si="46"/>
        <v>4</v>
      </c>
      <c r="C105" s="751">
        <f t="shared" ca="1" si="47"/>
        <v>1</v>
      </c>
      <c r="D105" s="752">
        <f t="shared" ca="1" si="48"/>
        <v>2</v>
      </c>
      <c r="E105" s="752">
        <f t="shared" ca="1" si="49"/>
        <v>1</v>
      </c>
      <c r="F105" s="209"/>
      <c r="J105" s="65"/>
      <c r="K105" s="146"/>
      <c r="L105" s="567"/>
      <c r="M105" s="567"/>
      <c r="N105" s="737"/>
      <c r="O105" s="638"/>
      <c r="P105" s="147"/>
      <c r="Q105" s="65"/>
    </row>
    <row r="106" spans="1:17" s="148" customFormat="1" ht="14.1" customHeight="1" x14ac:dyDescent="0.2">
      <c r="A106" s="751">
        <f ca="1">IF($H106="UNIDADE CONSTRUTIVA",OFFSET(A106,-1,0)+1,LARGE(A$3:A105,1))</f>
        <v>0</v>
      </c>
      <c r="B106" s="751">
        <f t="shared" ca="1" si="46"/>
        <v>4</v>
      </c>
      <c r="C106" s="751">
        <f t="shared" ca="1" si="47"/>
        <v>1</v>
      </c>
      <c r="D106" s="752">
        <f t="shared" ca="1" si="48"/>
        <v>2</v>
      </c>
      <c r="E106" s="752">
        <f t="shared" ca="1" si="49"/>
        <v>1</v>
      </c>
      <c r="F106" s="209"/>
      <c r="J106" s="65"/>
      <c r="K106" s="146"/>
      <c r="L106" s="567"/>
      <c r="M106" s="567"/>
      <c r="N106" s="737"/>
      <c r="O106" s="638"/>
      <c r="P106" s="147"/>
      <c r="Q106" s="65"/>
    </row>
    <row r="107" spans="1:17" s="148" customFormat="1" ht="14.1" customHeight="1" x14ac:dyDescent="0.2">
      <c r="A107" s="751">
        <f ca="1">IF($H107="UNIDADE CONSTRUTIVA",OFFSET(A107,-1,0)+1,LARGE(A$3:A106,1))</f>
        <v>0</v>
      </c>
      <c r="B107" s="751">
        <f t="shared" ca="1" si="46"/>
        <v>4</v>
      </c>
      <c r="C107" s="751">
        <f t="shared" ca="1" si="47"/>
        <v>1</v>
      </c>
      <c r="D107" s="752">
        <f t="shared" ca="1" si="48"/>
        <v>2</v>
      </c>
      <c r="E107" s="752">
        <f t="shared" ca="1" si="49"/>
        <v>1</v>
      </c>
      <c r="F107" s="209"/>
      <c r="J107" s="65"/>
      <c r="K107" s="146"/>
      <c r="L107" s="567"/>
      <c r="M107" s="567"/>
      <c r="N107" s="737"/>
      <c r="O107" s="638"/>
      <c r="P107" s="147"/>
      <c r="Q107" s="65"/>
    </row>
    <row r="108" spans="1:17" s="148" customFormat="1" ht="14.1" customHeight="1" x14ac:dyDescent="0.2">
      <c r="A108" s="751">
        <f ca="1">IF($H108="UNIDADE CONSTRUTIVA",OFFSET(A108,-1,0)+1,LARGE(A$3:A107,1))</f>
        <v>0</v>
      </c>
      <c r="B108" s="751">
        <f t="shared" ca="1" si="46"/>
        <v>4</v>
      </c>
      <c r="C108" s="751">
        <f t="shared" ca="1" si="47"/>
        <v>1</v>
      </c>
      <c r="D108" s="752">
        <f t="shared" ca="1" si="48"/>
        <v>2</v>
      </c>
      <c r="E108" s="752">
        <f t="shared" ca="1" si="49"/>
        <v>1</v>
      </c>
      <c r="F108" s="209"/>
      <c r="J108" s="65"/>
      <c r="K108" s="146"/>
      <c r="L108" s="567"/>
      <c r="M108" s="567"/>
      <c r="N108" s="737"/>
      <c r="O108" s="638"/>
      <c r="P108" s="147"/>
      <c r="Q108" s="65"/>
    </row>
    <row r="109" spans="1:17" s="148" customFormat="1" ht="14.1" customHeight="1" x14ac:dyDescent="0.2">
      <c r="A109" s="751">
        <f ca="1">IF($H109="UNIDADE CONSTRUTIVA",OFFSET(A109,-1,0)+1,LARGE(A$3:A108,1))</f>
        <v>0</v>
      </c>
      <c r="B109" s="751">
        <f t="shared" ca="1" si="46"/>
        <v>4</v>
      </c>
      <c r="C109" s="751">
        <f t="shared" ca="1" si="47"/>
        <v>1</v>
      </c>
      <c r="D109" s="752">
        <f t="shared" ca="1" si="48"/>
        <v>2</v>
      </c>
      <c r="E109" s="752">
        <f t="shared" ca="1" si="49"/>
        <v>1</v>
      </c>
      <c r="F109" s="209"/>
      <c r="J109" s="65"/>
      <c r="K109" s="146"/>
      <c r="L109" s="567"/>
      <c r="M109" s="567"/>
      <c r="N109" s="737"/>
      <c r="O109" s="638"/>
      <c r="P109" s="147"/>
      <c r="Q109" s="65"/>
    </row>
    <row r="110" spans="1:17" s="148" customFormat="1" ht="14.1" customHeight="1" x14ac:dyDescent="0.2">
      <c r="A110" s="751">
        <f ca="1">IF($H110="UNIDADE CONSTRUTIVA",OFFSET(A110,-1,0)+1,LARGE(A$3:A109,1))</f>
        <v>0</v>
      </c>
      <c r="B110" s="751">
        <f t="shared" ca="1" si="46"/>
        <v>4</v>
      </c>
      <c r="C110" s="751">
        <f t="shared" ca="1" si="47"/>
        <v>1</v>
      </c>
      <c r="D110" s="752">
        <f t="shared" ca="1" si="48"/>
        <v>2</v>
      </c>
      <c r="E110" s="752">
        <f t="shared" ca="1" si="49"/>
        <v>1</v>
      </c>
      <c r="F110" s="209"/>
      <c r="J110" s="65"/>
      <c r="K110" s="146"/>
      <c r="L110" s="567"/>
      <c r="M110" s="567"/>
      <c r="N110" s="737"/>
      <c r="O110" s="638"/>
      <c r="P110" s="147"/>
      <c r="Q110" s="65"/>
    </row>
    <row r="111" spans="1:17" s="148" customFormat="1" ht="14.1" customHeight="1" x14ac:dyDescent="0.2">
      <c r="A111" s="751">
        <f ca="1">IF($H111="UNIDADE CONSTRUTIVA",OFFSET(A111,-1,0)+1,LARGE(A$3:A110,1))</f>
        <v>0</v>
      </c>
      <c r="B111" s="751">
        <f t="shared" ca="1" si="46"/>
        <v>4</v>
      </c>
      <c r="C111" s="751">
        <f t="shared" ca="1" si="47"/>
        <v>1</v>
      </c>
      <c r="D111" s="752">
        <f t="shared" ca="1" si="48"/>
        <v>2</v>
      </c>
      <c r="E111" s="752">
        <f t="shared" ca="1" si="49"/>
        <v>1</v>
      </c>
      <c r="F111" s="209"/>
      <c r="J111" s="65"/>
      <c r="K111" s="146"/>
      <c r="L111" s="567"/>
      <c r="M111" s="567"/>
      <c r="N111" s="737"/>
      <c r="O111" s="638"/>
      <c r="P111" s="147"/>
      <c r="Q111" s="65"/>
    </row>
    <row r="112" spans="1:17" s="148" customFormat="1" ht="14.1" customHeight="1" x14ac:dyDescent="0.2">
      <c r="A112" s="751">
        <f ca="1">IF($H112="UNIDADE CONSTRUTIVA",OFFSET(A112,-1,0)+1,LARGE(A$3:A111,1))</f>
        <v>0</v>
      </c>
      <c r="B112" s="751">
        <f t="shared" ca="1" si="46"/>
        <v>4</v>
      </c>
      <c r="C112" s="751">
        <f t="shared" ca="1" si="47"/>
        <v>1</v>
      </c>
      <c r="D112" s="752">
        <f t="shared" ca="1" si="48"/>
        <v>2</v>
      </c>
      <c r="E112" s="752">
        <f t="shared" ca="1" si="49"/>
        <v>1</v>
      </c>
      <c r="F112" s="209"/>
      <c r="J112" s="65"/>
      <c r="K112" s="146"/>
      <c r="L112" s="567"/>
      <c r="M112" s="567"/>
      <c r="N112" s="737"/>
      <c r="O112" s="638"/>
      <c r="P112" s="147"/>
      <c r="Q112" s="65"/>
    </row>
    <row r="113" spans="1:17" s="148" customFormat="1" ht="14.1" customHeight="1" x14ac:dyDescent="0.2">
      <c r="A113" s="751">
        <f ca="1">IF($H113="UNIDADE CONSTRUTIVA",OFFSET(A113,-1,0)+1,LARGE(A$3:A112,1))</f>
        <v>0</v>
      </c>
      <c r="B113" s="751">
        <f t="shared" ca="1" si="46"/>
        <v>4</v>
      </c>
      <c r="C113" s="751">
        <f t="shared" ca="1" si="47"/>
        <v>1</v>
      </c>
      <c r="D113" s="752">
        <f t="shared" ca="1" si="48"/>
        <v>2</v>
      </c>
      <c r="E113" s="752">
        <f t="shared" ca="1" si="49"/>
        <v>1</v>
      </c>
      <c r="F113" s="209"/>
      <c r="J113" s="65"/>
      <c r="K113" s="146"/>
      <c r="L113" s="567"/>
      <c r="M113" s="567"/>
      <c r="N113" s="737"/>
      <c r="O113" s="638"/>
      <c r="P113" s="147"/>
      <c r="Q113" s="65"/>
    </row>
    <row r="114" spans="1:17" s="148" customFormat="1" ht="14.1" customHeight="1" x14ac:dyDescent="0.2">
      <c r="A114" s="751">
        <f ca="1">IF($H114="UNIDADE CONSTRUTIVA",OFFSET(A114,-1,0)+1,LARGE(A$3:A113,1))</f>
        <v>0</v>
      </c>
      <c r="B114" s="751">
        <f t="shared" ca="1" si="46"/>
        <v>4</v>
      </c>
      <c r="C114" s="751">
        <f t="shared" ca="1" si="47"/>
        <v>1</v>
      </c>
      <c r="D114" s="752">
        <f t="shared" ca="1" si="48"/>
        <v>2</v>
      </c>
      <c r="E114" s="752">
        <f t="shared" ca="1" si="49"/>
        <v>1</v>
      </c>
      <c r="F114" s="209"/>
      <c r="J114" s="65"/>
      <c r="K114" s="146"/>
      <c r="L114" s="567"/>
      <c r="M114" s="567"/>
      <c r="N114" s="737"/>
      <c r="O114" s="638"/>
      <c r="P114" s="147"/>
      <c r="Q114" s="65"/>
    </row>
    <row r="115" spans="1:17" s="148" customFormat="1" ht="14.1" customHeight="1" x14ac:dyDescent="0.2">
      <c r="A115" s="751">
        <f ca="1">IF($H115="UNIDADE CONSTRUTIVA",OFFSET(A115,-1,0)+1,LARGE(A$3:A114,1))</f>
        <v>0</v>
      </c>
      <c r="B115" s="751">
        <f t="shared" ca="1" si="46"/>
        <v>4</v>
      </c>
      <c r="C115" s="751">
        <f t="shared" ca="1" si="47"/>
        <v>1</v>
      </c>
      <c r="D115" s="752">
        <f t="shared" ca="1" si="48"/>
        <v>2</v>
      </c>
      <c r="E115" s="752">
        <f t="shared" ca="1" si="49"/>
        <v>1</v>
      </c>
      <c r="F115" s="209"/>
      <c r="J115" s="65"/>
      <c r="K115" s="146"/>
      <c r="L115" s="567"/>
      <c r="M115" s="567"/>
      <c r="N115" s="737"/>
      <c r="O115" s="638"/>
      <c r="P115" s="147"/>
      <c r="Q115" s="65"/>
    </row>
    <row r="116" spans="1:17" s="148" customFormat="1" ht="14.1" customHeight="1" x14ac:dyDescent="0.2">
      <c r="A116" s="751">
        <f ca="1">IF($H116="UNIDADE CONSTRUTIVA",OFFSET(A116,-1,0)+1,LARGE(A$3:A115,1))</f>
        <v>0</v>
      </c>
      <c r="B116" s="751">
        <f t="shared" ca="1" si="46"/>
        <v>4</v>
      </c>
      <c r="C116" s="751">
        <f t="shared" ca="1" si="47"/>
        <v>1</v>
      </c>
      <c r="D116" s="752">
        <f t="shared" ca="1" si="48"/>
        <v>2</v>
      </c>
      <c r="E116" s="752">
        <f t="shared" ca="1" si="49"/>
        <v>1</v>
      </c>
      <c r="F116" s="209"/>
      <c r="J116" s="65"/>
      <c r="K116" s="146"/>
      <c r="L116" s="567"/>
      <c r="M116" s="567"/>
      <c r="N116" s="737"/>
      <c r="O116" s="638"/>
      <c r="P116" s="147"/>
      <c r="Q116" s="65"/>
    </row>
    <row r="117" spans="1:17" s="148" customFormat="1" ht="14.1" customHeight="1" x14ac:dyDescent="0.2">
      <c r="A117" s="751">
        <f ca="1">IF($H117="UNIDADE CONSTRUTIVA",OFFSET(A117,-1,0)+1,LARGE(A$3:A116,1))</f>
        <v>0</v>
      </c>
      <c r="B117" s="751">
        <f t="shared" ca="1" si="46"/>
        <v>4</v>
      </c>
      <c r="C117" s="751">
        <f t="shared" ca="1" si="47"/>
        <v>1</v>
      </c>
      <c r="D117" s="752">
        <f t="shared" ca="1" si="48"/>
        <v>2</v>
      </c>
      <c r="E117" s="752">
        <f t="shared" ca="1" si="49"/>
        <v>1</v>
      </c>
      <c r="F117" s="209"/>
      <c r="J117" s="65"/>
      <c r="K117" s="146"/>
      <c r="L117" s="567"/>
      <c r="M117" s="567"/>
      <c r="N117" s="737"/>
      <c r="O117" s="638"/>
      <c r="P117" s="147"/>
      <c r="Q117" s="65"/>
    </row>
    <row r="118" spans="1:17" s="148" customFormat="1" ht="14.1" customHeight="1" x14ac:dyDescent="0.2">
      <c r="A118" s="751">
        <f ca="1">IF($H118="UNIDADE CONSTRUTIVA",OFFSET(A118,-1,0)+1,LARGE(A$3:A117,1))</f>
        <v>0</v>
      </c>
      <c r="B118" s="751">
        <f t="shared" ca="1" si="46"/>
        <v>4</v>
      </c>
      <c r="C118" s="751">
        <f t="shared" ca="1" si="47"/>
        <v>1</v>
      </c>
      <c r="D118" s="752">
        <f t="shared" ca="1" si="48"/>
        <v>2</v>
      </c>
      <c r="E118" s="752">
        <f t="shared" ca="1" si="49"/>
        <v>1</v>
      </c>
      <c r="F118" s="209"/>
      <c r="J118" s="65"/>
      <c r="K118" s="146"/>
      <c r="L118" s="567"/>
      <c r="M118" s="567"/>
      <c r="N118" s="737"/>
      <c r="O118" s="638"/>
      <c r="P118" s="147"/>
      <c r="Q118" s="65"/>
    </row>
    <row r="119" spans="1:17" s="148" customFormat="1" ht="14.1" customHeight="1" x14ac:dyDescent="0.2">
      <c r="A119" s="751">
        <f ca="1">IF($H119="UNIDADE CONSTRUTIVA",OFFSET(A119,-1,0)+1,LARGE(A$3:A118,1))</f>
        <v>0</v>
      </c>
      <c r="B119" s="751">
        <f t="shared" ca="1" si="46"/>
        <v>4</v>
      </c>
      <c r="C119" s="751">
        <f t="shared" ca="1" si="47"/>
        <v>1</v>
      </c>
      <c r="D119" s="752">
        <f t="shared" ca="1" si="48"/>
        <v>2</v>
      </c>
      <c r="E119" s="752">
        <f t="shared" ca="1" si="49"/>
        <v>1</v>
      </c>
      <c r="F119" s="209"/>
      <c r="J119" s="65"/>
      <c r="K119" s="146"/>
      <c r="L119" s="567"/>
      <c r="M119" s="567"/>
      <c r="N119" s="737"/>
      <c r="O119" s="638"/>
      <c r="P119" s="147"/>
      <c r="Q119" s="65"/>
    </row>
    <row r="120" spans="1:17" s="148" customFormat="1" ht="14.1" customHeight="1" x14ac:dyDescent="0.2">
      <c r="A120" s="751">
        <f ca="1">IF($H120="UNIDADE CONSTRUTIVA",OFFSET(A120,-1,0)+1,LARGE(A$3:A119,1))</f>
        <v>0</v>
      </c>
      <c r="B120" s="751">
        <f t="shared" ca="1" si="46"/>
        <v>4</v>
      </c>
      <c r="C120" s="751">
        <f t="shared" ca="1" si="47"/>
        <v>1</v>
      </c>
      <c r="D120" s="752">
        <f t="shared" ca="1" si="48"/>
        <v>2</v>
      </c>
      <c r="E120" s="752">
        <f t="shared" ca="1" si="49"/>
        <v>1</v>
      </c>
      <c r="F120" s="209"/>
      <c r="J120" s="65"/>
      <c r="K120" s="146"/>
      <c r="L120" s="567"/>
      <c r="M120" s="567"/>
      <c r="N120" s="737"/>
      <c r="O120" s="638"/>
      <c r="P120" s="147"/>
      <c r="Q120" s="65"/>
    </row>
    <row r="121" spans="1:17" s="148" customFormat="1" ht="14.1" customHeight="1" x14ac:dyDescent="0.2">
      <c r="A121" s="751">
        <f ca="1">IF($H121="UNIDADE CONSTRUTIVA",OFFSET(A121,-1,0)+1,LARGE(A$3:A120,1))</f>
        <v>0</v>
      </c>
      <c r="B121" s="751">
        <f t="shared" ca="1" si="46"/>
        <v>4</v>
      </c>
      <c r="C121" s="751">
        <f t="shared" ca="1" si="47"/>
        <v>1</v>
      </c>
      <c r="D121" s="752">
        <f t="shared" ca="1" si="48"/>
        <v>2</v>
      </c>
      <c r="E121" s="752">
        <f t="shared" ca="1" si="49"/>
        <v>1</v>
      </c>
      <c r="F121" s="209"/>
      <c r="J121" s="65"/>
      <c r="K121" s="146"/>
      <c r="L121" s="567"/>
      <c r="M121" s="567"/>
      <c r="N121" s="737"/>
      <c r="O121" s="638"/>
      <c r="P121" s="147"/>
      <c r="Q121" s="65"/>
    </row>
    <row r="122" spans="1:17" s="148" customFormat="1" ht="14.1" customHeight="1" x14ac:dyDescent="0.2">
      <c r="A122" s="751">
        <f ca="1">IF($H122="UNIDADE CONSTRUTIVA",OFFSET(A122,-1,0)+1,LARGE(A$3:A121,1))</f>
        <v>0</v>
      </c>
      <c r="B122" s="751">
        <f t="shared" ca="1" si="46"/>
        <v>4</v>
      </c>
      <c r="C122" s="751">
        <f t="shared" ca="1" si="47"/>
        <v>1</v>
      </c>
      <c r="D122" s="752">
        <f t="shared" ca="1" si="48"/>
        <v>2</v>
      </c>
      <c r="E122" s="752">
        <f t="shared" ca="1" si="49"/>
        <v>1</v>
      </c>
      <c r="F122" s="209"/>
      <c r="J122" s="65"/>
      <c r="K122" s="146"/>
      <c r="L122" s="567"/>
      <c r="M122" s="567"/>
      <c r="N122" s="737"/>
      <c r="O122" s="638"/>
      <c r="P122" s="147"/>
      <c r="Q122" s="65"/>
    </row>
    <row r="123" spans="1:17" s="148" customFormat="1" ht="14.1" customHeight="1" x14ac:dyDescent="0.2">
      <c r="A123" s="751">
        <f ca="1">IF($H123="UNIDADE CONSTRUTIVA",OFFSET(A123,-1,0)+1,LARGE(A$3:A122,1))</f>
        <v>0</v>
      </c>
      <c r="B123" s="751">
        <f t="shared" ca="1" si="46"/>
        <v>4</v>
      </c>
      <c r="C123" s="751">
        <f t="shared" ca="1" si="47"/>
        <v>1</v>
      </c>
      <c r="D123" s="752">
        <f t="shared" ca="1" si="48"/>
        <v>2</v>
      </c>
      <c r="E123" s="752">
        <f t="shared" ca="1" si="49"/>
        <v>1</v>
      </c>
      <c r="F123" s="209"/>
      <c r="J123" s="65"/>
      <c r="K123" s="146"/>
      <c r="L123" s="567"/>
      <c r="M123" s="567"/>
      <c r="N123" s="737"/>
      <c r="O123" s="638"/>
      <c r="P123" s="147"/>
      <c r="Q123" s="65"/>
    </row>
    <row r="124" spans="1:17" s="148" customFormat="1" ht="14.1" customHeight="1" x14ac:dyDescent="0.2">
      <c r="A124" s="751">
        <f ca="1">IF($H124="UNIDADE CONSTRUTIVA",OFFSET(A124,-1,0)+1,LARGE(A$3:A123,1))</f>
        <v>0</v>
      </c>
      <c r="B124" s="751">
        <f t="shared" ca="1" si="46"/>
        <v>4</v>
      </c>
      <c r="C124" s="751">
        <f t="shared" ca="1" si="47"/>
        <v>1</v>
      </c>
      <c r="D124" s="752">
        <f t="shared" ca="1" si="48"/>
        <v>2</v>
      </c>
      <c r="E124" s="752">
        <f t="shared" ca="1" si="49"/>
        <v>1</v>
      </c>
      <c r="F124" s="209"/>
      <c r="J124" s="65"/>
      <c r="K124" s="146"/>
      <c r="L124" s="567"/>
      <c r="M124" s="567"/>
      <c r="N124" s="737"/>
      <c r="O124" s="638"/>
      <c r="P124" s="147"/>
      <c r="Q124" s="65"/>
    </row>
    <row r="125" spans="1:17" s="148" customFormat="1" ht="14.1" customHeight="1" x14ac:dyDescent="0.2">
      <c r="A125" s="751">
        <f ca="1">IF($H125="UNIDADE CONSTRUTIVA",OFFSET(A125,-1,0)+1,LARGE(A$3:A124,1))</f>
        <v>0</v>
      </c>
      <c r="B125" s="751">
        <f t="shared" ca="1" si="46"/>
        <v>4</v>
      </c>
      <c r="C125" s="751">
        <f t="shared" ca="1" si="47"/>
        <v>1</v>
      </c>
      <c r="D125" s="752">
        <f t="shared" ca="1" si="48"/>
        <v>2</v>
      </c>
      <c r="E125" s="752">
        <f t="shared" ca="1" si="49"/>
        <v>1</v>
      </c>
      <c r="F125" s="209"/>
      <c r="J125" s="65"/>
      <c r="K125" s="146"/>
      <c r="L125" s="567"/>
      <c r="M125" s="567"/>
      <c r="N125" s="737"/>
      <c r="O125" s="638"/>
      <c r="P125" s="147"/>
      <c r="Q125" s="65"/>
    </row>
    <row r="126" spans="1:17" s="148" customFormat="1" ht="14.1" customHeight="1" x14ac:dyDescent="0.2">
      <c r="A126" s="751">
        <f ca="1">IF($H126="UNIDADE CONSTRUTIVA",OFFSET(A126,-1,0)+1,LARGE(A$3:A125,1))</f>
        <v>0</v>
      </c>
      <c r="B126" s="751">
        <f t="shared" ca="1" si="46"/>
        <v>4</v>
      </c>
      <c r="C126" s="751">
        <f t="shared" ca="1" si="47"/>
        <v>1</v>
      </c>
      <c r="D126" s="752">
        <f t="shared" ca="1" si="48"/>
        <v>2</v>
      </c>
      <c r="E126" s="752">
        <f t="shared" ca="1" si="49"/>
        <v>1</v>
      </c>
      <c r="F126" s="209"/>
      <c r="J126" s="65"/>
      <c r="K126" s="146"/>
      <c r="L126" s="567"/>
      <c r="M126" s="567"/>
      <c r="N126" s="737"/>
      <c r="O126" s="638"/>
      <c r="P126" s="147"/>
      <c r="Q126" s="65"/>
    </row>
    <row r="127" spans="1:17" s="148" customFormat="1" ht="14.1" customHeight="1" x14ac:dyDescent="0.2">
      <c r="A127" s="751">
        <f ca="1">IF($H127="UNIDADE CONSTRUTIVA",OFFSET(A127,-1,0)+1,LARGE(A$3:A126,1))</f>
        <v>0</v>
      </c>
      <c r="B127" s="751">
        <f t="shared" ca="1" si="46"/>
        <v>4</v>
      </c>
      <c r="C127" s="751">
        <f t="shared" ca="1" si="47"/>
        <v>1</v>
      </c>
      <c r="D127" s="752">
        <f t="shared" ca="1" si="48"/>
        <v>2</v>
      </c>
      <c r="E127" s="752">
        <f t="shared" ca="1" si="49"/>
        <v>1</v>
      </c>
      <c r="F127" s="209"/>
      <c r="J127" s="65"/>
      <c r="K127" s="146"/>
      <c r="L127" s="567"/>
      <c r="M127" s="567"/>
      <c r="N127" s="737"/>
      <c r="O127" s="638"/>
      <c r="P127" s="147"/>
      <c r="Q127" s="65"/>
    </row>
    <row r="128" spans="1:17" s="148" customFormat="1" ht="14.1" customHeight="1" x14ac:dyDescent="0.2">
      <c r="A128" s="751">
        <f ca="1">IF($H128="UNIDADE CONSTRUTIVA",OFFSET(A128,-1,0)+1,LARGE(A$3:A127,1))</f>
        <v>0</v>
      </c>
      <c r="B128" s="751">
        <f t="shared" ca="1" si="46"/>
        <v>4</v>
      </c>
      <c r="C128" s="751">
        <f t="shared" ca="1" si="47"/>
        <v>1</v>
      </c>
      <c r="D128" s="752">
        <f t="shared" ca="1" si="48"/>
        <v>2</v>
      </c>
      <c r="E128" s="752">
        <f t="shared" ca="1" si="49"/>
        <v>1</v>
      </c>
      <c r="F128" s="209"/>
      <c r="J128" s="65"/>
      <c r="K128" s="146"/>
      <c r="L128" s="567"/>
      <c r="M128" s="567"/>
      <c r="N128" s="737"/>
      <c r="O128" s="638"/>
      <c r="P128" s="147"/>
      <c r="Q128" s="65"/>
    </row>
    <row r="129" spans="1:17" s="148" customFormat="1" ht="14.1" customHeight="1" x14ac:dyDescent="0.2">
      <c r="A129" s="751">
        <f ca="1">IF($H129="UNIDADE CONSTRUTIVA",OFFSET(A129,-1,0)+1,LARGE(A$3:A128,1))</f>
        <v>0</v>
      </c>
      <c r="B129" s="751">
        <f t="shared" ca="1" si="46"/>
        <v>4</v>
      </c>
      <c r="C129" s="751">
        <f t="shared" ca="1" si="47"/>
        <v>1</v>
      </c>
      <c r="D129" s="752">
        <f t="shared" ca="1" si="48"/>
        <v>2</v>
      </c>
      <c r="E129" s="752">
        <f t="shared" ca="1" si="49"/>
        <v>1</v>
      </c>
      <c r="F129" s="209"/>
      <c r="J129" s="65"/>
      <c r="K129" s="146"/>
      <c r="L129" s="567"/>
      <c r="M129" s="567"/>
      <c r="N129" s="737"/>
      <c r="O129" s="638"/>
      <c r="P129" s="147"/>
      <c r="Q129" s="65"/>
    </row>
    <row r="130" spans="1:17" s="148" customFormat="1" ht="14.1" customHeight="1" x14ac:dyDescent="0.2">
      <c r="A130" s="751">
        <f ca="1">IF($H130="UNIDADE CONSTRUTIVA",OFFSET(A130,-1,0)+1,LARGE(A$3:A129,1))</f>
        <v>0</v>
      </c>
      <c r="B130" s="751">
        <f t="shared" ca="1" si="46"/>
        <v>4</v>
      </c>
      <c r="C130" s="751">
        <f t="shared" ca="1" si="47"/>
        <v>1</v>
      </c>
      <c r="D130" s="752">
        <f t="shared" ca="1" si="48"/>
        <v>2</v>
      </c>
      <c r="E130" s="752">
        <f t="shared" ca="1" si="49"/>
        <v>1</v>
      </c>
      <c r="F130" s="209"/>
      <c r="J130" s="65"/>
      <c r="K130" s="146"/>
      <c r="L130" s="567"/>
      <c r="M130" s="567"/>
      <c r="N130" s="737"/>
      <c r="O130" s="638"/>
      <c r="P130" s="147"/>
      <c r="Q130" s="65"/>
    </row>
    <row r="131" spans="1:17" s="148" customFormat="1" ht="14.1" customHeight="1" x14ac:dyDescent="0.2">
      <c r="A131" s="751">
        <f ca="1">IF($H131="UNIDADE CONSTRUTIVA",OFFSET(A131,-1,0)+1,LARGE(A$3:A130,1))</f>
        <v>0</v>
      </c>
      <c r="B131" s="751">
        <f t="shared" ca="1" si="46"/>
        <v>4</v>
      </c>
      <c r="C131" s="751">
        <f t="shared" ca="1" si="47"/>
        <v>1</v>
      </c>
      <c r="D131" s="752">
        <f t="shared" ca="1" si="48"/>
        <v>2</v>
      </c>
      <c r="E131" s="752">
        <f t="shared" ca="1" si="49"/>
        <v>1</v>
      </c>
      <c r="F131" s="209"/>
      <c r="J131" s="65"/>
      <c r="K131" s="146"/>
      <c r="L131" s="567"/>
      <c r="M131" s="567"/>
      <c r="N131" s="737"/>
      <c r="O131" s="638"/>
      <c r="P131" s="147"/>
      <c r="Q131" s="65"/>
    </row>
    <row r="132" spans="1:17" s="148" customFormat="1" ht="14.1" customHeight="1" x14ac:dyDescent="0.2">
      <c r="A132" s="751">
        <f ca="1">IF($H132="UNIDADE CONSTRUTIVA",OFFSET(A132,-1,0)+1,LARGE(A$3:A131,1))</f>
        <v>0</v>
      </c>
      <c r="B132" s="751">
        <f t="shared" ca="1" si="46"/>
        <v>4</v>
      </c>
      <c r="C132" s="751">
        <f t="shared" ca="1" si="47"/>
        <v>1</v>
      </c>
      <c r="D132" s="752">
        <f t="shared" ca="1" si="48"/>
        <v>2</v>
      </c>
      <c r="E132" s="752">
        <f t="shared" ca="1" si="49"/>
        <v>1</v>
      </c>
      <c r="F132" s="209"/>
      <c r="J132" s="65"/>
      <c r="K132" s="146"/>
      <c r="L132" s="567"/>
      <c r="M132" s="567"/>
      <c r="N132" s="737"/>
      <c r="O132" s="638"/>
      <c r="P132" s="147"/>
      <c r="Q132" s="65"/>
    </row>
    <row r="133" spans="1:17" s="148" customFormat="1" ht="14.1" customHeight="1" x14ac:dyDescent="0.2">
      <c r="A133" s="751">
        <f ca="1">IF($H133="UNIDADE CONSTRUTIVA",OFFSET(A133,-1,0)+1,LARGE(A$3:A132,1))</f>
        <v>0</v>
      </c>
      <c r="B133" s="751">
        <f t="shared" ca="1" si="46"/>
        <v>4</v>
      </c>
      <c r="C133" s="751">
        <f t="shared" ca="1" si="47"/>
        <v>1</v>
      </c>
      <c r="D133" s="752">
        <f t="shared" ca="1" si="48"/>
        <v>2</v>
      </c>
      <c r="E133" s="752">
        <f t="shared" ca="1" si="49"/>
        <v>1</v>
      </c>
      <c r="F133" s="209"/>
      <c r="J133" s="65"/>
      <c r="K133" s="146"/>
      <c r="L133" s="567"/>
      <c r="M133" s="567"/>
      <c r="N133" s="737"/>
      <c r="O133" s="638"/>
      <c r="P133" s="147"/>
      <c r="Q133" s="65"/>
    </row>
    <row r="134" spans="1:17" s="148" customFormat="1" ht="14.1" customHeight="1" x14ac:dyDescent="0.2">
      <c r="A134" s="751">
        <f ca="1">IF($H134="UNIDADE CONSTRUTIVA",OFFSET(A134,-1,0)+1,LARGE(A$3:A133,1))</f>
        <v>0</v>
      </c>
      <c r="B134" s="751">
        <f t="shared" ca="1" si="46"/>
        <v>4</v>
      </c>
      <c r="C134" s="751">
        <f t="shared" ca="1" si="47"/>
        <v>1</v>
      </c>
      <c r="D134" s="752">
        <f t="shared" ca="1" si="48"/>
        <v>2</v>
      </c>
      <c r="E134" s="752">
        <f t="shared" ca="1" si="49"/>
        <v>1</v>
      </c>
      <c r="F134" s="209"/>
      <c r="J134" s="65"/>
      <c r="K134" s="146"/>
      <c r="L134" s="567"/>
      <c r="M134" s="567"/>
      <c r="N134" s="737"/>
      <c r="O134" s="638"/>
      <c r="P134" s="147"/>
      <c r="Q134" s="65"/>
    </row>
    <row r="135" spans="1:17" s="148" customFormat="1" ht="14.1" customHeight="1" x14ac:dyDescent="0.2">
      <c r="A135" s="751">
        <f ca="1">IF($H135="UNIDADE CONSTRUTIVA",OFFSET(A135,-1,0)+1,LARGE(A$3:A134,1))</f>
        <v>0</v>
      </c>
      <c r="B135" s="751">
        <f t="shared" ca="1" si="46"/>
        <v>4</v>
      </c>
      <c r="C135" s="751">
        <f t="shared" ca="1" si="47"/>
        <v>1</v>
      </c>
      <c r="D135" s="752">
        <f t="shared" ca="1" si="48"/>
        <v>2</v>
      </c>
      <c r="E135" s="752">
        <f t="shared" ca="1" si="49"/>
        <v>1</v>
      </c>
      <c r="F135" s="209"/>
      <c r="J135" s="65"/>
      <c r="K135" s="146"/>
      <c r="L135" s="567"/>
      <c r="M135" s="567"/>
      <c r="N135" s="737"/>
      <c r="O135" s="638"/>
      <c r="P135" s="147"/>
      <c r="Q135" s="65"/>
    </row>
    <row r="136" spans="1:17" s="148" customFormat="1" ht="14.1" customHeight="1" x14ac:dyDescent="0.2">
      <c r="A136" s="751">
        <f ca="1">IF($H136="UNIDADE CONSTRUTIVA",OFFSET(A136,-1,0)+1,LARGE(A$3:A135,1))</f>
        <v>0</v>
      </c>
      <c r="B136" s="751">
        <f t="shared" ca="1" si="46"/>
        <v>4</v>
      </c>
      <c r="C136" s="751">
        <f t="shared" ca="1" si="47"/>
        <v>1</v>
      </c>
      <c r="D136" s="752">
        <f t="shared" ca="1" si="48"/>
        <v>2</v>
      </c>
      <c r="E136" s="752">
        <f t="shared" ca="1" si="49"/>
        <v>1</v>
      </c>
      <c r="F136" s="209"/>
      <c r="J136" s="65"/>
      <c r="K136" s="146"/>
      <c r="L136" s="567"/>
      <c r="M136" s="567"/>
      <c r="N136" s="737"/>
      <c r="O136" s="638"/>
      <c r="P136" s="147"/>
      <c r="Q136" s="65"/>
    </row>
    <row r="137" spans="1:17" s="148" customFormat="1" ht="14.1" customHeight="1" x14ac:dyDescent="0.2">
      <c r="A137" s="751">
        <f ca="1">IF($H137="UNIDADE CONSTRUTIVA",OFFSET(A137,-1,0)+1,LARGE(A$3:A136,1))</f>
        <v>0</v>
      </c>
      <c r="B137" s="751">
        <f t="shared" ca="1" si="46"/>
        <v>4</v>
      </c>
      <c r="C137" s="751">
        <f t="shared" ca="1" si="47"/>
        <v>1</v>
      </c>
      <c r="D137" s="752">
        <f t="shared" ca="1" si="48"/>
        <v>2</v>
      </c>
      <c r="E137" s="752">
        <f t="shared" ca="1" si="49"/>
        <v>1</v>
      </c>
      <c r="F137" s="209"/>
      <c r="J137" s="65"/>
      <c r="K137" s="146"/>
      <c r="L137" s="567"/>
      <c r="M137" s="567"/>
      <c r="N137" s="737"/>
      <c r="O137" s="638"/>
      <c r="P137" s="147"/>
      <c r="Q137" s="65"/>
    </row>
    <row r="138" spans="1:17" s="148" customFormat="1" ht="14.1" customHeight="1" x14ac:dyDescent="0.2">
      <c r="A138" s="751">
        <f ca="1">IF($H138="UNIDADE CONSTRUTIVA",OFFSET(A138,-1,0)+1,LARGE(A$3:A137,1))</f>
        <v>0</v>
      </c>
      <c r="B138" s="751">
        <f t="shared" ca="1" si="46"/>
        <v>4</v>
      </c>
      <c r="C138" s="751">
        <f t="shared" ca="1" si="47"/>
        <v>1</v>
      </c>
      <c r="D138" s="752">
        <f t="shared" ca="1" si="48"/>
        <v>2</v>
      </c>
      <c r="E138" s="752">
        <f t="shared" ca="1" si="49"/>
        <v>1</v>
      </c>
      <c r="F138" s="209"/>
      <c r="J138" s="65"/>
      <c r="K138" s="146"/>
      <c r="L138" s="567"/>
      <c r="M138" s="567"/>
      <c r="N138" s="737"/>
      <c r="O138" s="638"/>
      <c r="P138" s="147"/>
      <c r="Q138" s="65"/>
    </row>
    <row r="139" spans="1:17" s="148" customFormat="1" ht="14.1" customHeight="1" x14ac:dyDescent="0.2">
      <c r="A139" s="751">
        <f ca="1">IF($H139="UNIDADE CONSTRUTIVA",OFFSET(A139,-1,0)+1,LARGE(A$3:A138,1))</f>
        <v>0</v>
      </c>
      <c r="B139" s="751">
        <f t="shared" ca="1" si="46"/>
        <v>4</v>
      </c>
      <c r="C139" s="751">
        <f t="shared" ca="1" si="47"/>
        <v>1</v>
      </c>
      <c r="D139" s="752">
        <f t="shared" ca="1" si="48"/>
        <v>2</v>
      </c>
      <c r="E139" s="752">
        <f t="shared" ca="1" si="49"/>
        <v>1</v>
      </c>
      <c r="F139" s="209"/>
      <c r="J139" s="65"/>
      <c r="K139" s="146"/>
      <c r="L139" s="567"/>
      <c r="M139" s="567"/>
      <c r="N139" s="737"/>
      <c r="O139" s="638"/>
      <c r="P139" s="147"/>
      <c r="Q139" s="65"/>
    </row>
    <row r="140" spans="1:17" s="148" customFormat="1" ht="14.1" customHeight="1" x14ac:dyDescent="0.2">
      <c r="A140" s="751">
        <f ca="1">IF($H140="UNIDADE CONSTRUTIVA",OFFSET(A140,-1,0)+1,LARGE(A$3:A139,1))</f>
        <v>0</v>
      </c>
      <c r="B140" s="751">
        <f t="shared" ca="1" si="46"/>
        <v>4</v>
      </c>
      <c r="C140" s="751">
        <f t="shared" ca="1" si="47"/>
        <v>1</v>
      </c>
      <c r="D140" s="752">
        <f t="shared" ca="1" si="48"/>
        <v>2</v>
      </c>
      <c r="E140" s="752">
        <f t="shared" ca="1" si="49"/>
        <v>1</v>
      </c>
      <c r="F140" s="209"/>
      <c r="J140" s="65"/>
      <c r="K140" s="146"/>
      <c r="L140" s="567"/>
      <c r="M140" s="567"/>
      <c r="N140" s="737"/>
      <c r="O140" s="638"/>
      <c r="P140" s="147"/>
      <c r="Q140" s="65"/>
    </row>
    <row r="141" spans="1:17" s="148" customFormat="1" ht="14.1" customHeight="1" x14ac:dyDescent="0.2">
      <c r="A141" s="751">
        <f ca="1">IF($H141="UNIDADE CONSTRUTIVA",OFFSET(A141,-1,0)+1,LARGE(A$3:A140,1))</f>
        <v>0</v>
      </c>
      <c r="B141" s="751">
        <f t="shared" ca="1" si="46"/>
        <v>4</v>
      </c>
      <c r="C141" s="751">
        <f t="shared" ca="1" si="47"/>
        <v>1</v>
      </c>
      <c r="D141" s="752">
        <f t="shared" ca="1" si="48"/>
        <v>2</v>
      </c>
      <c r="E141" s="752">
        <f t="shared" ca="1" si="49"/>
        <v>1</v>
      </c>
      <c r="F141" s="209"/>
      <c r="J141" s="65"/>
      <c r="K141" s="146"/>
      <c r="L141" s="567"/>
      <c r="M141" s="567"/>
      <c r="N141" s="737"/>
      <c r="O141" s="638"/>
      <c r="P141" s="147"/>
      <c r="Q141" s="65"/>
    </row>
    <row r="142" spans="1:17" s="148" customFormat="1" ht="14.1" customHeight="1" x14ac:dyDescent="0.2">
      <c r="A142" s="751">
        <f ca="1">IF($H142="UNIDADE CONSTRUTIVA",OFFSET(A142,-1,0)+1,LARGE(A$3:A141,1))</f>
        <v>0</v>
      </c>
      <c r="B142" s="751">
        <f t="shared" ca="1" si="46"/>
        <v>4</v>
      </c>
      <c r="C142" s="751">
        <f t="shared" ca="1" si="47"/>
        <v>1</v>
      </c>
      <c r="D142" s="752">
        <f t="shared" ca="1" si="48"/>
        <v>2</v>
      </c>
      <c r="E142" s="752">
        <f t="shared" ca="1" si="49"/>
        <v>1</v>
      </c>
      <c r="F142" s="209"/>
      <c r="J142" s="65"/>
      <c r="K142" s="146"/>
      <c r="L142" s="567"/>
      <c r="M142" s="567"/>
      <c r="N142" s="737"/>
      <c r="O142" s="638"/>
      <c r="P142" s="147"/>
      <c r="Q142" s="65"/>
    </row>
    <row r="143" spans="1:17" s="148" customFormat="1" ht="14.1" customHeight="1" x14ac:dyDescent="0.2">
      <c r="A143" s="751">
        <f ca="1">IF($H143="UNIDADE CONSTRUTIVA",OFFSET(A143,-1,0)+1,LARGE(A$3:A142,1))</f>
        <v>0</v>
      </c>
      <c r="B143" s="751">
        <f t="shared" ca="1" si="46"/>
        <v>4</v>
      </c>
      <c r="C143" s="751">
        <f t="shared" ca="1" si="47"/>
        <v>1</v>
      </c>
      <c r="D143" s="752">
        <f t="shared" ca="1" si="48"/>
        <v>2</v>
      </c>
      <c r="E143" s="752">
        <f t="shared" ca="1" si="49"/>
        <v>1</v>
      </c>
      <c r="F143" s="209"/>
      <c r="J143" s="65"/>
      <c r="K143" s="146"/>
      <c r="L143" s="567"/>
      <c r="M143" s="567"/>
      <c r="N143" s="737"/>
      <c r="O143" s="638"/>
      <c r="P143" s="147"/>
      <c r="Q143" s="65"/>
    </row>
    <row r="144" spans="1:17" s="148" customFormat="1" ht="14.1" customHeight="1" x14ac:dyDescent="0.2">
      <c r="A144" s="751">
        <f ca="1">IF($H144="UNIDADE CONSTRUTIVA",OFFSET(A144,-1,0)+1,LARGE(A$3:A143,1))</f>
        <v>0</v>
      </c>
      <c r="B144" s="751">
        <f t="shared" ca="1" si="46"/>
        <v>4</v>
      </c>
      <c r="C144" s="751">
        <f t="shared" ca="1" si="47"/>
        <v>1</v>
      </c>
      <c r="D144" s="752">
        <f t="shared" ca="1" si="48"/>
        <v>2</v>
      </c>
      <c r="E144" s="752">
        <f t="shared" ca="1" si="49"/>
        <v>1</v>
      </c>
      <c r="F144" s="209"/>
      <c r="J144" s="65"/>
      <c r="K144" s="146"/>
      <c r="L144" s="567"/>
      <c r="M144" s="567"/>
      <c r="N144" s="737"/>
      <c r="O144" s="638"/>
      <c r="P144" s="147"/>
      <c r="Q144" s="65"/>
    </row>
    <row r="145" spans="1:17" s="148" customFormat="1" ht="14.1" customHeight="1" x14ac:dyDescent="0.2">
      <c r="A145" s="751">
        <f ca="1">IF($H145="UNIDADE CONSTRUTIVA",OFFSET(A145,-1,0)+1,LARGE(A$3:A144,1))</f>
        <v>0</v>
      </c>
      <c r="B145" s="751">
        <f t="shared" ca="1" si="46"/>
        <v>4</v>
      </c>
      <c r="C145" s="751">
        <f t="shared" ca="1" si="47"/>
        <v>1</v>
      </c>
      <c r="D145" s="752">
        <f t="shared" ca="1" si="48"/>
        <v>2</v>
      </c>
      <c r="E145" s="752">
        <f t="shared" ca="1" si="49"/>
        <v>1</v>
      </c>
      <c r="F145" s="209"/>
      <c r="J145" s="65"/>
      <c r="K145" s="146"/>
      <c r="L145" s="567"/>
      <c r="M145" s="567"/>
      <c r="N145" s="737"/>
      <c r="O145" s="638"/>
      <c r="P145" s="147"/>
      <c r="Q145" s="65"/>
    </row>
    <row r="146" spans="1:17" s="148" customFormat="1" ht="14.1" customHeight="1" x14ac:dyDescent="0.2">
      <c r="A146" s="751">
        <f ca="1">IF($H146="UNIDADE CONSTRUTIVA",OFFSET(A146,-1,0)+1,LARGE(A$3:A145,1))</f>
        <v>0</v>
      </c>
      <c r="B146" s="751">
        <f t="shared" ca="1" si="46"/>
        <v>4</v>
      </c>
      <c r="C146" s="751">
        <f t="shared" ca="1" si="47"/>
        <v>1</v>
      </c>
      <c r="D146" s="752">
        <f t="shared" ca="1" si="48"/>
        <v>2</v>
      </c>
      <c r="E146" s="752">
        <f t="shared" ca="1" si="49"/>
        <v>1</v>
      </c>
      <c r="F146" s="209"/>
      <c r="J146" s="65"/>
      <c r="K146" s="146"/>
      <c r="L146" s="567"/>
      <c r="M146" s="567"/>
      <c r="N146" s="737"/>
      <c r="O146" s="638"/>
      <c r="P146" s="147"/>
      <c r="Q146" s="65"/>
    </row>
    <row r="147" spans="1:17" s="148" customFormat="1" ht="14.1" customHeight="1" x14ac:dyDescent="0.2">
      <c r="A147" s="751">
        <f ca="1">IF($H147="UNIDADE CONSTRUTIVA",OFFSET(A147,-1,0)+1,LARGE(A$3:A146,1))</f>
        <v>0</v>
      </c>
      <c r="B147" s="751">
        <f t="shared" ca="1" si="46"/>
        <v>4</v>
      </c>
      <c r="C147" s="751">
        <f t="shared" ca="1" si="47"/>
        <v>1</v>
      </c>
      <c r="D147" s="752">
        <f t="shared" ca="1" si="48"/>
        <v>2</v>
      </c>
      <c r="E147" s="752">
        <f t="shared" ca="1" si="49"/>
        <v>1</v>
      </c>
      <c r="F147" s="209"/>
      <c r="J147" s="65"/>
      <c r="K147" s="146"/>
      <c r="L147" s="567"/>
      <c r="M147" s="567"/>
      <c r="N147" s="737"/>
      <c r="O147" s="638"/>
      <c r="P147" s="147"/>
      <c r="Q147" s="65"/>
    </row>
    <row r="148" spans="1:17" s="148" customFormat="1" ht="14.1" customHeight="1" x14ac:dyDescent="0.2">
      <c r="A148" s="751">
        <f ca="1">IF($H148="UNIDADE CONSTRUTIVA",OFFSET(A148,-1,0)+1,LARGE(A$3:A147,1))</f>
        <v>0</v>
      </c>
      <c r="B148" s="751">
        <f t="shared" ca="1" si="46"/>
        <v>4</v>
      </c>
      <c r="C148" s="751">
        <f t="shared" ca="1" si="47"/>
        <v>1</v>
      </c>
      <c r="D148" s="752">
        <f t="shared" ca="1" si="48"/>
        <v>2</v>
      </c>
      <c r="E148" s="752">
        <f t="shared" ca="1" si="49"/>
        <v>1</v>
      </c>
      <c r="F148" s="209"/>
      <c r="J148" s="65"/>
      <c r="K148" s="146"/>
      <c r="L148" s="567"/>
      <c r="M148" s="567"/>
      <c r="N148" s="737"/>
      <c r="O148" s="638"/>
      <c r="P148" s="147"/>
      <c r="Q148" s="65"/>
    </row>
    <row r="149" spans="1:17" s="148" customFormat="1" ht="14.1" customHeight="1" x14ac:dyDescent="0.2">
      <c r="A149" s="751">
        <f ca="1">IF($H149="UNIDADE CONSTRUTIVA",OFFSET(A149,-1,0)+1,LARGE(A$3:A148,1))</f>
        <v>0</v>
      </c>
      <c r="B149" s="751">
        <f t="shared" ca="1" si="46"/>
        <v>4</v>
      </c>
      <c r="C149" s="751">
        <f t="shared" ca="1" si="47"/>
        <v>1</v>
      </c>
      <c r="D149" s="752">
        <f t="shared" ca="1" si="48"/>
        <v>2</v>
      </c>
      <c r="E149" s="752">
        <f t="shared" ca="1" si="49"/>
        <v>1</v>
      </c>
      <c r="F149" s="209"/>
      <c r="J149" s="65"/>
      <c r="K149" s="146"/>
      <c r="L149" s="567"/>
      <c r="M149" s="567"/>
      <c r="N149" s="737"/>
      <c r="O149" s="638"/>
      <c r="P149" s="147"/>
      <c r="Q149" s="65"/>
    </row>
    <row r="150" spans="1:17" s="148" customFormat="1" ht="14.1" customHeight="1" x14ac:dyDescent="0.2">
      <c r="A150" s="751">
        <f ca="1">IF($H150="UNIDADE CONSTRUTIVA",OFFSET(A150,-1,0)+1,LARGE(A$3:A149,1))</f>
        <v>0</v>
      </c>
      <c r="B150" s="751">
        <f t="shared" ca="1" si="46"/>
        <v>4</v>
      </c>
      <c r="C150" s="751">
        <f t="shared" ca="1" si="47"/>
        <v>1</v>
      </c>
      <c r="D150" s="752">
        <f t="shared" ca="1" si="48"/>
        <v>2</v>
      </c>
      <c r="E150" s="752">
        <f t="shared" ca="1" si="49"/>
        <v>1</v>
      </c>
      <c r="F150" s="209"/>
      <c r="J150" s="65"/>
      <c r="K150" s="146"/>
      <c r="L150" s="567"/>
      <c r="M150" s="567"/>
      <c r="N150" s="737"/>
      <c r="O150" s="638"/>
      <c r="P150" s="147"/>
      <c r="Q150" s="65"/>
    </row>
    <row r="151" spans="1:17" s="148" customFormat="1" ht="14.1" customHeight="1" x14ac:dyDescent="0.2">
      <c r="A151" s="751">
        <f ca="1">IF($H151="UNIDADE CONSTRUTIVA",OFFSET(A151,-1,0)+1,LARGE(A$3:A150,1))</f>
        <v>0</v>
      </c>
      <c r="B151" s="751">
        <f t="shared" ca="1" si="46"/>
        <v>4</v>
      </c>
      <c r="C151" s="751">
        <f t="shared" ca="1" si="47"/>
        <v>1</v>
      </c>
      <c r="D151" s="752">
        <f t="shared" ca="1" si="48"/>
        <v>2</v>
      </c>
      <c r="E151" s="752">
        <f t="shared" ca="1" si="49"/>
        <v>1</v>
      </c>
      <c r="F151" s="209"/>
      <c r="J151" s="65"/>
      <c r="K151" s="146"/>
      <c r="L151" s="567"/>
      <c r="M151" s="567"/>
      <c r="N151" s="737"/>
      <c r="O151" s="638"/>
      <c r="P151" s="147"/>
      <c r="Q151" s="65"/>
    </row>
    <row r="152" spans="1:17" s="148" customFormat="1" ht="14.1" customHeight="1" x14ac:dyDescent="0.2">
      <c r="A152" s="751">
        <f ca="1">IF($H152="UNIDADE CONSTRUTIVA",OFFSET(A152,-1,0)+1,LARGE(A$3:A151,1))</f>
        <v>0</v>
      </c>
      <c r="B152" s="751">
        <f t="shared" ref="B152:B215" ca="1" si="50">IF(H152="UNIDADE CONSTRUTIVA",0,IF(H152="CÉLULA CONSTRUTIVA",OFFSET(B152,-1,0)+1,OFFSET(B152,-1,0)))</f>
        <v>4</v>
      </c>
      <c r="C152" s="751">
        <f t="shared" ref="C152:C215" ca="1" si="51">IF(H152="CÉLULA CONSTRUTIVA",0,IF(H152="ETAPA",OFFSET(C152,-1,0)+1,OFFSET(C152,-1,0)))</f>
        <v>1</v>
      </c>
      <c r="D152" s="752">
        <f t="shared" ref="D152:D215" ca="1" si="52">IF(H152="ETAPA",0,IF(H152="SUBETAPA",OFFSET(D152,-1,0)+1,OFFSET(D152,-1,0)))</f>
        <v>2</v>
      </c>
      <c r="E152" s="752">
        <f t="shared" ref="E152:E215" ca="1" si="53">IF(H152="Subetapa",0,IF(H152="serviço",OFFSET(E152,-1,0)+1,OFFSET(E152,-1,0)))</f>
        <v>1</v>
      </c>
      <c r="F152" s="209"/>
      <c r="J152" s="65"/>
      <c r="K152" s="146"/>
      <c r="L152" s="567"/>
      <c r="M152" s="567"/>
      <c r="N152" s="737"/>
      <c r="O152" s="638"/>
      <c r="P152" s="147"/>
      <c r="Q152" s="65"/>
    </row>
    <row r="153" spans="1:17" s="148" customFormat="1" ht="14.1" customHeight="1" x14ac:dyDescent="0.2">
      <c r="A153" s="751">
        <f ca="1">IF($H153="UNIDADE CONSTRUTIVA",OFFSET(A153,-1,0)+1,LARGE(A$3:A152,1))</f>
        <v>0</v>
      </c>
      <c r="B153" s="751">
        <f t="shared" ca="1" si="50"/>
        <v>4</v>
      </c>
      <c r="C153" s="751">
        <f t="shared" ca="1" si="51"/>
        <v>1</v>
      </c>
      <c r="D153" s="752">
        <f t="shared" ca="1" si="52"/>
        <v>2</v>
      </c>
      <c r="E153" s="752">
        <f t="shared" ca="1" si="53"/>
        <v>1</v>
      </c>
      <c r="F153" s="209"/>
      <c r="J153" s="65"/>
      <c r="K153" s="146"/>
      <c r="L153" s="567"/>
      <c r="M153" s="567"/>
      <c r="N153" s="737"/>
      <c r="O153" s="638"/>
      <c r="P153" s="147"/>
      <c r="Q153" s="65"/>
    </row>
    <row r="154" spans="1:17" s="148" customFormat="1" ht="14.1" customHeight="1" x14ac:dyDescent="0.2">
      <c r="A154" s="751">
        <f ca="1">IF($H154="UNIDADE CONSTRUTIVA",OFFSET(A154,-1,0)+1,LARGE(A$3:A153,1))</f>
        <v>0</v>
      </c>
      <c r="B154" s="751">
        <f t="shared" ca="1" si="50"/>
        <v>4</v>
      </c>
      <c r="C154" s="751">
        <f t="shared" ca="1" si="51"/>
        <v>1</v>
      </c>
      <c r="D154" s="752">
        <f t="shared" ca="1" si="52"/>
        <v>2</v>
      </c>
      <c r="E154" s="752">
        <f t="shared" ca="1" si="53"/>
        <v>1</v>
      </c>
      <c r="F154" s="209"/>
      <c r="J154" s="65"/>
      <c r="K154" s="146"/>
      <c r="L154" s="567"/>
      <c r="M154" s="567"/>
      <c r="N154" s="737"/>
      <c r="O154" s="638"/>
      <c r="P154" s="147"/>
      <c r="Q154" s="65"/>
    </row>
    <row r="155" spans="1:17" s="148" customFormat="1" ht="14.1" customHeight="1" x14ac:dyDescent="0.2">
      <c r="A155" s="751">
        <f ca="1">IF($H155="UNIDADE CONSTRUTIVA",OFFSET(A155,-1,0)+1,LARGE(A$3:A154,1))</f>
        <v>0</v>
      </c>
      <c r="B155" s="751">
        <f t="shared" ca="1" si="50"/>
        <v>4</v>
      </c>
      <c r="C155" s="751">
        <f t="shared" ca="1" si="51"/>
        <v>1</v>
      </c>
      <c r="D155" s="752">
        <f t="shared" ca="1" si="52"/>
        <v>2</v>
      </c>
      <c r="E155" s="752">
        <f t="shared" ca="1" si="53"/>
        <v>1</v>
      </c>
      <c r="F155" s="209"/>
      <c r="J155" s="65"/>
      <c r="K155" s="146"/>
      <c r="L155" s="567"/>
      <c r="M155" s="567"/>
      <c r="N155" s="737"/>
      <c r="O155" s="638"/>
      <c r="P155" s="147"/>
      <c r="Q155" s="65"/>
    </row>
    <row r="156" spans="1:17" s="148" customFormat="1" ht="14.1" customHeight="1" x14ac:dyDescent="0.2">
      <c r="A156" s="751">
        <f ca="1">IF($H156="UNIDADE CONSTRUTIVA",OFFSET(A156,-1,0)+1,LARGE(A$3:A155,1))</f>
        <v>0</v>
      </c>
      <c r="B156" s="751">
        <f t="shared" ca="1" si="50"/>
        <v>4</v>
      </c>
      <c r="C156" s="751">
        <f t="shared" ca="1" si="51"/>
        <v>1</v>
      </c>
      <c r="D156" s="752">
        <f t="shared" ca="1" si="52"/>
        <v>2</v>
      </c>
      <c r="E156" s="752">
        <f t="shared" ca="1" si="53"/>
        <v>1</v>
      </c>
      <c r="F156" s="209"/>
      <c r="J156" s="65"/>
      <c r="K156" s="146"/>
      <c r="L156" s="567"/>
      <c r="M156" s="567"/>
      <c r="N156" s="737"/>
      <c r="O156" s="638"/>
      <c r="P156" s="147"/>
      <c r="Q156" s="65"/>
    </row>
    <row r="157" spans="1:17" s="148" customFormat="1" ht="14.1" customHeight="1" x14ac:dyDescent="0.2">
      <c r="A157" s="751">
        <f ca="1">IF($H157="UNIDADE CONSTRUTIVA",OFFSET(A157,-1,0)+1,LARGE(A$3:A156,1))</f>
        <v>0</v>
      </c>
      <c r="B157" s="751">
        <f t="shared" ca="1" si="50"/>
        <v>4</v>
      </c>
      <c r="C157" s="751">
        <f t="shared" ca="1" si="51"/>
        <v>1</v>
      </c>
      <c r="D157" s="752">
        <f t="shared" ca="1" si="52"/>
        <v>2</v>
      </c>
      <c r="E157" s="752">
        <f t="shared" ca="1" si="53"/>
        <v>1</v>
      </c>
      <c r="F157" s="209"/>
      <c r="J157" s="65"/>
      <c r="K157" s="146"/>
      <c r="L157" s="567"/>
      <c r="M157" s="567"/>
      <c r="N157" s="737"/>
      <c r="O157" s="638"/>
      <c r="P157" s="147"/>
      <c r="Q157" s="65"/>
    </row>
    <row r="158" spans="1:17" s="148" customFormat="1" ht="14.1" customHeight="1" x14ac:dyDescent="0.2">
      <c r="A158" s="751">
        <f ca="1">IF($H158="UNIDADE CONSTRUTIVA",OFFSET(A158,-1,0)+1,LARGE(A$3:A157,1))</f>
        <v>0</v>
      </c>
      <c r="B158" s="751">
        <f t="shared" ca="1" si="50"/>
        <v>4</v>
      </c>
      <c r="C158" s="751">
        <f t="shared" ca="1" si="51"/>
        <v>1</v>
      </c>
      <c r="D158" s="752">
        <f t="shared" ca="1" si="52"/>
        <v>2</v>
      </c>
      <c r="E158" s="752">
        <f t="shared" ca="1" si="53"/>
        <v>1</v>
      </c>
      <c r="F158" s="209"/>
      <c r="J158" s="65"/>
      <c r="K158" s="146"/>
      <c r="L158" s="567"/>
      <c r="M158" s="567"/>
      <c r="N158" s="737"/>
      <c r="O158" s="638"/>
      <c r="P158" s="147"/>
      <c r="Q158" s="65"/>
    </row>
    <row r="159" spans="1:17" s="148" customFormat="1" ht="14.1" customHeight="1" x14ac:dyDescent="0.2">
      <c r="A159" s="751">
        <f ca="1">IF($H159="UNIDADE CONSTRUTIVA",OFFSET(A159,-1,0)+1,LARGE(A$3:A158,1))</f>
        <v>0</v>
      </c>
      <c r="B159" s="751">
        <f t="shared" ca="1" si="50"/>
        <v>4</v>
      </c>
      <c r="C159" s="751">
        <f t="shared" ca="1" si="51"/>
        <v>1</v>
      </c>
      <c r="D159" s="752">
        <f t="shared" ca="1" si="52"/>
        <v>2</v>
      </c>
      <c r="E159" s="752">
        <f t="shared" ca="1" si="53"/>
        <v>1</v>
      </c>
      <c r="F159" s="209"/>
      <c r="J159" s="65"/>
      <c r="K159" s="146"/>
      <c r="L159" s="567"/>
      <c r="M159" s="567"/>
      <c r="N159" s="737"/>
      <c r="O159" s="638"/>
      <c r="P159" s="147"/>
      <c r="Q159" s="65"/>
    </row>
    <row r="160" spans="1:17" s="148" customFormat="1" ht="14.1" customHeight="1" x14ac:dyDescent="0.2">
      <c r="A160" s="751">
        <f ca="1">IF($H160="UNIDADE CONSTRUTIVA",OFFSET(A160,-1,0)+1,LARGE(A$3:A159,1))</f>
        <v>0</v>
      </c>
      <c r="B160" s="751">
        <f t="shared" ca="1" si="50"/>
        <v>4</v>
      </c>
      <c r="C160" s="751">
        <f t="shared" ca="1" si="51"/>
        <v>1</v>
      </c>
      <c r="D160" s="752">
        <f t="shared" ca="1" si="52"/>
        <v>2</v>
      </c>
      <c r="E160" s="752">
        <f t="shared" ca="1" si="53"/>
        <v>1</v>
      </c>
      <c r="F160" s="209"/>
      <c r="J160" s="65"/>
      <c r="K160" s="146"/>
      <c r="L160" s="567"/>
      <c r="M160" s="567"/>
      <c r="N160" s="737"/>
      <c r="O160" s="638"/>
      <c r="P160" s="147"/>
      <c r="Q160" s="65"/>
    </row>
    <row r="161" spans="1:17" s="148" customFormat="1" ht="14.1" customHeight="1" x14ac:dyDescent="0.2">
      <c r="A161" s="751">
        <f ca="1">IF($H161="UNIDADE CONSTRUTIVA",OFFSET(A161,-1,0)+1,LARGE(A$3:A160,1))</f>
        <v>0</v>
      </c>
      <c r="B161" s="751">
        <f t="shared" ca="1" si="50"/>
        <v>4</v>
      </c>
      <c r="C161" s="751">
        <f t="shared" ca="1" si="51"/>
        <v>1</v>
      </c>
      <c r="D161" s="752">
        <f t="shared" ca="1" si="52"/>
        <v>2</v>
      </c>
      <c r="E161" s="752">
        <f t="shared" ca="1" si="53"/>
        <v>1</v>
      </c>
      <c r="F161" s="209"/>
      <c r="J161" s="65"/>
      <c r="K161" s="146"/>
      <c r="L161" s="567"/>
      <c r="M161" s="567"/>
      <c r="N161" s="737"/>
      <c r="O161" s="638"/>
      <c r="P161" s="147"/>
      <c r="Q161" s="65"/>
    </row>
    <row r="162" spans="1:17" s="148" customFormat="1" ht="14.1" customHeight="1" x14ac:dyDescent="0.2">
      <c r="A162" s="751">
        <f ca="1">IF($H162="UNIDADE CONSTRUTIVA",OFFSET(A162,-1,0)+1,LARGE(A$3:A161,1))</f>
        <v>0</v>
      </c>
      <c r="B162" s="751">
        <f t="shared" ca="1" si="50"/>
        <v>4</v>
      </c>
      <c r="C162" s="751">
        <f t="shared" ca="1" si="51"/>
        <v>1</v>
      </c>
      <c r="D162" s="752">
        <f t="shared" ca="1" si="52"/>
        <v>2</v>
      </c>
      <c r="E162" s="752">
        <f t="shared" ca="1" si="53"/>
        <v>1</v>
      </c>
      <c r="F162" s="209"/>
      <c r="J162" s="65"/>
      <c r="K162" s="146"/>
      <c r="L162" s="567"/>
      <c r="M162" s="567"/>
      <c r="N162" s="737"/>
      <c r="O162" s="638"/>
      <c r="P162" s="147"/>
      <c r="Q162" s="65"/>
    </row>
    <row r="163" spans="1:17" s="148" customFormat="1" ht="14.1" customHeight="1" x14ac:dyDescent="0.2">
      <c r="A163" s="751">
        <f ca="1">IF($H163="UNIDADE CONSTRUTIVA",OFFSET(A163,-1,0)+1,LARGE(A$3:A162,1))</f>
        <v>0</v>
      </c>
      <c r="B163" s="751">
        <f t="shared" ca="1" si="50"/>
        <v>4</v>
      </c>
      <c r="C163" s="751">
        <f t="shared" ca="1" si="51"/>
        <v>1</v>
      </c>
      <c r="D163" s="752">
        <f t="shared" ca="1" si="52"/>
        <v>2</v>
      </c>
      <c r="E163" s="752">
        <f t="shared" ca="1" si="53"/>
        <v>1</v>
      </c>
      <c r="F163" s="209"/>
      <c r="J163" s="65"/>
      <c r="K163" s="146"/>
      <c r="L163" s="567"/>
      <c r="M163" s="567"/>
      <c r="N163" s="737"/>
      <c r="O163" s="638"/>
      <c r="P163" s="147"/>
      <c r="Q163" s="65"/>
    </row>
    <row r="164" spans="1:17" s="148" customFormat="1" ht="14.1" customHeight="1" x14ac:dyDescent="0.2">
      <c r="A164" s="751">
        <f ca="1">IF($H164="UNIDADE CONSTRUTIVA",OFFSET(A164,-1,0)+1,LARGE(A$3:A163,1))</f>
        <v>0</v>
      </c>
      <c r="B164" s="751">
        <f t="shared" ca="1" si="50"/>
        <v>4</v>
      </c>
      <c r="C164" s="751">
        <f t="shared" ca="1" si="51"/>
        <v>1</v>
      </c>
      <c r="D164" s="752">
        <f t="shared" ca="1" si="52"/>
        <v>2</v>
      </c>
      <c r="E164" s="752">
        <f t="shared" ca="1" si="53"/>
        <v>1</v>
      </c>
      <c r="F164" s="209"/>
      <c r="J164" s="65"/>
      <c r="K164" s="146"/>
      <c r="L164" s="567"/>
      <c r="M164" s="567"/>
      <c r="N164" s="737"/>
      <c r="O164" s="638"/>
      <c r="P164" s="147"/>
      <c r="Q164" s="65"/>
    </row>
    <row r="165" spans="1:17" s="148" customFormat="1" ht="14.1" customHeight="1" x14ac:dyDescent="0.2">
      <c r="A165" s="751">
        <f ca="1">IF($H165="UNIDADE CONSTRUTIVA",OFFSET(A165,-1,0)+1,LARGE(A$3:A164,1))</f>
        <v>0</v>
      </c>
      <c r="B165" s="751">
        <f t="shared" ca="1" si="50"/>
        <v>4</v>
      </c>
      <c r="C165" s="751">
        <f t="shared" ca="1" si="51"/>
        <v>1</v>
      </c>
      <c r="D165" s="752">
        <f t="shared" ca="1" si="52"/>
        <v>2</v>
      </c>
      <c r="E165" s="752">
        <f t="shared" ca="1" si="53"/>
        <v>1</v>
      </c>
      <c r="F165" s="209"/>
      <c r="J165" s="65"/>
      <c r="K165" s="146"/>
      <c r="L165" s="567"/>
      <c r="M165" s="567"/>
      <c r="N165" s="737"/>
      <c r="O165" s="638"/>
      <c r="P165" s="147"/>
      <c r="Q165" s="65"/>
    </row>
    <row r="166" spans="1:17" s="148" customFormat="1" ht="14.1" customHeight="1" x14ac:dyDescent="0.2">
      <c r="A166" s="751">
        <f ca="1">IF($H166="UNIDADE CONSTRUTIVA",OFFSET(A166,-1,0)+1,LARGE(A$3:A165,1))</f>
        <v>0</v>
      </c>
      <c r="B166" s="751">
        <f t="shared" ca="1" si="50"/>
        <v>4</v>
      </c>
      <c r="C166" s="751">
        <f t="shared" ca="1" si="51"/>
        <v>1</v>
      </c>
      <c r="D166" s="752">
        <f t="shared" ca="1" si="52"/>
        <v>2</v>
      </c>
      <c r="E166" s="752">
        <f t="shared" ca="1" si="53"/>
        <v>1</v>
      </c>
      <c r="F166" s="209"/>
      <c r="J166" s="65"/>
      <c r="K166" s="146"/>
      <c r="L166" s="567"/>
      <c r="M166" s="567"/>
      <c r="N166" s="737"/>
      <c r="O166" s="638"/>
      <c r="P166" s="147"/>
      <c r="Q166" s="65"/>
    </row>
    <row r="167" spans="1:17" s="148" customFormat="1" ht="14.1" customHeight="1" x14ac:dyDescent="0.2">
      <c r="A167" s="751">
        <f ca="1">IF($H167="UNIDADE CONSTRUTIVA",OFFSET(A167,-1,0)+1,LARGE(A$3:A166,1))</f>
        <v>0</v>
      </c>
      <c r="B167" s="751">
        <f t="shared" ca="1" si="50"/>
        <v>4</v>
      </c>
      <c r="C167" s="751">
        <f t="shared" ca="1" si="51"/>
        <v>1</v>
      </c>
      <c r="D167" s="752">
        <f t="shared" ca="1" si="52"/>
        <v>2</v>
      </c>
      <c r="E167" s="752">
        <f t="shared" ca="1" si="53"/>
        <v>1</v>
      </c>
      <c r="F167" s="209"/>
      <c r="J167" s="65"/>
      <c r="K167" s="146"/>
      <c r="L167" s="567"/>
      <c r="M167" s="567"/>
      <c r="N167" s="737"/>
      <c r="O167" s="638"/>
      <c r="P167" s="147"/>
      <c r="Q167" s="65"/>
    </row>
    <row r="168" spans="1:17" s="148" customFormat="1" ht="14.1" customHeight="1" x14ac:dyDescent="0.2">
      <c r="A168" s="751">
        <f ca="1">IF($H168="UNIDADE CONSTRUTIVA",OFFSET(A168,-1,0)+1,LARGE(A$3:A167,1))</f>
        <v>0</v>
      </c>
      <c r="B168" s="751">
        <f t="shared" ca="1" si="50"/>
        <v>4</v>
      </c>
      <c r="C168" s="751">
        <f t="shared" ca="1" si="51"/>
        <v>1</v>
      </c>
      <c r="D168" s="752">
        <f t="shared" ca="1" si="52"/>
        <v>2</v>
      </c>
      <c r="E168" s="752">
        <f t="shared" ca="1" si="53"/>
        <v>1</v>
      </c>
      <c r="F168" s="209"/>
      <c r="J168" s="65"/>
      <c r="K168" s="146"/>
      <c r="L168" s="567"/>
      <c r="M168" s="567"/>
      <c r="N168" s="737"/>
      <c r="O168" s="638"/>
      <c r="P168" s="147"/>
      <c r="Q168" s="65"/>
    </row>
    <row r="169" spans="1:17" s="148" customFormat="1" ht="14.1" customHeight="1" x14ac:dyDescent="0.2">
      <c r="A169" s="751">
        <f ca="1">IF($H169="UNIDADE CONSTRUTIVA",OFFSET(A169,-1,0)+1,LARGE(A$3:A168,1))</f>
        <v>0</v>
      </c>
      <c r="B169" s="751">
        <f t="shared" ca="1" si="50"/>
        <v>4</v>
      </c>
      <c r="C169" s="751">
        <f t="shared" ca="1" si="51"/>
        <v>1</v>
      </c>
      <c r="D169" s="752">
        <f t="shared" ca="1" si="52"/>
        <v>2</v>
      </c>
      <c r="E169" s="752">
        <f t="shared" ca="1" si="53"/>
        <v>1</v>
      </c>
      <c r="F169" s="209"/>
      <c r="J169" s="65"/>
      <c r="K169" s="146"/>
      <c r="L169" s="567"/>
      <c r="M169" s="567"/>
      <c r="N169" s="737"/>
      <c r="O169" s="638"/>
      <c r="P169" s="147"/>
      <c r="Q169" s="65"/>
    </row>
    <row r="170" spans="1:17" s="148" customFormat="1" ht="14.1" customHeight="1" x14ac:dyDescent="0.2">
      <c r="A170" s="751">
        <f ca="1">IF($H170="UNIDADE CONSTRUTIVA",OFFSET(A170,-1,0)+1,LARGE(A$3:A169,1))</f>
        <v>0</v>
      </c>
      <c r="B170" s="751">
        <f t="shared" ca="1" si="50"/>
        <v>4</v>
      </c>
      <c r="C170" s="751">
        <f t="shared" ca="1" si="51"/>
        <v>1</v>
      </c>
      <c r="D170" s="752">
        <f t="shared" ca="1" si="52"/>
        <v>2</v>
      </c>
      <c r="E170" s="752">
        <f t="shared" ca="1" si="53"/>
        <v>1</v>
      </c>
      <c r="F170" s="209"/>
      <c r="J170" s="65"/>
      <c r="K170" s="146"/>
      <c r="L170" s="567"/>
      <c r="M170" s="567"/>
      <c r="N170" s="737"/>
      <c r="O170" s="638"/>
      <c r="P170" s="147"/>
      <c r="Q170" s="65"/>
    </row>
    <row r="171" spans="1:17" s="148" customFormat="1" ht="14.1" customHeight="1" x14ac:dyDescent="0.2">
      <c r="A171" s="751">
        <f ca="1">IF($H171="UNIDADE CONSTRUTIVA",OFFSET(A171,-1,0)+1,LARGE(A$3:A170,1))</f>
        <v>0</v>
      </c>
      <c r="B171" s="751">
        <f t="shared" ca="1" si="50"/>
        <v>4</v>
      </c>
      <c r="C171" s="751">
        <f t="shared" ca="1" si="51"/>
        <v>1</v>
      </c>
      <c r="D171" s="752">
        <f t="shared" ca="1" si="52"/>
        <v>2</v>
      </c>
      <c r="E171" s="752">
        <f t="shared" ca="1" si="53"/>
        <v>1</v>
      </c>
      <c r="F171" s="209"/>
      <c r="J171" s="65"/>
      <c r="K171" s="146"/>
      <c r="L171" s="567"/>
      <c r="M171" s="567"/>
      <c r="N171" s="737"/>
      <c r="O171" s="638"/>
      <c r="P171" s="147"/>
      <c r="Q171" s="65"/>
    </row>
    <row r="172" spans="1:17" s="148" customFormat="1" ht="14.1" customHeight="1" x14ac:dyDescent="0.2">
      <c r="A172" s="751">
        <f ca="1">IF($H172="UNIDADE CONSTRUTIVA",OFFSET(A172,-1,0)+1,LARGE(A$3:A171,1))</f>
        <v>0</v>
      </c>
      <c r="B172" s="751">
        <f t="shared" ca="1" si="50"/>
        <v>4</v>
      </c>
      <c r="C172" s="751">
        <f t="shared" ca="1" si="51"/>
        <v>1</v>
      </c>
      <c r="D172" s="752">
        <f t="shared" ca="1" si="52"/>
        <v>2</v>
      </c>
      <c r="E172" s="752">
        <f t="shared" ca="1" si="53"/>
        <v>1</v>
      </c>
      <c r="F172" s="209"/>
      <c r="J172" s="65"/>
      <c r="K172" s="146"/>
      <c r="L172" s="567"/>
      <c r="M172" s="567"/>
      <c r="N172" s="737"/>
      <c r="O172" s="638"/>
      <c r="P172" s="147"/>
      <c r="Q172" s="65"/>
    </row>
    <row r="173" spans="1:17" s="148" customFormat="1" ht="14.1" customHeight="1" x14ac:dyDescent="0.2">
      <c r="A173" s="751">
        <f ca="1">IF($H173="UNIDADE CONSTRUTIVA",OFFSET(A173,-1,0)+1,LARGE(A$3:A172,1))</f>
        <v>0</v>
      </c>
      <c r="B173" s="751">
        <f t="shared" ca="1" si="50"/>
        <v>4</v>
      </c>
      <c r="C173" s="751">
        <f t="shared" ca="1" si="51"/>
        <v>1</v>
      </c>
      <c r="D173" s="752">
        <f t="shared" ca="1" si="52"/>
        <v>2</v>
      </c>
      <c r="E173" s="752">
        <f t="shared" ca="1" si="53"/>
        <v>1</v>
      </c>
      <c r="F173" s="209"/>
      <c r="J173" s="65"/>
      <c r="K173" s="146"/>
      <c r="L173" s="567"/>
      <c r="M173" s="567"/>
      <c r="N173" s="737"/>
      <c r="O173" s="638"/>
      <c r="P173" s="147"/>
      <c r="Q173" s="65"/>
    </row>
    <row r="174" spans="1:17" s="148" customFormat="1" ht="14.1" customHeight="1" x14ac:dyDescent="0.2">
      <c r="A174" s="751">
        <f ca="1">IF($H174="UNIDADE CONSTRUTIVA",OFFSET(A174,-1,0)+1,LARGE(A$3:A173,1))</f>
        <v>0</v>
      </c>
      <c r="B174" s="751">
        <f t="shared" ca="1" si="50"/>
        <v>4</v>
      </c>
      <c r="C174" s="751">
        <f t="shared" ca="1" si="51"/>
        <v>1</v>
      </c>
      <c r="D174" s="752">
        <f t="shared" ca="1" si="52"/>
        <v>2</v>
      </c>
      <c r="E174" s="752">
        <f t="shared" ca="1" si="53"/>
        <v>1</v>
      </c>
      <c r="F174" s="209"/>
      <c r="J174" s="65"/>
      <c r="K174" s="146"/>
      <c r="L174" s="567"/>
      <c r="M174" s="567"/>
      <c r="N174" s="737"/>
      <c r="O174" s="638"/>
      <c r="P174" s="147"/>
      <c r="Q174" s="65"/>
    </row>
    <row r="175" spans="1:17" s="148" customFormat="1" ht="14.1" customHeight="1" x14ac:dyDescent="0.2">
      <c r="A175" s="751">
        <f ca="1">IF($H175="UNIDADE CONSTRUTIVA",OFFSET(A175,-1,0)+1,LARGE(A$3:A174,1))</f>
        <v>0</v>
      </c>
      <c r="B175" s="751">
        <f t="shared" ca="1" si="50"/>
        <v>4</v>
      </c>
      <c r="C175" s="751">
        <f t="shared" ca="1" si="51"/>
        <v>1</v>
      </c>
      <c r="D175" s="752">
        <f t="shared" ca="1" si="52"/>
        <v>2</v>
      </c>
      <c r="E175" s="752">
        <f t="shared" ca="1" si="53"/>
        <v>1</v>
      </c>
      <c r="F175" s="209"/>
      <c r="J175" s="65"/>
      <c r="K175" s="146"/>
      <c r="L175" s="567"/>
      <c r="M175" s="567"/>
      <c r="N175" s="737"/>
      <c r="O175" s="638"/>
      <c r="P175" s="147"/>
      <c r="Q175" s="65"/>
    </row>
    <row r="176" spans="1:17" s="148" customFormat="1" ht="14.1" customHeight="1" x14ac:dyDescent="0.2">
      <c r="A176" s="751">
        <f ca="1">IF($H176="UNIDADE CONSTRUTIVA",OFFSET(A176,-1,0)+1,LARGE(A$3:A175,1))</f>
        <v>0</v>
      </c>
      <c r="B176" s="751">
        <f t="shared" ca="1" si="50"/>
        <v>4</v>
      </c>
      <c r="C176" s="751">
        <f t="shared" ca="1" si="51"/>
        <v>1</v>
      </c>
      <c r="D176" s="752">
        <f t="shared" ca="1" si="52"/>
        <v>2</v>
      </c>
      <c r="E176" s="752">
        <f t="shared" ca="1" si="53"/>
        <v>1</v>
      </c>
      <c r="F176" s="209"/>
      <c r="J176" s="65"/>
      <c r="K176" s="146"/>
      <c r="L176" s="567"/>
      <c r="M176" s="567"/>
      <c r="N176" s="737"/>
      <c r="O176" s="638"/>
      <c r="P176" s="147"/>
      <c r="Q176" s="65"/>
    </row>
    <row r="177" spans="1:17" s="148" customFormat="1" ht="14.1" customHeight="1" x14ac:dyDescent="0.2">
      <c r="A177" s="751">
        <f ca="1">IF($H177="UNIDADE CONSTRUTIVA",OFFSET(A177,-1,0)+1,LARGE(A$3:A176,1))</f>
        <v>0</v>
      </c>
      <c r="B177" s="751">
        <f t="shared" ca="1" si="50"/>
        <v>4</v>
      </c>
      <c r="C177" s="751">
        <f t="shared" ca="1" si="51"/>
        <v>1</v>
      </c>
      <c r="D177" s="752">
        <f t="shared" ca="1" si="52"/>
        <v>2</v>
      </c>
      <c r="E177" s="752">
        <f t="shared" ca="1" si="53"/>
        <v>1</v>
      </c>
      <c r="F177" s="209"/>
      <c r="J177" s="65"/>
      <c r="K177" s="146"/>
      <c r="L177" s="567"/>
      <c r="M177" s="567"/>
      <c r="N177" s="737"/>
      <c r="O177" s="638"/>
      <c r="P177" s="147"/>
      <c r="Q177" s="65"/>
    </row>
    <row r="178" spans="1:17" s="148" customFormat="1" ht="14.1" customHeight="1" x14ac:dyDescent="0.2">
      <c r="A178" s="751">
        <f ca="1">IF($H178="UNIDADE CONSTRUTIVA",OFFSET(A178,-1,0)+1,LARGE(A$3:A177,1))</f>
        <v>0</v>
      </c>
      <c r="B178" s="751">
        <f t="shared" ca="1" si="50"/>
        <v>4</v>
      </c>
      <c r="C178" s="751">
        <f t="shared" ca="1" si="51"/>
        <v>1</v>
      </c>
      <c r="D178" s="752">
        <f t="shared" ca="1" si="52"/>
        <v>2</v>
      </c>
      <c r="E178" s="752">
        <f t="shared" ca="1" si="53"/>
        <v>1</v>
      </c>
      <c r="F178" s="209"/>
      <c r="J178" s="65"/>
      <c r="K178" s="146"/>
      <c r="L178" s="567"/>
      <c r="M178" s="567"/>
      <c r="N178" s="737"/>
      <c r="O178" s="638"/>
      <c r="P178" s="147"/>
      <c r="Q178" s="65"/>
    </row>
    <row r="179" spans="1:17" s="148" customFormat="1" ht="14.1" customHeight="1" x14ac:dyDescent="0.2">
      <c r="A179" s="751">
        <f ca="1">IF($H179="UNIDADE CONSTRUTIVA",OFFSET(A179,-1,0)+1,LARGE(A$3:A178,1))</f>
        <v>0</v>
      </c>
      <c r="B179" s="751">
        <f t="shared" ca="1" si="50"/>
        <v>4</v>
      </c>
      <c r="C179" s="751">
        <f t="shared" ca="1" si="51"/>
        <v>1</v>
      </c>
      <c r="D179" s="752">
        <f t="shared" ca="1" si="52"/>
        <v>2</v>
      </c>
      <c r="E179" s="752">
        <f t="shared" ca="1" si="53"/>
        <v>1</v>
      </c>
      <c r="F179" s="209"/>
      <c r="J179" s="65"/>
      <c r="K179" s="146"/>
      <c r="L179" s="567"/>
      <c r="M179" s="567"/>
      <c r="N179" s="737"/>
      <c r="O179" s="638"/>
      <c r="P179" s="147"/>
      <c r="Q179" s="65"/>
    </row>
    <row r="180" spans="1:17" s="148" customFormat="1" ht="14.1" customHeight="1" x14ac:dyDescent="0.2">
      <c r="A180" s="751">
        <f ca="1">IF($H180="UNIDADE CONSTRUTIVA",OFFSET(A180,-1,0)+1,LARGE(A$3:A179,1))</f>
        <v>0</v>
      </c>
      <c r="B180" s="751">
        <f t="shared" ca="1" si="50"/>
        <v>4</v>
      </c>
      <c r="C180" s="751">
        <f t="shared" ca="1" si="51"/>
        <v>1</v>
      </c>
      <c r="D180" s="752">
        <f t="shared" ca="1" si="52"/>
        <v>2</v>
      </c>
      <c r="E180" s="752">
        <f t="shared" ca="1" si="53"/>
        <v>1</v>
      </c>
      <c r="F180" s="209"/>
      <c r="J180" s="65"/>
      <c r="K180" s="146"/>
      <c r="L180" s="567"/>
      <c r="M180" s="567"/>
      <c r="N180" s="737"/>
      <c r="O180" s="638"/>
      <c r="P180" s="147"/>
      <c r="Q180" s="65"/>
    </row>
    <row r="181" spans="1:17" s="148" customFormat="1" ht="14.1" customHeight="1" x14ac:dyDescent="0.2">
      <c r="A181" s="751">
        <f ca="1">IF($H181="UNIDADE CONSTRUTIVA",OFFSET(A181,-1,0)+1,LARGE(A$3:A180,1))</f>
        <v>0</v>
      </c>
      <c r="B181" s="751">
        <f t="shared" ca="1" si="50"/>
        <v>4</v>
      </c>
      <c r="C181" s="751">
        <f t="shared" ca="1" si="51"/>
        <v>1</v>
      </c>
      <c r="D181" s="752">
        <f t="shared" ca="1" si="52"/>
        <v>2</v>
      </c>
      <c r="E181" s="752">
        <f t="shared" ca="1" si="53"/>
        <v>1</v>
      </c>
      <c r="F181" s="209"/>
      <c r="J181" s="65"/>
      <c r="K181" s="146"/>
      <c r="L181" s="567"/>
      <c r="M181" s="567"/>
      <c r="N181" s="737"/>
      <c r="O181" s="638"/>
      <c r="P181" s="147"/>
      <c r="Q181" s="65"/>
    </row>
    <row r="182" spans="1:17" s="148" customFormat="1" ht="14.1" customHeight="1" x14ac:dyDescent="0.2">
      <c r="A182" s="751">
        <f ca="1">IF($H182="UNIDADE CONSTRUTIVA",OFFSET(A182,-1,0)+1,LARGE(A$3:A181,1))</f>
        <v>0</v>
      </c>
      <c r="B182" s="751">
        <f t="shared" ca="1" si="50"/>
        <v>4</v>
      </c>
      <c r="C182" s="751">
        <f t="shared" ca="1" si="51"/>
        <v>1</v>
      </c>
      <c r="D182" s="752">
        <f t="shared" ca="1" si="52"/>
        <v>2</v>
      </c>
      <c r="E182" s="752">
        <f t="shared" ca="1" si="53"/>
        <v>1</v>
      </c>
      <c r="F182" s="209"/>
      <c r="J182" s="65"/>
      <c r="K182" s="146"/>
      <c r="L182" s="567"/>
      <c r="M182" s="567"/>
      <c r="N182" s="737"/>
      <c r="O182" s="638"/>
      <c r="P182" s="147"/>
      <c r="Q182" s="65"/>
    </row>
    <row r="183" spans="1:17" s="148" customFormat="1" ht="14.1" customHeight="1" x14ac:dyDescent="0.2">
      <c r="A183" s="751">
        <f ca="1">IF($H183="UNIDADE CONSTRUTIVA",OFFSET(A183,-1,0)+1,LARGE(A$3:A182,1))</f>
        <v>0</v>
      </c>
      <c r="B183" s="751">
        <f t="shared" ca="1" si="50"/>
        <v>4</v>
      </c>
      <c r="C183" s="751">
        <f t="shared" ca="1" si="51"/>
        <v>1</v>
      </c>
      <c r="D183" s="752">
        <f t="shared" ca="1" si="52"/>
        <v>2</v>
      </c>
      <c r="E183" s="752">
        <f t="shared" ca="1" si="53"/>
        <v>1</v>
      </c>
      <c r="F183" s="209"/>
      <c r="J183" s="65"/>
      <c r="K183" s="146"/>
      <c r="L183" s="567"/>
      <c r="M183" s="567"/>
      <c r="N183" s="737"/>
      <c r="O183" s="638"/>
      <c r="P183" s="147"/>
      <c r="Q183" s="65"/>
    </row>
    <row r="184" spans="1:17" s="148" customFormat="1" ht="14.1" customHeight="1" x14ac:dyDescent="0.2">
      <c r="A184" s="751">
        <f ca="1">IF($H184="UNIDADE CONSTRUTIVA",OFFSET(A184,-1,0)+1,LARGE(A$3:A183,1))</f>
        <v>0</v>
      </c>
      <c r="B184" s="751">
        <f t="shared" ca="1" si="50"/>
        <v>4</v>
      </c>
      <c r="C184" s="751">
        <f t="shared" ca="1" si="51"/>
        <v>1</v>
      </c>
      <c r="D184" s="752">
        <f t="shared" ca="1" si="52"/>
        <v>2</v>
      </c>
      <c r="E184" s="752">
        <f t="shared" ca="1" si="53"/>
        <v>1</v>
      </c>
      <c r="F184" s="209"/>
      <c r="J184" s="65"/>
      <c r="K184" s="146"/>
      <c r="L184" s="567"/>
      <c r="M184" s="567"/>
      <c r="N184" s="737"/>
      <c r="O184" s="638"/>
      <c r="P184" s="147"/>
      <c r="Q184" s="65"/>
    </row>
    <row r="185" spans="1:17" s="148" customFormat="1" ht="14.1" customHeight="1" x14ac:dyDescent="0.2">
      <c r="A185" s="751">
        <f ca="1">IF($H185="UNIDADE CONSTRUTIVA",OFFSET(A185,-1,0)+1,LARGE(A$3:A184,1))</f>
        <v>0</v>
      </c>
      <c r="B185" s="751">
        <f t="shared" ca="1" si="50"/>
        <v>4</v>
      </c>
      <c r="C185" s="751">
        <f t="shared" ca="1" si="51"/>
        <v>1</v>
      </c>
      <c r="D185" s="752">
        <f t="shared" ca="1" si="52"/>
        <v>2</v>
      </c>
      <c r="E185" s="752">
        <f t="shared" ca="1" si="53"/>
        <v>1</v>
      </c>
      <c r="F185" s="209"/>
      <c r="J185" s="65"/>
      <c r="K185" s="146"/>
      <c r="L185" s="567"/>
      <c r="M185" s="567"/>
      <c r="N185" s="737"/>
      <c r="O185" s="638"/>
      <c r="P185" s="147"/>
      <c r="Q185" s="65"/>
    </row>
    <row r="186" spans="1:17" s="148" customFormat="1" ht="14.1" customHeight="1" x14ac:dyDescent="0.2">
      <c r="A186" s="751">
        <f ca="1">IF($H186="UNIDADE CONSTRUTIVA",OFFSET(A186,-1,0)+1,LARGE(A$3:A185,1))</f>
        <v>0</v>
      </c>
      <c r="B186" s="751">
        <f t="shared" ca="1" si="50"/>
        <v>4</v>
      </c>
      <c r="C186" s="751">
        <f t="shared" ca="1" si="51"/>
        <v>1</v>
      </c>
      <c r="D186" s="752">
        <f t="shared" ca="1" si="52"/>
        <v>2</v>
      </c>
      <c r="E186" s="752">
        <f t="shared" ca="1" si="53"/>
        <v>1</v>
      </c>
      <c r="F186" s="209"/>
      <c r="J186" s="65"/>
      <c r="K186" s="146"/>
      <c r="L186" s="567"/>
      <c r="M186" s="567"/>
      <c r="N186" s="737"/>
      <c r="O186" s="638"/>
      <c r="P186" s="147"/>
      <c r="Q186" s="65"/>
    </row>
    <row r="187" spans="1:17" s="148" customFormat="1" ht="14.1" customHeight="1" x14ac:dyDescent="0.2">
      <c r="A187" s="751">
        <f ca="1">IF($H187="UNIDADE CONSTRUTIVA",OFFSET(A187,-1,0)+1,LARGE(A$3:A186,1))</f>
        <v>0</v>
      </c>
      <c r="B187" s="751">
        <f t="shared" ca="1" si="50"/>
        <v>4</v>
      </c>
      <c r="C187" s="751">
        <f t="shared" ca="1" si="51"/>
        <v>1</v>
      </c>
      <c r="D187" s="752">
        <f t="shared" ca="1" si="52"/>
        <v>2</v>
      </c>
      <c r="E187" s="752">
        <f t="shared" ca="1" si="53"/>
        <v>1</v>
      </c>
      <c r="F187" s="209"/>
      <c r="J187" s="65"/>
      <c r="K187" s="146"/>
      <c r="L187" s="567"/>
      <c r="M187" s="567"/>
      <c r="N187" s="737"/>
      <c r="O187" s="638"/>
      <c r="P187" s="147"/>
      <c r="Q187" s="65"/>
    </row>
    <row r="188" spans="1:17" s="148" customFormat="1" ht="14.1" customHeight="1" x14ac:dyDescent="0.2">
      <c r="A188" s="751">
        <f ca="1">IF($H188="UNIDADE CONSTRUTIVA",OFFSET(A188,-1,0)+1,LARGE(A$3:A187,1))</f>
        <v>0</v>
      </c>
      <c r="B188" s="751">
        <f t="shared" ca="1" si="50"/>
        <v>4</v>
      </c>
      <c r="C188" s="751">
        <f t="shared" ca="1" si="51"/>
        <v>1</v>
      </c>
      <c r="D188" s="752">
        <f t="shared" ca="1" si="52"/>
        <v>2</v>
      </c>
      <c r="E188" s="752">
        <f t="shared" ca="1" si="53"/>
        <v>1</v>
      </c>
      <c r="F188" s="209"/>
      <c r="J188" s="65"/>
      <c r="K188" s="146"/>
      <c r="L188" s="567"/>
      <c r="M188" s="567"/>
      <c r="N188" s="737"/>
      <c r="O188" s="638"/>
      <c r="P188" s="147"/>
      <c r="Q188" s="65"/>
    </row>
    <row r="189" spans="1:17" s="148" customFormat="1" ht="14.1" customHeight="1" x14ac:dyDescent="0.2">
      <c r="A189" s="751">
        <f ca="1">IF($H189="UNIDADE CONSTRUTIVA",OFFSET(A189,-1,0)+1,LARGE(A$3:A188,1))</f>
        <v>0</v>
      </c>
      <c r="B189" s="751">
        <f t="shared" ca="1" si="50"/>
        <v>4</v>
      </c>
      <c r="C189" s="751">
        <f t="shared" ca="1" si="51"/>
        <v>1</v>
      </c>
      <c r="D189" s="752">
        <f t="shared" ca="1" si="52"/>
        <v>2</v>
      </c>
      <c r="E189" s="752">
        <f t="shared" ca="1" si="53"/>
        <v>1</v>
      </c>
      <c r="F189" s="209"/>
      <c r="J189" s="65"/>
      <c r="K189" s="146"/>
      <c r="L189" s="567"/>
      <c r="M189" s="567"/>
      <c r="N189" s="737"/>
      <c r="O189" s="638"/>
      <c r="P189" s="147"/>
      <c r="Q189" s="65"/>
    </row>
    <row r="190" spans="1:17" s="148" customFormat="1" ht="14.1" customHeight="1" x14ac:dyDescent="0.2">
      <c r="A190" s="751">
        <f ca="1">IF($H190="UNIDADE CONSTRUTIVA",OFFSET(A190,-1,0)+1,LARGE(A$3:A189,1))</f>
        <v>0</v>
      </c>
      <c r="B190" s="751">
        <f t="shared" ca="1" si="50"/>
        <v>4</v>
      </c>
      <c r="C190" s="751">
        <f t="shared" ca="1" si="51"/>
        <v>1</v>
      </c>
      <c r="D190" s="752">
        <f t="shared" ca="1" si="52"/>
        <v>2</v>
      </c>
      <c r="E190" s="752">
        <f t="shared" ca="1" si="53"/>
        <v>1</v>
      </c>
      <c r="F190" s="209"/>
      <c r="J190" s="65"/>
      <c r="K190" s="146"/>
      <c r="L190" s="567"/>
      <c r="M190" s="567"/>
      <c r="N190" s="737"/>
      <c r="O190" s="638"/>
      <c r="P190" s="147"/>
      <c r="Q190" s="65"/>
    </row>
    <row r="191" spans="1:17" s="148" customFormat="1" ht="14.1" customHeight="1" x14ac:dyDescent="0.2">
      <c r="A191" s="751">
        <f ca="1">IF($H191="UNIDADE CONSTRUTIVA",OFFSET(A191,-1,0)+1,LARGE(A$3:A190,1))</f>
        <v>0</v>
      </c>
      <c r="B191" s="751">
        <f t="shared" ca="1" si="50"/>
        <v>4</v>
      </c>
      <c r="C191" s="751">
        <f t="shared" ca="1" si="51"/>
        <v>1</v>
      </c>
      <c r="D191" s="752">
        <f t="shared" ca="1" si="52"/>
        <v>2</v>
      </c>
      <c r="E191" s="752">
        <f t="shared" ca="1" si="53"/>
        <v>1</v>
      </c>
      <c r="F191" s="209"/>
      <c r="J191" s="65"/>
      <c r="K191" s="146"/>
      <c r="L191" s="567"/>
      <c r="M191" s="567"/>
      <c r="N191" s="737"/>
      <c r="O191" s="638"/>
      <c r="P191" s="147"/>
      <c r="Q191" s="65"/>
    </row>
    <row r="192" spans="1:17" s="148" customFormat="1" ht="14.1" customHeight="1" x14ac:dyDescent="0.2">
      <c r="A192" s="751">
        <f ca="1">IF($H192="UNIDADE CONSTRUTIVA",OFFSET(A192,-1,0)+1,LARGE(A$3:A191,1))</f>
        <v>0</v>
      </c>
      <c r="B192" s="751">
        <f t="shared" ca="1" si="50"/>
        <v>4</v>
      </c>
      <c r="C192" s="751">
        <f t="shared" ca="1" si="51"/>
        <v>1</v>
      </c>
      <c r="D192" s="752">
        <f t="shared" ca="1" si="52"/>
        <v>2</v>
      </c>
      <c r="E192" s="752">
        <f t="shared" ca="1" si="53"/>
        <v>1</v>
      </c>
      <c r="F192" s="209"/>
      <c r="J192" s="65"/>
      <c r="K192" s="146"/>
      <c r="L192" s="567"/>
      <c r="M192" s="567"/>
      <c r="N192" s="737"/>
      <c r="O192" s="638"/>
      <c r="P192" s="147"/>
      <c r="Q192" s="65"/>
    </row>
    <row r="193" spans="1:17" s="148" customFormat="1" ht="14.1" customHeight="1" x14ac:dyDescent="0.2">
      <c r="A193" s="751">
        <f ca="1">IF($H193="UNIDADE CONSTRUTIVA",OFFSET(A193,-1,0)+1,LARGE(A$3:A192,1))</f>
        <v>0</v>
      </c>
      <c r="B193" s="751">
        <f t="shared" ca="1" si="50"/>
        <v>4</v>
      </c>
      <c r="C193" s="751">
        <f t="shared" ca="1" si="51"/>
        <v>1</v>
      </c>
      <c r="D193" s="752">
        <f t="shared" ca="1" si="52"/>
        <v>2</v>
      </c>
      <c r="E193" s="752">
        <f t="shared" ca="1" si="53"/>
        <v>1</v>
      </c>
      <c r="F193" s="209"/>
      <c r="J193" s="65"/>
      <c r="K193" s="146"/>
      <c r="L193" s="567"/>
      <c r="M193" s="567"/>
      <c r="N193" s="737"/>
      <c r="O193" s="638"/>
      <c r="P193" s="147"/>
      <c r="Q193" s="65"/>
    </row>
    <row r="194" spans="1:17" s="148" customFormat="1" ht="14.1" customHeight="1" x14ac:dyDescent="0.2">
      <c r="A194" s="751">
        <f ca="1">IF($H194="UNIDADE CONSTRUTIVA",OFFSET(A194,-1,0)+1,LARGE(A$3:A193,1))</f>
        <v>0</v>
      </c>
      <c r="B194" s="751">
        <f t="shared" ca="1" si="50"/>
        <v>4</v>
      </c>
      <c r="C194" s="751">
        <f t="shared" ca="1" si="51"/>
        <v>1</v>
      </c>
      <c r="D194" s="752">
        <f t="shared" ca="1" si="52"/>
        <v>2</v>
      </c>
      <c r="E194" s="752">
        <f t="shared" ca="1" si="53"/>
        <v>1</v>
      </c>
      <c r="F194" s="209"/>
      <c r="J194" s="65"/>
      <c r="K194" s="146"/>
      <c r="L194" s="567"/>
      <c r="M194" s="567"/>
      <c r="N194" s="737"/>
      <c r="O194" s="638"/>
      <c r="P194" s="147"/>
      <c r="Q194" s="65"/>
    </row>
    <row r="195" spans="1:17" s="148" customFormat="1" ht="14.1" customHeight="1" x14ac:dyDescent="0.2">
      <c r="A195" s="751">
        <f ca="1">IF($H195="UNIDADE CONSTRUTIVA",OFFSET(A195,-1,0)+1,LARGE(A$3:A194,1))</f>
        <v>0</v>
      </c>
      <c r="B195" s="751">
        <f t="shared" ca="1" si="50"/>
        <v>4</v>
      </c>
      <c r="C195" s="751">
        <f t="shared" ca="1" si="51"/>
        <v>1</v>
      </c>
      <c r="D195" s="752">
        <f t="shared" ca="1" si="52"/>
        <v>2</v>
      </c>
      <c r="E195" s="752">
        <f t="shared" ca="1" si="53"/>
        <v>1</v>
      </c>
      <c r="F195" s="209"/>
      <c r="J195" s="65"/>
      <c r="K195" s="146"/>
      <c r="L195" s="567"/>
      <c r="M195" s="567"/>
      <c r="N195" s="737"/>
      <c r="O195" s="638"/>
      <c r="P195" s="147"/>
      <c r="Q195" s="65"/>
    </row>
    <row r="196" spans="1:17" s="148" customFormat="1" ht="14.1" customHeight="1" x14ac:dyDescent="0.2">
      <c r="A196" s="751">
        <f ca="1">IF($H196="UNIDADE CONSTRUTIVA",OFFSET(A196,-1,0)+1,LARGE(A$3:A195,1))</f>
        <v>0</v>
      </c>
      <c r="B196" s="751">
        <f t="shared" ca="1" si="50"/>
        <v>4</v>
      </c>
      <c r="C196" s="751">
        <f t="shared" ca="1" si="51"/>
        <v>1</v>
      </c>
      <c r="D196" s="752">
        <f t="shared" ca="1" si="52"/>
        <v>2</v>
      </c>
      <c r="E196" s="752">
        <f t="shared" ca="1" si="53"/>
        <v>1</v>
      </c>
      <c r="F196" s="209"/>
      <c r="J196" s="65"/>
      <c r="K196" s="146"/>
      <c r="L196" s="567"/>
      <c r="M196" s="567"/>
      <c r="N196" s="737"/>
      <c r="O196" s="638"/>
      <c r="P196" s="147"/>
      <c r="Q196" s="65"/>
    </row>
    <row r="197" spans="1:17" s="148" customFormat="1" ht="14.1" customHeight="1" x14ac:dyDescent="0.2">
      <c r="A197" s="751">
        <f ca="1">IF($H197="UNIDADE CONSTRUTIVA",OFFSET(A197,-1,0)+1,LARGE(A$3:A196,1))</f>
        <v>0</v>
      </c>
      <c r="B197" s="751">
        <f t="shared" ca="1" si="50"/>
        <v>4</v>
      </c>
      <c r="C197" s="751">
        <f t="shared" ca="1" si="51"/>
        <v>1</v>
      </c>
      <c r="D197" s="752">
        <f t="shared" ca="1" si="52"/>
        <v>2</v>
      </c>
      <c r="E197" s="752">
        <f t="shared" ca="1" si="53"/>
        <v>1</v>
      </c>
      <c r="F197" s="209"/>
      <c r="J197" s="65"/>
      <c r="K197" s="146"/>
      <c r="L197" s="567"/>
      <c r="M197" s="567"/>
      <c r="N197" s="737"/>
      <c r="O197" s="638"/>
      <c r="P197" s="147"/>
      <c r="Q197" s="65"/>
    </row>
    <row r="198" spans="1:17" s="148" customFormat="1" ht="14.1" customHeight="1" x14ac:dyDescent="0.2">
      <c r="A198" s="751">
        <f ca="1">IF($H198="UNIDADE CONSTRUTIVA",OFFSET(A198,-1,0)+1,LARGE(A$3:A197,1))</f>
        <v>0</v>
      </c>
      <c r="B198" s="751">
        <f t="shared" ca="1" si="50"/>
        <v>4</v>
      </c>
      <c r="C198" s="751">
        <f t="shared" ca="1" si="51"/>
        <v>1</v>
      </c>
      <c r="D198" s="752">
        <f t="shared" ca="1" si="52"/>
        <v>2</v>
      </c>
      <c r="E198" s="752">
        <f t="shared" ca="1" si="53"/>
        <v>1</v>
      </c>
      <c r="F198" s="209"/>
      <c r="J198" s="65"/>
      <c r="K198" s="146"/>
      <c r="L198" s="567"/>
      <c r="M198" s="567"/>
      <c r="N198" s="737"/>
      <c r="O198" s="638"/>
      <c r="P198" s="147"/>
      <c r="Q198" s="65"/>
    </row>
    <row r="199" spans="1:17" s="148" customFormat="1" ht="14.1" customHeight="1" x14ac:dyDescent="0.2">
      <c r="A199" s="751">
        <f ca="1">IF($H199="UNIDADE CONSTRUTIVA",OFFSET(A199,-1,0)+1,LARGE(A$3:A198,1))</f>
        <v>0</v>
      </c>
      <c r="B199" s="751">
        <f t="shared" ca="1" si="50"/>
        <v>4</v>
      </c>
      <c r="C199" s="751">
        <f t="shared" ca="1" si="51"/>
        <v>1</v>
      </c>
      <c r="D199" s="752">
        <f t="shared" ca="1" si="52"/>
        <v>2</v>
      </c>
      <c r="E199" s="752">
        <f t="shared" ca="1" si="53"/>
        <v>1</v>
      </c>
      <c r="F199" s="209"/>
      <c r="J199" s="65"/>
      <c r="K199" s="146"/>
      <c r="L199" s="567"/>
      <c r="M199" s="567"/>
      <c r="N199" s="737"/>
      <c r="O199" s="638"/>
      <c r="P199" s="147"/>
      <c r="Q199" s="65"/>
    </row>
    <row r="200" spans="1:17" s="148" customFormat="1" ht="14.1" customHeight="1" x14ac:dyDescent="0.2">
      <c r="A200" s="751">
        <f ca="1">IF($H200="UNIDADE CONSTRUTIVA",OFFSET(A200,-1,0)+1,LARGE(A$3:A199,1))</f>
        <v>0</v>
      </c>
      <c r="B200" s="751">
        <f t="shared" ca="1" si="50"/>
        <v>4</v>
      </c>
      <c r="C200" s="751">
        <f t="shared" ca="1" si="51"/>
        <v>1</v>
      </c>
      <c r="D200" s="752">
        <f t="shared" ca="1" si="52"/>
        <v>2</v>
      </c>
      <c r="E200" s="752">
        <f t="shared" ca="1" si="53"/>
        <v>1</v>
      </c>
      <c r="F200" s="209"/>
      <c r="J200" s="65"/>
      <c r="K200" s="146"/>
      <c r="L200" s="567"/>
      <c r="M200" s="567"/>
      <c r="N200" s="737"/>
      <c r="O200" s="638"/>
      <c r="P200" s="147"/>
      <c r="Q200" s="65"/>
    </row>
    <row r="201" spans="1:17" s="148" customFormat="1" ht="14.1" customHeight="1" x14ac:dyDescent="0.2">
      <c r="A201" s="751">
        <f ca="1">IF($H201="UNIDADE CONSTRUTIVA",OFFSET(A201,-1,0)+1,LARGE(A$3:A200,1))</f>
        <v>0</v>
      </c>
      <c r="B201" s="751">
        <f t="shared" ca="1" si="50"/>
        <v>4</v>
      </c>
      <c r="C201" s="751">
        <f t="shared" ca="1" si="51"/>
        <v>1</v>
      </c>
      <c r="D201" s="752">
        <f t="shared" ca="1" si="52"/>
        <v>2</v>
      </c>
      <c r="E201" s="752">
        <f t="shared" ca="1" si="53"/>
        <v>1</v>
      </c>
      <c r="F201" s="209"/>
      <c r="J201" s="65"/>
      <c r="K201" s="146"/>
      <c r="L201" s="567"/>
      <c r="M201" s="567"/>
      <c r="N201" s="737"/>
      <c r="O201" s="638"/>
      <c r="P201" s="147"/>
      <c r="Q201" s="65"/>
    </row>
    <row r="202" spans="1:17" s="148" customFormat="1" ht="14.1" customHeight="1" x14ac:dyDescent="0.2">
      <c r="A202" s="751">
        <f ca="1">IF($H202="UNIDADE CONSTRUTIVA",OFFSET(A202,-1,0)+1,LARGE(A$3:A201,1))</f>
        <v>0</v>
      </c>
      <c r="B202" s="751">
        <f t="shared" ca="1" si="50"/>
        <v>4</v>
      </c>
      <c r="C202" s="751">
        <f t="shared" ca="1" si="51"/>
        <v>1</v>
      </c>
      <c r="D202" s="752">
        <f t="shared" ca="1" si="52"/>
        <v>2</v>
      </c>
      <c r="E202" s="752">
        <f t="shared" ca="1" si="53"/>
        <v>1</v>
      </c>
      <c r="F202" s="209"/>
      <c r="J202" s="65"/>
      <c r="K202" s="146"/>
      <c r="L202" s="567"/>
      <c r="M202" s="567"/>
      <c r="N202" s="737"/>
      <c r="O202" s="638"/>
      <c r="P202" s="147"/>
      <c r="Q202" s="65"/>
    </row>
    <row r="203" spans="1:17" s="148" customFormat="1" ht="14.1" customHeight="1" x14ac:dyDescent="0.2">
      <c r="A203" s="751">
        <f ca="1">IF($H203="UNIDADE CONSTRUTIVA",OFFSET(A203,-1,0)+1,LARGE(A$3:A202,1))</f>
        <v>0</v>
      </c>
      <c r="B203" s="751">
        <f t="shared" ca="1" si="50"/>
        <v>4</v>
      </c>
      <c r="C203" s="751">
        <f t="shared" ca="1" si="51"/>
        <v>1</v>
      </c>
      <c r="D203" s="752">
        <f t="shared" ca="1" si="52"/>
        <v>2</v>
      </c>
      <c r="E203" s="752">
        <f t="shared" ca="1" si="53"/>
        <v>1</v>
      </c>
      <c r="F203" s="209"/>
      <c r="J203" s="65"/>
      <c r="K203" s="146"/>
      <c r="L203" s="567"/>
      <c r="M203" s="567"/>
      <c r="N203" s="737"/>
      <c r="O203" s="638"/>
      <c r="P203" s="147"/>
      <c r="Q203" s="65"/>
    </row>
    <row r="204" spans="1:17" s="148" customFormat="1" ht="14.1" customHeight="1" x14ac:dyDescent="0.2">
      <c r="A204" s="751">
        <f ca="1">IF($H204="UNIDADE CONSTRUTIVA",OFFSET(A204,-1,0)+1,LARGE(A$3:A203,1))</f>
        <v>0</v>
      </c>
      <c r="B204" s="751">
        <f t="shared" ca="1" si="50"/>
        <v>4</v>
      </c>
      <c r="C204" s="751">
        <f t="shared" ca="1" si="51"/>
        <v>1</v>
      </c>
      <c r="D204" s="752">
        <f t="shared" ca="1" si="52"/>
        <v>2</v>
      </c>
      <c r="E204" s="752">
        <f t="shared" ca="1" si="53"/>
        <v>1</v>
      </c>
      <c r="F204" s="209"/>
      <c r="J204" s="65"/>
      <c r="K204" s="146"/>
      <c r="L204" s="567"/>
      <c r="M204" s="567"/>
      <c r="N204" s="737"/>
      <c r="O204" s="638"/>
      <c r="P204" s="147"/>
      <c r="Q204" s="65"/>
    </row>
    <row r="205" spans="1:17" s="148" customFormat="1" ht="14.1" customHeight="1" x14ac:dyDescent="0.2">
      <c r="A205" s="751">
        <f ca="1">IF($H205="UNIDADE CONSTRUTIVA",OFFSET(A205,-1,0)+1,LARGE(A$3:A204,1))</f>
        <v>0</v>
      </c>
      <c r="B205" s="751">
        <f t="shared" ca="1" si="50"/>
        <v>4</v>
      </c>
      <c r="C205" s="751">
        <f t="shared" ca="1" si="51"/>
        <v>1</v>
      </c>
      <c r="D205" s="752">
        <f t="shared" ca="1" si="52"/>
        <v>2</v>
      </c>
      <c r="E205" s="752">
        <f t="shared" ca="1" si="53"/>
        <v>1</v>
      </c>
      <c r="F205" s="209"/>
      <c r="J205" s="65"/>
      <c r="K205" s="146"/>
      <c r="L205" s="567"/>
      <c r="M205" s="567"/>
      <c r="N205" s="737"/>
      <c r="O205" s="638"/>
      <c r="P205" s="147"/>
      <c r="Q205" s="65"/>
    </row>
    <row r="206" spans="1:17" s="148" customFormat="1" ht="14.1" customHeight="1" x14ac:dyDescent="0.2">
      <c r="A206" s="751">
        <f ca="1">IF($H206="UNIDADE CONSTRUTIVA",OFFSET(A206,-1,0)+1,LARGE(A$3:A205,1))</f>
        <v>0</v>
      </c>
      <c r="B206" s="751">
        <f t="shared" ca="1" si="50"/>
        <v>4</v>
      </c>
      <c r="C206" s="751">
        <f t="shared" ca="1" si="51"/>
        <v>1</v>
      </c>
      <c r="D206" s="752">
        <f t="shared" ca="1" si="52"/>
        <v>2</v>
      </c>
      <c r="E206" s="752">
        <f t="shared" ca="1" si="53"/>
        <v>1</v>
      </c>
      <c r="F206" s="209"/>
      <c r="J206" s="65"/>
      <c r="K206" s="146"/>
      <c r="L206" s="567"/>
      <c r="M206" s="567"/>
      <c r="N206" s="737"/>
      <c r="O206" s="638"/>
      <c r="P206" s="147"/>
      <c r="Q206" s="65"/>
    </row>
    <row r="207" spans="1:17" s="148" customFormat="1" ht="14.1" customHeight="1" x14ac:dyDescent="0.2">
      <c r="A207" s="751">
        <f ca="1">IF($H207="UNIDADE CONSTRUTIVA",OFFSET(A207,-1,0)+1,LARGE(A$3:A206,1))</f>
        <v>0</v>
      </c>
      <c r="B207" s="751">
        <f t="shared" ca="1" si="50"/>
        <v>4</v>
      </c>
      <c r="C207" s="751">
        <f t="shared" ca="1" si="51"/>
        <v>1</v>
      </c>
      <c r="D207" s="752">
        <f t="shared" ca="1" si="52"/>
        <v>2</v>
      </c>
      <c r="E207" s="752">
        <f t="shared" ca="1" si="53"/>
        <v>1</v>
      </c>
      <c r="F207" s="209"/>
      <c r="J207" s="65"/>
      <c r="K207" s="146"/>
      <c r="L207" s="567"/>
      <c r="M207" s="567"/>
      <c r="N207" s="737"/>
      <c r="O207" s="638"/>
      <c r="P207" s="147"/>
      <c r="Q207" s="65"/>
    </row>
    <row r="208" spans="1:17" s="148" customFormat="1" ht="14.1" customHeight="1" x14ac:dyDescent="0.2">
      <c r="A208" s="751">
        <f ca="1">IF($H208="UNIDADE CONSTRUTIVA",OFFSET(A208,-1,0)+1,LARGE(A$3:A207,1))</f>
        <v>0</v>
      </c>
      <c r="B208" s="751">
        <f t="shared" ca="1" si="50"/>
        <v>4</v>
      </c>
      <c r="C208" s="751">
        <f t="shared" ca="1" si="51"/>
        <v>1</v>
      </c>
      <c r="D208" s="752">
        <f t="shared" ca="1" si="52"/>
        <v>2</v>
      </c>
      <c r="E208" s="752">
        <f t="shared" ca="1" si="53"/>
        <v>1</v>
      </c>
      <c r="F208" s="209"/>
      <c r="J208" s="65"/>
      <c r="K208" s="146"/>
      <c r="L208" s="567"/>
      <c r="M208" s="567"/>
      <c r="N208" s="737"/>
      <c r="O208" s="638"/>
      <c r="P208" s="147"/>
      <c r="Q208" s="65"/>
    </row>
    <row r="209" spans="1:17" s="148" customFormat="1" ht="14.1" customHeight="1" x14ac:dyDescent="0.2">
      <c r="A209" s="751">
        <f ca="1">IF($H209="UNIDADE CONSTRUTIVA",OFFSET(A209,-1,0)+1,LARGE(A$3:A208,1))</f>
        <v>0</v>
      </c>
      <c r="B209" s="751">
        <f t="shared" ca="1" si="50"/>
        <v>4</v>
      </c>
      <c r="C209" s="751">
        <f t="shared" ca="1" si="51"/>
        <v>1</v>
      </c>
      <c r="D209" s="752">
        <f t="shared" ca="1" si="52"/>
        <v>2</v>
      </c>
      <c r="E209" s="752">
        <f t="shared" ca="1" si="53"/>
        <v>1</v>
      </c>
      <c r="F209" s="209"/>
      <c r="J209" s="65"/>
      <c r="K209" s="146"/>
      <c r="L209" s="567"/>
      <c r="M209" s="567"/>
      <c r="N209" s="737"/>
      <c r="O209" s="638"/>
      <c r="P209" s="147"/>
      <c r="Q209" s="65"/>
    </row>
    <row r="210" spans="1:17" s="148" customFormat="1" ht="14.1" customHeight="1" x14ac:dyDescent="0.2">
      <c r="A210" s="751">
        <f ca="1">IF($H210="UNIDADE CONSTRUTIVA",OFFSET(A210,-1,0)+1,LARGE(A$3:A209,1))</f>
        <v>0</v>
      </c>
      <c r="B210" s="751">
        <f t="shared" ca="1" si="50"/>
        <v>4</v>
      </c>
      <c r="C210" s="751">
        <f t="shared" ca="1" si="51"/>
        <v>1</v>
      </c>
      <c r="D210" s="752">
        <f t="shared" ca="1" si="52"/>
        <v>2</v>
      </c>
      <c r="E210" s="752">
        <f t="shared" ca="1" si="53"/>
        <v>1</v>
      </c>
      <c r="F210" s="209"/>
      <c r="J210" s="65"/>
      <c r="K210" s="146"/>
      <c r="L210" s="567"/>
      <c r="M210" s="567"/>
      <c r="N210" s="737"/>
      <c r="O210" s="638"/>
      <c r="P210" s="147"/>
      <c r="Q210" s="65"/>
    </row>
    <row r="211" spans="1:17" s="148" customFormat="1" ht="14.1" customHeight="1" x14ac:dyDescent="0.2">
      <c r="A211" s="751">
        <f ca="1">IF($H211="UNIDADE CONSTRUTIVA",OFFSET(A211,-1,0)+1,LARGE(A$3:A210,1))</f>
        <v>0</v>
      </c>
      <c r="B211" s="751">
        <f t="shared" ca="1" si="50"/>
        <v>4</v>
      </c>
      <c r="C211" s="751">
        <f t="shared" ca="1" si="51"/>
        <v>1</v>
      </c>
      <c r="D211" s="752">
        <f t="shared" ca="1" si="52"/>
        <v>2</v>
      </c>
      <c r="E211" s="752">
        <f t="shared" ca="1" si="53"/>
        <v>1</v>
      </c>
      <c r="F211" s="209"/>
      <c r="J211" s="65"/>
      <c r="K211" s="146"/>
      <c r="L211" s="567"/>
      <c r="M211" s="567"/>
      <c r="N211" s="737"/>
      <c r="O211" s="638"/>
      <c r="P211" s="147"/>
      <c r="Q211" s="65"/>
    </row>
    <row r="212" spans="1:17" s="148" customFormat="1" ht="14.1" customHeight="1" x14ac:dyDescent="0.2">
      <c r="A212" s="751">
        <f ca="1">IF($H212="UNIDADE CONSTRUTIVA",OFFSET(A212,-1,0)+1,LARGE(A$3:A211,1))</f>
        <v>0</v>
      </c>
      <c r="B212" s="751">
        <f t="shared" ca="1" si="50"/>
        <v>4</v>
      </c>
      <c r="C212" s="751">
        <f t="shared" ca="1" si="51"/>
        <v>1</v>
      </c>
      <c r="D212" s="752">
        <f t="shared" ca="1" si="52"/>
        <v>2</v>
      </c>
      <c r="E212" s="752">
        <f t="shared" ca="1" si="53"/>
        <v>1</v>
      </c>
      <c r="F212" s="209"/>
      <c r="J212" s="65"/>
      <c r="K212" s="146"/>
      <c r="L212" s="567"/>
      <c r="M212" s="567"/>
      <c r="N212" s="737"/>
      <c r="O212" s="638"/>
      <c r="P212" s="147"/>
      <c r="Q212" s="65"/>
    </row>
    <row r="213" spans="1:17" s="148" customFormat="1" ht="14.1" customHeight="1" x14ac:dyDescent="0.2">
      <c r="A213" s="751">
        <f ca="1">IF($H213="UNIDADE CONSTRUTIVA",OFFSET(A213,-1,0)+1,LARGE(A$3:A212,1))</f>
        <v>0</v>
      </c>
      <c r="B213" s="751">
        <f t="shared" ca="1" si="50"/>
        <v>4</v>
      </c>
      <c r="C213" s="751">
        <f t="shared" ca="1" si="51"/>
        <v>1</v>
      </c>
      <c r="D213" s="752">
        <f t="shared" ca="1" si="52"/>
        <v>2</v>
      </c>
      <c r="E213" s="752">
        <f t="shared" ca="1" si="53"/>
        <v>1</v>
      </c>
      <c r="F213" s="209"/>
      <c r="J213" s="65"/>
      <c r="K213" s="146"/>
      <c r="L213" s="567"/>
      <c r="M213" s="567"/>
      <c r="N213" s="737"/>
      <c r="O213" s="638"/>
      <c r="P213" s="147"/>
      <c r="Q213" s="65"/>
    </row>
    <row r="214" spans="1:17" s="148" customFormat="1" ht="14.1" customHeight="1" x14ac:dyDescent="0.2">
      <c r="A214" s="751">
        <f ca="1">IF($H214="UNIDADE CONSTRUTIVA",OFFSET(A214,-1,0)+1,LARGE(A$3:A213,1))</f>
        <v>0</v>
      </c>
      <c r="B214" s="751">
        <f t="shared" ca="1" si="50"/>
        <v>4</v>
      </c>
      <c r="C214" s="751">
        <f t="shared" ca="1" si="51"/>
        <v>1</v>
      </c>
      <c r="D214" s="752">
        <f t="shared" ca="1" si="52"/>
        <v>2</v>
      </c>
      <c r="E214" s="752">
        <f t="shared" ca="1" si="53"/>
        <v>1</v>
      </c>
      <c r="F214" s="209"/>
      <c r="J214" s="65"/>
      <c r="K214" s="146"/>
      <c r="L214" s="567"/>
      <c r="M214" s="567"/>
      <c r="N214" s="737"/>
      <c r="O214" s="638"/>
      <c r="P214" s="147"/>
      <c r="Q214" s="65"/>
    </row>
    <row r="215" spans="1:17" s="148" customFormat="1" ht="14.1" customHeight="1" x14ac:dyDescent="0.2">
      <c r="A215" s="751">
        <f ca="1">IF($H215="UNIDADE CONSTRUTIVA",OFFSET(A215,-1,0)+1,LARGE(A$3:A214,1))</f>
        <v>0</v>
      </c>
      <c r="B215" s="751">
        <f t="shared" ca="1" si="50"/>
        <v>4</v>
      </c>
      <c r="C215" s="751">
        <f t="shared" ca="1" si="51"/>
        <v>1</v>
      </c>
      <c r="D215" s="752">
        <f t="shared" ca="1" si="52"/>
        <v>2</v>
      </c>
      <c r="E215" s="752">
        <f t="shared" ca="1" si="53"/>
        <v>1</v>
      </c>
      <c r="F215" s="209"/>
      <c r="J215" s="65"/>
      <c r="K215" s="146"/>
      <c r="L215" s="567"/>
      <c r="M215" s="567"/>
      <c r="N215" s="737"/>
      <c r="O215" s="638"/>
      <c r="P215" s="147"/>
      <c r="Q215" s="65"/>
    </row>
    <row r="216" spans="1:17" s="148" customFormat="1" ht="14.1" customHeight="1" x14ac:dyDescent="0.2">
      <c r="A216" s="751">
        <f ca="1">IF($H216="UNIDADE CONSTRUTIVA",OFFSET(A216,-1,0)+1,LARGE(A$3:A215,1))</f>
        <v>0</v>
      </c>
      <c r="B216" s="751">
        <f t="shared" ref="B216:B279" ca="1" si="54">IF(H216="UNIDADE CONSTRUTIVA",0,IF(H216="CÉLULA CONSTRUTIVA",OFFSET(B216,-1,0)+1,OFFSET(B216,-1,0)))</f>
        <v>4</v>
      </c>
      <c r="C216" s="751">
        <f t="shared" ref="C216:C279" ca="1" si="55">IF(H216="CÉLULA CONSTRUTIVA",0,IF(H216="ETAPA",OFFSET(C216,-1,0)+1,OFFSET(C216,-1,0)))</f>
        <v>1</v>
      </c>
      <c r="D216" s="752">
        <f t="shared" ref="D216:D279" ca="1" si="56">IF(H216="ETAPA",0,IF(H216="SUBETAPA",OFFSET(D216,-1,0)+1,OFFSET(D216,-1,0)))</f>
        <v>2</v>
      </c>
      <c r="E216" s="752">
        <f t="shared" ref="E216:E279" ca="1" si="57">IF(H216="Subetapa",0,IF(H216="serviço",OFFSET(E216,-1,0)+1,OFFSET(E216,-1,0)))</f>
        <v>1</v>
      </c>
      <c r="F216" s="209"/>
      <c r="J216" s="65"/>
      <c r="K216" s="146"/>
      <c r="L216" s="567"/>
      <c r="M216" s="567"/>
      <c r="N216" s="737"/>
      <c r="O216" s="638"/>
      <c r="P216" s="147"/>
      <c r="Q216" s="65"/>
    </row>
    <row r="217" spans="1:17" s="148" customFormat="1" ht="14.1" customHeight="1" x14ac:dyDescent="0.2">
      <c r="A217" s="751">
        <f ca="1">IF($H217="UNIDADE CONSTRUTIVA",OFFSET(A217,-1,0)+1,LARGE(A$3:A216,1))</f>
        <v>0</v>
      </c>
      <c r="B217" s="751">
        <f t="shared" ca="1" si="54"/>
        <v>4</v>
      </c>
      <c r="C217" s="751">
        <f t="shared" ca="1" si="55"/>
        <v>1</v>
      </c>
      <c r="D217" s="752">
        <f t="shared" ca="1" si="56"/>
        <v>2</v>
      </c>
      <c r="E217" s="752">
        <f t="shared" ca="1" si="57"/>
        <v>1</v>
      </c>
      <c r="F217" s="209"/>
      <c r="J217" s="65"/>
      <c r="K217" s="146"/>
      <c r="L217" s="567"/>
      <c r="M217" s="567"/>
      <c r="N217" s="737"/>
      <c r="O217" s="638"/>
      <c r="P217" s="147"/>
      <c r="Q217" s="65"/>
    </row>
    <row r="218" spans="1:17" s="148" customFormat="1" ht="14.1" customHeight="1" x14ac:dyDescent="0.2">
      <c r="A218" s="751">
        <f ca="1">IF($H218="UNIDADE CONSTRUTIVA",OFFSET(A218,-1,0)+1,LARGE(A$3:A217,1))</f>
        <v>0</v>
      </c>
      <c r="B218" s="751">
        <f t="shared" ca="1" si="54"/>
        <v>4</v>
      </c>
      <c r="C218" s="751">
        <f t="shared" ca="1" si="55"/>
        <v>1</v>
      </c>
      <c r="D218" s="752">
        <f t="shared" ca="1" si="56"/>
        <v>2</v>
      </c>
      <c r="E218" s="752">
        <f t="shared" ca="1" si="57"/>
        <v>1</v>
      </c>
      <c r="F218" s="209"/>
      <c r="J218" s="65"/>
      <c r="K218" s="146"/>
      <c r="L218" s="567"/>
      <c r="M218" s="567"/>
      <c r="N218" s="737"/>
      <c r="O218" s="638"/>
      <c r="P218" s="147"/>
      <c r="Q218" s="65"/>
    </row>
    <row r="219" spans="1:17" s="148" customFormat="1" ht="14.1" customHeight="1" x14ac:dyDescent="0.2">
      <c r="A219" s="751">
        <f ca="1">IF($H219="UNIDADE CONSTRUTIVA",OFFSET(A219,-1,0)+1,LARGE(A$3:A218,1))</f>
        <v>0</v>
      </c>
      <c r="B219" s="751">
        <f t="shared" ca="1" si="54"/>
        <v>4</v>
      </c>
      <c r="C219" s="751">
        <f t="shared" ca="1" si="55"/>
        <v>1</v>
      </c>
      <c r="D219" s="752">
        <f t="shared" ca="1" si="56"/>
        <v>2</v>
      </c>
      <c r="E219" s="752">
        <f t="shared" ca="1" si="57"/>
        <v>1</v>
      </c>
      <c r="F219" s="209"/>
      <c r="J219" s="65"/>
      <c r="K219" s="146"/>
      <c r="L219" s="567"/>
      <c r="M219" s="567"/>
      <c r="N219" s="737"/>
      <c r="O219" s="638"/>
      <c r="P219" s="147"/>
      <c r="Q219" s="65"/>
    </row>
    <row r="220" spans="1:17" s="148" customFormat="1" ht="14.1" customHeight="1" x14ac:dyDescent="0.2">
      <c r="A220" s="751">
        <f ca="1">IF($H220="UNIDADE CONSTRUTIVA",OFFSET(A220,-1,0)+1,LARGE(A$3:A219,1))</f>
        <v>0</v>
      </c>
      <c r="B220" s="751">
        <f t="shared" ca="1" si="54"/>
        <v>4</v>
      </c>
      <c r="C220" s="751">
        <f t="shared" ca="1" si="55"/>
        <v>1</v>
      </c>
      <c r="D220" s="752">
        <f t="shared" ca="1" si="56"/>
        <v>2</v>
      </c>
      <c r="E220" s="752">
        <f t="shared" ca="1" si="57"/>
        <v>1</v>
      </c>
      <c r="F220" s="209"/>
      <c r="J220" s="65"/>
      <c r="K220" s="146"/>
      <c r="L220" s="567"/>
      <c r="M220" s="567"/>
      <c r="N220" s="737"/>
      <c r="O220" s="638"/>
      <c r="P220" s="147"/>
      <c r="Q220" s="65"/>
    </row>
    <row r="221" spans="1:17" s="148" customFormat="1" ht="14.1" customHeight="1" x14ac:dyDescent="0.2">
      <c r="A221" s="751">
        <f ca="1">IF($H221="UNIDADE CONSTRUTIVA",OFFSET(A221,-1,0)+1,LARGE(A$3:A220,1))</f>
        <v>0</v>
      </c>
      <c r="B221" s="751">
        <f t="shared" ca="1" si="54"/>
        <v>4</v>
      </c>
      <c r="C221" s="751">
        <f t="shared" ca="1" si="55"/>
        <v>1</v>
      </c>
      <c r="D221" s="752">
        <f t="shared" ca="1" si="56"/>
        <v>2</v>
      </c>
      <c r="E221" s="752">
        <f t="shared" ca="1" si="57"/>
        <v>1</v>
      </c>
      <c r="F221" s="209"/>
      <c r="J221" s="65"/>
      <c r="K221" s="146"/>
      <c r="L221" s="567"/>
      <c r="M221" s="567"/>
      <c r="N221" s="737"/>
      <c r="O221" s="638"/>
      <c r="P221" s="147"/>
      <c r="Q221" s="65"/>
    </row>
    <row r="222" spans="1:17" s="148" customFormat="1" ht="14.1" customHeight="1" x14ac:dyDescent="0.2">
      <c r="A222" s="751">
        <f ca="1">IF($H222="UNIDADE CONSTRUTIVA",OFFSET(A222,-1,0)+1,LARGE(A$3:A221,1))</f>
        <v>0</v>
      </c>
      <c r="B222" s="751">
        <f t="shared" ca="1" si="54"/>
        <v>4</v>
      </c>
      <c r="C222" s="751">
        <f t="shared" ca="1" si="55"/>
        <v>1</v>
      </c>
      <c r="D222" s="752">
        <f t="shared" ca="1" si="56"/>
        <v>2</v>
      </c>
      <c r="E222" s="752">
        <f t="shared" ca="1" si="57"/>
        <v>1</v>
      </c>
      <c r="F222" s="209"/>
      <c r="J222" s="65"/>
      <c r="K222" s="146"/>
      <c r="L222" s="567"/>
      <c r="M222" s="567"/>
      <c r="N222" s="737"/>
      <c r="O222" s="638"/>
      <c r="P222" s="147"/>
      <c r="Q222" s="65"/>
    </row>
    <row r="223" spans="1:17" s="148" customFormat="1" ht="14.1" customHeight="1" x14ac:dyDescent="0.2">
      <c r="A223" s="751">
        <f ca="1">IF($H223="UNIDADE CONSTRUTIVA",OFFSET(A223,-1,0)+1,LARGE(A$3:A222,1))</f>
        <v>0</v>
      </c>
      <c r="B223" s="751">
        <f t="shared" ca="1" si="54"/>
        <v>4</v>
      </c>
      <c r="C223" s="751">
        <f t="shared" ca="1" si="55"/>
        <v>1</v>
      </c>
      <c r="D223" s="752">
        <f t="shared" ca="1" si="56"/>
        <v>2</v>
      </c>
      <c r="E223" s="752">
        <f t="shared" ca="1" si="57"/>
        <v>1</v>
      </c>
      <c r="F223" s="209"/>
      <c r="J223" s="65"/>
      <c r="K223" s="146"/>
      <c r="L223" s="567"/>
      <c r="M223" s="567"/>
      <c r="N223" s="737"/>
      <c r="O223" s="638"/>
      <c r="P223" s="147"/>
      <c r="Q223" s="65"/>
    </row>
    <row r="224" spans="1:17" s="148" customFormat="1" ht="14.1" customHeight="1" x14ac:dyDescent="0.2">
      <c r="A224" s="751">
        <f ca="1">IF($H224="UNIDADE CONSTRUTIVA",OFFSET(A224,-1,0)+1,LARGE(A$3:A223,1))</f>
        <v>0</v>
      </c>
      <c r="B224" s="751">
        <f t="shared" ca="1" si="54"/>
        <v>4</v>
      </c>
      <c r="C224" s="751">
        <f t="shared" ca="1" si="55"/>
        <v>1</v>
      </c>
      <c r="D224" s="752">
        <f t="shared" ca="1" si="56"/>
        <v>2</v>
      </c>
      <c r="E224" s="752">
        <f t="shared" ca="1" si="57"/>
        <v>1</v>
      </c>
      <c r="F224" s="209"/>
      <c r="J224" s="65"/>
      <c r="K224" s="146"/>
      <c r="L224" s="567"/>
      <c r="M224" s="567"/>
      <c r="N224" s="737"/>
      <c r="O224" s="638"/>
      <c r="P224" s="147"/>
      <c r="Q224" s="65"/>
    </row>
    <row r="225" spans="1:17" s="148" customFormat="1" ht="14.1" customHeight="1" x14ac:dyDescent="0.2">
      <c r="A225" s="751">
        <f ca="1">IF($H225="UNIDADE CONSTRUTIVA",OFFSET(A225,-1,0)+1,LARGE(A$3:A224,1))</f>
        <v>0</v>
      </c>
      <c r="B225" s="751">
        <f t="shared" ca="1" si="54"/>
        <v>4</v>
      </c>
      <c r="C225" s="751">
        <f t="shared" ca="1" si="55"/>
        <v>1</v>
      </c>
      <c r="D225" s="752">
        <f t="shared" ca="1" si="56"/>
        <v>2</v>
      </c>
      <c r="E225" s="752">
        <f t="shared" ca="1" si="57"/>
        <v>1</v>
      </c>
      <c r="F225" s="209"/>
      <c r="J225" s="65"/>
      <c r="K225" s="146"/>
      <c r="L225" s="567"/>
      <c r="M225" s="567"/>
      <c r="N225" s="737"/>
      <c r="O225" s="638"/>
      <c r="P225" s="147"/>
      <c r="Q225" s="65"/>
    </row>
    <row r="226" spans="1:17" s="148" customFormat="1" ht="14.1" customHeight="1" x14ac:dyDescent="0.2">
      <c r="A226" s="751">
        <f ca="1">IF($H226="UNIDADE CONSTRUTIVA",OFFSET(A226,-1,0)+1,LARGE(A$3:A225,1))</f>
        <v>0</v>
      </c>
      <c r="B226" s="751">
        <f t="shared" ca="1" si="54"/>
        <v>4</v>
      </c>
      <c r="C226" s="751">
        <f t="shared" ca="1" si="55"/>
        <v>1</v>
      </c>
      <c r="D226" s="752">
        <f t="shared" ca="1" si="56"/>
        <v>2</v>
      </c>
      <c r="E226" s="752">
        <f t="shared" ca="1" si="57"/>
        <v>1</v>
      </c>
      <c r="F226" s="209"/>
      <c r="J226" s="65"/>
      <c r="K226" s="146"/>
      <c r="L226" s="567"/>
      <c r="M226" s="567"/>
      <c r="N226" s="737"/>
      <c r="O226" s="638"/>
      <c r="P226" s="147"/>
      <c r="Q226" s="65"/>
    </row>
    <row r="227" spans="1:17" s="148" customFormat="1" ht="14.1" customHeight="1" x14ac:dyDescent="0.2">
      <c r="A227" s="751">
        <f ca="1">IF($H227="UNIDADE CONSTRUTIVA",OFFSET(A227,-1,0)+1,LARGE(A$3:A226,1))</f>
        <v>0</v>
      </c>
      <c r="B227" s="751">
        <f t="shared" ca="1" si="54"/>
        <v>4</v>
      </c>
      <c r="C227" s="751">
        <f t="shared" ca="1" si="55"/>
        <v>1</v>
      </c>
      <c r="D227" s="752">
        <f t="shared" ca="1" si="56"/>
        <v>2</v>
      </c>
      <c r="E227" s="752">
        <f t="shared" ca="1" si="57"/>
        <v>1</v>
      </c>
      <c r="F227" s="209"/>
      <c r="J227" s="65"/>
      <c r="K227" s="146"/>
      <c r="L227" s="567"/>
      <c r="M227" s="567"/>
      <c r="N227" s="737"/>
      <c r="O227" s="638"/>
      <c r="P227" s="147"/>
      <c r="Q227" s="65"/>
    </row>
    <row r="228" spans="1:17" s="148" customFormat="1" ht="14.1" customHeight="1" x14ac:dyDescent="0.2">
      <c r="A228" s="751">
        <f ca="1">IF($H228="UNIDADE CONSTRUTIVA",OFFSET(A228,-1,0)+1,LARGE(A$3:A227,1))</f>
        <v>0</v>
      </c>
      <c r="B228" s="751">
        <f t="shared" ca="1" si="54"/>
        <v>4</v>
      </c>
      <c r="C228" s="751">
        <f t="shared" ca="1" si="55"/>
        <v>1</v>
      </c>
      <c r="D228" s="752">
        <f t="shared" ca="1" si="56"/>
        <v>2</v>
      </c>
      <c r="E228" s="752">
        <f t="shared" ca="1" si="57"/>
        <v>1</v>
      </c>
      <c r="F228" s="209"/>
      <c r="J228" s="65"/>
      <c r="K228" s="146"/>
      <c r="L228" s="567"/>
      <c r="M228" s="567"/>
      <c r="N228" s="737"/>
      <c r="O228" s="638"/>
      <c r="P228" s="147"/>
      <c r="Q228" s="65"/>
    </row>
    <row r="229" spans="1:17" s="148" customFormat="1" ht="14.1" customHeight="1" x14ac:dyDescent="0.2">
      <c r="A229" s="751">
        <f ca="1">IF($H229="UNIDADE CONSTRUTIVA",OFFSET(A229,-1,0)+1,LARGE(A$3:A228,1))</f>
        <v>0</v>
      </c>
      <c r="B229" s="751">
        <f t="shared" ca="1" si="54"/>
        <v>4</v>
      </c>
      <c r="C229" s="751">
        <f t="shared" ca="1" si="55"/>
        <v>1</v>
      </c>
      <c r="D229" s="752">
        <f t="shared" ca="1" si="56"/>
        <v>2</v>
      </c>
      <c r="E229" s="752">
        <f t="shared" ca="1" si="57"/>
        <v>1</v>
      </c>
      <c r="F229" s="209"/>
      <c r="J229" s="65"/>
      <c r="K229" s="146"/>
      <c r="L229" s="567"/>
      <c r="M229" s="567"/>
      <c r="N229" s="737"/>
      <c r="O229" s="638"/>
      <c r="P229" s="147"/>
      <c r="Q229" s="65"/>
    </row>
    <row r="230" spans="1:17" s="148" customFormat="1" ht="14.1" customHeight="1" x14ac:dyDescent="0.2">
      <c r="A230" s="751">
        <f ca="1">IF($H230="UNIDADE CONSTRUTIVA",OFFSET(A230,-1,0)+1,LARGE(A$3:A229,1))</f>
        <v>0</v>
      </c>
      <c r="B230" s="751">
        <f t="shared" ca="1" si="54"/>
        <v>4</v>
      </c>
      <c r="C230" s="751">
        <f t="shared" ca="1" si="55"/>
        <v>1</v>
      </c>
      <c r="D230" s="752">
        <f t="shared" ca="1" si="56"/>
        <v>2</v>
      </c>
      <c r="E230" s="752">
        <f t="shared" ca="1" si="57"/>
        <v>1</v>
      </c>
      <c r="F230" s="209"/>
      <c r="J230" s="65"/>
      <c r="K230" s="146"/>
      <c r="L230" s="567"/>
      <c r="M230" s="567"/>
      <c r="N230" s="737"/>
      <c r="O230" s="638"/>
      <c r="P230" s="147"/>
      <c r="Q230" s="65"/>
    </row>
    <row r="231" spans="1:17" s="148" customFormat="1" ht="14.1" customHeight="1" x14ac:dyDescent="0.2">
      <c r="A231" s="751">
        <f ca="1">IF($H231="UNIDADE CONSTRUTIVA",OFFSET(A231,-1,0)+1,LARGE(A$3:A230,1))</f>
        <v>0</v>
      </c>
      <c r="B231" s="751">
        <f t="shared" ca="1" si="54"/>
        <v>4</v>
      </c>
      <c r="C231" s="751">
        <f t="shared" ca="1" si="55"/>
        <v>1</v>
      </c>
      <c r="D231" s="752">
        <f t="shared" ca="1" si="56"/>
        <v>2</v>
      </c>
      <c r="E231" s="752">
        <f t="shared" ca="1" si="57"/>
        <v>1</v>
      </c>
      <c r="F231" s="209"/>
      <c r="J231" s="65"/>
      <c r="K231" s="146"/>
      <c r="L231" s="567"/>
      <c r="M231" s="567"/>
      <c r="N231" s="737"/>
      <c r="O231" s="638"/>
      <c r="P231" s="147"/>
      <c r="Q231" s="65"/>
    </row>
    <row r="232" spans="1:17" s="148" customFormat="1" ht="14.1" customHeight="1" x14ac:dyDescent="0.2">
      <c r="A232" s="751">
        <f ca="1">IF($H232="UNIDADE CONSTRUTIVA",OFFSET(A232,-1,0)+1,LARGE(A$3:A231,1))</f>
        <v>0</v>
      </c>
      <c r="B232" s="751">
        <f t="shared" ca="1" si="54"/>
        <v>4</v>
      </c>
      <c r="C232" s="751">
        <f t="shared" ca="1" si="55"/>
        <v>1</v>
      </c>
      <c r="D232" s="752">
        <f t="shared" ca="1" si="56"/>
        <v>2</v>
      </c>
      <c r="E232" s="752">
        <f t="shared" ca="1" si="57"/>
        <v>1</v>
      </c>
      <c r="F232" s="209"/>
      <c r="J232" s="65"/>
      <c r="K232" s="146"/>
      <c r="L232" s="567"/>
      <c r="M232" s="567"/>
      <c r="N232" s="737"/>
      <c r="O232" s="638"/>
      <c r="P232" s="147"/>
      <c r="Q232" s="65"/>
    </row>
    <row r="233" spans="1:17" s="148" customFormat="1" ht="14.1" customHeight="1" x14ac:dyDescent="0.2">
      <c r="A233" s="751">
        <f ca="1">IF($H233="UNIDADE CONSTRUTIVA",OFFSET(A233,-1,0)+1,LARGE(A$3:A232,1))</f>
        <v>0</v>
      </c>
      <c r="B233" s="751">
        <f t="shared" ca="1" si="54"/>
        <v>4</v>
      </c>
      <c r="C233" s="751">
        <f t="shared" ca="1" si="55"/>
        <v>1</v>
      </c>
      <c r="D233" s="752">
        <f t="shared" ca="1" si="56"/>
        <v>2</v>
      </c>
      <c r="E233" s="752">
        <f t="shared" ca="1" si="57"/>
        <v>1</v>
      </c>
      <c r="F233" s="209"/>
      <c r="J233" s="65"/>
      <c r="K233" s="146"/>
      <c r="L233" s="567"/>
      <c r="M233" s="567"/>
      <c r="N233" s="737"/>
      <c r="O233" s="638"/>
      <c r="P233" s="147"/>
      <c r="Q233" s="65"/>
    </row>
    <row r="234" spans="1:17" s="148" customFormat="1" ht="14.1" customHeight="1" x14ac:dyDescent="0.2">
      <c r="A234" s="751">
        <f ca="1">IF($H234="UNIDADE CONSTRUTIVA",OFFSET(A234,-1,0)+1,LARGE(A$3:A233,1))</f>
        <v>0</v>
      </c>
      <c r="B234" s="751">
        <f t="shared" ca="1" si="54"/>
        <v>4</v>
      </c>
      <c r="C234" s="751">
        <f t="shared" ca="1" si="55"/>
        <v>1</v>
      </c>
      <c r="D234" s="752">
        <f t="shared" ca="1" si="56"/>
        <v>2</v>
      </c>
      <c r="E234" s="752">
        <f t="shared" ca="1" si="57"/>
        <v>1</v>
      </c>
      <c r="F234" s="209"/>
      <c r="J234" s="65"/>
      <c r="K234" s="146"/>
      <c r="L234" s="567"/>
      <c r="M234" s="567"/>
      <c r="N234" s="737"/>
      <c r="O234" s="638"/>
      <c r="P234" s="147"/>
      <c r="Q234" s="65"/>
    </row>
    <row r="235" spans="1:17" s="148" customFormat="1" ht="14.1" customHeight="1" x14ac:dyDescent="0.2">
      <c r="A235" s="751">
        <f ca="1">IF($H235="UNIDADE CONSTRUTIVA",OFFSET(A235,-1,0)+1,LARGE(A$3:A234,1))</f>
        <v>0</v>
      </c>
      <c r="B235" s="751">
        <f t="shared" ca="1" si="54"/>
        <v>4</v>
      </c>
      <c r="C235" s="751">
        <f t="shared" ca="1" si="55"/>
        <v>1</v>
      </c>
      <c r="D235" s="752">
        <f t="shared" ca="1" si="56"/>
        <v>2</v>
      </c>
      <c r="E235" s="752">
        <f t="shared" ca="1" si="57"/>
        <v>1</v>
      </c>
      <c r="F235" s="209"/>
      <c r="J235" s="65"/>
      <c r="K235" s="146"/>
      <c r="L235" s="567"/>
      <c r="M235" s="567"/>
      <c r="N235" s="737"/>
      <c r="O235" s="638"/>
      <c r="P235" s="147"/>
      <c r="Q235" s="65"/>
    </row>
    <row r="236" spans="1:17" s="148" customFormat="1" ht="14.1" customHeight="1" x14ac:dyDescent="0.2">
      <c r="A236" s="751">
        <f ca="1">IF($H236="UNIDADE CONSTRUTIVA",OFFSET(A236,-1,0)+1,LARGE(A$3:A235,1))</f>
        <v>0</v>
      </c>
      <c r="B236" s="751">
        <f t="shared" ca="1" si="54"/>
        <v>4</v>
      </c>
      <c r="C236" s="751">
        <f t="shared" ca="1" si="55"/>
        <v>1</v>
      </c>
      <c r="D236" s="752">
        <f t="shared" ca="1" si="56"/>
        <v>2</v>
      </c>
      <c r="E236" s="752">
        <f t="shared" ca="1" si="57"/>
        <v>1</v>
      </c>
      <c r="F236" s="209"/>
      <c r="J236" s="65"/>
      <c r="K236" s="146"/>
      <c r="L236" s="567"/>
      <c r="M236" s="567"/>
      <c r="N236" s="737"/>
      <c r="O236" s="638"/>
      <c r="P236" s="147"/>
      <c r="Q236" s="65"/>
    </row>
    <row r="237" spans="1:17" s="148" customFormat="1" ht="14.1" customHeight="1" x14ac:dyDescent="0.2">
      <c r="A237" s="751">
        <f ca="1">IF($H237="UNIDADE CONSTRUTIVA",OFFSET(A237,-1,0)+1,LARGE(A$3:A236,1))</f>
        <v>0</v>
      </c>
      <c r="B237" s="751">
        <f t="shared" ca="1" si="54"/>
        <v>4</v>
      </c>
      <c r="C237" s="751">
        <f t="shared" ca="1" si="55"/>
        <v>1</v>
      </c>
      <c r="D237" s="752">
        <f t="shared" ca="1" si="56"/>
        <v>2</v>
      </c>
      <c r="E237" s="752">
        <f t="shared" ca="1" si="57"/>
        <v>1</v>
      </c>
      <c r="F237" s="209"/>
      <c r="J237" s="65"/>
      <c r="K237" s="146"/>
      <c r="L237" s="567"/>
      <c r="M237" s="567"/>
      <c r="N237" s="737"/>
      <c r="O237" s="638"/>
      <c r="P237" s="147"/>
      <c r="Q237" s="65"/>
    </row>
    <row r="238" spans="1:17" s="148" customFormat="1" ht="14.1" customHeight="1" x14ac:dyDescent="0.2">
      <c r="A238" s="751">
        <f ca="1">IF($H238="UNIDADE CONSTRUTIVA",OFFSET(A238,-1,0)+1,LARGE(A$3:A237,1))</f>
        <v>0</v>
      </c>
      <c r="B238" s="751">
        <f t="shared" ca="1" si="54"/>
        <v>4</v>
      </c>
      <c r="C238" s="751">
        <f t="shared" ca="1" si="55"/>
        <v>1</v>
      </c>
      <c r="D238" s="752">
        <f t="shared" ca="1" si="56"/>
        <v>2</v>
      </c>
      <c r="E238" s="752">
        <f t="shared" ca="1" si="57"/>
        <v>1</v>
      </c>
      <c r="F238" s="209"/>
      <c r="J238" s="65"/>
      <c r="K238" s="146"/>
      <c r="L238" s="567"/>
      <c r="M238" s="567"/>
      <c r="N238" s="737"/>
      <c r="O238" s="638"/>
      <c r="P238" s="147"/>
      <c r="Q238" s="65"/>
    </row>
    <row r="239" spans="1:17" s="148" customFormat="1" ht="14.1" customHeight="1" x14ac:dyDescent="0.2">
      <c r="A239" s="751">
        <f ca="1">IF($H239="UNIDADE CONSTRUTIVA",OFFSET(A239,-1,0)+1,LARGE(A$3:A238,1))</f>
        <v>0</v>
      </c>
      <c r="B239" s="751">
        <f t="shared" ca="1" si="54"/>
        <v>4</v>
      </c>
      <c r="C239" s="751">
        <f t="shared" ca="1" si="55"/>
        <v>1</v>
      </c>
      <c r="D239" s="752">
        <f t="shared" ca="1" si="56"/>
        <v>2</v>
      </c>
      <c r="E239" s="752">
        <f t="shared" ca="1" si="57"/>
        <v>1</v>
      </c>
      <c r="F239" s="209"/>
      <c r="J239" s="65"/>
      <c r="K239" s="146"/>
      <c r="L239" s="567"/>
      <c r="M239" s="567"/>
      <c r="N239" s="737"/>
      <c r="O239" s="638"/>
      <c r="P239" s="147"/>
      <c r="Q239" s="65"/>
    </row>
    <row r="240" spans="1:17" s="148" customFormat="1" ht="14.1" customHeight="1" x14ac:dyDescent="0.2">
      <c r="A240" s="751">
        <f ca="1">IF($H240="UNIDADE CONSTRUTIVA",OFFSET(A240,-1,0)+1,LARGE(A$3:A239,1))</f>
        <v>0</v>
      </c>
      <c r="B240" s="751">
        <f t="shared" ca="1" si="54"/>
        <v>4</v>
      </c>
      <c r="C240" s="751">
        <f t="shared" ca="1" si="55"/>
        <v>1</v>
      </c>
      <c r="D240" s="752">
        <f t="shared" ca="1" si="56"/>
        <v>2</v>
      </c>
      <c r="E240" s="752">
        <f t="shared" ca="1" si="57"/>
        <v>1</v>
      </c>
      <c r="F240" s="209"/>
      <c r="J240" s="65"/>
      <c r="K240" s="146"/>
      <c r="L240" s="567"/>
      <c r="M240" s="567"/>
      <c r="N240" s="737"/>
      <c r="O240" s="638"/>
      <c r="P240" s="147"/>
      <c r="Q240" s="65"/>
    </row>
    <row r="241" spans="1:17" s="148" customFormat="1" ht="14.1" customHeight="1" x14ac:dyDescent="0.2">
      <c r="A241" s="751">
        <f ca="1">IF($H241="UNIDADE CONSTRUTIVA",OFFSET(A241,-1,0)+1,LARGE(A$3:A240,1))</f>
        <v>0</v>
      </c>
      <c r="B241" s="751">
        <f t="shared" ca="1" si="54"/>
        <v>4</v>
      </c>
      <c r="C241" s="751">
        <f t="shared" ca="1" si="55"/>
        <v>1</v>
      </c>
      <c r="D241" s="752">
        <f t="shared" ca="1" si="56"/>
        <v>2</v>
      </c>
      <c r="E241" s="752">
        <f t="shared" ca="1" si="57"/>
        <v>1</v>
      </c>
      <c r="F241" s="209"/>
      <c r="J241" s="65"/>
      <c r="K241" s="146"/>
      <c r="L241" s="567"/>
      <c r="M241" s="567"/>
      <c r="N241" s="737"/>
      <c r="O241" s="638"/>
      <c r="P241" s="147"/>
      <c r="Q241" s="65"/>
    </row>
    <row r="242" spans="1:17" s="148" customFormat="1" ht="14.1" customHeight="1" x14ac:dyDescent="0.2">
      <c r="A242" s="751">
        <f ca="1">IF($H242="UNIDADE CONSTRUTIVA",OFFSET(A242,-1,0)+1,LARGE(A$3:A241,1))</f>
        <v>0</v>
      </c>
      <c r="B242" s="751">
        <f t="shared" ca="1" si="54"/>
        <v>4</v>
      </c>
      <c r="C242" s="751">
        <f t="shared" ca="1" si="55"/>
        <v>1</v>
      </c>
      <c r="D242" s="752">
        <f t="shared" ca="1" si="56"/>
        <v>2</v>
      </c>
      <c r="E242" s="752">
        <f t="shared" ca="1" si="57"/>
        <v>1</v>
      </c>
      <c r="F242" s="209"/>
      <c r="J242" s="65"/>
      <c r="K242" s="146"/>
      <c r="L242" s="567"/>
      <c r="M242" s="567"/>
      <c r="N242" s="737"/>
      <c r="O242" s="638"/>
      <c r="P242" s="147"/>
      <c r="Q242" s="65"/>
    </row>
    <row r="243" spans="1:17" s="148" customFormat="1" ht="14.1" customHeight="1" x14ac:dyDescent="0.2">
      <c r="A243" s="751">
        <f ca="1">IF($H243="UNIDADE CONSTRUTIVA",OFFSET(A243,-1,0)+1,LARGE(A$3:A242,1))</f>
        <v>0</v>
      </c>
      <c r="B243" s="751">
        <f t="shared" ca="1" si="54"/>
        <v>4</v>
      </c>
      <c r="C243" s="751">
        <f t="shared" ca="1" si="55"/>
        <v>1</v>
      </c>
      <c r="D243" s="752">
        <f t="shared" ca="1" si="56"/>
        <v>2</v>
      </c>
      <c r="E243" s="752">
        <f t="shared" ca="1" si="57"/>
        <v>1</v>
      </c>
      <c r="F243" s="209"/>
      <c r="J243" s="65"/>
      <c r="K243" s="146"/>
      <c r="L243" s="567"/>
      <c r="M243" s="567"/>
      <c r="N243" s="737"/>
      <c r="O243" s="638"/>
      <c r="P243" s="147"/>
      <c r="Q243" s="65"/>
    </row>
    <row r="244" spans="1:17" s="148" customFormat="1" ht="14.1" customHeight="1" x14ac:dyDescent="0.2">
      <c r="A244" s="751">
        <f ca="1">IF($H244="UNIDADE CONSTRUTIVA",OFFSET(A244,-1,0)+1,LARGE(A$3:A243,1))</f>
        <v>0</v>
      </c>
      <c r="B244" s="751">
        <f t="shared" ca="1" si="54"/>
        <v>4</v>
      </c>
      <c r="C244" s="751">
        <f t="shared" ca="1" si="55"/>
        <v>1</v>
      </c>
      <c r="D244" s="752">
        <f t="shared" ca="1" si="56"/>
        <v>2</v>
      </c>
      <c r="E244" s="752">
        <f t="shared" ca="1" si="57"/>
        <v>1</v>
      </c>
      <c r="F244" s="209"/>
      <c r="J244" s="65"/>
      <c r="K244" s="146"/>
      <c r="L244" s="567"/>
      <c r="M244" s="567"/>
      <c r="N244" s="737"/>
      <c r="O244" s="638"/>
      <c r="P244" s="147"/>
      <c r="Q244" s="65"/>
    </row>
    <row r="245" spans="1:17" s="148" customFormat="1" ht="14.1" customHeight="1" x14ac:dyDescent="0.2">
      <c r="A245" s="751">
        <f ca="1">IF($H245="UNIDADE CONSTRUTIVA",OFFSET(A245,-1,0)+1,LARGE(A$3:A244,1))</f>
        <v>0</v>
      </c>
      <c r="B245" s="751">
        <f t="shared" ca="1" si="54"/>
        <v>4</v>
      </c>
      <c r="C245" s="751">
        <f t="shared" ca="1" si="55"/>
        <v>1</v>
      </c>
      <c r="D245" s="752">
        <f t="shared" ca="1" si="56"/>
        <v>2</v>
      </c>
      <c r="E245" s="752">
        <f t="shared" ca="1" si="57"/>
        <v>1</v>
      </c>
      <c r="F245" s="209"/>
      <c r="J245" s="65"/>
      <c r="K245" s="146"/>
      <c r="L245" s="567"/>
      <c r="M245" s="567"/>
      <c r="N245" s="737"/>
      <c r="O245" s="638"/>
      <c r="P245" s="147"/>
      <c r="Q245" s="65"/>
    </row>
    <row r="246" spans="1:17" s="148" customFormat="1" ht="14.1" customHeight="1" x14ac:dyDescent="0.2">
      <c r="A246" s="751">
        <f ca="1">IF($H246="UNIDADE CONSTRUTIVA",OFFSET(A246,-1,0)+1,LARGE(A$3:A245,1))</f>
        <v>0</v>
      </c>
      <c r="B246" s="751">
        <f t="shared" ca="1" si="54"/>
        <v>4</v>
      </c>
      <c r="C246" s="751">
        <f t="shared" ca="1" si="55"/>
        <v>1</v>
      </c>
      <c r="D246" s="752">
        <f t="shared" ca="1" si="56"/>
        <v>2</v>
      </c>
      <c r="E246" s="752">
        <f t="shared" ca="1" si="57"/>
        <v>1</v>
      </c>
      <c r="F246" s="209"/>
      <c r="J246" s="65"/>
      <c r="K246" s="146"/>
      <c r="L246" s="567"/>
      <c r="M246" s="567"/>
      <c r="N246" s="737"/>
      <c r="O246" s="638"/>
      <c r="P246" s="147"/>
      <c r="Q246" s="65"/>
    </row>
    <row r="247" spans="1:17" s="148" customFormat="1" ht="14.1" customHeight="1" x14ac:dyDescent="0.2">
      <c r="A247" s="751">
        <f ca="1">IF($H247="UNIDADE CONSTRUTIVA",OFFSET(A247,-1,0)+1,LARGE(A$3:A246,1))</f>
        <v>0</v>
      </c>
      <c r="B247" s="751">
        <f t="shared" ca="1" si="54"/>
        <v>4</v>
      </c>
      <c r="C247" s="751">
        <f t="shared" ca="1" si="55"/>
        <v>1</v>
      </c>
      <c r="D247" s="752">
        <f t="shared" ca="1" si="56"/>
        <v>2</v>
      </c>
      <c r="E247" s="752">
        <f t="shared" ca="1" si="57"/>
        <v>1</v>
      </c>
      <c r="F247" s="209"/>
      <c r="J247" s="65"/>
      <c r="K247" s="146"/>
      <c r="L247" s="567"/>
      <c r="M247" s="567"/>
      <c r="N247" s="737"/>
      <c r="O247" s="638"/>
      <c r="P247" s="147"/>
      <c r="Q247" s="65"/>
    </row>
    <row r="248" spans="1:17" s="148" customFormat="1" ht="14.1" customHeight="1" x14ac:dyDescent="0.2">
      <c r="A248" s="751">
        <f ca="1">IF($H248="UNIDADE CONSTRUTIVA",OFFSET(A248,-1,0)+1,LARGE(A$3:A247,1))</f>
        <v>0</v>
      </c>
      <c r="B248" s="751">
        <f t="shared" ca="1" si="54"/>
        <v>4</v>
      </c>
      <c r="C248" s="751">
        <f t="shared" ca="1" si="55"/>
        <v>1</v>
      </c>
      <c r="D248" s="752">
        <f t="shared" ca="1" si="56"/>
        <v>2</v>
      </c>
      <c r="E248" s="752">
        <f t="shared" ca="1" si="57"/>
        <v>1</v>
      </c>
      <c r="F248" s="209"/>
      <c r="J248" s="65"/>
      <c r="K248" s="146"/>
      <c r="L248" s="567"/>
      <c r="M248" s="567"/>
      <c r="N248" s="737"/>
      <c r="O248" s="638"/>
      <c r="P248" s="147"/>
      <c r="Q248" s="65"/>
    </row>
    <row r="249" spans="1:17" s="148" customFormat="1" ht="14.1" customHeight="1" x14ac:dyDescent="0.2">
      <c r="A249" s="751">
        <f ca="1">IF($H249="UNIDADE CONSTRUTIVA",OFFSET(A249,-1,0)+1,LARGE(A$3:A248,1))</f>
        <v>0</v>
      </c>
      <c r="B249" s="751">
        <f t="shared" ca="1" si="54"/>
        <v>4</v>
      </c>
      <c r="C249" s="751">
        <f t="shared" ca="1" si="55"/>
        <v>1</v>
      </c>
      <c r="D249" s="752">
        <f t="shared" ca="1" si="56"/>
        <v>2</v>
      </c>
      <c r="E249" s="752">
        <f t="shared" ca="1" si="57"/>
        <v>1</v>
      </c>
      <c r="F249" s="209"/>
      <c r="J249" s="65"/>
      <c r="K249" s="146"/>
      <c r="L249" s="567"/>
      <c r="M249" s="567"/>
      <c r="N249" s="737"/>
      <c r="O249" s="638"/>
      <c r="P249" s="147"/>
      <c r="Q249" s="65"/>
    </row>
    <row r="250" spans="1:17" s="148" customFormat="1" ht="14.1" customHeight="1" x14ac:dyDescent="0.2">
      <c r="A250" s="751">
        <f ca="1">IF($H250="UNIDADE CONSTRUTIVA",OFFSET(A250,-1,0)+1,LARGE(A$3:A249,1))</f>
        <v>0</v>
      </c>
      <c r="B250" s="751">
        <f t="shared" ca="1" si="54"/>
        <v>4</v>
      </c>
      <c r="C250" s="751">
        <f t="shared" ca="1" si="55"/>
        <v>1</v>
      </c>
      <c r="D250" s="752">
        <f t="shared" ca="1" si="56"/>
        <v>2</v>
      </c>
      <c r="E250" s="752">
        <f t="shared" ca="1" si="57"/>
        <v>1</v>
      </c>
      <c r="F250" s="209"/>
      <c r="J250" s="65"/>
      <c r="K250" s="146"/>
      <c r="L250" s="567"/>
      <c r="M250" s="567"/>
      <c r="N250" s="737"/>
      <c r="O250" s="638"/>
      <c r="P250" s="147"/>
      <c r="Q250" s="65"/>
    </row>
    <row r="251" spans="1:17" s="148" customFormat="1" ht="14.1" customHeight="1" x14ac:dyDescent="0.2">
      <c r="A251" s="751">
        <f ca="1">IF($H251="UNIDADE CONSTRUTIVA",OFFSET(A251,-1,0)+1,LARGE(A$3:A250,1))</f>
        <v>0</v>
      </c>
      <c r="B251" s="751">
        <f t="shared" ca="1" si="54"/>
        <v>4</v>
      </c>
      <c r="C251" s="751">
        <f t="shared" ca="1" si="55"/>
        <v>1</v>
      </c>
      <c r="D251" s="752">
        <f t="shared" ca="1" si="56"/>
        <v>2</v>
      </c>
      <c r="E251" s="752">
        <f t="shared" ca="1" si="57"/>
        <v>1</v>
      </c>
      <c r="F251" s="209"/>
      <c r="J251" s="65"/>
      <c r="K251" s="146"/>
      <c r="L251" s="567"/>
      <c r="M251" s="567"/>
      <c r="N251" s="737"/>
      <c r="O251" s="638"/>
      <c r="P251" s="147"/>
      <c r="Q251" s="65"/>
    </row>
    <row r="252" spans="1:17" s="148" customFormat="1" ht="14.1" customHeight="1" x14ac:dyDescent="0.2">
      <c r="A252" s="751">
        <f ca="1">IF($H252="UNIDADE CONSTRUTIVA",OFFSET(A252,-1,0)+1,LARGE(A$3:A251,1))</f>
        <v>0</v>
      </c>
      <c r="B252" s="751">
        <f t="shared" ca="1" si="54"/>
        <v>4</v>
      </c>
      <c r="C252" s="751">
        <f t="shared" ca="1" si="55"/>
        <v>1</v>
      </c>
      <c r="D252" s="752">
        <f t="shared" ca="1" si="56"/>
        <v>2</v>
      </c>
      <c r="E252" s="752">
        <f t="shared" ca="1" si="57"/>
        <v>1</v>
      </c>
      <c r="F252" s="209"/>
      <c r="J252" s="65"/>
      <c r="K252" s="146"/>
      <c r="L252" s="567"/>
      <c r="M252" s="567"/>
      <c r="N252" s="737"/>
      <c r="O252" s="638"/>
      <c r="P252" s="147"/>
      <c r="Q252" s="65"/>
    </row>
    <row r="253" spans="1:17" s="148" customFormat="1" ht="14.1" customHeight="1" x14ac:dyDescent="0.2">
      <c r="A253" s="751">
        <f ca="1">IF($H253="UNIDADE CONSTRUTIVA",OFFSET(A253,-1,0)+1,LARGE(A$3:A252,1))</f>
        <v>0</v>
      </c>
      <c r="B253" s="751">
        <f t="shared" ca="1" si="54"/>
        <v>4</v>
      </c>
      <c r="C253" s="751">
        <f t="shared" ca="1" si="55"/>
        <v>1</v>
      </c>
      <c r="D253" s="752">
        <f t="shared" ca="1" si="56"/>
        <v>2</v>
      </c>
      <c r="E253" s="752">
        <f t="shared" ca="1" si="57"/>
        <v>1</v>
      </c>
      <c r="F253" s="209"/>
      <c r="J253" s="65"/>
      <c r="K253" s="146"/>
      <c r="L253" s="567"/>
      <c r="M253" s="567"/>
      <c r="N253" s="737"/>
      <c r="O253" s="638"/>
      <c r="P253" s="147"/>
      <c r="Q253" s="65"/>
    </row>
    <row r="254" spans="1:17" s="148" customFormat="1" ht="14.1" customHeight="1" x14ac:dyDescent="0.2">
      <c r="A254" s="751">
        <f ca="1">IF($H254="UNIDADE CONSTRUTIVA",OFFSET(A254,-1,0)+1,LARGE(A$3:A253,1))</f>
        <v>0</v>
      </c>
      <c r="B254" s="751">
        <f t="shared" ca="1" si="54"/>
        <v>4</v>
      </c>
      <c r="C254" s="751">
        <f t="shared" ca="1" si="55"/>
        <v>1</v>
      </c>
      <c r="D254" s="752">
        <f t="shared" ca="1" si="56"/>
        <v>2</v>
      </c>
      <c r="E254" s="752">
        <f t="shared" ca="1" si="57"/>
        <v>1</v>
      </c>
      <c r="F254" s="209"/>
      <c r="J254" s="65"/>
      <c r="K254" s="146"/>
      <c r="L254" s="567"/>
      <c r="M254" s="567"/>
      <c r="N254" s="737"/>
      <c r="O254" s="638"/>
      <c r="P254" s="147"/>
      <c r="Q254" s="65"/>
    </row>
    <row r="255" spans="1:17" s="148" customFormat="1" ht="14.1" customHeight="1" x14ac:dyDescent="0.2">
      <c r="A255" s="751">
        <f ca="1">IF($H255="UNIDADE CONSTRUTIVA",OFFSET(A255,-1,0)+1,LARGE(A$3:A254,1))</f>
        <v>0</v>
      </c>
      <c r="B255" s="751">
        <f t="shared" ca="1" si="54"/>
        <v>4</v>
      </c>
      <c r="C255" s="751">
        <f t="shared" ca="1" si="55"/>
        <v>1</v>
      </c>
      <c r="D255" s="752">
        <f t="shared" ca="1" si="56"/>
        <v>2</v>
      </c>
      <c r="E255" s="752">
        <f t="shared" ca="1" si="57"/>
        <v>1</v>
      </c>
      <c r="F255" s="209"/>
      <c r="J255" s="65"/>
      <c r="K255" s="146"/>
      <c r="L255" s="567"/>
      <c r="M255" s="567"/>
      <c r="N255" s="737"/>
      <c r="O255" s="638"/>
      <c r="P255" s="147"/>
      <c r="Q255" s="65"/>
    </row>
    <row r="256" spans="1:17" s="148" customFormat="1" ht="14.1" customHeight="1" x14ac:dyDescent="0.2">
      <c r="A256" s="751">
        <f ca="1">IF($H256="UNIDADE CONSTRUTIVA",OFFSET(A256,-1,0)+1,LARGE(A$3:A255,1))</f>
        <v>0</v>
      </c>
      <c r="B256" s="751">
        <f t="shared" ca="1" si="54"/>
        <v>4</v>
      </c>
      <c r="C256" s="751">
        <f t="shared" ca="1" si="55"/>
        <v>1</v>
      </c>
      <c r="D256" s="752">
        <f t="shared" ca="1" si="56"/>
        <v>2</v>
      </c>
      <c r="E256" s="752">
        <f t="shared" ca="1" si="57"/>
        <v>1</v>
      </c>
      <c r="F256" s="209"/>
      <c r="J256" s="65"/>
      <c r="K256" s="146"/>
      <c r="L256" s="567"/>
      <c r="M256" s="567"/>
      <c r="N256" s="737"/>
      <c r="O256" s="638"/>
      <c r="P256" s="147"/>
      <c r="Q256" s="65"/>
    </row>
    <row r="257" spans="1:17" s="148" customFormat="1" ht="14.1" customHeight="1" x14ac:dyDescent="0.2">
      <c r="A257" s="751">
        <f ca="1">IF($H257="UNIDADE CONSTRUTIVA",OFFSET(A257,-1,0)+1,LARGE(A$3:A256,1))</f>
        <v>0</v>
      </c>
      <c r="B257" s="751">
        <f t="shared" ca="1" si="54"/>
        <v>4</v>
      </c>
      <c r="C257" s="751">
        <f t="shared" ca="1" si="55"/>
        <v>1</v>
      </c>
      <c r="D257" s="752">
        <f t="shared" ca="1" si="56"/>
        <v>2</v>
      </c>
      <c r="E257" s="752">
        <f t="shared" ca="1" si="57"/>
        <v>1</v>
      </c>
      <c r="F257" s="209"/>
      <c r="J257" s="65"/>
      <c r="K257" s="146"/>
      <c r="L257" s="567"/>
      <c r="M257" s="567"/>
      <c r="N257" s="737"/>
      <c r="O257" s="638"/>
      <c r="P257" s="147"/>
      <c r="Q257" s="65"/>
    </row>
    <row r="258" spans="1:17" s="148" customFormat="1" ht="14.1" customHeight="1" x14ac:dyDescent="0.2">
      <c r="A258" s="751">
        <f ca="1">IF($H258="UNIDADE CONSTRUTIVA",OFFSET(A258,-1,0)+1,LARGE(A$3:A257,1))</f>
        <v>0</v>
      </c>
      <c r="B258" s="751">
        <f t="shared" ca="1" si="54"/>
        <v>4</v>
      </c>
      <c r="C258" s="751">
        <f t="shared" ca="1" si="55"/>
        <v>1</v>
      </c>
      <c r="D258" s="752">
        <f t="shared" ca="1" si="56"/>
        <v>2</v>
      </c>
      <c r="E258" s="752">
        <f t="shared" ca="1" si="57"/>
        <v>1</v>
      </c>
      <c r="F258" s="209"/>
      <c r="J258" s="65"/>
      <c r="K258" s="146"/>
      <c r="L258" s="567"/>
      <c r="M258" s="567"/>
      <c r="N258" s="737"/>
      <c r="O258" s="638"/>
      <c r="P258" s="147"/>
      <c r="Q258" s="65"/>
    </row>
    <row r="259" spans="1:17" s="148" customFormat="1" ht="14.1" customHeight="1" x14ac:dyDescent="0.2">
      <c r="A259" s="751">
        <f ca="1">IF($H259="UNIDADE CONSTRUTIVA",OFFSET(A259,-1,0)+1,LARGE(A$3:A258,1))</f>
        <v>0</v>
      </c>
      <c r="B259" s="751">
        <f t="shared" ca="1" si="54"/>
        <v>4</v>
      </c>
      <c r="C259" s="751">
        <f t="shared" ca="1" si="55"/>
        <v>1</v>
      </c>
      <c r="D259" s="752">
        <f t="shared" ca="1" si="56"/>
        <v>2</v>
      </c>
      <c r="E259" s="752">
        <f t="shared" ca="1" si="57"/>
        <v>1</v>
      </c>
      <c r="F259" s="209"/>
      <c r="J259" s="65"/>
      <c r="K259" s="146"/>
      <c r="L259" s="567"/>
      <c r="M259" s="567"/>
      <c r="N259" s="737"/>
      <c r="O259" s="638"/>
      <c r="P259" s="147"/>
      <c r="Q259" s="65"/>
    </row>
    <row r="260" spans="1:17" s="148" customFormat="1" ht="14.1" customHeight="1" x14ac:dyDescent="0.2">
      <c r="A260" s="751">
        <f ca="1">IF($H260="UNIDADE CONSTRUTIVA",OFFSET(A260,-1,0)+1,LARGE(A$3:A259,1))</f>
        <v>0</v>
      </c>
      <c r="B260" s="751">
        <f t="shared" ca="1" si="54"/>
        <v>4</v>
      </c>
      <c r="C260" s="751">
        <f t="shared" ca="1" si="55"/>
        <v>1</v>
      </c>
      <c r="D260" s="752">
        <f t="shared" ca="1" si="56"/>
        <v>2</v>
      </c>
      <c r="E260" s="752">
        <f t="shared" ca="1" si="57"/>
        <v>1</v>
      </c>
      <c r="F260" s="209"/>
      <c r="J260" s="65"/>
      <c r="K260" s="146"/>
      <c r="L260" s="567"/>
      <c r="M260" s="567"/>
      <c r="N260" s="737"/>
      <c r="O260" s="638"/>
      <c r="P260" s="147"/>
      <c r="Q260" s="65"/>
    </row>
    <row r="261" spans="1:17" s="148" customFormat="1" ht="14.1" customHeight="1" x14ac:dyDescent="0.2">
      <c r="A261" s="751">
        <f ca="1">IF($H261="UNIDADE CONSTRUTIVA",OFFSET(A261,-1,0)+1,LARGE(A$3:A260,1))</f>
        <v>0</v>
      </c>
      <c r="B261" s="751">
        <f t="shared" ca="1" si="54"/>
        <v>4</v>
      </c>
      <c r="C261" s="751">
        <f t="shared" ca="1" si="55"/>
        <v>1</v>
      </c>
      <c r="D261" s="752">
        <f t="shared" ca="1" si="56"/>
        <v>2</v>
      </c>
      <c r="E261" s="752">
        <f t="shared" ca="1" si="57"/>
        <v>1</v>
      </c>
      <c r="F261" s="209"/>
      <c r="J261" s="65"/>
      <c r="K261" s="146"/>
      <c r="L261" s="567"/>
      <c r="M261" s="567"/>
      <c r="N261" s="737"/>
      <c r="O261" s="638"/>
      <c r="P261" s="147"/>
      <c r="Q261" s="65"/>
    </row>
    <row r="262" spans="1:17" s="148" customFormat="1" ht="14.1" customHeight="1" x14ac:dyDescent="0.2">
      <c r="A262" s="751">
        <f ca="1">IF($H262="UNIDADE CONSTRUTIVA",OFFSET(A262,-1,0)+1,LARGE(A$3:A261,1))</f>
        <v>0</v>
      </c>
      <c r="B262" s="751">
        <f t="shared" ca="1" si="54"/>
        <v>4</v>
      </c>
      <c r="C262" s="751">
        <f t="shared" ca="1" si="55"/>
        <v>1</v>
      </c>
      <c r="D262" s="752">
        <f t="shared" ca="1" si="56"/>
        <v>2</v>
      </c>
      <c r="E262" s="752">
        <f t="shared" ca="1" si="57"/>
        <v>1</v>
      </c>
      <c r="F262" s="209"/>
      <c r="J262" s="65"/>
      <c r="K262" s="146"/>
      <c r="L262" s="567"/>
      <c r="M262" s="567"/>
      <c r="N262" s="737"/>
      <c r="O262" s="638"/>
      <c r="P262" s="147"/>
      <c r="Q262" s="65"/>
    </row>
    <row r="263" spans="1:17" s="148" customFormat="1" ht="14.1" customHeight="1" x14ac:dyDescent="0.2">
      <c r="A263" s="751">
        <f ca="1">IF($H263="UNIDADE CONSTRUTIVA",OFFSET(A263,-1,0)+1,LARGE(A$3:A262,1))</f>
        <v>0</v>
      </c>
      <c r="B263" s="751">
        <f t="shared" ca="1" si="54"/>
        <v>4</v>
      </c>
      <c r="C263" s="751">
        <f t="shared" ca="1" si="55"/>
        <v>1</v>
      </c>
      <c r="D263" s="752">
        <f t="shared" ca="1" si="56"/>
        <v>2</v>
      </c>
      <c r="E263" s="752">
        <f t="shared" ca="1" si="57"/>
        <v>1</v>
      </c>
      <c r="F263" s="209"/>
      <c r="J263" s="65"/>
      <c r="K263" s="146"/>
      <c r="L263" s="567"/>
      <c r="M263" s="567"/>
      <c r="N263" s="737"/>
      <c r="O263" s="638"/>
      <c r="P263" s="147"/>
      <c r="Q263" s="65"/>
    </row>
    <row r="264" spans="1:17" s="148" customFormat="1" ht="14.1" customHeight="1" x14ac:dyDescent="0.2">
      <c r="A264" s="751">
        <f ca="1">IF($H264="UNIDADE CONSTRUTIVA",OFFSET(A264,-1,0)+1,LARGE(A$3:A263,1))</f>
        <v>0</v>
      </c>
      <c r="B264" s="751">
        <f t="shared" ca="1" si="54"/>
        <v>4</v>
      </c>
      <c r="C264" s="751">
        <f t="shared" ca="1" si="55"/>
        <v>1</v>
      </c>
      <c r="D264" s="752">
        <f t="shared" ca="1" si="56"/>
        <v>2</v>
      </c>
      <c r="E264" s="752">
        <f t="shared" ca="1" si="57"/>
        <v>1</v>
      </c>
      <c r="F264" s="209"/>
      <c r="J264" s="65"/>
      <c r="K264" s="146"/>
      <c r="L264" s="567"/>
      <c r="M264" s="567"/>
      <c r="N264" s="737"/>
      <c r="O264" s="638"/>
      <c r="P264" s="147"/>
      <c r="Q264" s="65"/>
    </row>
    <row r="265" spans="1:17" s="148" customFormat="1" ht="14.1" customHeight="1" x14ac:dyDescent="0.2">
      <c r="A265" s="751">
        <f ca="1">IF($H265="UNIDADE CONSTRUTIVA",OFFSET(A265,-1,0)+1,LARGE(A$3:A264,1))</f>
        <v>0</v>
      </c>
      <c r="B265" s="751">
        <f t="shared" ca="1" si="54"/>
        <v>4</v>
      </c>
      <c r="C265" s="751">
        <f t="shared" ca="1" si="55"/>
        <v>1</v>
      </c>
      <c r="D265" s="752">
        <f t="shared" ca="1" si="56"/>
        <v>2</v>
      </c>
      <c r="E265" s="752">
        <f t="shared" ca="1" si="57"/>
        <v>1</v>
      </c>
      <c r="F265" s="209"/>
      <c r="J265" s="65"/>
      <c r="K265" s="146"/>
      <c r="L265" s="567"/>
      <c r="M265" s="567"/>
      <c r="N265" s="737"/>
      <c r="O265" s="638"/>
      <c r="P265" s="147"/>
      <c r="Q265" s="65"/>
    </row>
    <row r="266" spans="1:17" s="148" customFormat="1" ht="14.1" customHeight="1" x14ac:dyDescent="0.2">
      <c r="A266" s="751">
        <f ca="1">IF($H266="UNIDADE CONSTRUTIVA",OFFSET(A266,-1,0)+1,LARGE(A$3:A265,1))</f>
        <v>0</v>
      </c>
      <c r="B266" s="751">
        <f t="shared" ca="1" si="54"/>
        <v>4</v>
      </c>
      <c r="C266" s="751">
        <f t="shared" ca="1" si="55"/>
        <v>1</v>
      </c>
      <c r="D266" s="752">
        <f t="shared" ca="1" si="56"/>
        <v>2</v>
      </c>
      <c r="E266" s="752">
        <f t="shared" ca="1" si="57"/>
        <v>1</v>
      </c>
      <c r="F266" s="209"/>
      <c r="J266" s="65"/>
      <c r="K266" s="146"/>
      <c r="L266" s="567"/>
      <c r="M266" s="567"/>
      <c r="N266" s="737"/>
      <c r="O266" s="638"/>
      <c r="P266" s="147"/>
      <c r="Q266" s="65"/>
    </row>
    <row r="267" spans="1:17" s="148" customFormat="1" ht="14.1" customHeight="1" x14ac:dyDescent="0.2">
      <c r="A267" s="751">
        <f ca="1">IF($H267="UNIDADE CONSTRUTIVA",OFFSET(A267,-1,0)+1,LARGE(A$3:A266,1))</f>
        <v>0</v>
      </c>
      <c r="B267" s="751">
        <f t="shared" ca="1" si="54"/>
        <v>4</v>
      </c>
      <c r="C267" s="751">
        <f t="shared" ca="1" si="55"/>
        <v>1</v>
      </c>
      <c r="D267" s="752">
        <f t="shared" ca="1" si="56"/>
        <v>2</v>
      </c>
      <c r="E267" s="752">
        <f t="shared" ca="1" si="57"/>
        <v>1</v>
      </c>
      <c r="F267" s="209"/>
      <c r="J267" s="65"/>
      <c r="K267" s="146"/>
      <c r="L267" s="567"/>
      <c r="M267" s="567"/>
      <c r="N267" s="737"/>
      <c r="O267" s="638"/>
      <c r="P267" s="147"/>
      <c r="Q267" s="65"/>
    </row>
    <row r="268" spans="1:17" s="148" customFormat="1" ht="14.1" customHeight="1" x14ac:dyDescent="0.2">
      <c r="A268" s="751">
        <f ca="1">IF($H268="UNIDADE CONSTRUTIVA",OFFSET(A268,-1,0)+1,LARGE(A$3:A267,1))</f>
        <v>0</v>
      </c>
      <c r="B268" s="751">
        <f t="shared" ca="1" si="54"/>
        <v>4</v>
      </c>
      <c r="C268" s="751">
        <f t="shared" ca="1" si="55"/>
        <v>1</v>
      </c>
      <c r="D268" s="752">
        <f t="shared" ca="1" si="56"/>
        <v>2</v>
      </c>
      <c r="E268" s="752">
        <f t="shared" ca="1" si="57"/>
        <v>1</v>
      </c>
      <c r="F268" s="209"/>
      <c r="J268" s="65"/>
      <c r="K268" s="146"/>
      <c r="L268" s="567"/>
      <c r="M268" s="567"/>
      <c r="N268" s="737"/>
      <c r="O268" s="638"/>
      <c r="P268" s="147"/>
      <c r="Q268" s="65"/>
    </row>
    <row r="269" spans="1:17" s="148" customFormat="1" ht="14.1" customHeight="1" x14ac:dyDescent="0.2">
      <c r="A269" s="751">
        <f ca="1">IF($H269="UNIDADE CONSTRUTIVA",OFFSET(A269,-1,0)+1,LARGE(A$3:A268,1))</f>
        <v>0</v>
      </c>
      <c r="B269" s="751">
        <f t="shared" ca="1" si="54"/>
        <v>4</v>
      </c>
      <c r="C269" s="751">
        <f t="shared" ca="1" si="55"/>
        <v>1</v>
      </c>
      <c r="D269" s="752">
        <f t="shared" ca="1" si="56"/>
        <v>2</v>
      </c>
      <c r="E269" s="752">
        <f t="shared" ca="1" si="57"/>
        <v>1</v>
      </c>
      <c r="F269" s="209"/>
      <c r="J269" s="65"/>
      <c r="K269" s="146"/>
      <c r="L269" s="567"/>
      <c r="M269" s="567"/>
      <c r="N269" s="737"/>
      <c r="O269" s="638"/>
      <c r="P269" s="147"/>
      <c r="Q269" s="65"/>
    </row>
    <row r="270" spans="1:17" s="148" customFormat="1" ht="14.1" customHeight="1" x14ac:dyDescent="0.2">
      <c r="A270" s="751">
        <f ca="1">IF($H270="UNIDADE CONSTRUTIVA",OFFSET(A270,-1,0)+1,LARGE(A$3:A269,1))</f>
        <v>0</v>
      </c>
      <c r="B270" s="751">
        <f t="shared" ca="1" si="54"/>
        <v>4</v>
      </c>
      <c r="C270" s="751">
        <f t="shared" ca="1" si="55"/>
        <v>1</v>
      </c>
      <c r="D270" s="752">
        <f t="shared" ca="1" si="56"/>
        <v>2</v>
      </c>
      <c r="E270" s="752">
        <f t="shared" ca="1" si="57"/>
        <v>1</v>
      </c>
      <c r="F270" s="209"/>
      <c r="J270" s="65"/>
      <c r="K270" s="146"/>
      <c r="L270" s="567"/>
      <c r="M270" s="567"/>
      <c r="N270" s="737"/>
      <c r="O270" s="638"/>
      <c r="P270" s="147"/>
      <c r="Q270" s="65"/>
    </row>
    <row r="271" spans="1:17" s="148" customFormat="1" ht="14.1" customHeight="1" x14ac:dyDescent="0.2">
      <c r="A271" s="751">
        <f ca="1">IF($H271="UNIDADE CONSTRUTIVA",OFFSET(A271,-1,0)+1,LARGE(A$3:A270,1))</f>
        <v>0</v>
      </c>
      <c r="B271" s="751">
        <f t="shared" ca="1" si="54"/>
        <v>4</v>
      </c>
      <c r="C271" s="751">
        <f t="shared" ca="1" si="55"/>
        <v>1</v>
      </c>
      <c r="D271" s="752">
        <f t="shared" ca="1" si="56"/>
        <v>2</v>
      </c>
      <c r="E271" s="752">
        <f t="shared" ca="1" si="57"/>
        <v>1</v>
      </c>
      <c r="F271" s="209"/>
      <c r="J271" s="65"/>
      <c r="K271" s="146"/>
      <c r="L271" s="567"/>
      <c r="M271" s="567"/>
      <c r="N271" s="737"/>
      <c r="O271" s="638"/>
      <c r="P271" s="147"/>
      <c r="Q271" s="65"/>
    </row>
    <row r="272" spans="1:17" s="148" customFormat="1" ht="14.1" customHeight="1" x14ac:dyDescent="0.2">
      <c r="A272" s="751">
        <f ca="1">IF($H272="UNIDADE CONSTRUTIVA",OFFSET(A272,-1,0)+1,LARGE(A$3:A271,1))</f>
        <v>0</v>
      </c>
      <c r="B272" s="751">
        <f t="shared" ca="1" si="54"/>
        <v>4</v>
      </c>
      <c r="C272" s="751">
        <f t="shared" ca="1" si="55"/>
        <v>1</v>
      </c>
      <c r="D272" s="752">
        <f t="shared" ca="1" si="56"/>
        <v>2</v>
      </c>
      <c r="E272" s="752">
        <f t="shared" ca="1" si="57"/>
        <v>1</v>
      </c>
      <c r="F272" s="209"/>
      <c r="J272" s="65"/>
      <c r="K272" s="146"/>
      <c r="L272" s="567"/>
      <c r="M272" s="567"/>
      <c r="N272" s="737"/>
      <c r="O272" s="638"/>
      <c r="P272" s="147"/>
      <c r="Q272" s="65"/>
    </row>
    <row r="273" spans="1:17" s="148" customFormat="1" ht="14.1" customHeight="1" x14ac:dyDescent="0.2">
      <c r="A273" s="751">
        <f ca="1">IF($H273="UNIDADE CONSTRUTIVA",OFFSET(A273,-1,0)+1,LARGE(A$3:A272,1))</f>
        <v>0</v>
      </c>
      <c r="B273" s="751">
        <f t="shared" ca="1" si="54"/>
        <v>4</v>
      </c>
      <c r="C273" s="751">
        <f t="shared" ca="1" si="55"/>
        <v>1</v>
      </c>
      <c r="D273" s="752">
        <f t="shared" ca="1" si="56"/>
        <v>2</v>
      </c>
      <c r="E273" s="752">
        <f t="shared" ca="1" si="57"/>
        <v>1</v>
      </c>
      <c r="F273" s="209"/>
      <c r="J273" s="65"/>
      <c r="K273" s="146"/>
      <c r="L273" s="567"/>
      <c r="M273" s="567"/>
      <c r="N273" s="737"/>
      <c r="O273" s="638"/>
      <c r="P273" s="147"/>
      <c r="Q273" s="65"/>
    </row>
    <row r="274" spans="1:17" s="148" customFormat="1" ht="14.1" customHeight="1" x14ac:dyDescent="0.2">
      <c r="A274" s="751">
        <f ca="1">IF($H274="UNIDADE CONSTRUTIVA",OFFSET(A274,-1,0)+1,LARGE(A$3:A273,1))</f>
        <v>0</v>
      </c>
      <c r="B274" s="751">
        <f t="shared" ca="1" si="54"/>
        <v>4</v>
      </c>
      <c r="C274" s="751">
        <f t="shared" ca="1" si="55"/>
        <v>1</v>
      </c>
      <c r="D274" s="752">
        <f t="shared" ca="1" si="56"/>
        <v>2</v>
      </c>
      <c r="E274" s="752">
        <f t="shared" ca="1" si="57"/>
        <v>1</v>
      </c>
      <c r="F274" s="209"/>
      <c r="J274" s="65"/>
      <c r="K274" s="146"/>
      <c r="L274" s="567"/>
      <c r="M274" s="567"/>
      <c r="N274" s="737"/>
      <c r="O274" s="638"/>
      <c r="P274" s="147"/>
      <c r="Q274" s="65"/>
    </row>
    <row r="275" spans="1:17" s="148" customFormat="1" ht="14.1" customHeight="1" x14ac:dyDescent="0.2">
      <c r="A275" s="751">
        <f ca="1">IF($H275="UNIDADE CONSTRUTIVA",OFFSET(A275,-1,0)+1,LARGE(A$3:A274,1))</f>
        <v>0</v>
      </c>
      <c r="B275" s="751">
        <f t="shared" ca="1" si="54"/>
        <v>4</v>
      </c>
      <c r="C275" s="751">
        <f t="shared" ca="1" si="55"/>
        <v>1</v>
      </c>
      <c r="D275" s="752">
        <f t="shared" ca="1" si="56"/>
        <v>2</v>
      </c>
      <c r="E275" s="752">
        <f t="shared" ca="1" si="57"/>
        <v>1</v>
      </c>
      <c r="F275" s="209"/>
      <c r="J275" s="65"/>
      <c r="K275" s="146"/>
      <c r="L275" s="567"/>
      <c r="M275" s="567"/>
      <c r="N275" s="737"/>
      <c r="O275" s="638"/>
      <c r="P275" s="147"/>
      <c r="Q275" s="65"/>
    </row>
    <row r="276" spans="1:17" s="148" customFormat="1" ht="14.1" customHeight="1" x14ac:dyDescent="0.2">
      <c r="A276" s="751">
        <f ca="1">IF($H276="UNIDADE CONSTRUTIVA",OFFSET(A276,-1,0)+1,LARGE(A$3:A275,1))</f>
        <v>0</v>
      </c>
      <c r="B276" s="751">
        <f t="shared" ca="1" si="54"/>
        <v>4</v>
      </c>
      <c r="C276" s="751">
        <f t="shared" ca="1" si="55"/>
        <v>1</v>
      </c>
      <c r="D276" s="752">
        <f t="shared" ca="1" si="56"/>
        <v>2</v>
      </c>
      <c r="E276" s="752">
        <f t="shared" ca="1" si="57"/>
        <v>1</v>
      </c>
      <c r="F276" s="209"/>
      <c r="J276" s="65"/>
      <c r="K276" s="146"/>
      <c r="L276" s="567"/>
      <c r="M276" s="567"/>
      <c r="N276" s="737"/>
      <c r="O276" s="638"/>
      <c r="P276" s="147"/>
      <c r="Q276" s="65"/>
    </row>
    <row r="277" spans="1:17" s="148" customFormat="1" ht="14.1" customHeight="1" x14ac:dyDescent="0.2">
      <c r="A277" s="751">
        <f ca="1">IF($H277="UNIDADE CONSTRUTIVA",OFFSET(A277,-1,0)+1,LARGE(A$3:A276,1))</f>
        <v>0</v>
      </c>
      <c r="B277" s="751">
        <f t="shared" ca="1" si="54"/>
        <v>4</v>
      </c>
      <c r="C277" s="751">
        <f t="shared" ca="1" si="55"/>
        <v>1</v>
      </c>
      <c r="D277" s="752">
        <f t="shared" ca="1" si="56"/>
        <v>2</v>
      </c>
      <c r="E277" s="752">
        <f t="shared" ca="1" si="57"/>
        <v>1</v>
      </c>
      <c r="F277" s="209"/>
      <c r="J277" s="65"/>
      <c r="K277" s="146"/>
      <c r="L277" s="567"/>
      <c r="M277" s="567"/>
      <c r="N277" s="737"/>
      <c r="O277" s="638"/>
      <c r="P277" s="147"/>
      <c r="Q277" s="65"/>
    </row>
    <row r="278" spans="1:17" s="148" customFormat="1" ht="14.1" customHeight="1" x14ac:dyDescent="0.2">
      <c r="A278" s="751">
        <f ca="1">IF($H278="UNIDADE CONSTRUTIVA",OFFSET(A278,-1,0)+1,LARGE(A$3:A277,1))</f>
        <v>0</v>
      </c>
      <c r="B278" s="751">
        <f t="shared" ca="1" si="54"/>
        <v>4</v>
      </c>
      <c r="C278" s="751">
        <f t="shared" ca="1" si="55"/>
        <v>1</v>
      </c>
      <c r="D278" s="752">
        <f t="shared" ca="1" si="56"/>
        <v>2</v>
      </c>
      <c r="E278" s="752">
        <f t="shared" ca="1" si="57"/>
        <v>1</v>
      </c>
      <c r="F278" s="209"/>
      <c r="J278" s="65"/>
      <c r="K278" s="146"/>
      <c r="L278" s="567"/>
      <c r="M278" s="567"/>
      <c r="N278" s="737"/>
      <c r="O278" s="638"/>
      <c r="P278" s="147"/>
      <c r="Q278" s="65"/>
    </row>
    <row r="279" spans="1:17" s="148" customFormat="1" ht="14.1" customHeight="1" x14ac:dyDescent="0.2">
      <c r="A279" s="751">
        <f ca="1">IF($H279="UNIDADE CONSTRUTIVA",OFFSET(A279,-1,0)+1,LARGE(A$3:A278,1))</f>
        <v>0</v>
      </c>
      <c r="B279" s="751">
        <f t="shared" ca="1" si="54"/>
        <v>4</v>
      </c>
      <c r="C279" s="751">
        <f t="shared" ca="1" si="55"/>
        <v>1</v>
      </c>
      <c r="D279" s="752">
        <f t="shared" ca="1" si="56"/>
        <v>2</v>
      </c>
      <c r="E279" s="752">
        <f t="shared" ca="1" si="57"/>
        <v>1</v>
      </c>
      <c r="F279" s="209"/>
      <c r="J279" s="65"/>
      <c r="K279" s="146"/>
      <c r="L279" s="567"/>
      <c r="M279" s="567"/>
      <c r="N279" s="737"/>
      <c r="O279" s="638"/>
      <c r="P279" s="147"/>
      <c r="Q279" s="65"/>
    </row>
    <row r="280" spans="1:17" s="148" customFormat="1" ht="14.1" customHeight="1" x14ac:dyDescent="0.2">
      <c r="A280" s="751">
        <f ca="1">IF($H280="UNIDADE CONSTRUTIVA",OFFSET(A280,-1,0)+1,LARGE(A$3:A279,1))</f>
        <v>0</v>
      </c>
      <c r="B280" s="751">
        <f t="shared" ref="B280:B343" ca="1" si="58">IF(H280="UNIDADE CONSTRUTIVA",0,IF(H280="CÉLULA CONSTRUTIVA",OFFSET(B280,-1,0)+1,OFFSET(B280,-1,0)))</f>
        <v>4</v>
      </c>
      <c r="C280" s="751">
        <f t="shared" ref="C280:C343" ca="1" si="59">IF(H280="CÉLULA CONSTRUTIVA",0,IF(H280="ETAPA",OFFSET(C280,-1,0)+1,OFFSET(C280,-1,0)))</f>
        <v>1</v>
      </c>
      <c r="D280" s="752">
        <f t="shared" ref="D280:D343" ca="1" si="60">IF(H280="ETAPA",0,IF(H280="SUBETAPA",OFFSET(D280,-1,0)+1,OFFSET(D280,-1,0)))</f>
        <v>2</v>
      </c>
      <c r="E280" s="752">
        <f t="shared" ref="E280:E343" ca="1" si="61">IF(H280="Subetapa",0,IF(H280="serviço",OFFSET(E280,-1,0)+1,OFFSET(E280,-1,0)))</f>
        <v>1</v>
      </c>
      <c r="F280" s="209"/>
      <c r="J280" s="65"/>
      <c r="K280" s="146"/>
      <c r="L280" s="567"/>
      <c r="M280" s="567"/>
      <c r="N280" s="737"/>
      <c r="O280" s="638"/>
      <c r="P280" s="147"/>
      <c r="Q280" s="65"/>
    </row>
    <row r="281" spans="1:17" s="148" customFormat="1" ht="14.1" customHeight="1" x14ac:dyDescent="0.2">
      <c r="A281" s="751">
        <f ca="1">IF($H281="UNIDADE CONSTRUTIVA",OFFSET(A281,-1,0)+1,LARGE(A$3:A280,1))</f>
        <v>0</v>
      </c>
      <c r="B281" s="751">
        <f t="shared" ca="1" si="58"/>
        <v>4</v>
      </c>
      <c r="C281" s="751">
        <f t="shared" ca="1" si="59"/>
        <v>1</v>
      </c>
      <c r="D281" s="752">
        <f t="shared" ca="1" si="60"/>
        <v>2</v>
      </c>
      <c r="E281" s="752">
        <f t="shared" ca="1" si="61"/>
        <v>1</v>
      </c>
      <c r="F281" s="209"/>
      <c r="J281" s="65"/>
      <c r="K281" s="146"/>
      <c r="L281" s="567"/>
      <c r="M281" s="567"/>
      <c r="N281" s="737"/>
      <c r="O281" s="638"/>
      <c r="P281" s="147"/>
      <c r="Q281" s="65"/>
    </row>
    <row r="282" spans="1:17" s="148" customFormat="1" ht="14.1" customHeight="1" x14ac:dyDescent="0.2">
      <c r="A282" s="751">
        <f ca="1">IF($H282="UNIDADE CONSTRUTIVA",OFFSET(A282,-1,0)+1,LARGE(A$3:A281,1))</f>
        <v>0</v>
      </c>
      <c r="B282" s="751">
        <f t="shared" ca="1" si="58"/>
        <v>4</v>
      </c>
      <c r="C282" s="751">
        <f t="shared" ca="1" si="59"/>
        <v>1</v>
      </c>
      <c r="D282" s="752">
        <f t="shared" ca="1" si="60"/>
        <v>2</v>
      </c>
      <c r="E282" s="752">
        <f t="shared" ca="1" si="61"/>
        <v>1</v>
      </c>
      <c r="F282" s="209"/>
      <c r="J282" s="65"/>
      <c r="K282" s="146"/>
      <c r="L282" s="567"/>
      <c r="M282" s="567"/>
      <c r="N282" s="737"/>
      <c r="O282" s="638"/>
      <c r="P282" s="147"/>
      <c r="Q282" s="65"/>
    </row>
    <row r="283" spans="1:17" s="148" customFormat="1" ht="14.1" customHeight="1" x14ac:dyDescent="0.2">
      <c r="A283" s="751">
        <f ca="1">IF($H283="UNIDADE CONSTRUTIVA",OFFSET(A283,-1,0)+1,LARGE(A$3:A282,1))</f>
        <v>0</v>
      </c>
      <c r="B283" s="751">
        <f t="shared" ca="1" si="58"/>
        <v>4</v>
      </c>
      <c r="C283" s="751">
        <f t="shared" ca="1" si="59"/>
        <v>1</v>
      </c>
      <c r="D283" s="752">
        <f t="shared" ca="1" si="60"/>
        <v>2</v>
      </c>
      <c r="E283" s="752">
        <f t="shared" ca="1" si="61"/>
        <v>1</v>
      </c>
      <c r="F283" s="209"/>
      <c r="J283" s="65"/>
      <c r="K283" s="146"/>
      <c r="L283" s="567"/>
      <c r="M283" s="567"/>
      <c r="N283" s="737"/>
      <c r="O283" s="638"/>
      <c r="P283" s="147"/>
      <c r="Q283" s="65"/>
    </row>
    <row r="284" spans="1:17" s="148" customFormat="1" ht="14.1" customHeight="1" x14ac:dyDescent="0.2">
      <c r="A284" s="751">
        <f ca="1">IF($H284="UNIDADE CONSTRUTIVA",OFFSET(A284,-1,0)+1,LARGE(A$3:A283,1))</f>
        <v>0</v>
      </c>
      <c r="B284" s="751">
        <f t="shared" ca="1" si="58"/>
        <v>4</v>
      </c>
      <c r="C284" s="751">
        <f t="shared" ca="1" si="59"/>
        <v>1</v>
      </c>
      <c r="D284" s="752">
        <f t="shared" ca="1" si="60"/>
        <v>2</v>
      </c>
      <c r="E284" s="752">
        <f t="shared" ca="1" si="61"/>
        <v>1</v>
      </c>
      <c r="F284" s="209"/>
      <c r="J284" s="65"/>
      <c r="K284" s="146"/>
      <c r="L284" s="567"/>
      <c r="M284" s="567"/>
      <c r="N284" s="737"/>
      <c r="O284" s="638"/>
      <c r="P284" s="147"/>
      <c r="Q284" s="65"/>
    </row>
    <row r="285" spans="1:17" s="148" customFormat="1" ht="14.1" customHeight="1" x14ac:dyDescent="0.2">
      <c r="A285" s="751">
        <f ca="1">IF($H285="UNIDADE CONSTRUTIVA",OFFSET(A285,-1,0)+1,LARGE(A$3:A284,1))</f>
        <v>0</v>
      </c>
      <c r="B285" s="751">
        <f t="shared" ca="1" si="58"/>
        <v>4</v>
      </c>
      <c r="C285" s="751">
        <f t="shared" ca="1" si="59"/>
        <v>1</v>
      </c>
      <c r="D285" s="752">
        <f t="shared" ca="1" si="60"/>
        <v>2</v>
      </c>
      <c r="E285" s="752">
        <f t="shared" ca="1" si="61"/>
        <v>1</v>
      </c>
      <c r="F285" s="209"/>
      <c r="J285" s="65"/>
      <c r="K285" s="146"/>
      <c r="L285" s="567"/>
      <c r="M285" s="567"/>
      <c r="N285" s="737"/>
      <c r="O285" s="638"/>
      <c r="P285" s="147"/>
      <c r="Q285" s="65"/>
    </row>
    <row r="286" spans="1:17" s="148" customFormat="1" ht="14.1" customHeight="1" x14ac:dyDescent="0.2">
      <c r="A286" s="751">
        <f ca="1">IF($H286="UNIDADE CONSTRUTIVA",OFFSET(A286,-1,0)+1,LARGE(A$3:A285,1))</f>
        <v>0</v>
      </c>
      <c r="B286" s="751">
        <f t="shared" ca="1" si="58"/>
        <v>4</v>
      </c>
      <c r="C286" s="751">
        <f t="shared" ca="1" si="59"/>
        <v>1</v>
      </c>
      <c r="D286" s="752">
        <f t="shared" ca="1" si="60"/>
        <v>2</v>
      </c>
      <c r="E286" s="752">
        <f t="shared" ca="1" si="61"/>
        <v>1</v>
      </c>
      <c r="F286" s="209"/>
      <c r="J286" s="65"/>
      <c r="K286" s="146"/>
      <c r="L286" s="567"/>
      <c r="M286" s="567"/>
      <c r="N286" s="737"/>
      <c r="O286" s="638"/>
      <c r="P286" s="147"/>
      <c r="Q286" s="65"/>
    </row>
    <row r="287" spans="1:17" s="148" customFormat="1" ht="14.1" customHeight="1" x14ac:dyDescent="0.2">
      <c r="A287" s="751">
        <f ca="1">IF($H287="UNIDADE CONSTRUTIVA",OFFSET(A287,-1,0)+1,LARGE(A$3:A286,1))</f>
        <v>0</v>
      </c>
      <c r="B287" s="751">
        <f t="shared" ca="1" si="58"/>
        <v>4</v>
      </c>
      <c r="C287" s="751">
        <f t="shared" ca="1" si="59"/>
        <v>1</v>
      </c>
      <c r="D287" s="752">
        <f t="shared" ca="1" si="60"/>
        <v>2</v>
      </c>
      <c r="E287" s="752">
        <f t="shared" ca="1" si="61"/>
        <v>1</v>
      </c>
      <c r="F287" s="209"/>
      <c r="J287" s="65"/>
      <c r="K287" s="146"/>
      <c r="L287" s="567"/>
      <c r="M287" s="567"/>
      <c r="N287" s="737"/>
      <c r="O287" s="638"/>
      <c r="P287" s="147"/>
      <c r="Q287" s="65"/>
    </row>
    <row r="288" spans="1:17" s="148" customFormat="1" ht="14.1" customHeight="1" x14ac:dyDescent="0.2">
      <c r="A288" s="751">
        <f ca="1">IF($H288="UNIDADE CONSTRUTIVA",OFFSET(A288,-1,0)+1,LARGE(A$3:A287,1))</f>
        <v>0</v>
      </c>
      <c r="B288" s="751">
        <f t="shared" ca="1" si="58"/>
        <v>4</v>
      </c>
      <c r="C288" s="751">
        <f t="shared" ca="1" si="59"/>
        <v>1</v>
      </c>
      <c r="D288" s="752">
        <f t="shared" ca="1" si="60"/>
        <v>2</v>
      </c>
      <c r="E288" s="752">
        <f t="shared" ca="1" si="61"/>
        <v>1</v>
      </c>
      <c r="F288" s="209"/>
      <c r="J288" s="65"/>
      <c r="K288" s="146"/>
      <c r="L288" s="567"/>
      <c r="M288" s="567"/>
      <c r="N288" s="737"/>
      <c r="O288" s="638"/>
      <c r="P288" s="147"/>
      <c r="Q288" s="65"/>
    </row>
    <row r="289" spans="1:17" s="148" customFormat="1" ht="14.1" customHeight="1" x14ac:dyDescent="0.2">
      <c r="A289" s="751">
        <f ca="1">IF($H289="UNIDADE CONSTRUTIVA",OFFSET(A289,-1,0)+1,LARGE(A$3:A288,1))</f>
        <v>0</v>
      </c>
      <c r="B289" s="751">
        <f t="shared" ca="1" si="58"/>
        <v>4</v>
      </c>
      <c r="C289" s="751">
        <f t="shared" ca="1" si="59"/>
        <v>1</v>
      </c>
      <c r="D289" s="752">
        <f t="shared" ca="1" si="60"/>
        <v>2</v>
      </c>
      <c r="E289" s="752">
        <f t="shared" ca="1" si="61"/>
        <v>1</v>
      </c>
      <c r="F289" s="209"/>
      <c r="J289" s="65"/>
      <c r="K289" s="146"/>
      <c r="L289" s="567"/>
      <c r="M289" s="567"/>
      <c r="N289" s="737"/>
      <c r="O289" s="638"/>
      <c r="P289" s="147"/>
      <c r="Q289" s="65"/>
    </row>
    <row r="290" spans="1:17" s="148" customFormat="1" ht="14.1" customHeight="1" x14ac:dyDescent="0.2">
      <c r="A290" s="751">
        <f ca="1">IF($H290="UNIDADE CONSTRUTIVA",OFFSET(A290,-1,0)+1,LARGE(A$3:A289,1))</f>
        <v>0</v>
      </c>
      <c r="B290" s="751">
        <f t="shared" ca="1" si="58"/>
        <v>4</v>
      </c>
      <c r="C290" s="751">
        <f t="shared" ca="1" si="59"/>
        <v>1</v>
      </c>
      <c r="D290" s="752">
        <f t="shared" ca="1" si="60"/>
        <v>2</v>
      </c>
      <c r="E290" s="752">
        <f t="shared" ca="1" si="61"/>
        <v>1</v>
      </c>
      <c r="F290" s="209"/>
      <c r="J290" s="65"/>
      <c r="K290" s="146"/>
      <c r="L290" s="567"/>
      <c r="M290" s="567"/>
      <c r="N290" s="737"/>
      <c r="O290" s="638"/>
      <c r="P290" s="147"/>
      <c r="Q290" s="65"/>
    </row>
    <row r="291" spans="1:17" s="148" customFormat="1" ht="14.1" customHeight="1" x14ac:dyDescent="0.2">
      <c r="A291" s="751">
        <f ca="1">IF($H291="UNIDADE CONSTRUTIVA",OFFSET(A291,-1,0)+1,LARGE(A$3:A290,1))</f>
        <v>0</v>
      </c>
      <c r="B291" s="751">
        <f t="shared" ca="1" si="58"/>
        <v>4</v>
      </c>
      <c r="C291" s="751">
        <f t="shared" ca="1" si="59"/>
        <v>1</v>
      </c>
      <c r="D291" s="752">
        <f t="shared" ca="1" si="60"/>
        <v>2</v>
      </c>
      <c r="E291" s="752">
        <f t="shared" ca="1" si="61"/>
        <v>1</v>
      </c>
      <c r="F291" s="209"/>
      <c r="J291" s="65"/>
      <c r="K291" s="146"/>
      <c r="L291" s="567"/>
      <c r="M291" s="567"/>
      <c r="N291" s="737"/>
      <c r="O291" s="638"/>
      <c r="P291" s="147"/>
      <c r="Q291" s="65"/>
    </row>
    <row r="292" spans="1:17" s="148" customFormat="1" ht="14.1" customHeight="1" x14ac:dyDescent="0.2">
      <c r="A292" s="751">
        <f ca="1">IF($H292="UNIDADE CONSTRUTIVA",OFFSET(A292,-1,0)+1,LARGE(A$3:A291,1))</f>
        <v>0</v>
      </c>
      <c r="B292" s="751">
        <f t="shared" ca="1" si="58"/>
        <v>4</v>
      </c>
      <c r="C292" s="751">
        <f t="shared" ca="1" si="59"/>
        <v>1</v>
      </c>
      <c r="D292" s="752">
        <f t="shared" ca="1" si="60"/>
        <v>2</v>
      </c>
      <c r="E292" s="752">
        <f t="shared" ca="1" si="61"/>
        <v>1</v>
      </c>
      <c r="F292" s="209"/>
      <c r="J292" s="65"/>
      <c r="K292" s="146"/>
      <c r="L292" s="567"/>
      <c r="M292" s="567"/>
      <c r="N292" s="737"/>
      <c r="O292" s="638"/>
      <c r="P292" s="147"/>
      <c r="Q292" s="65"/>
    </row>
    <row r="293" spans="1:17" s="148" customFormat="1" ht="14.1" customHeight="1" x14ac:dyDescent="0.2">
      <c r="A293" s="751">
        <f ca="1">IF($H293="UNIDADE CONSTRUTIVA",OFFSET(A293,-1,0)+1,LARGE(A$3:A292,1))</f>
        <v>0</v>
      </c>
      <c r="B293" s="751">
        <f t="shared" ca="1" si="58"/>
        <v>4</v>
      </c>
      <c r="C293" s="751">
        <f t="shared" ca="1" si="59"/>
        <v>1</v>
      </c>
      <c r="D293" s="752">
        <f t="shared" ca="1" si="60"/>
        <v>2</v>
      </c>
      <c r="E293" s="752">
        <f t="shared" ca="1" si="61"/>
        <v>1</v>
      </c>
      <c r="F293" s="209"/>
      <c r="J293" s="65"/>
      <c r="K293" s="146"/>
      <c r="L293" s="567"/>
      <c r="M293" s="567"/>
      <c r="N293" s="737"/>
      <c r="O293" s="638"/>
      <c r="P293" s="147"/>
      <c r="Q293" s="65"/>
    </row>
    <row r="294" spans="1:17" s="148" customFormat="1" ht="14.1" customHeight="1" x14ac:dyDescent="0.2">
      <c r="A294" s="751">
        <f ca="1">IF($H294="UNIDADE CONSTRUTIVA",OFFSET(A294,-1,0)+1,LARGE(A$3:A293,1))</f>
        <v>0</v>
      </c>
      <c r="B294" s="751">
        <f t="shared" ca="1" si="58"/>
        <v>4</v>
      </c>
      <c r="C294" s="751">
        <f t="shared" ca="1" si="59"/>
        <v>1</v>
      </c>
      <c r="D294" s="752">
        <f t="shared" ca="1" si="60"/>
        <v>2</v>
      </c>
      <c r="E294" s="752">
        <f t="shared" ca="1" si="61"/>
        <v>1</v>
      </c>
      <c r="F294" s="209"/>
      <c r="J294" s="65"/>
      <c r="K294" s="146"/>
      <c r="L294" s="567"/>
      <c r="M294" s="567"/>
      <c r="N294" s="737"/>
      <c r="O294" s="638"/>
      <c r="P294" s="147"/>
      <c r="Q294" s="65"/>
    </row>
    <row r="295" spans="1:17" s="148" customFormat="1" ht="14.1" customHeight="1" x14ac:dyDescent="0.2">
      <c r="A295" s="751">
        <f ca="1">IF($H295="UNIDADE CONSTRUTIVA",OFFSET(A295,-1,0)+1,LARGE(A$3:A294,1))</f>
        <v>0</v>
      </c>
      <c r="B295" s="751">
        <f t="shared" ca="1" si="58"/>
        <v>4</v>
      </c>
      <c r="C295" s="751">
        <f t="shared" ca="1" si="59"/>
        <v>1</v>
      </c>
      <c r="D295" s="752">
        <f t="shared" ca="1" si="60"/>
        <v>2</v>
      </c>
      <c r="E295" s="752">
        <f t="shared" ca="1" si="61"/>
        <v>1</v>
      </c>
      <c r="F295" s="209"/>
      <c r="J295" s="65"/>
      <c r="K295" s="146"/>
      <c r="L295" s="567"/>
      <c r="M295" s="567"/>
      <c r="N295" s="737"/>
      <c r="O295" s="638"/>
      <c r="P295" s="147"/>
      <c r="Q295" s="65"/>
    </row>
    <row r="296" spans="1:17" s="148" customFormat="1" ht="14.1" customHeight="1" x14ac:dyDescent="0.2">
      <c r="A296" s="751">
        <f ca="1">IF($H296="UNIDADE CONSTRUTIVA",OFFSET(A296,-1,0)+1,LARGE(A$3:A295,1))</f>
        <v>0</v>
      </c>
      <c r="B296" s="751">
        <f t="shared" ca="1" si="58"/>
        <v>4</v>
      </c>
      <c r="C296" s="751">
        <f t="shared" ca="1" si="59"/>
        <v>1</v>
      </c>
      <c r="D296" s="752">
        <f t="shared" ca="1" si="60"/>
        <v>2</v>
      </c>
      <c r="E296" s="752">
        <f t="shared" ca="1" si="61"/>
        <v>1</v>
      </c>
      <c r="F296" s="209"/>
      <c r="J296" s="65"/>
      <c r="K296" s="146"/>
      <c r="L296" s="567"/>
      <c r="M296" s="567"/>
      <c r="N296" s="737"/>
      <c r="O296" s="638"/>
      <c r="P296" s="147"/>
      <c r="Q296" s="65"/>
    </row>
    <row r="297" spans="1:17" s="148" customFormat="1" ht="14.1" customHeight="1" x14ac:dyDescent="0.2">
      <c r="A297" s="751">
        <f ca="1">IF($H297="UNIDADE CONSTRUTIVA",OFFSET(A297,-1,0)+1,LARGE(A$3:A296,1))</f>
        <v>0</v>
      </c>
      <c r="B297" s="751">
        <f t="shared" ca="1" si="58"/>
        <v>4</v>
      </c>
      <c r="C297" s="751">
        <f t="shared" ca="1" si="59"/>
        <v>1</v>
      </c>
      <c r="D297" s="752">
        <f t="shared" ca="1" si="60"/>
        <v>2</v>
      </c>
      <c r="E297" s="752">
        <f t="shared" ca="1" si="61"/>
        <v>1</v>
      </c>
      <c r="F297" s="209"/>
      <c r="J297" s="65"/>
      <c r="K297" s="146"/>
      <c r="L297" s="567"/>
      <c r="M297" s="567"/>
      <c r="N297" s="737"/>
      <c r="O297" s="638"/>
      <c r="P297" s="147"/>
      <c r="Q297" s="65"/>
    </row>
    <row r="298" spans="1:17" s="148" customFormat="1" ht="14.1" customHeight="1" x14ac:dyDescent="0.2">
      <c r="A298" s="751">
        <f ca="1">IF($H298="UNIDADE CONSTRUTIVA",OFFSET(A298,-1,0)+1,LARGE(A$3:A297,1))</f>
        <v>0</v>
      </c>
      <c r="B298" s="751">
        <f t="shared" ca="1" si="58"/>
        <v>4</v>
      </c>
      <c r="C298" s="751">
        <f t="shared" ca="1" si="59"/>
        <v>1</v>
      </c>
      <c r="D298" s="752">
        <f t="shared" ca="1" si="60"/>
        <v>2</v>
      </c>
      <c r="E298" s="752">
        <f t="shared" ca="1" si="61"/>
        <v>1</v>
      </c>
      <c r="F298" s="209"/>
      <c r="J298" s="65"/>
      <c r="K298" s="146"/>
      <c r="L298" s="567"/>
      <c r="M298" s="567"/>
      <c r="N298" s="737"/>
      <c r="O298" s="638"/>
      <c r="P298" s="147"/>
      <c r="Q298" s="65"/>
    </row>
    <row r="299" spans="1:17" s="148" customFormat="1" ht="14.1" customHeight="1" x14ac:dyDescent="0.2">
      <c r="A299" s="751">
        <f ca="1">IF($H299="UNIDADE CONSTRUTIVA",OFFSET(A299,-1,0)+1,LARGE(A$3:A298,1))</f>
        <v>0</v>
      </c>
      <c r="B299" s="751">
        <f t="shared" ca="1" si="58"/>
        <v>4</v>
      </c>
      <c r="C299" s="751">
        <f t="shared" ca="1" si="59"/>
        <v>1</v>
      </c>
      <c r="D299" s="752">
        <f t="shared" ca="1" si="60"/>
        <v>2</v>
      </c>
      <c r="E299" s="752">
        <f t="shared" ca="1" si="61"/>
        <v>1</v>
      </c>
      <c r="F299" s="209"/>
      <c r="J299" s="65"/>
      <c r="K299" s="146"/>
      <c r="L299" s="567"/>
      <c r="M299" s="567"/>
      <c r="N299" s="737"/>
      <c r="O299" s="638"/>
      <c r="P299" s="147"/>
      <c r="Q299" s="65"/>
    </row>
    <row r="300" spans="1:17" s="148" customFormat="1" ht="14.1" customHeight="1" x14ac:dyDescent="0.2">
      <c r="A300" s="751">
        <f ca="1">IF($H300="UNIDADE CONSTRUTIVA",OFFSET(A300,-1,0)+1,LARGE(A$3:A299,1))</f>
        <v>0</v>
      </c>
      <c r="B300" s="751">
        <f t="shared" ca="1" si="58"/>
        <v>4</v>
      </c>
      <c r="C300" s="751">
        <f t="shared" ca="1" si="59"/>
        <v>1</v>
      </c>
      <c r="D300" s="752">
        <f t="shared" ca="1" si="60"/>
        <v>2</v>
      </c>
      <c r="E300" s="752">
        <f t="shared" ca="1" si="61"/>
        <v>1</v>
      </c>
      <c r="F300" s="209"/>
      <c r="J300" s="65"/>
      <c r="K300" s="146"/>
      <c r="L300" s="567"/>
      <c r="M300" s="567"/>
      <c r="N300" s="737"/>
      <c r="O300" s="638"/>
      <c r="P300" s="147"/>
      <c r="Q300" s="65"/>
    </row>
    <row r="301" spans="1:17" s="148" customFormat="1" ht="14.1" customHeight="1" x14ac:dyDescent="0.2">
      <c r="A301" s="751">
        <f ca="1">IF($H301="UNIDADE CONSTRUTIVA",OFFSET(A301,-1,0)+1,LARGE(A$3:A300,1))</f>
        <v>0</v>
      </c>
      <c r="B301" s="751">
        <f t="shared" ca="1" si="58"/>
        <v>4</v>
      </c>
      <c r="C301" s="751">
        <f t="shared" ca="1" si="59"/>
        <v>1</v>
      </c>
      <c r="D301" s="752">
        <f t="shared" ca="1" si="60"/>
        <v>2</v>
      </c>
      <c r="E301" s="752">
        <f t="shared" ca="1" si="61"/>
        <v>1</v>
      </c>
      <c r="F301" s="209"/>
      <c r="J301" s="65"/>
      <c r="K301" s="146"/>
      <c r="L301" s="567"/>
      <c r="M301" s="567"/>
      <c r="N301" s="737"/>
      <c r="O301" s="638"/>
      <c r="P301" s="147"/>
      <c r="Q301" s="65"/>
    </row>
    <row r="302" spans="1:17" s="148" customFormat="1" ht="14.1" customHeight="1" x14ac:dyDescent="0.2">
      <c r="A302" s="751">
        <f ca="1">IF($H302="UNIDADE CONSTRUTIVA",OFFSET(A302,-1,0)+1,LARGE(A$3:A301,1))</f>
        <v>0</v>
      </c>
      <c r="B302" s="751">
        <f t="shared" ca="1" si="58"/>
        <v>4</v>
      </c>
      <c r="C302" s="751">
        <f t="shared" ca="1" si="59"/>
        <v>1</v>
      </c>
      <c r="D302" s="752">
        <f t="shared" ca="1" si="60"/>
        <v>2</v>
      </c>
      <c r="E302" s="752">
        <f t="shared" ca="1" si="61"/>
        <v>1</v>
      </c>
      <c r="F302" s="209"/>
      <c r="J302" s="65"/>
      <c r="K302" s="146"/>
      <c r="L302" s="567"/>
      <c r="M302" s="567"/>
      <c r="N302" s="737"/>
      <c r="O302" s="638"/>
      <c r="P302" s="147"/>
      <c r="Q302" s="65"/>
    </row>
    <row r="303" spans="1:17" s="148" customFormat="1" ht="14.1" customHeight="1" x14ac:dyDescent="0.2">
      <c r="A303" s="751">
        <f ca="1">IF($H303="UNIDADE CONSTRUTIVA",OFFSET(A303,-1,0)+1,LARGE(A$3:A302,1))</f>
        <v>0</v>
      </c>
      <c r="B303" s="751">
        <f t="shared" ca="1" si="58"/>
        <v>4</v>
      </c>
      <c r="C303" s="751">
        <f t="shared" ca="1" si="59"/>
        <v>1</v>
      </c>
      <c r="D303" s="752">
        <f t="shared" ca="1" si="60"/>
        <v>2</v>
      </c>
      <c r="E303" s="752">
        <f t="shared" ca="1" si="61"/>
        <v>1</v>
      </c>
      <c r="F303" s="209"/>
      <c r="J303" s="65"/>
      <c r="K303" s="146"/>
      <c r="L303" s="567"/>
      <c r="M303" s="567"/>
      <c r="N303" s="737"/>
      <c r="O303" s="638"/>
      <c r="P303" s="147"/>
      <c r="Q303" s="65"/>
    </row>
    <row r="304" spans="1:17" s="148" customFormat="1" ht="14.1" customHeight="1" x14ac:dyDescent="0.2">
      <c r="A304" s="751">
        <f ca="1">IF($H304="UNIDADE CONSTRUTIVA",OFFSET(A304,-1,0)+1,LARGE(A$3:A303,1))</f>
        <v>0</v>
      </c>
      <c r="B304" s="751">
        <f t="shared" ca="1" si="58"/>
        <v>4</v>
      </c>
      <c r="C304" s="751">
        <f t="shared" ca="1" si="59"/>
        <v>1</v>
      </c>
      <c r="D304" s="752">
        <f t="shared" ca="1" si="60"/>
        <v>2</v>
      </c>
      <c r="E304" s="752">
        <f t="shared" ca="1" si="61"/>
        <v>1</v>
      </c>
      <c r="F304" s="209"/>
      <c r="J304" s="65"/>
      <c r="K304" s="146"/>
      <c r="L304" s="567"/>
      <c r="M304" s="567"/>
      <c r="N304" s="737"/>
      <c r="O304" s="638"/>
      <c r="P304" s="147"/>
      <c r="Q304" s="65"/>
    </row>
    <row r="305" spans="1:17" s="148" customFormat="1" ht="14.1" customHeight="1" x14ac:dyDescent="0.2">
      <c r="A305" s="751">
        <f ca="1">IF($H305="UNIDADE CONSTRUTIVA",OFFSET(A305,-1,0)+1,LARGE(A$3:A304,1))</f>
        <v>0</v>
      </c>
      <c r="B305" s="751">
        <f t="shared" ca="1" si="58"/>
        <v>4</v>
      </c>
      <c r="C305" s="751">
        <f t="shared" ca="1" si="59"/>
        <v>1</v>
      </c>
      <c r="D305" s="752">
        <f t="shared" ca="1" si="60"/>
        <v>2</v>
      </c>
      <c r="E305" s="752">
        <f t="shared" ca="1" si="61"/>
        <v>1</v>
      </c>
      <c r="F305" s="209"/>
      <c r="J305" s="65"/>
      <c r="K305" s="146"/>
      <c r="L305" s="567"/>
      <c r="M305" s="567"/>
      <c r="N305" s="737"/>
      <c r="O305" s="638"/>
      <c r="P305" s="147"/>
      <c r="Q305" s="65"/>
    </row>
    <row r="306" spans="1:17" s="148" customFormat="1" ht="14.1" customHeight="1" x14ac:dyDescent="0.2">
      <c r="A306" s="751">
        <f ca="1">IF($H306="UNIDADE CONSTRUTIVA",OFFSET(A306,-1,0)+1,LARGE(A$3:A305,1))</f>
        <v>0</v>
      </c>
      <c r="B306" s="751">
        <f t="shared" ca="1" si="58"/>
        <v>4</v>
      </c>
      <c r="C306" s="751">
        <f t="shared" ca="1" si="59"/>
        <v>1</v>
      </c>
      <c r="D306" s="752">
        <f t="shared" ca="1" si="60"/>
        <v>2</v>
      </c>
      <c r="E306" s="752">
        <f t="shared" ca="1" si="61"/>
        <v>1</v>
      </c>
      <c r="F306" s="209"/>
      <c r="J306" s="65"/>
      <c r="K306" s="146"/>
      <c r="L306" s="567"/>
      <c r="M306" s="567"/>
      <c r="N306" s="737"/>
      <c r="O306" s="638"/>
      <c r="P306" s="147"/>
      <c r="Q306" s="65"/>
    </row>
    <row r="307" spans="1:17" s="148" customFormat="1" ht="14.1" customHeight="1" x14ac:dyDescent="0.2">
      <c r="A307" s="751">
        <f ca="1">IF($H307="UNIDADE CONSTRUTIVA",OFFSET(A307,-1,0)+1,LARGE(A$3:A306,1))</f>
        <v>0</v>
      </c>
      <c r="B307" s="751">
        <f t="shared" ca="1" si="58"/>
        <v>4</v>
      </c>
      <c r="C307" s="751">
        <f t="shared" ca="1" si="59"/>
        <v>1</v>
      </c>
      <c r="D307" s="752">
        <f t="shared" ca="1" si="60"/>
        <v>2</v>
      </c>
      <c r="E307" s="752">
        <f t="shared" ca="1" si="61"/>
        <v>1</v>
      </c>
      <c r="F307" s="209"/>
      <c r="J307" s="65"/>
      <c r="K307" s="146"/>
      <c r="L307" s="567"/>
      <c r="M307" s="567"/>
      <c r="N307" s="737"/>
      <c r="O307" s="638"/>
      <c r="P307" s="147"/>
      <c r="Q307" s="65"/>
    </row>
    <row r="308" spans="1:17" s="148" customFormat="1" ht="14.1" customHeight="1" x14ac:dyDescent="0.2">
      <c r="A308" s="751">
        <f ca="1">IF($H308="UNIDADE CONSTRUTIVA",OFFSET(A308,-1,0)+1,LARGE(A$3:A307,1))</f>
        <v>0</v>
      </c>
      <c r="B308" s="751">
        <f t="shared" ca="1" si="58"/>
        <v>4</v>
      </c>
      <c r="C308" s="751">
        <f t="shared" ca="1" si="59"/>
        <v>1</v>
      </c>
      <c r="D308" s="752">
        <f t="shared" ca="1" si="60"/>
        <v>2</v>
      </c>
      <c r="E308" s="752">
        <f t="shared" ca="1" si="61"/>
        <v>1</v>
      </c>
      <c r="F308" s="209"/>
      <c r="J308" s="65"/>
      <c r="K308" s="146"/>
      <c r="L308" s="567"/>
      <c r="M308" s="567"/>
      <c r="N308" s="737"/>
      <c r="O308" s="638"/>
      <c r="P308" s="147"/>
      <c r="Q308" s="65"/>
    </row>
    <row r="309" spans="1:17" s="148" customFormat="1" ht="14.1" customHeight="1" x14ac:dyDescent="0.2">
      <c r="A309" s="751">
        <f ca="1">IF($H309="UNIDADE CONSTRUTIVA",OFFSET(A309,-1,0)+1,LARGE(A$3:A308,1))</f>
        <v>0</v>
      </c>
      <c r="B309" s="751">
        <f t="shared" ca="1" si="58"/>
        <v>4</v>
      </c>
      <c r="C309" s="751">
        <f t="shared" ca="1" si="59"/>
        <v>1</v>
      </c>
      <c r="D309" s="752">
        <f t="shared" ca="1" si="60"/>
        <v>2</v>
      </c>
      <c r="E309" s="752">
        <f t="shared" ca="1" si="61"/>
        <v>1</v>
      </c>
      <c r="F309" s="209"/>
      <c r="J309" s="65"/>
      <c r="K309" s="146"/>
      <c r="L309" s="567"/>
      <c r="M309" s="567"/>
      <c r="N309" s="737"/>
      <c r="O309" s="638"/>
      <c r="P309" s="147"/>
      <c r="Q309" s="65"/>
    </row>
    <row r="310" spans="1:17" s="148" customFormat="1" ht="14.1" customHeight="1" x14ac:dyDescent="0.2">
      <c r="A310" s="751">
        <f ca="1">IF($H310="UNIDADE CONSTRUTIVA",OFFSET(A310,-1,0)+1,LARGE(A$3:A309,1))</f>
        <v>0</v>
      </c>
      <c r="B310" s="751">
        <f t="shared" ca="1" si="58"/>
        <v>4</v>
      </c>
      <c r="C310" s="751">
        <f t="shared" ca="1" si="59"/>
        <v>1</v>
      </c>
      <c r="D310" s="752">
        <f t="shared" ca="1" si="60"/>
        <v>2</v>
      </c>
      <c r="E310" s="752">
        <f t="shared" ca="1" si="61"/>
        <v>1</v>
      </c>
      <c r="F310" s="209"/>
      <c r="J310" s="65"/>
      <c r="K310" s="146"/>
      <c r="L310" s="567"/>
      <c r="M310" s="567"/>
      <c r="N310" s="737"/>
      <c r="O310" s="638"/>
      <c r="P310" s="147"/>
      <c r="Q310" s="65"/>
    </row>
    <row r="311" spans="1:17" s="148" customFormat="1" ht="14.1" customHeight="1" x14ac:dyDescent="0.2">
      <c r="A311" s="751">
        <f ca="1">IF($H311="UNIDADE CONSTRUTIVA",OFFSET(A311,-1,0)+1,LARGE(A$3:A310,1))</f>
        <v>0</v>
      </c>
      <c r="B311" s="751">
        <f t="shared" ca="1" si="58"/>
        <v>4</v>
      </c>
      <c r="C311" s="751">
        <f t="shared" ca="1" si="59"/>
        <v>1</v>
      </c>
      <c r="D311" s="752">
        <f t="shared" ca="1" si="60"/>
        <v>2</v>
      </c>
      <c r="E311" s="752">
        <f t="shared" ca="1" si="61"/>
        <v>1</v>
      </c>
      <c r="F311" s="209"/>
      <c r="J311" s="65"/>
      <c r="K311" s="146"/>
      <c r="L311" s="567"/>
      <c r="M311" s="567"/>
      <c r="N311" s="737"/>
      <c r="O311" s="638"/>
      <c r="P311" s="147"/>
      <c r="Q311" s="65"/>
    </row>
    <row r="312" spans="1:17" s="148" customFormat="1" ht="14.1" customHeight="1" x14ac:dyDescent="0.2">
      <c r="A312" s="751">
        <f ca="1">IF($H312="UNIDADE CONSTRUTIVA",OFFSET(A312,-1,0)+1,LARGE(A$3:A311,1))</f>
        <v>0</v>
      </c>
      <c r="B312" s="751">
        <f t="shared" ca="1" si="58"/>
        <v>4</v>
      </c>
      <c r="C312" s="751">
        <f t="shared" ca="1" si="59"/>
        <v>1</v>
      </c>
      <c r="D312" s="752">
        <f t="shared" ca="1" si="60"/>
        <v>2</v>
      </c>
      <c r="E312" s="752">
        <f t="shared" ca="1" si="61"/>
        <v>1</v>
      </c>
      <c r="F312" s="209"/>
      <c r="J312" s="65"/>
      <c r="K312" s="146"/>
      <c r="L312" s="567"/>
      <c r="M312" s="567"/>
      <c r="N312" s="737"/>
      <c r="O312" s="638"/>
      <c r="P312" s="147"/>
      <c r="Q312" s="65"/>
    </row>
    <row r="313" spans="1:17" s="148" customFormat="1" ht="14.1" customHeight="1" x14ac:dyDescent="0.2">
      <c r="A313" s="751">
        <f ca="1">IF($H313="UNIDADE CONSTRUTIVA",OFFSET(A313,-1,0)+1,LARGE(A$3:A312,1))</f>
        <v>0</v>
      </c>
      <c r="B313" s="751">
        <f t="shared" ca="1" si="58"/>
        <v>4</v>
      </c>
      <c r="C313" s="751">
        <f t="shared" ca="1" si="59"/>
        <v>1</v>
      </c>
      <c r="D313" s="752">
        <f t="shared" ca="1" si="60"/>
        <v>2</v>
      </c>
      <c r="E313" s="752">
        <f t="shared" ca="1" si="61"/>
        <v>1</v>
      </c>
      <c r="F313" s="209"/>
      <c r="J313" s="65"/>
      <c r="K313" s="146"/>
      <c r="L313" s="567"/>
      <c r="M313" s="567"/>
      <c r="N313" s="737"/>
      <c r="O313" s="638"/>
      <c r="P313" s="147"/>
      <c r="Q313" s="65"/>
    </row>
    <row r="314" spans="1:17" s="148" customFormat="1" ht="14.1" customHeight="1" x14ac:dyDescent="0.2">
      <c r="A314" s="751">
        <f ca="1">IF($H314="UNIDADE CONSTRUTIVA",OFFSET(A314,-1,0)+1,LARGE(A$3:A313,1))</f>
        <v>0</v>
      </c>
      <c r="B314" s="751">
        <f t="shared" ca="1" si="58"/>
        <v>4</v>
      </c>
      <c r="C314" s="751">
        <f t="shared" ca="1" si="59"/>
        <v>1</v>
      </c>
      <c r="D314" s="752">
        <f t="shared" ca="1" si="60"/>
        <v>2</v>
      </c>
      <c r="E314" s="752">
        <f t="shared" ca="1" si="61"/>
        <v>1</v>
      </c>
      <c r="F314" s="209"/>
      <c r="J314" s="65"/>
      <c r="K314" s="146"/>
      <c r="L314" s="567"/>
      <c r="M314" s="567"/>
      <c r="N314" s="737"/>
      <c r="O314" s="638"/>
      <c r="P314" s="147"/>
      <c r="Q314" s="65"/>
    </row>
    <row r="315" spans="1:17" s="148" customFormat="1" ht="14.1" customHeight="1" x14ac:dyDescent="0.2">
      <c r="A315" s="751">
        <f ca="1">IF($H315="UNIDADE CONSTRUTIVA",OFFSET(A315,-1,0)+1,LARGE(A$3:A314,1))</f>
        <v>0</v>
      </c>
      <c r="B315" s="751">
        <f t="shared" ca="1" si="58"/>
        <v>4</v>
      </c>
      <c r="C315" s="751">
        <f t="shared" ca="1" si="59"/>
        <v>1</v>
      </c>
      <c r="D315" s="752">
        <f t="shared" ca="1" si="60"/>
        <v>2</v>
      </c>
      <c r="E315" s="752">
        <f t="shared" ca="1" si="61"/>
        <v>1</v>
      </c>
      <c r="F315" s="209"/>
      <c r="J315" s="65"/>
      <c r="K315" s="146"/>
      <c r="L315" s="567"/>
      <c r="M315" s="567"/>
      <c r="N315" s="737"/>
      <c r="O315" s="638"/>
      <c r="P315" s="147"/>
      <c r="Q315" s="65"/>
    </row>
    <row r="316" spans="1:17" s="148" customFormat="1" ht="14.1" customHeight="1" x14ac:dyDescent="0.2">
      <c r="A316" s="751">
        <f ca="1">IF($H316="UNIDADE CONSTRUTIVA",OFFSET(A316,-1,0)+1,LARGE(A$3:A315,1))</f>
        <v>0</v>
      </c>
      <c r="B316" s="751">
        <f t="shared" ca="1" si="58"/>
        <v>4</v>
      </c>
      <c r="C316" s="751">
        <f t="shared" ca="1" si="59"/>
        <v>1</v>
      </c>
      <c r="D316" s="752">
        <f t="shared" ca="1" si="60"/>
        <v>2</v>
      </c>
      <c r="E316" s="752">
        <f t="shared" ca="1" si="61"/>
        <v>1</v>
      </c>
      <c r="F316" s="209"/>
      <c r="J316" s="65"/>
      <c r="K316" s="146"/>
      <c r="L316" s="567"/>
      <c r="M316" s="567"/>
      <c r="N316" s="737"/>
      <c r="O316" s="638"/>
      <c r="P316" s="147"/>
      <c r="Q316" s="65"/>
    </row>
    <row r="317" spans="1:17" s="148" customFormat="1" ht="14.1" customHeight="1" x14ac:dyDescent="0.2">
      <c r="A317" s="751">
        <f ca="1">IF($H317="UNIDADE CONSTRUTIVA",OFFSET(A317,-1,0)+1,LARGE(A$3:A316,1))</f>
        <v>0</v>
      </c>
      <c r="B317" s="751">
        <f t="shared" ca="1" si="58"/>
        <v>4</v>
      </c>
      <c r="C317" s="751">
        <f t="shared" ca="1" si="59"/>
        <v>1</v>
      </c>
      <c r="D317" s="752">
        <f t="shared" ca="1" si="60"/>
        <v>2</v>
      </c>
      <c r="E317" s="752">
        <f t="shared" ca="1" si="61"/>
        <v>1</v>
      </c>
      <c r="F317" s="209"/>
      <c r="J317" s="65"/>
      <c r="K317" s="146"/>
      <c r="L317" s="567"/>
      <c r="M317" s="567"/>
      <c r="N317" s="737"/>
      <c r="O317" s="638"/>
      <c r="P317" s="147"/>
      <c r="Q317" s="65"/>
    </row>
    <row r="318" spans="1:17" s="148" customFormat="1" ht="14.1" customHeight="1" x14ac:dyDescent="0.2">
      <c r="A318" s="751">
        <f ca="1">IF($H318="UNIDADE CONSTRUTIVA",OFFSET(A318,-1,0)+1,LARGE(A$3:A317,1))</f>
        <v>0</v>
      </c>
      <c r="B318" s="751">
        <f t="shared" ca="1" si="58"/>
        <v>4</v>
      </c>
      <c r="C318" s="751">
        <f t="shared" ca="1" si="59"/>
        <v>1</v>
      </c>
      <c r="D318" s="752">
        <f t="shared" ca="1" si="60"/>
        <v>2</v>
      </c>
      <c r="E318" s="752">
        <f t="shared" ca="1" si="61"/>
        <v>1</v>
      </c>
      <c r="F318" s="209"/>
      <c r="J318" s="65"/>
      <c r="K318" s="146"/>
      <c r="L318" s="567"/>
      <c r="M318" s="567"/>
      <c r="N318" s="737"/>
      <c r="O318" s="638"/>
      <c r="P318" s="147"/>
      <c r="Q318" s="65"/>
    </row>
    <row r="319" spans="1:17" s="148" customFormat="1" ht="14.1" customHeight="1" x14ac:dyDescent="0.2">
      <c r="A319" s="751">
        <f ca="1">IF($H319="UNIDADE CONSTRUTIVA",OFFSET(A319,-1,0)+1,LARGE(A$3:A318,1))</f>
        <v>0</v>
      </c>
      <c r="B319" s="751">
        <f t="shared" ca="1" si="58"/>
        <v>4</v>
      </c>
      <c r="C319" s="751">
        <f t="shared" ca="1" si="59"/>
        <v>1</v>
      </c>
      <c r="D319" s="752">
        <f t="shared" ca="1" si="60"/>
        <v>2</v>
      </c>
      <c r="E319" s="752">
        <f t="shared" ca="1" si="61"/>
        <v>1</v>
      </c>
      <c r="F319" s="209"/>
      <c r="J319" s="65"/>
      <c r="K319" s="146"/>
      <c r="L319" s="567"/>
      <c r="M319" s="567"/>
      <c r="N319" s="737"/>
      <c r="O319" s="638"/>
      <c r="P319" s="147"/>
      <c r="Q319" s="65"/>
    </row>
    <row r="320" spans="1:17" s="148" customFormat="1" ht="14.1" customHeight="1" x14ac:dyDescent="0.2">
      <c r="A320" s="751">
        <f ca="1">IF($H320="UNIDADE CONSTRUTIVA",OFFSET(A320,-1,0)+1,LARGE(A$3:A319,1))</f>
        <v>0</v>
      </c>
      <c r="B320" s="751">
        <f t="shared" ca="1" si="58"/>
        <v>4</v>
      </c>
      <c r="C320" s="751">
        <f t="shared" ca="1" si="59"/>
        <v>1</v>
      </c>
      <c r="D320" s="752">
        <f t="shared" ca="1" si="60"/>
        <v>2</v>
      </c>
      <c r="E320" s="752">
        <f t="shared" ca="1" si="61"/>
        <v>1</v>
      </c>
      <c r="F320" s="209"/>
      <c r="J320" s="65"/>
      <c r="K320" s="146"/>
      <c r="L320" s="567"/>
      <c r="M320" s="567"/>
      <c r="N320" s="737"/>
      <c r="O320" s="638"/>
      <c r="P320" s="147"/>
      <c r="Q320" s="65"/>
    </row>
    <row r="321" spans="1:17" s="148" customFormat="1" ht="14.1" customHeight="1" x14ac:dyDescent="0.2">
      <c r="A321" s="751">
        <f ca="1">IF($H321="UNIDADE CONSTRUTIVA",OFFSET(A321,-1,0)+1,LARGE(A$3:A320,1))</f>
        <v>0</v>
      </c>
      <c r="B321" s="751">
        <f t="shared" ca="1" si="58"/>
        <v>4</v>
      </c>
      <c r="C321" s="751">
        <f t="shared" ca="1" si="59"/>
        <v>1</v>
      </c>
      <c r="D321" s="752">
        <f t="shared" ca="1" si="60"/>
        <v>2</v>
      </c>
      <c r="E321" s="752">
        <f t="shared" ca="1" si="61"/>
        <v>1</v>
      </c>
      <c r="F321" s="209"/>
      <c r="J321" s="65"/>
      <c r="K321" s="146"/>
      <c r="L321" s="567"/>
      <c r="M321" s="567"/>
      <c r="N321" s="737"/>
      <c r="O321" s="638"/>
      <c r="P321" s="147"/>
      <c r="Q321" s="65"/>
    </row>
    <row r="322" spans="1:17" s="148" customFormat="1" ht="14.1" customHeight="1" x14ac:dyDescent="0.2">
      <c r="A322" s="751">
        <f ca="1">IF($H322="UNIDADE CONSTRUTIVA",OFFSET(A322,-1,0)+1,LARGE(A$3:A321,1))</f>
        <v>0</v>
      </c>
      <c r="B322" s="751">
        <f t="shared" ca="1" si="58"/>
        <v>4</v>
      </c>
      <c r="C322" s="751">
        <f t="shared" ca="1" si="59"/>
        <v>1</v>
      </c>
      <c r="D322" s="752">
        <f t="shared" ca="1" si="60"/>
        <v>2</v>
      </c>
      <c r="E322" s="752">
        <f t="shared" ca="1" si="61"/>
        <v>1</v>
      </c>
      <c r="F322" s="209"/>
      <c r="J322" s="65"/>
      <c r="K322" s="146"/>
      <c r="L322" s="567"/>
      <c r="M322" s="567"/>
      <c r="N322" s="737"/>
      <c r="O322" s="638"/>
      <c r="P322" s="147"/>
      <c r="Q322" s="65"/>
    </row>
    <row r="323" spans="1:17" s="148" customFormat="1" ht="14.1" customHeight="1" x14ac:dyDescent="0.2">
      <c r="A323" s="751">
        <f ca="1">IF($H323="UNIDADE CONSTRUTIVA",OFFSET(A323,-1,0)+1,LARGE(A$3:A322,1))</f>
        <v>0</v>
      </c>
      <c r="B323" s="751">
        <f t="shared" ca="1" si="58"/>
        <v>4</v>
      </c>
      <c r="C323" s="751">
        <f t="shared" ca="1" si="59"/>
        <v>1</v>
      </c>
      <c r="D323" s="752">
        <f t="shared" ca="1" si="60"/>
        <v>2</v>
      </c>
      <c r="E323" s="752">
        <f t="shared" ca="1" si="61"/>
        <v>1</v>
      </c>
      <c r="F323" s="209"/>
      <c r="J323" s="65"/>
      <c r="K323" s="146"/>
      <c r="L323" s="567"/>
      <c r="M323" s="567"/>
      <c r="N323" s="737"/>
      <c r="O323" s="638"/>
      <c r="P323" s="147"/>
      <c r="Q323" s="65"/>
    </row>
    <row r="324" spans="1:17" s="148" customFormat="1" ht="14.1" customHeight="1" x14ac:dyDescent="0.2">
      <c r="A324" s="751">
        <f ca="1">IF($H324="UNIDADE CONSTRUTIVA",OFFSET(A324,-1,0)+1,LARGE(A$3:A323,1))</f>
        <v>0</v>
      </c>
      <c r="B324" s="751">
        <f t="shared" ca="1" si="58"/>
        <v>4</v>
      </c>
      <c r="C324" s="751">
        <f t="shared" ca="1" si="59"/>
        <v>1</v>
      </c>
      <c r="D324" s="752">
        <f t="shared" ca="1" si="60"/>
        <v>2</v>
      </c>
      <c r="E324" s="752">
        <f t="shared" ca="1" si="61"/>
        <v>1</v>
      </c>
      <c r="F324" s="209"/>
      <c r="J324" s="65"/>
      <c r="K324" s="146"/>
      <c r="L324" s="567"/>
      <c r="M324" s="567"/>
      <c r="N324" s="737"/>
      <c r="O324" s="638"/>
      <c r="P324" s="147"/>
      <c r="Q324" s="65"/>
    </row>
    <row r="325" spans="1:17" s="148" customFormat="1" ht="14.1" customHeight="1" x14ac:dyDescent="0.2">
      <c r="A325" s="751">
        <f ca="1">IF($H325="UNIDADE CONSTRUTIVA",OFFSET(A325,-1,0)+1,LARGE(A$3:A324,1))</f>
        <v>0</v>
      </c>
      <c r="B325" s="751">
        <f t="shared" ca="1" si="58"/>
        <v>4</v>
      </c>
      <c r="C325" s="751">
        <f t="shared" ca="1" si="59"/>
        <v>1</v>
      </c>
      <c r="D325" s="752">
        <f t="shared" ca="1" si="60"/>
        <v>2</v>
      </c>
      <c r="E325" s="752">
        <f t="shared" ca="1" si="61"/>
        <v>1</v>
      </c>
      <c r="F325" s="209"/>
      <c r="J325" s="65"/>
      <c r="K325" s="146"/>
      <c r="L325" s="567"/>
      <c r="M325" s="567"/>
      <c r="N325" s="737"/>
      <c r="O325" s="638"/>
      <c r="P325" s="147"/>
      <c r="Q325" s="65"/>
    </row>
    <row r="326" spans="1:17" s="148" customFormat="1" ht="14.1" customHeight="1" x14ac:dyDescent="0.2">
      <c r="A326" s="751">
        <f ca="1">IF($H326="UNIDADE CONSTRUTIVA",OFFSET(A326,-1,0)+1,LARGE(A$3:A325,1))</f>
        <v>0</v>
      </c>
      <c r="B326" s="751">
        <f t="shared" ca="1" si="58"/>
        <v>4</v>
      </c>
      <c r="C326" s="751">
        <f t="shared" ca="1" si="59"/>
        <v>1</v>
      </c>
      <c r="D326" s="752">
        <f t="shared" ca="1" si="60"/>
        <v>2</v>
      </c>
      <c r="E326" s="752">
        <f t="shared" ca="1" si="61"/>
        <v>1</v>
      </c>
      <c r="F326" s="209"/>
      <c r="J326" s="65"/>
      <c r="K326" s="146"/>
      <c r="L326" s="567"/>
      <c r="M326" s="567"/>
      <c r="N326" s="737"/>
      <c r="O326" s="638"/>
      <c r="P326" s="147"/>
      <c r="Q326" s="65"/>
    </row>
    <row r="327" spans="1:17" s="148" customFormat="1" ht="14.1" customHeight="1" x14ac:dyDescent="0.2">
      <c r="A327" s="751">
        <f ca="1">IF($H327="UNIDADE CONSTRUTIVA",OFFSET(A327,-1,0)+1,LARGE(A$3:A326,1))</f>
        <v>0</v>
      </c>
      <c r="B327" s="751">
        <f t="shared" ca="1" si="58"/>
        <v>4</v>
      </c>
      <c r="C327" s="751">
        <f t="shared" ca="1" si="59"/>
        <v>1</v>
      </c>
      <c r="D327" s="752">
        <f t="shared" ca="1" si="60"/>
        <v>2</v>
      </c>
      <c r="E327" s="752">
        <f t="shared" ca="1" si="61"/>
        <v>1</v>
      </c>
      <c r="F327" s="209"/>
      <c r="J327" s="65"/>
      <c r="K327" s="146"/>
      <c r="L327" s="567"/>
      <c r="M327" s="567"/>
      <c r="N327" s="737"/>
      <c r="O327" s="638"/>
      <c r="P327" s="147"/>
      <c r="Q327" s="65"/>
    </row>
    <row r="328" spans="1:17" s="148" customFormat="1" ht="14.1" customHeight="1" x14ac:dyDescent="0.2">
      <c r="A328" s="751">
        <f ca="1">IF($H328="UNIDADE CONSTRUTIVA",OFFSET(A328,-1,0)+1,LARGE(A$3:A327,1))</f>
        <v>0</v>
      </c>
      <c r="B328" s="751">
        <f t="shared" ca="1" si="58"/>
        <v>4</v>
      </c>
      <c r="C328" s="751">
        <f t="shared" ca="1" si="59"/>
        <v>1</v>
      </c>
      <c r="D328" s="752">
        <f t="shared" ca="1" si="60"/>
        <v>2</v>
      </c>
      <c r="E328" s="752">
        <f t="shared" ca="1" si="61"/>
        <v>1</v>
      </c>
      <c r="F328" s="209"/>
      <c r="J328" s="65"/>
      <c r="K328" s="146"/>
      <c r="L328" s="567"/>
      <c r="M328" s="567"/>
      <c r="N328" s="737"/>
      <c r="O328" s="638"/>
      <c r="P328" s="147"/>
      <c r="Q328" s="65"/>
    </row>
    <row r="329" spans="1:17" s="148" customFormat="1" ht="14.1" customHeight="1" x14ac:dyDescent="0.2">
      <c r="A329" s="751">
        <f ca="1">IF($H329="UNIDADE CONSTRUTIVA",OFFSET(A329,-1,0)+1,LARGE(A$3:A328,1))</f>
        <v>0</v>
      </c>
      <c r="B329" s="751">
        <f t="shared" ca="1" si="58"/>
        <v>4</v>
      </c>
      <c r="C329" s="751">
        <f t="shared" ca="1" si="59"/>
        <v>1</v>
      </c>
      <c r="D329" s="752">
        <f t="shared" ca="1" si="60"/>
        <v>2</v>
      </c>
      <c r="E329" s="752">
        <f t="shared" ca="1" si="61"/>
        <v>1</v>
      </c>
      <c r="F329" s="209"/>
      <c r="J329" s="65"/>
      <c r="K329" s="146"/>
      <c r="L329" s="567"/>
      <c r="M329" s="567"/>
      <c r="N329" s="737"/>
      <c r="O329" s="638"/>
      <c r="P329" s="147"/>
      <c r="Q329" s="65"/>
    </row>
    <row r="330" spans="1:17" s="148" customFormat="1" ht="14.1" customHeight="1" x14ac:dyDescent="0.2">
      <c r="A330" s="751">
        <f ca="1">IF($H330="UNIDADE CONSTRUTIVA",OFFSET(A330,-1,0)+1,LARGE(A$3:A329,1))</f>
        <v>0</v>
      </c>
      <c r="B330" s="751">
        <f t="shared" ca="1" si="58"/>
        <v>4</v>
      </c>
      <c r="C330" s="751">
        <f t="shared" ca="1" si="59"/>
        <v>1</v>
      </c>
      <c r="D330" s="752">
        <f t="shared" ca="1" si="60"/>
        <v>2</v>
      </c>
      <c r="E330" s="752">
        <f t="shared" ca="1" si="61"/>
        <v>1</v>
      </c>
      <c r="F330" s="209"/>
      <c r="J330" s="65"/>
      <c r="K330" s="146"/>
      <c r="L330" s="567"/>
      <c r="M330" s="567"/>
      <c r="N330" s="737"/>
      <c r="O330" s="638"/>
      <c r="P330" s="147"/>
      <c r="Q330" s="65"/>
    </row>
    <row r="331" spans="1:17" s="148" customFormat="1" ht="14.1" customHeight="1" x14ac:dyDescent="0.2">
      <c r="A331" s="751">
        <f ca="1">IF($H331="UNIDADE CONSTRUTIVA",OFFSET(A331,-1,0)+1,LARGE(A$3:A330,1))</f>
        <v>0</v>
      </c>
      <c r="B331" s="751">
        <f t="shared" ca="1" si="58"/>
        <v>4</v>
      </c>
      <c r="C331" s="751">
        <f t="shared" ca="1" si="59"/>
        <v>1</v>
      </c>
      <c r="D331" s="752">
        <f t="shared" ca="1" si="60"/>
        <v>2</v>
      </c>
      <c r="E331" s="752">
        <f t="shared" ca="1" si="61"/>
        <v>1</v>
      </c>
      <c r="F331" s="209"/>
      <c r="J331" s="65"/>
      <c r="K331" s="146"/>
      <c r="L331" s="567"/>
      <c r="M331" s="567"/>
      <c r="N331" s="737"/>
      <c r="O331" s="638"/>
      <c r="P331" s="147"/>
      <c r="Q331" s="65"/>
    </row>
    <row r="332" spans="1:17" s="148" customFormat="1" ht="14.1" customHeight="1" x14ac:dyDescent="0.2">
      <c r="A332" s="751">
        <f ca="1">IF($H332="UNIDADE CONSTRUTIVA",OFFSET(A332,-1,0)+1,LARGE(A$3:A331,1))</f>
        <v>0</v>
      </c>
      <c r="B332" s="751">
        <f t="shared" ca="1" si="58"/>
        <v>4</v>
      </c>
      <c r="C332" s="751">
        <f t="shared" ca="1" si="59"/>
        <v>1</v>
      </c>
      <c r="D332" s="752">
        <f t="shared" ca="1" si="60"/>
        <v>2</v>
      </c>
      <c r="E332" s="752">
        <f t="shared" ca="1" si="61"/>
        <v>1</v>
      </c>
      <c r="F332" s="209"/>
      <c r="J332" s="65"/>
      <c r="K332" s="146"/>
      <c r="L332" s="567"/>
      <c r="M332" s="567"/>
      <c r="N332" s="737"/>
      <c r="O332" s="638"/>
      <c r="P332" s="147"/>
      <c r="Q332" s="65"/>
    </row>
    <row r="333" spans="1:17" s="148" customFormat="1" ht="14.1" customHeight="1" x14ac:dyDescent="0.2">
      <c r="A333" s="751">
        <f ca="1">IF($H333="UNIDADE CONSTRUTIVA",OFFSET(A333,-1,0)+1,LARGE(A$3:A332,1))</f>
        <v>0</v>
      </c>
      <c r="B333" s="751">
        <f t="shared" ca="1" si="58"/>
        <v>4</v>
      </c>
      <c r="C333" s="751">
        <f t="shared" ca="1" si="59"/>
        <v>1</v>
      </c>
      <c r="D333" s="752">
        <f t="shared" ca="1" si="60"/>
        <v>2</v>
      </c>
      <c r="E333" s="752">
        <f t="shared" ca="1" si="61"/>
        <v>1</v>
      </c>
      <c r="F333" s="209"/>
      <c r="J333" s="65"/>
      <c r="K333" s="146"/>
      <c r="L333" s="567"/>
      <c r="M333" s="567"/>
      <c r="N333" s="737"/>
      <c r="O333" s="638"/>
      <c r="P333" s="147"/>
      <c r="Q333" s="65"/>
    </row>
    <row r="334" spans="1:17" s="148" customFormat="1" ht="14.1" customHeight="1" x14ac:dyDescent="0.2">
      <c r="A334" s="751">
        <f ca="1">IF($H334="UNIDADE CONSTRUTIVA",OFFSET(A334,-1,0)+1,LARGE(A$3:A333,1))</f>
        <v>0</v>
      </c>
      <c r="B334" s="751">
        <f t="shared" ca="1" si="58"/>
        <v>4</v>
      </c>
      <c r="C334" s="751">
        <f t="shared" ca="1" si="59"/>
        <v>1</v>
      </c>
      <c r="D334" s="752">
        <f t="shared" ca="1" si="60"/>
        <v>2</v>
      </c>
      <c r="E334" s="752">
        <f t="shared" ca="1" si="61"/>
        <v>1</v>
      </c>
      <c r="F334" s="209"/>
      <c r="J334" s="65"/>
      <c r="K334" s="146"/>
      <c r="L334" s="567"/>
      <c r="M334" s="567"/>
      <c r="N334" s="737"/>
      <c r="O334" s="638"/>
      <c r="P334" s="147"/>
      <c r="Q334" s="65"/>
    </row>
    <row r="335" spans="1:17" s="148" customFormat="1" ht="14.1" customHeight="1" x14ac:dyDescent="0.2">
      <c r="A335" s="751">
        <f ca="1">IF($H335="UNIDADE CONSTRUTIVA",OFFSET(A335,-1,0)+1,LARGE(A$3:A334,1))</f>
        <v>0</v>
      </c>
      <c r="B335" s="751">
        <f t="shared" ca="1" si="58"/>
        <v>4</v>
      </c>
      <c r="C335" s="751">
        <f t="shared" ca="1" si="59"/>
        <v>1</v>
      </c>
      <c r="D335" s="752">
        <f t="shared" ca="1" si="60"/>
        <v>2</v>
      </c>
      <c r="E335" s="752">
        <f t="shared" ca="1" si="61"/>
        <v>1</v>
      </c>
      <c r="F335" s="209"/>
      <c r="J335" s="65"/>
      <c r="K335" s="146"/>
      <c r="L335" s="567"/>
      <c r="M335" s="567"/>
      <c r="N335" s="737"/>
      <c r="O335" s="638"/>
      <c r="P335" s="147"/>
      <c r="Q335" s="65"/>
    </row>
    <row r="336" spans="1:17" s="148" customFormat="1" ht="14.1" customHeight="1" x14ac:dyDescent="0.2">
      <c r="A336" s="751">
        <f ca="1">IF($H336="UNIDADE CONSTRUTIVA",OFFSET(A336,-1,0)+1,LARGE(A$3:A335,1))</f>
        <v>0</v>
      </c>
      <c r="B336" s="751">
        <f t="shared" ca="1" si="58"/>
        <v>4</v>
      </c>
      <c r="C336" s="751">
        <f t="shared" ca="1" si="59"/>
        <v>1</v>
      </c>
      <c r="D336" s="752">
        <f t="shared" ca="1" si="60"/>
        <v>2</v>
      </c>
      <c r="E336" s="752">
        <f t="shared" ca="1" si="61"/>
        <v>1</v>
      </c>
      <c r="F336" s="209"/>
      <c r="J336" s="65"/>
      <c r="K336" s="146"/>
      <c r="L336" s="567"/>
      <c r="M336" s="567"/>
      <c r="N336" s="737"/>
      <c r="O336" s="638"/>
      <c r="P336" s="147"/>
      <c r="Q336" s="65"/>
    </row>
    <row r="337" spans="1:17" s="148" customFormat="1" ht="14.1" customHeight="1" x14ac:dyDescent="0.2">
      <c r="A337" s="751">
        <f ca="1">IF($H337="UNIDADE CONSTRUTIVA",OFFSET(A337,-1,0)+1,LARGE(A$3:A336,1))</f>
        <v>0</v>
      </c>
      <c r="B337" s="751">
        <f t="shared" ca="1" si="58"/>
        <v>4</v>
      </c>
      <c r="C337" s="751">
        <f t="shared" ca="1" si="59"/>
        <v>1</v>
      </c>
      <c r="D337" s="752">
        <f t="shared" ca="1" si="60"/>
        <v>2</v>
      </c>
      <c r="E337" s="752">
        <f t="shared" ca="1" si="61"/>
        <v>1</v>
      </c>
      <c r="F337" s="209"/>
      <c r="J337" s="65"/>
      <c r="K337" s="146"/>
      <c r="L337" s="567"/>
      <c r="M337" s="567"/>
      <c r="N337" s="737"/>
      <c r="O337" s="638"/>
      <c r="P337" s="147"/>
      <c r="Q337" s="65"/>
    </row>
    <row r="338" spans="1:17" s="148" customFormat="1" ht="14.1" customHeight="1" x14ac:dyDescent="0.2">
      <c r="A338" s="751">
        <f ca="1">IF($H338="UNIDADE CONSTRUTIVA",OFFSET(A338,-1,0)+1,LARGE(A$3:A337,1))</f>
        <v>0</v>
      </c>
      <c r="B338" s="751">
        <f t="shared" ca="1" si="58"/>
        <v>4</v>
      </c>
      <c r="C338" s="751">
        <f t="shared" ca="1" si="59"/>
        <v>1</v>
      </c>
      <c r="D338" s="752">
        <f t="shared" ca="1" si="60"/>
        <v>2</v>
      </c>
      <c r="E338" s="752">
        <f t="shared" ca="1" si="61"/>
        <v>1</v>
      </c>
      <c r="F338" s="209"/>
      <c r="J338" s="65"/>
      <c r="K338" s="146"/>
      <c r="L338" s="567"/>
      <c r="M338" s="567"/>
      <c r="N338" s="737"/>
      <c r="O338" s="638"/>
      <c r="P338" s="147"/>
      <c r="Q338" s="65"/>
    </row>
    <row r="339" spans="1:17" s="148" customFormat="1" ht="14.1" customHeight="1" x14ac:dyDescent="0.2">
      <c r="A339" s="751">
        <f ca="1">IF($H339="UNIDADE CONSTRUTIVA",OFFSET(A339,-1,0)+1,LARGE(A$3:A338,1))</f>
        <v>0</v>
      </c>
      <c r="B339" s="751">
        <f t="shared" ca="1" si="58"/>
        <v>4</v>
      </c>
      <c r="C339" s="751">
        <f t="shared" ca="1" si="59"/>
        <v>1</v>
      </c>
      <c r="D339" s="752">
        <f t="shared" ca="1" si="60"/>
        <v>2</v>
      </c>
      <c r="E339" s="752">
        <f t="shared" ca="1" si="61"/>
        <v>1</v>
      </c>
      <c r="F339" s="209"/>
      <c r="J339" s="65"/>
      <c r="K339" s="146"/>
      <c r="L339" s="567"/>
      <c r="M339" s="567"/>
      <c r="N339" s="737"/>
      <c r="O339" s="638"/>
      <c r="P339" s="147"/>
      <c r="Q339" s="65"/>
    </row>
    <row r="340" spans="1:17" s="148" customFormat="1" ht="14.1" customHeight="1" x14ac:dyDescent="0.2">
      <c r="A340" s="751">
        <f ca="1">IF($H340="UNIDADE CONSTRUTIVA",OFFSET(A340,-1,0)+1,LARGE(A$3:A339,1))</f>
        <v>0</v>
      </c>
      <c r="B340" s="751">
        <f t="shared" ca="1" si="58"/>
        <v>4</v>
      </c>
      <c r="C340" s="751">
        <f t="shared" ca="1" si="59"/>
        <v>1</v>
      </c>
      <c r="D340" s="752">
        <f t="shared" ca="1" si="60"/>
        <v>2</v>
      </c>
      <c r="E340" s="752">
        <f t="shared" ca="1" si="61"/>
        <v>1</v>
      </c>
      <c r="F340" s="209"/>
      <c r="J340" s="65"/>
      <c r="K340" s="146"/>
      <c r="L340" s="567"/>
      <c r="M340" s="567"/>
      <c r="N340" s="737"/>
      <c r="O340" s="638"/>
      <c r="P340" s="147"/>
      <c r="Q340" s="65"/>
    </row>
    <row r="341" spans="1:17" s="148" customFormat="1" ht="14.1" customHeight="1" x14ac:dyDescent="0.2">
      <c r="A341" s="751">
        <f ca="1">IF($H341="UNIDADE CONSTRUTIVA",OFFSET(A341,-1,0)+1,LARGE(A$3:A340,1))</f>
        <v>0</v>
      </c>
      <c r="B341" s="751">
        <f t="shared" ca="1" si="58"/>
        <v>4</v>
      </c>
      <c r="C341" s="751">
        <f t="shared" ca="1" si="59"/>
        <v>1</v>
      </c>
      <c r="D341" s="752">
        <f t="shared" ca="1" si="60"/>
        <v>2</v>
      </c>
      <c r="E341" s="752">
        <f t="shared" ca="1" si="61"/>
        <v>1</v>
      </c>
      <c r="F341" s="209"/>
      <c r="J341" s="65"/>
      <c r="K341" s="146"/>
      <c r="L341" s="567"/>
      <c r="M341" s="567"/>
      <c r="N341" s="737"/>
      <c r="O341" s="638"/>
      <c r="P341" s="147"/>
      <c r="Q341" s="65"/>
    </row>
    <row r="342" spans="1:17" s="148" customFormat="1" ht="14.1" customHeight="1" x14ac:dyDescent="0.2">
      <c r="A342" s="751">
        <f ca="1">IF($H342="UNIDADE CONSTRUTIVA",OFFSET(A342,-1,0)+1,LARGE(A$3:A341,1))</f>
        <v>0</v>
      </c>
      <c r="B342" s="751">
        <f t="shared" ca="1" si="58"/>
        <v>4</v>
      </c>
      <c r="C342" s="751">
        <f t="shared" ca="1" si="59"/>
        <v>1</v>
      </c>
      <c r="D342" s="752">
        <f t="shared" ca="1" si="60"/>
        <v>2</v>
      </c>
      <c r="E342" s="752">
        <f t="shared" ca="1" si="61"/>
        <v>1</v>
      </c>
      <c r="F342" s="209"/>
      <c r="J342" s="65"/>
      <c r="K342" s="146"/>
      <c r="L342" s="567"/>
      <c r="M342" s="567"/>
      <c r="N342" s="737"/>
      <c r="O342" s="638"/>
      <c r="P342" s="147"/>
      <c r="Q342" s="65"/>
    </row>
    <row r="343" spans="1:17" s="148" customFormat="1" ht="14.1" customHeight="1" x14ac:dyDescent="0.2">
      <c r="A343" s="751">
        <f ca="1">IF($H343="UNIDADE CONSTRUTIVA",OFFSET(A343,-1,0)+1,LARGE(A$3:A342,1))</f>
        <v>0</v>
      </c>
      <c r="B343" s="751">
        <f t="shared" ca="1" si="58"/>
        <v>4</v>
      </c>
      <c r="C343" s="751">
        <f t="shared" ca="1" si="59"/>
        <v>1</v>
      </c>
      <c r="D343" s="752">
        <f t="shared" ca="1" si="60"/>
        <v>2</v>
      </c>
      <c r="E343" s="752">
        <f t="shared" ca="1" si="61"/>
        <v>1</v>
      </c>
      <c r="F343" s="209"/>
      <c r="J343" s="65"/>
      <c r="K343" s="146"/>
      <c r="L343" s="567"/>
      <c r="M343" s="567"/>
      <c r="N343" s="737"/>
      <c r="O343" s="638"/>
      <c r="P343" s="147"/>
      <c r="Q343" s="65"/>
    </row>
    <row r="344" spans="1:17" s="148" customFormat="1" ht="14.1" customHeight="1" x14ac:dyDescent="0.2">
      <c r="A344" s="751">
        <f ca="1">IF($H344="UNIDADE CONSTRUTIVA",OFFSET(A344,-1,0)+1,LARGE(A$3:A343,1))</f>
        <v>0</v>
      </c>
      <c r="B344" s="751">
        <f t="shared" ref="B344:B407" ca="1" si="62">IF(H344="UNIDADE CONSTRUTIVA",0,IF(H344="CÉLULA CONSTRUTIVA",OFFSET(B344,-1,0)+1,OFFSET(B344,-1,0)))</f>
        <v>4</v>
      </c>
      <c r="C344" s="751">
        <f t="shared" ref="C344:C407" ca="1" si="63">IF(H344="CÉLULA CONSTRUTIVA",0,IF(H344="ETAPA",OFFSET(C344,-1,0)+1,OFFSET(C344,-1,0)))</f>
        <v>1</v>
      </c>
      <c r="D344" s="752">
        <f t="shared" ref="D344:D407" ca="1" si="64">IF(H344="ETAPA",0,IF(H344="SUBETAPA",OFFSET(D344,-1,0)+1,OFFSET(D344,-1,0)))</f>
        <v>2</v>
      </c>
      <c r="E344" s="752">
        <f t="shared" ref="E344:E407" ca="1" si="65">IF(H344="Subetapa",0,IF(H344="serviço",OFFSET(E344,-1,0)+1,OFFSET(E344,-1,0)))</f>
        <v>1</v>
      </c>
      <c r="F344" s="209"/>
      <c r="J344" s="65"/>
      <c r="K344" s="146"/>
      <c r="L344" s="567"/>
      <c r="M344" s="567"/>
      <c r="N344" s="737"/>
      <c r="O344" s="638"/>
      <c r="P344" s="147"/>
      <c r="Q344" s="65"/>
    </row>
    <row r="345" spans="1:17" s="148" customFormat="1" ht="14.1" customHeight="1" x14ac:dyDescent="0.2">
      <c r="A345" s="751">
        <f ca="1">IF($H345="UNIDADE CONSTRUTIVA",OFFSET(A345,-1,0)+1,LARGE(A$3:A344,1))</f>
        <v>0</v>
      </c>
      <c r="B345" s="751">
        <f t="shared" ca="1" si="62"/>
        <v>4</v>
      </c>
      <c r="C345" s="751">
        <f t="shared" ca="1" si="63"/>
        <v>1</v>
      </c>
      <c r="D345" s="752">
        <f t="shared" ca="1" si="64"/>
        <v>2</v>
      </c>
      <c r="E345" s="752">
        <f t="shared" ca="1" si="65"/>
        <v>1</v>
      </c>
      <c r="F345" s="209"/>
      <c r="J345" s="65"/>
      <c r="K345" s="146"/>
      <c r="L345" s="567"/>
      <c r="M345" s="567"/>
      <c r="N345" s="737"/>
      <c r="O345" s="638"/>
      <c r="P345" s="147"/>
      <c r="Q345" s="65"/>
    </row>
    <row r="346" spans="1:17" s="148" customFormat="1" ht="14.1" customHeight="1" x14ac:dyDescent="0.2">
      <c r="A346" s="751">
        <f ca="1">IF($H346="UNIDADE CONSTRUTIVA",OFFSET(A346,-1,0)+1,LARGE(A$3:A345,1))</f>
        <v>0</v>
      </c>
      <c r="B346" s="751">
        <f t="shared" ca="1" si="62"/>
        <v>4</v>
      </c>
      <c r="C346" s="751">
        <f t="shared" ca="1" si="63"/>
        <v>1</v>
      </c>
      <c r="D346" s="752">
        <f t="shared" ca="1" si="64"/>
        <v>2</v>
      </c>
      <c r="E346" s="752">
        <f t="shared" ca="1" si="65"/>
        <v>1</v>
      </c>
      <c r="F346" s="209"/>
      <c r="J346" s="65"/>
      <c r="K346" s="146"/>
      <c r="L346" s="567"/>
      <c r="M346" s="567"/>
      <c r="N346" s="737"/>
      <c r="O346" s="638"/>
      <c r="P346" s="147"/>
      <c r="Q346" s="65"/>
    </row>
    <row r="347" spans="1:17" s="148" customFormat="1" ht="14.1" customHeight="1" x14ac:dyDescent="0.2">
      <c r="A347" s="751">
        <f ca="1">IF($H347="UNIDADE CONSTRUTIVA",OFFSET(A347,-1,0)+1,LARGE(A$3:A346,1))</f>
        <v>0</v>
      </c>
      <c r="B347" s="751">
        <f t="shared" ca="1" si="62"/>
        <v>4</v>
      </c>
      <c r="C347" s="751">
        <f t="shared" ca="1" si="63"/>
        <v>1</v>
      </c>
      <c r="D347" s="752">
        <f t="shared" ca="1" si="64"/>
        <v>2</v>
      </c>
      <c r="E347" s="752">
        <f t="shared" ca="1" si="65"/>
        <v>1</v>
      </c>
      <c r="F347" s="209"/>
      <c r="J347" s="65"/>
      <c r="K347" s="146"/>
      <c r="L347" s="567"/>
      <c r="M347" s="567"/>
      <c r="N347" s="737"/>
      <c r="O347" s="638"/>
      <c r="P347" s="147"/>
      <c r="Q347" s="65"/>
    </row>
    <row r="348" spans="1:17" s="148" customFormat="1" ht="14.1" customHeight="1" x14ac:dyDescent="0.2">
      <c r="A348" s="751">
        <f ca="1">IF($H348="UNIDADE CONSTRUTIVA",OFFSET(A348,-1,0)+1,LARGE(A$3:A347,1))</f>
        <v>0</v>
      </c>
      <c r="B348" s="751">
        <f t="shared" ca="1" si="62"/>
        <v>4</v>
      </c>
      <c r="C348" s="751">
        <f t="shared" ca="1" si="63"/>
        <v>1</v>
      </c>
      <c r="D348" s="752">
        <f t="shared" ca="1" si="64"/>
        <v>2</v>
      </c>
      <c r="E348" s="752">
        <f t="shared" ca="1" si="65"/>
        <v>1</v>
      </c>
      <c r="F348" s="209"/>
      <c r="J348" s="65"/>
      <c r="K348" s="146"/>
      <c r="L348" s="567"/>
      <c r="M348" s="567"/>
      <c r="N348" s="737"/>
      <c r="O348" s="638"/>
      <c r="P348" s="147"/>
      <c r="Q348" s="65"/>
    </row>
    <row r="349" spans="1:17" s="148" customFormat="1" ht="14.1" customHeight="1" x14ac:dyDescent="0.2">
      <c r="A349" s="751">
        <f ca="1">IF($H349="UNIDADE CONSTRUTIVA",OFFSET(A349,-1,0)+1,LARGE(A$3:A348,1))</f>
        <v>0</v>
      </c>
      <c r="B349" s="751">
        <f t="shared" ca="1" si="62"/>
        <v>4</v>
      </c>
      <c r="C349" s="751">
        <f t="shared" ca="1" si="63"/>
        <v>1</v>
      </c>
      <c r="D349" s="752">
        <f t="shared" ca="1" si="64"/>
        <v>2</v>
      </c>
      <c r="E349" s="752">
        <f t="shared" ca="1" si="65"/>
        <v>1</v>
      </c>
      <c r="F349" s="209"/>
      <c r="J349" s="65"/>
      <c r="K349" s="146"/>
      <c r="L349" s="567"/>
      <c r="M349" s="567"/>
      <c r="N349" s="737"/>
      <c r="O349" s="638"/>
      <c r="P349" s="147"/>
      <c r="Q349" s="65"/>
    </row>
    <row r="350" spans="1:17" s="148" customFormat="1" ht="14.1" customHeight="1" x14ac:dyDescent="0.2">
      <c r="A350" s="751">
        <f ca="1">IF($H350="UNIDADE CONSTRUTIVA",OFFSET(A350,-1,0)+1,LARGE(A$3:A349,1))</f>
        <v>0</v>
      </c>
      <c r="B350" s="751">
        <f t="shared" ca="1" si="62"/>
        <v>4</v>
      </c>
      <c r="C350" s="751">
        <f t="shared" ca="1" si="63"/>
        <v>1</v>
      </c>
      <c r="D350" s="752">
        <f t="shared" ca="1" si="64"/>
        <v>2</v>
      </c>
      <c r="E350" s="752">
        <f t="shared" ca="1" si="65"/>
        <v>1</v>
      </c>
      <c r="F350" s="209"/>
      <c r="J350" s="65"/>
      <c r="K350" s="146"/>
      <c r="L350" s="567"/>
      <c r="M350" s="567"/>
      <c r="N350" s="737"/>
      <c r="O350" s="638"/>
      <c r="P350" s="147"/>
      <c r="Q350" s="65"/>
    </row>
    <row r="351" spans="1:17" s="148" customFormat="1" ht="14.1" customHeight="1" x14ac:dyDescent="0.2">
      <c r="A351" s="751">
        <f ca="1">IF($H351="UNIDADE CONSTRUTIVA",OFFSET(A351,-1,0)+1,LARGE(A$3:A350,1))</f>
        <v>0</v>
      </c>
      <c r="B351" s="751">
        <f t="shared" ca="1" si="62"/>
        <v>4</v>
      </c>
      <c r="C351" s="751">
        <f t="shared" ca="1" si="63"/>
        <v>1</v>
      </c>
      <c r="D351" s="752">
        <f t="shared" ca="1" si="64"/>
        <v>2</v>
      </c>
      <c r="E351" s="752">
        <f t="shared" ca="1" si="65"/>
        <v>1</v>
      </c>
      <c r="F351" s="209"/>
      <c r="J351" s="65"/>
      <c r="K351" s="146"/>
      <c r="L351" s="567"/>
      <c r="M351" s="567"/>
      <c r="N351" s="737"/>
      <c r="O351" s="638"/>
      <c r="P351" s="147"/>
      <c r="Q351" s="65"/>
    </row>
    <row r="352" spans="1:17" s="148" customFormat="1" ht="14.1" customHeight="1" x14ac:dyDescent="0.2">
      <c r="A352" s="751">
        <f ca="1">IF($H352="UNIDADE CONSTRUTIVA",OFFSET(A352,-1,0)+1,LARGE(A$3:A351,1))</f>
        <v>0</v>
      </c>
      <c r="B352" s="751">
        <f t="shared" ca="1" si="62"/>
        <v>4</v>
      </c>
      <c r="C352" s="751">
        <f t="shared" ca="1" si="63"/>
        <v>1</v>
      </c>
      <c r="D352" s="752">
        <f t="shared" ca="1" si="64"/>
        <v>2</v>
      </c>
      <c r="E352" s="752">
        <f t="shared" ca="1" si="65"/>
        <v>1</v>
      </c>
      <c r="F352" s="209"/>
      <c r="J352" s="65"/>
      <c r="K352" s="146"/>
      <c r="L352" s="567"/>
      <c r="M352" s="567"/>
      <c r="N352" s="737"/>
      <c r="O352" s="638"/>
      <c r="P352" s="147"/>
      <c r="Q352" s="65"/>
    </row>
    <row r="353" spans="1:17" s="148" customFormat="1" ht="14.1" customHeight="1" x14ac:dyDescent="0.2">
      <c r="A353" s="751">
        <f ca="1">IF($H353="UNIDADE CONSTRUTIVA",OFFSET(A353,-1,0)+1,LARGE(A$3:A352,1))</f>
        <v>0</v>
      </c>
      <c r="B353" s="751">
        <f t="shared" ca="1" si="62"/>
        <v>4</v>
      </c>
      <c r="C353" s="751">
        <f t="shared" ca="1" si="63"/>
        <v>1</v>
      </c>
      <c r="D353" s="752">
        <f t="shared" ca="1" si="64"/>
        <v>2</v>
      </c>
      <c r="E353" s="752">
        <f t="shared" ca="1" si="65"/>
        <v>1</v>
      </c>
      <c r="F353" s="209"/>
      <c r="J353" s="65"/>
      <c r="K353" s="146"/>
      <c r="L353" s="567"/>
      <c r="M353" s="567"/>
      <c r="N353" s="737"/>
      <c r="O353" s="638"/>
      <c r="P353" s="147"/>
      <c r="Q353" s="65"/>
    </row>
    <row r="354" spans="1:17" s="148" customFormat="1" ht="14.1" customHeight="1" x14ac:dyDescent="0.2">
      <c r="A354" s="751">
        <f ca="1">IF($H354="UNIDADE CONSTRUTIVA",OFFSET(A354,-1,0)+1,LARGE(A$3:A353,1))</f>
        <v>0</v>
      </c>
      <c r="B354" s="751">
        <f t="shared" ca="1" si="62"/>
        <v>4</v>
      </c>
      <c r="C354" s="751">
        <f t="shared" ca="1" si="63"/>
        <v>1</v>
      </c>
      <c r="D354" s="752">
        <f t="shared" ca="1" si="64"/>
        <v>2</v>
      </c>
      <c r="E354" s="752">
        <f t="shared" ca="1" si="65"/>
        <v>1</v>
      </c>
      <c r="F354" s="209"/>
      <c r="J354" s="65"/>
      <c r="K354" s="146"/>
      <c r="L354" s="567"/>
      <c r="M354" s="567"/>
      <c r="N354" s="737"/>
      <c r="O354" s="638"/>
      <c r="P354" s="147"/>
      <c r="Q354" s="65"/>
    </row>
    <row r="355" spans="1:17" s="148" customFormat="1" ht="14.1" customHeight="1" x14ac:dyDescent="0.2">
      <c r="A355" s="751">
        <f ca="1">IF($H355="UNIDADE CONSTRUTIVA",OFFSET(A355,-1,0)+1,LARGE(A$3:A354,1))</f>
        <v>0</v>
      </c>
      <c r="B355" s="751">
        <f t="shared" ca="1" si="62"/>
        <v>4</v>
      </c>
      <c r="C355" s="751">
        <f t="shared" ca="1" si="63"/>
        <v>1</v>
      </c>
      <c r="D355" s="752">
        <f t="shared" ca="1" si="64"/>
        <v>2</v>
      </c>
      <c r="E355" s="752">
        <f t="shared" ca="1" si="65"/>
        <v>1</v>
      </c>
      <c r="F355" s="209"/>
      <c r="J355" s="65"/>
      <c r="K355" s="146"/>
      <c r="L355" s="567"/>
      <c r="M355" s="567"/>
      <c r="N355" s="737"/>
      <c r="O355" s="638"/>
      <c r="P355" s="147"/>
      <c r="Q355" s="65"/>
    </row>
    <row r="356" spans="1:17" s="148" customFormat="1" ht="14.1" customHeight="1" x14ac:dyDescent="0.2">
      <c r="A356" s="751">
        <f ca="1">IF($H356="UNIDADE CONSTRUTIVA",OFFSET(A356,-1,0)+1,LARGE(A$3:A355,1))</f>
        <v>0</v>
      </c>
      <c r="B356" s="751">
        <f t="shared" ca="1" si="62"/>
        <v>4</v>
      </c>
      <c r="C356" s="751">
        <f t="shared" ca="1" si="63"/>
        <v>1</v>
      </c>
      <c r="D356" s="752">
        <f t="shared" ca="1" si="64"/>
        <v>2</v>
      </c>
      <c r="E356" s="752">
        <f t="shared" ca="1" si="65"/>
        <v>1</v>
      </c>
      <c r="F356" s="209"/>
      <c r="J356" s="65"/>
      <c r="K356" s="146"/>
      <c r="L356" s="567"/>
      <c r="M356" s="567"/>
      <c r="N356" s="737"/>
      <c r="O356" s="638"/>
      <c r="P356" s="147"/>
      <c r="Q356" s="65"/>
    </row>
    <row r="357" spans="1:17" s="148" customFormat="1" ht="14.1" customHeight="1" x14ac:dyDescent="0.2">
      <c r="A357" s="751">
        <f ca="1">IF($H357="UNIDADE CONSTRUTIVA",OFFSET(A357,-1,0)+1,LARGE(A$3:A356,1))</f>
        <v>0</v>
      </c>
      <c r="B357" s="751">
        <f t="shared" ca="1" si="62"/>
        <v>4</v>
      </c>
      <c r="C357" s="751">
        <f t="shared" ca="1" si="63"/>
        <v>1</v>
      </c>
      <c r="D357" s="752">
        <f t="shared" ca="1" si="64"/>
        <v>2</v>
      </c>
      <c r="E357" s="752">
        <f t="shared" ca="1" si="65"/>
        <v>1</v>
      </c>
      <c r="F357" s="209"/>
      <c r="J357" s="65"/>
      <c r="K357" s="146"/>
      <c r="L357" s="567"/>
      <c r="M357" s="567"/>
      <c r="N357" s="737"/>
      <c r="O357" s="638"/>
      <c r="P357" s="147"/>
      <c r="Q357" s="65"/>
    </row>
    <row r="358" spans="1:17" s="148" customFormat="1" ht="14.1" customHeight="1" x14ac:dyDescent="0.2">
      <c r="A358" s="751">
        <f ca="1">IF($H358="UNIDADE CONSTRUTIVA",OFFSET(A358,-1,0)+1,LARGE(A$3:A357,1))</f>
        <v>0</v>
      </c>
      <c r="B358" s="751">
        <f t="shared" ca="1" si="62"/>
        <v>4</v>
      </c>
      <c r="C358" s="751">
        <f t="shared" ca="1" si="63"/>
        <v>1</v>
      </c>
      <c r="D358" s="752">
        <f t="shared" ca="1" si="64"/>
        <v>2</v>
      </c>
      <c r="E358" s="752">
        <f t="shared" ca="1" si="65"/>
        <v>1</v>
      </c>
      <c r="F358" s="209"/>
      <c r="J358" s="65"/>
      <c r="K358" s="146"/>
      <c r="L358" s="567"/>
      <c r="M358" s="567"/>
      <c r="N358" s="737"/>
      <c r="O358" s="638"/>
      <c r="P358" s="147"/>
      <c r="Q358" s="65"/>
    </row>
    <row r="359" spans="1:17" s="148" customFormat="1" ht="14.1" customHeight="1" x14ac:dyDescent="0.2">
      <c r="A359" s="751">
        <f ca="1">IF($H359="UNIDADE CONSTRUTIVA",OFFSET(A359,-1,0)+1,LARGE(A$3:A358,1))</f>
        <v>0</v>
      </c>
      <c r="B359" s="751">
        <f t="shared" ca="1" si="62"/>
        <v>4</v>
      </c>
      <c r="C359" s="751">
        <f t="shared" ca="1" si="63"/>
        <v>1</v>
      </c>
      <c r="D359" s="752">
        <f t="shared" ca="1" si="64"/>
        <v>2</v>
      </c>
      <c r="E359" s="752">
        <f t="shared" ca="1" si="65"/>
        <v>1</v>
      </c>
      <c r="F359" s="209"/>
      <c r="J359" s="65"/>
      <c r="K359" s="146"/>
      <c r="L359" s="567"/>
      <c r="M359" s="567"/>
      <c r="N359" s="737"/>
      <c r="O359" s="638"/>
      <c r="P359" s="147"/>
      <c r="Q359" s="65"/>
    </row>
    <row r="360" spans="1:17" s="148" customFormat="1" ht="14.1" customHeight="1" x14ac:dyDescent="0.2">
      <c r="A360" s="751">
        <f ca="1">IF($H360="UNIDADE CONSTRUTIVA",OFFSET(A360,-1,0)+1,LARGE(A$3:A359,1))</f>
        <v>0</v>
      </c>
      <c r="B360" s="751">
        <f t="shared" ca="1" si="62"/>
        <v>4</v>
      </c>
      <c r="C360" s="751">
        <f t="shared" ca="1" si="63"/>
        <v>1</v>
      </c>
      <c r="D360" s="752">
        <f t="shared" ca="1" si="64"/>
        <v>2</v>
      </c>
      <c r="E360" s="752">
        <f t="shared" ca="1" si="65"/>
        <v>1</v>
      </c>
      <c r="F360" s="209"/>
      <c r="J360" s="65"/>
      <c r="K360" s="146"/>
      <c r="L360" s="567"/>
      <c r="M360" s="567"/>
      <c r="N360" s="737"/>
      <c r="O360" s="638"/>
      <c r="P360" s="147"/>
      <c r="Q360" s="65"/>
    </row>
    <row r="361" spans="1:17" s="148" customFormat="1" ht="14.1" customHeight="1" x14ac:dyDescent="0.2">
      <c r="A361" s="751">
        <f ca="1">IF($H361="UNIDADE CONSTRUTIVA",OFFSET(A361,-1,0)+1,LARGE(A$3:A360,1))</f>
        <v>0</v>
      </c>
      <c r="B361" s="751">
        <f t="shared" ca="1" si="62"/>
        <v>4</v>
      </c>
      <c r="C361" s="751">
        <f t="shared" ca="1" si="63"/>
        <v>1</v>
      </c>
      <c r="D361" s="752">
        <f t="shared" ca="1" si="64"/>
        <v>2</v>
      </c>
      <c r="E361" s="752">
        <f t="shared" ca="1" si="65"/>
        <v>1</v>
      </c>
      <c r="F361" s="209"/>
      <c r="J361" s="65"/>
      <c r="K361" s="146"/>
      <c r="L361" s="567"/>
      <c r="M361" s="567"/>
      <c r="N361" s="737"/>
      <c r="O361" s="638"/>
      <c r="P361" s="147"/>
      <c r="Q361" s="65"/>
    </row>
    <row r="362" spans="1:17" s="148" customFormat="1" ht="14.1" customHeight="1" x14ac:dyDescent="0.2">
      <c r="A362" s="751">
        <f ca="1">IF($H362="UNIDADE CONSTRUTIVA",OFFSET(A362,-1,0)+1,LARGE(A$3:A361,1))</f>
        <v>0</v>
      </c>
      <c r="B362" s="751">
        <f t="shared" ca="1" si="62"/>
        <v>4</v>
      </c>
      <c r="C362" s="751">
        <f t="shared" ca="1" si="63"/>
        <v>1</v>
      </c>
      <c r="D362" s="752">
        <f t="shared" ca="1" si="64"/>
        <v>2</v>
      </c>
      <c r="E362" s="752">
        <f t="shared" ca="1" si="65"/>
        <v>1</v>
      </c>
      <c r="F362" s="209"/>
      <c r="J362" s="65"/>
      <c r="K362" s="146"/>
      <c r="L362" s="567"/>
      <c r="M362" s="567"/>
      <c r="N362" s="737"/>
      <c r="O362" s="638"/>
      <c r="P362" s="147"/>
      <c r="Q362" s="65"/>
    </row>
    <row r="363" spans="1:17" s="148" customFormat="1" ht="14.1" customHeight="1" x14ac:dyDescent="0.2">
      <c r="A363" s="751">
        <f ca="1">IF($H363="UNIDADE CONSTRUTIVA",OFFSET(A363,-1,0)+1,LARGE(A$3:A362,1))</f>
        <v>0</v>
      </c>
      <c r="B363" s="751">
        <f t="shared" ca="1" si="62"/>
        <v>4</v>
      </c>
      <c r="C363" s="751">
        <f t="shared" ca="1" si="63"/>
        <v>1</v>
      </c>
      <c r="D363" s="752">
        <f t="shared" ca="1" si="64"/>
        <v>2</v>
      </c>
      <c r="E363" s="752">
        <f t="shared" ca="1" si="65"/>
        <v>1</v>
      </c>
      <c r="F363" s="209"/>
      <c r="J363" s="65"/>
      <c r="K363" s="146"/>
      <c r="L363" s="567"/>
      <c r="M363" s="567"/>
      <c r="N363" s="737"/>
      <c r="O363" s="638"/>
      <c r="P363" s="147"/>
      <c r="Q363" s="65"/>
    </row>
    <row r="364" spans="1:17" s="148" customFormat="1" ht="14.1" customHeight="1" x14ac:dyDescent="0.2">
      <c r="A364" s="751">
        <f ca="1">IF($H364="UNIDADE CONSTRUTIVA",OFFSET(A364,-1,0)+1,LARGE(A$3:A363,1))</f>
        <v>0</v>
      </c>
      <c r="B364" s="751">
        <f t="shared" ca="1" si="62"/>
        <v>4</v>
      </c>
      <c r="C364" s="751">
        <f t="shared" ca="1" si="63"/>
        <v>1</v>
      </c>
      <c r="D364" s="752">
        <f t="shared" ca="1" si="64"/>
        <v>2</v>
      </c>
      <c r="E364" s="752">
        <f t="shared" ca="1" si="65"/>
        <v>1</v>
      </c>
      <c r="F364" s="209"/>
      <c r="J364" s="65"/>
      <c r="K364" s="146"/>
      <c r="L364" s="567"/>
      <c r="M364" s="567"/>
      <c r="N364" s="737"/>
      <c r="O364" s="638"/>
      <c r="P364" s="147"/>
      <c r="Q364" s="65"/>
    </row>
    <row r="365" spans="1:17" s="148" customFormat="1" ht="14.1" customHeight="1" x14ac:dyDescent="0.2">
      <c r="A365" s="751">
        <f ca="1">IF($H365="UNIDADE CONSTRUTIVA",OFFSET(A365,-1,0)+1,LARGE(A$3:A364,1))</f>
        <v>0</v>
      </c>
      <c r="B365" s="751">
        <f t="shared" ca="1" si="62"/>
        <v>4</v>
      </c>
      <c r="C365" s="751">
        <f t="shared" ca="1" si="63"/>
        <v>1</v>
      </c>
      <c r="D365" s="752">
        <f t="shared" ca="1" si="64"/>
        <v>2</v>
      </c>
      <c r="E365" s="752">
        <f t="shared" ca="1" si="65"/>
        <v>1</v>
      </c>
      <c r="F365" s="209"/>
      <c r="J365" s="65"/>
      <c r="K365" s="146"/>
      <c r="L365" s="567"/>
      <c r="M365" s="567"/>
      <c r="N365" s="737"/>
      <c r="O365" s="638"/>
      <c r="P365" s="147"/>
      <c r="Q365" s="65"/>
    </row>
    <row r="366" spans="1:17" s="148" customFormat="1" ht="14.1" customHeight="1" x14ac:dyDescent="0.2">
      <c r="A366" s="751">
        <f ca="1">IF($H366="UNIDADE CONSTRUTIVA",OFFSET(A366,-1,0)+1,LARGE(A$3:A365,1))</f>
        <v>0</v>
      </c>
      <c r="B366" s="751">
        <f t="shared" ca="1" si="62"/>
        <v>4</v>
      </c>
      <c r="C366" s="751">
        <f t="shared" ca="1" si="63"/>
        <v>1</v>
      </c>
      <c r="D366" s="752">
        <f t="shared" ca="1" si="64"/>
        <v>2</v>
      </c>
      <c r="E366" s="752">
        <f t="shared" ca="1" si="65"/>
        <v>1</v>
      </c>
      <c r="F366" s="209"/>
      <c r="J366" s="65"/>
      <c r="K366" s="146"/>
      <c r="L366" s="567"/>
      <c r="M366" s="567"/>
      <c r="N366" s="737"/>
      <c r="O366" s="638"/>
      <c r="P366" s="147"/>
      <c r="Q366" s="65"/>
    </row>
    <row r="367" spans="1:17" s="148" customFormat="1" ht="14.1" customHeight="1" x14ac:dyDescent="0.2">
      <c r="A367" s="751">
        <f ca="1">IF($H367="UNIDADE CONSTRUTIVA",OFFSET(A367,-1,0)+1,LARGE(A$3:A366,1))</f>
        <v>0</v>
      </c>
      <c r="B367" s="751">
        <f t="shared" ca="1" si="62"/>
        <v>4</v>
      </c>
      <c r="C367" s="751">
        <f t="shared" ca="1" si="63"/>
        <v>1</v>
      </c>
      <c r="D367" s="752">
        <f t="shared" ca="1" si="64"/>
        <v>2</v>
      </c>
      <c r="E367" s="752">
        <f t="shared" ca="1" si="65"/>
        <v>1</v>
      </c>
      <c r="F367" s="209"/>
      <c r="J367" s="65"/>
      <c r="K367" s="146"/>
      <c r="L367" s="567"/>
      <c r="M367" s="567"/>
      <c r="N367" s="737"/>
      <c r="O367" s="638"/>
      <c r="P367" s="147"/>
      <c r="Q367" s="65"/>
    </row>
    <row r="368" spans="1:17" s="148" customFormat="1" ht="14.1" customHeight="1" x14ac:dyDescent="0.2">
      <c r="A368" s="751">
        <f ca="1">IF($H368="UNIDADE CONSTRUTIVA",OFFSET(A368,-1,0)+1,LARGE(A$3:A367,1))</f>
        <v>0</v>
      </c>
      <c r="B368" s="751">
        <f t="shared" ca="1" si="62"/>
        <v>4</v>
      </c>
      <c r="C368" s="751">
        <f t="shared" ca="1" si="63"/>
        <v>1</v>
      </c>
      <c r="D368" s="752">
        <f t="shared" ca="1" si="64"/>
        <v>2</v>
      </c>
      <c r="E368" s="752">
        <f t="shared" ca="1" si="65"/>
        <v>1</v>
      </c>
      <c r="F368" s="209"/>
      <c r="J368" s="65"/>
      <c r="K368" s="146"/>
      <c r="L368" s="567"/>
      <c r="M368" s="567"/>
      <c r="N368" s="737"/>
      <c r="O368" s="638"/>
      <c r="P368" s="147"/>
      <c r="Q368" s="65"/>
    </row>
    <row r="369" spans="1:17" s="148" customFormat="1" ht="14.1" customHeight="1" x14ac:dyDescent="0.2">
      <c r="A369" s="751">
        <f ca="1">IF($H369="UNIDADE CONSTRUTIVA",OFFSET(A369,-1,0)+1,LARGE(A$3:A368,1))</f>
        <v>0</v>
      </c>
      <c r="B369" s="751">
        <f t="shared" ca="1" si="62"/>
        <v>4</v>
      </c>
      <c r="C369" s="751">
        <f t="shared" ca="1" si="63"/>
        <v>1</v>
      </c>
      <c r="D369" s="752">
        <f t="shared" ca="1" si="64"/>
        <v>2</v>
      </c>
      <c r="E369" s="752">
        <f t="shared" ca="1" si="65"/>
        <v>1</v>
      </c>
      <c r="F369" s="209"/>
      <c r="J369" s="65"/>
      <c r="K369" s="146"/>
      <c r="L369" s="567"/>
      <c r="M369" s="567"/>
      <c r="N369" s="737"/>
      <c r="O369" s="638"/>
      <c r="P369" s="147"/>
      <c r="Q369" s="65"/>
    </row>
    <row r="370" spans="1:17" s="148" customFormat="1" ht="14.1" customHeight="1" x14ac:dyDescent="0.2">
      <c r="A370" s="751">
        <f ca="1">IF($H370="UNIDADE CONSTRUTIVA",OFFSET(A370,-1,0)+1,LARGE(A$3:A369,1))</f>
        <v>0</v>
      </c>
      <c r="B370" s="751">
        <f t="shared" ca="1" si="62"/>
        <v>4</v>
      </c>
      <c r="C370" s="751">
        <f t="shared" ca="1" si="63"/>
        <v>1</v>
      </c>
      <c r="D370" s="752">
        <f t="shared" ca="1" si="64"/>
        <v>2</v>
      </c>
      <c r="E370" s="752">
        <f t="shared" ca="1" si="65"/>
        <v>1</v>
      </c>
      <c r="F370" s="209"/>
      <c r="J370" s="65"/>
      <c r="K370" s="146"/>
      <c r="L370" s="567"/>
      <c r="M370" s="567"/>
      <c r="N370" s="737"/>
      <c r="O370" s="638"/>
      <c r="P370" s="147"/>
      <c r="Q370" s="65"/>
    </row>
    <row r="371" spans="1:17" s="148" customFormat="1" ht="14.1" customHeight="1" x14ac:dyDescent="0.2">
      <c r="A371" s="751">
        <f ca="1">IF($H371="UNIDADE CONSTRUTIVA",OFFSET(A371,-1,0)+1,LARGE(A$3:A370,1))</f>
        <v>0</v>
      </c>
      <c r="B371" s="751">
        <f t="shared" ca="1" si="62"/>
        <v>4</v>
      </c>
      <c r="C371" s="751">
        <f t="shared" ca="1" si="63"/>
        <v>1</v>
      </c>
      <c r="D371" s="752">
        <f t="shared" ca="1" si="64"/>
        <v>2</v>
      </c>
      <c r="E371" s="752">
        <f t="shared" ca="1" si="65"/>
        <v>1</v>
      </c>
      <c r="F371" s="209"/>
      <c r="J371" s="65"/>
      <c r="K371" s="146"/>
      <c r="L371" s="567"/>
      <c r="M371" s="567"/>
      <c r="N371" s="737"/>
      <c r="O371" s="638"/>
      <c r="P371" s="147"/>
      <c r="Q371" s="65"/>
    </row>
    <row r="372" spans="1:17" s="148" customFormat="1" ht="14.1" customHeight="1" x14ac:dyDescent="0.2">
      <c r="A372" s="751">
        <f ca="1">IF($H372="UNIDADE CONSTRUTIVA",OFFSET(A372,-1,0)+1,LARGE(A$3:A371,1))</f>
        <v>0</v>
      </c>
      <c r="B372" s="751">
        <f t="shared" ca="1" si="62"/>
        <v>4</v>
      </c>
      <c r="C372" s="751">
        <f t="shared" ca="1" si="63"/>
        <v>1</v>
      </c>
      <c r="D372" s="752">
        <f t="shared" ca="1" si="64"/>
        <v>2</v>
      </c>
      <c r="E372" s="752">
        <f t="shared" ca="1" si="65"/>
        <v>1</v>
      </c>
      <c r="F372" s="209"/>
      <c r="J372" s="65"/>
      <c r="K372" s="146"/>
      <c r="L372" s="567"/>
      <c r="M372" s="567"/>
      <c r="N372" s="737"/>
      <c r="O372" s="638"/>
      <c r="P372" s="147"/>
      <c r="Q372" s="65"/>
    </row>
    <row r="373" spans="1:17" s="148" customFormat="1" ht="14.1" customHeight="1" x14ac:dyDescent="0.2">
      <c r="A373" s="751">
        <f ca="1">IF($H373="UNIDADE CONSTRUTIVA",OFFSET(A373,-1,0)+1,LARGE(A$3:A372,1))</f>
        <v>0</v>
      </c>
      <c r="B373" s="751">
        <f t="shared" ca="1" si="62"/>
        <v>4</v>
      </c>
      <c r="C373" s="751">
        <f t="shared" ca="1" si="63"/>
        <v>1</v>
      </c>
      <c r="D373" s="752">
        <f t="shared" ca="1" si="64"/>
        <v>2</v>
      </c>
      <c r="E373" s="752">
        <f t="shared" ca="1" si="65"/>
        <v>1</v>
      </c>
      <c r="F373" s="209"/>
      <c r="J373" s="65"/>
      <c r="K373" s="146"/>
      <c r="L373" s="567"/>
      <c r="M373" s="567"/>
      <c r="N373" s="737"/>
      <c r="O373" s="638"/>
      <c r="P373" s="147"/>
      <c r="Q373" s="65"/>
    </row>
    <row r="374" spans="1:17" s="148" customFormat="1" ht="14.1" customHeight="1" x14ac:dyDescent="0.2">
      <c r="A374" s="751">
        <f ca="1">IF($H374="UNIDADE CONSTRUTIVA",OFFSET(A374,-1,0)+1,LARGE(A$3:A373,1))</f>
        <v>0</v>
      </c>
      <c r="B374" s="751">
        <f t="shared" ca="1" si="62"/>
        <v>4</v>
      </c>
      <c r="C374" s="751">
        <f t="shared" ca="1" si="63"/>
        <v>1</v>
      </c>
      <c r="D374" s="752">
        <f t="shared" ca="1" si="64"/>
        <v>2</v>
      </c>
      <c r="E374" s="752">
        <f t="shared" ca="1" si="65"/>
        <v>1</v>
      </c>
      <c r="F374" s="209"/>
      <c r="J374" s="65"/>
      <c r="K374" s="146"/>
      <c r="L374" s="567"/>
      <c r="M374" s="567"/>
      <c r="N374" s="737"/>
      <c r="O374" s="638"/>
      <c r="P374" s="147"/>
      <c r="Q374" s="65"/>
    </row>
    <row r="375" spans="1:17" s="148" customFormat="1" ht="14.1" customHeight="1" x14ac:dyDescent="0.2">
      <c r="A375" s="751">
        <f ca="1">IF($H375="UNIDADE CONSTRUTIVA",OFFSET(A375,-1,0)+1,LARGE(A$3:A374,1))</f>
        <v>0</v>
      </c>
      <c r="B375" s="751">
        <f t="shared" ca="1" si="62"/>
        <v>4</v>
      </c>
      <c r="C375" s="751">
        <f t="shared" ca="1" si="63"/>
        <v>1</v>
      </c>
      <c r="D375" s="752">
        <f t="shared" ca="1" si="64"/>
        <v>2</v>
      </c>
      <c r="E375" s="752">
        <f t="shared" ca="1" si="65"/>
        <v>1</v>
      </c>
      <c r="F375" s="209"/>
      <c r="J375" s="65"/>
      <c r="K375" s="146"/>
      <c r="L375" s="567"/>
      <c r="M375" s="567"/>
      <c r="N375" s="737"/>
      <c r="O375" s="638"/>
      <c r="P375" s="147"/>
      <c r="Q375" s="65"/>
    </row>
    <row r="376" spans="1:17" s="148" customFormat="1" ht="14.1" customHeight="1" x14ac:dyDescent="0.2">
      <c r="A376" s="751">
        <f ca="1">IF($H376="UNIDADE CONSTRUTIVA",OFFSET(A376,-1,0)+1,LARGE(A$3:A375,1))</f>
        <v>0</v>
      </c>
      <c r="B376" s="751">
        <f t="shared" ca="1" si="62"/>
        <v>4</v>
      </c>
      <c r="C376" s="751">
        <f t="shared" ca="1" si="63"/>
        <v>1</v>
      </c>
      <c r="D376" s="752">
        <f t="shared" ca="1" si="64"/>
        <v>2</v>
      </c>
      <c r="E376" s="752">
        <f t="shared" ca="1" si="65"/>
        <v>1</v>
      </c>
      <c r="F376" s="209"/>
      <c r="J376" s="65"/>
      <c r="K376" s="146"/>
      <c r="L376" s="567"/>
      <c r="M376" s="567"/>
      <c r="N376" s="737"/>
      <c r="O376" s="638"/>
      <c r="P376" s="147"/>
      <c r="Q376" s="65"/>
    </row>
    <row r="377" spans="1:17" s="148" customFormat="1" ht="14.1" customHeight="1" x14ac:dyDescent="0.2">
      <c r="A377" s="751">
        <f ca="1">IF($H377="UNIDADE CONSTRUTIVA",OFFSET(A377,-1,0)+1,LARGE(A$3:A376,1))</f>
        <v>0</v>
      </c>
      <c r="B377" s="751">
        <f t="shared" ca="1" si="62"/>
        <v>4</v>
      </c>
      <c r="C377" s="751">
        <f t="shared" ca="1" si="63"/>
        <v>1</v>
      </c>
      <c r="D377" s="752">
        <f t="shared" ca="1" si="64"/>
        <v>2</v>
      </c>
      <c r="E377" s="752">
        <f t="shared" ca="1" si="65"/>
        <v>1</v>
      </c>
      <c r="F377" s="209"/>
      <c r="J377" s="65"/>
      <c r="K377" s="146"/>
      <c r="L377" s="567"/>
      <c r="M377" s="567"/>
      <c r="N377" s="737"/>
      <c r="O377" s="638"/>
      <c r="P377" s="147"/>
      <c r="Q377" s="65"/>
    </row>
    <row r="378" spans="1:17" s="148" customFormat="1" ht="14.1" customHeight="1" x14ac:dyDescent="0.2">
      <c r="A378" s="751">
        <f ca="1">IF($H378="UNIDADE CONSTRUTIVA",OFFSET(A378,-1,0)+1,LARGE(A$3:A377,1))</f>
        <v>0</v>
      </c>
      <c r="B378" s="751">
        <f t="shared" ca="1" si="62"/>
        <v>4</v>
      </c>
      <c r="C378" s="751">
        <f t="shared" ca="1" si="63"/>
        <v>1</v>
      </c>
      <c r="D378" s="752">
        <f t="shared" ca="1" si="64"/>
        <v>2</v>
      </c>
      <c r="E378" s="752">
        <f t="shared" ca="1" si="65"/>
        <v>1</v>
      </c>
      <c r="F378" s="209"/>
      <c r="J378" s="65"/>
      <c r="K378" s="146"/>
      <c r="L378" s="567"/>
      <c r="M378" s="567"/>
      <c r="N378" s="737"/>
      <c r="O378" s="638"/>
      <c r="P378" s="147"/>
      <c r="Q378" s="65"/>
    </row>
    <row r="379" spans="1:17" s="148" customFormat="1" ht="14.1" customHeight="1" x14ac:dyDescent="0.2">
      <c r="A379" s="751">
        <f ca="1">IF($H379="UNIDADE CONSTRUTIVA",OFFSET(A379,-1,0)+1,LARGE(A$3:A378,1))</f>
        <v>0</v>
      </c>
      <c r="B379" s="751">
        <f t="shared" ca="1" si="62"/>
        <v>4</v>
      </c>
      <c r="C379" s="751">
        <f t="shared" ca="1" si="63"/>
        <v>1</v>
      </c>
      <c r="D379" s="752">
        <f t="shared" ca="1" si="64"/>
        <v>2</v>
      </c>
      <c r="E379" s="752">
        <f t="shared" ca="1" si="65"/>
        <v>1</v>
      </c>
      <c r="F379" s="209"/>
      <c r="J379" s="65"/>
      <c r="K379" s="146"/>
      <c r="L379" s="567"/>
      <c r="M379" s="567"/>
      <c r="N379" s="737"/>
      <c r="O379" s="638"/>
      <c r="P379" s="147"/>
      <c r="Q379" s="65"/>
    </row>
    <row r="380" spans="1:17" s="148" customFormat="1" ht="14.1" customHeight="1" x14ac:dyDescent="0.2">
      <c r="A380" s="751">
        <f ca="1">IF($H380="UNIDADE CONSTRUTIVA",OFFSET(A380,-1,0)+1,LARGE(A$3:A379,1))</f>
        <v>0</v>
      </c>
      <c r="B380" s="751">
        <f t="shared" ca="1" si="62"/>
        <v>4</v>
      </c>
      <c r="C380" s="751">
        <f t="shared" ca="1" si="63"/>
        <v>1</v>
      </c>
      <c r="D380" s="752">
        <f t="shared" ca="1" si="64"/>
        <v>2</v>
      </c>
      <c r="E380" s="752">
        <f t="shared" ca="1" si="65"/>
        <v>1</v>
      </c>
      <c r="F380" s="209"/>
      <c r="J380" s="65"/>
      <c r="K380" s="146"/>
      <c r="L380" s="567"/>
      <c r="M380" s="567"/>
      <c r="N380" s="737"/>
      <c r="O380" s="638"/>
      <c r="P380" s="147"/>
      <c r="Q380" s="65"/>
    </row>
    <row r="381" spans="1:17" s="148" customFormat="1" ht="14.1" customHeight="1" x14ac:dyDescent="0.2">
      <c r="A381" s="751">
        <f ca="1">IF($H381="UNIDADE CONSTRUTIVA",OFFSET(A381,-1,0)+1,LARGE(A$3:A380,1))</f>
        <v>0</v>
      </c>
      <c r="B381" s="751">
        <f t="shared" ca="1" si="62"/>
        <v>4</v>
      </c>
      <c r="C381" s="751">
        <f t="shared" ca="1" si="63"/>
        <v>1</v>
      </c>
      <c r="D381" s="752">
        <f t="shared" ca="1" si="64"/>
        <v>2</v>
      </c>
      <c r="E381" s="752">
        <f t="shared" ca="1" si="65"/>
        <v>1</v>
      </c>
      <c r="F381" s="209"/>
      <c r="J381" s="65"/>
      <c r="K381" s="146"/>
      <c r="L381" s="567"/>
      <c r="M381" s="567"/>
      <c r="N381" s="737"/>
      <c r="O381" s="638"/>
      <c r="P381" s="147"/>
      <c r="Q381" s="65"/>
    </row>
    <row r="382" spans="1:17" s="148" customFormat="1" ht="14.1" customHeight="1" x14ac:dyDescent="0.2">
      <c r="A382" s="751">
        <f ca="1">IF($H382="UNIDADE CONSTRUTIVA",OFFSET(A382,-1,0)+1,LARGE(A$3:A381,1))</f>
        <v>0</v>
      </c>
      <c r="B382" s="751">
        <f t="shared" ca="1" si="62"/>
        <v>4</v>
      </c>
      <c r="C382" s="751">
        <f t="shared" ca="1" si="63"/>
        <v>1</v>
      </c>
      <c r="D382" s="752">
        <f t="shared" ca="1" si="64"/>
        <v>2</v>
      </c>
      <c r="E382" s="752">
        <f t="shared" ca="1" si="65"/>
        <v>1</v>
      </c>
      <c r="F382" s="209"/>
      <c r="J382" s="65"/>
      <c r="K382" s="146"/>
      <c r="L382" s="567"/>
      <c r="M382" s="567"/>
      <c r="N382" s="737"/>
      <c r="O382" s="638"/>
      <c r="P382" s="147"/>
      <c r="Q382" s="65"/>
    </row>
    <row r="383" spans="1:17" s="148" customFormat="1" ht="14.1" customHeight="1" x14ac:dyDescent="0.2">
      <c r="A383" s="751">
        <f ca="1">IF($H383="UNIDADE CONSTRUTIVA",OFFSET(A383,-1,0)+1,LARGE(A$3:A382,1))</f>
        <v>0</v>
      </c>
      <c r="B383" s="751">
        <f t="shared" ca="1" si="62"/>
        <v>4</v>
      </c>
      <c r="C383" s="751">
        <f t="shared" ca="1" si="63"/>
        <v>1</v>
      </c>
      <c r="D383" s="752">
        <f t="shared" ca="1" si="64"/>
        <v>2</v>
      </c>
      <c r="E383" s="752">
        <f t="shared" ca="1" si="65"/>
        <v>1</v>
      </c>
      <c r="F383" s="209"/>
      <c r="J383" s="65"/>
      <c r="K383" s="146"/>
      <c r="L383" s="567"/>
      <c r="M383" s="567"/>
      <c r="N383" s="737"/>
      <c r="O383" s="638"/>
      <c r="P383" s="147"/>
      <c r="Q383" s="65"/>
    </row>
    <row r="384" spans="1:17" s="148" customFormat="1" ht="14.1" customHeight="1" x14ac:dyDescent="0.2">
      <c r="A384" s="751">
        <f ca="1">IF($H384="UNIDADE CONSTRUTIVA",OFFSET(A384,-1,0)+1,LARGE(A$3:A383,1))</f>
        <v>0</v>
      </c>
      <c r="B384" s="751">
        <f t="shared" ca="1" si="62"/>
        <v>4</v>
      </c>
      <c r="C384" s="751">
        <f t="shared" ca="1" si="63"/>
        <v>1</v>
      </c>
      <c r="D384" s="752">
        <f t="shared" ca="1" si="64"/>
        <v>2</v>
      </c>
      <c r="E384" s="752">
        <f t="shared" ca="1" si="65"/>
        <v>1</v>
      </c>
      <c r="F384" s="209"/>
      <c r="J384" s="65"/>
      <c r="K384" s="146"/>
      <c r="L384" s="567"/>
      <c r="M384" s="567"/>
      <c r="N384" s="737"/>
      <c r="O384" s="638"/>
      <c r="P384" s="147"/>
      <c r="Q384" s="65"/>
    </row>
    <row r="385" spans="1:17" s="148" customFormat="1" ht="14.1" customHeight="1" x14ac:dyDescent="0.2">
      <c r="A385" s="751">
        <f ca="1">IF($H385="UNIDADE CONSTRUTIVA",OFFSET(A385,-1,0)+1,LARGE(A$3:A384,1))</f>
        <v>0</v>
      </c>
      <c r="B385" s="751">
        <f t="shared" ca="1" si="62"/>
        <v>4</v>
      </c>
      <c r="C385" s="751">
        <f t="shared" ca="1" si="63"/>
        <v>1</v>
      </c>
      <c r="D385" s="752">
        <f t="shared" ca="1" si="64"/>
        <v>2</v>
      </c>
      <c r="E385" s="752">
        <f t="shared" ca="1" si="65"/>
        <v>1</v>
      </c>
      <c r="F385" s="209"/>
      <c r="J385" s="65"/>
      <c r="K385" s="146"/>
      <c r="L385" s="567"/>
      <c r="M385" s="567"/>
      <c r="N385" s="737"/>
      <c r="O385" s="638"/>
      <c r="P385" s="147"/>
      <c r="Q385" s="65"/>
    </row>
    <row r="386" spans="1:17" s="148" customFormat="1" ht="14.1" customHeight="1" x14ac:dyDescent="0.2">
      <c r="A386" s="751">
        <f ca="1">IF($H386="UNIDADE CONSTRUTIVA",OFFSET(A386,-1,0)+1,LARGE(A$3:A385,1))</f>
        <v>0</v>
      </c>
      <c r="B386" s="751">
        <f t="shared" ca="1" si="62"/>
        <v>4</v>
      </c>
      <c r="C386" s="751">
        <f t="shared" ca="1" si="63"/>
        <v>1</v>
      </c>
      <c r="D386" s="752">
        <f t="shared" ca="1" si="64"/>
        <v>2</v>
      </c>
      <c r="E386" s="752">
        <f t="shared" ca="1" si="65"/>
        <v>1</v>
      </c>
      <c r="F386" s="209"/>
      <c r="J386" s="65"/>
      <c r="K386" s="146"/>
      <c r="L386" s="567"/>
      <c r="M386" s="567"/>
      <c r="N386" s="737"/>
      <c r="O386" s="638"/>
      <c r="P386" s="147"/>
      <c r="Q386" s="65"/>
    </row>
    <row r="387" spans="1:17" s="148" customFormat="1" ht="14.1" customHeight="1" x14ac:dyDescent="0.2">
      <c r="A387" s="751">
        <f ca="1">IF($H387="UNIDADE CONSTRUTIVA",OFFSET(A387,-1,0)+1,LARGE(A$3:A386,1))</f>
        <v>0</v>
      </c>
      <c r="B387" s="751">
        <f t="shared" ca="1" si="62"/>
        <v>4</v>
      </c>
      <c r="C387" s="751">
        <f t="shared" ca="1" si="63"/>
        <v>1</v>
      </c>
      <c r="D387" s="752">
        <f t="shared" ca="1" si="64"/>
        <v>2</v>
      </c>
      <c r="E387" s="752">
        <f t="shared" ca="1" si="65"/>
        <v>1</v>
      </c>
      <c r="F387" s="209"/>
      <c r="J387" s="65"/>
      <c r="K387" s="146"/>
      <c r="L387" s="567"/>
      <c r="M387" s="567"/>
      <c r="N387" s="737"/>
      <c r="O387" s="638"/>
      <c r="P387" s="147"/>
      <c r="Q387" s="65"/>
    </row>
    <row r="388" spans="1:17" s="148" customFormat="1" ht="14.1" customHeight="1" x14ac:dyDescent="0.2">
      <c r="A388" s="751">
        <f ca="1">IF($H388="UNIDADE CONSTRUTIVA",OFFSET(A388,-1,0)+1,LARGE(A$3:A387,1))</f>
        <v>0</v>
      </c>
      <c r="B388" s="751">
        <f t="shared" ca="1" si="62"/>
        <v>4</v>
      </c>
      <c r="C388" s="751">
        <f t="shared" ca="1" si="63"/>
        <v>1</v>
      </c>
      <c r="D388" s="752">
        <f t="shared" ca="1" si="64"/>
        <v>2</v>
      </c>
      <c r="E388" s="752">
        <f t="shared" ca="1" si="65"/>
        <v>1</v>
      </c>
      <c r="F388" s="209"/>
      <c r="J388" s="65"/>
      <c r="K388" s="146"/>
      <c r="L388" s="567"/>
      <c r="M388" s="567"/>
      <c r="N388" s="737"/>
      <c r="O388" s="638"/>
      <c r="P388" s="147"/>
      <c r="Q388" s="65"/>
    </row>
    <row r="389" spans="1:17" s="148" customFormat="1" ht="14.1" customHeight="1" x14ac:dyDescent="0.2">
      <c r="A389" s="751">
        <f ca="1">IF($H389="UNIDADE CONSTRUTIVA",OFFSET(A389,-1,0)+1,LARGE(A$3:A388,1))</f>
        <v>0</v>
      </c>
      <c r="B389" s="751">
        <f t="shared" ca="1" si="62"/>
        <v>4</v>
      </c>
      <c r="C389" s="751">
        <f t="shared" ca="1" si="63"/>
        <v>1</v>
      </c>
      <c r="D389" s="752">
        <f t="shared" ca="1" si="64"/>
        <v>2</v>
      </c>
      <c r="E389" s="752">
        <f t="shared" ca="1" si="65"/>
        <v>1</v>
      </c>
      <c r="F389" s="209"/>
      <c r="J389" s="65"/>
      <c r="K389" s="146"/>
      <c r="L389" s="567"/>
      <c r="M389" s="567"/>
      <c r="N389" s="737"/>
      <c r="O389" s="638"/>
      <c r="P389" s="147"/>
      <c r="Q389" s="65"/>
    </row>
    <row r="390" spans="1:17" s="148" customFormat="1" ht="14.1" customHeight="1" x14ac:dyDescent="0.2">
      <c r="A390" s="751">
        <f ca="1">IF($H390="UNIDADE CONSTRUTIVA",OFFSET(A390,-1,0)+1,LARGE(A$3:A389,1))</f>
        <v>0</v>
      </c>
      <c r="B390" s="751">
        <f t="shared" ca="1" si="62"/>
        <v>4</v>
      </c>
      <c r="C390" s="751">
        <f t="shared" ca="1" si="63"/>
        <v>1</v>
      </c>
      <c r="D390" s="752">
        <f t="shared" ca="1" si="64"/>
        <v>2</v>
      </c>
      <c r="E390" s="752">
        <f t="shared" ca="1" si="65"/>
        <v>1</v>
      </c>
      <c r="F390" s="209"/>
      <c r="J390" s="65"/>
      <c r="K390" s="146"/>
      <c r="L390" s="567"/>
      <c r="M390" s="567"/>
      <c r="N390" s="737"/>
      <c r="O390" s="638"/>
      <c r="P390" s="147"/>
      <c r="Q390" s="65"/>
    </row>
    <row r="391" spans="1:17" s="148" customFormat="1" ht="14.1" customHeight="1" x14ac:dyDescent="0.2">
      <c r="A391" s="751">
        <f ca="1">IF($H391="UNIDADE CONSTRUTIVA",OFFSET(A391,-1,0)+1,LARGE(A$3:A390,1))</f>
        <v>0</v>
      </c>
      <c r="B391" s="751">
        <f t="shared" ca="1" si="62"/>
        <v>4</v>
      </c>
      <c r="C391" s="751">
        <f t="shared" ca="1" si="63"/>
        <v>1</v>
      </c>
      <c r="D391" s="752">
        <f t="shared" ca="1" si="64"/>
        <v>2</v>
      </c>
      <c r="E391" s="752">
        <f t="shared" ca="1" si="65"/>
        <v>1</v>
      </c>
      <c r="F391" s="209"/>
      <c r="J391" s="65"/>
      <c r="K391" s="146"/>
      <c r="L391" s="567"/>
      <c r="M391" s="567"/>
      <c r="N391" s="737"/>
      <c r="O391" s="638"/>
      <c r="P391" s="147"/>
      <c r="Q391" s="65"/>
    </row>
    <row r="392" spans="1:17" s="148" customFormat="1" ht="14.1" customHeight="1" x14ac:dyDescent="0.2">
      <c r="A392" s="751">
        <f ca="1">IF($H392="UNIDADE CONSTRUTIVA",OFFSET(A392,-1,0)+1,LARGE(A$3:A391,1))</f>
        <v>0</v>
      </c>
      <c r="B392" s="751">
        <f t="shared" ca="1" si="62"/>
        <v>4</v>
      </c>
      <c r="C392" s="751">
        <f t="shared" ca="1" si="63"/>
        <v>1</v>
      </c>
      <c r="D392" s="752">
        <f t="shared" ca="1" si="64"/>
        <v>2</v>
      </c>
      <c r="E392" s="752">
        <f t="shared" ca="1" si="65"/>
        <v>1</v>
      </c>
      <c r="F392" s="209"/>
      <c r="J392" s="65"/>
      <c r="K392" s="146"/>
      <c r="L392" s="567"/>
      <c r="M392" s="567"/>
      <c r="N392" s="737"/>
      <c r="O392" s="638"/>
      <c r="P392" s="147"/>
      <c r="Q392" s="65"/>
    </row>
    <row r="393" spans="1:17" s="148" customFormat="1" ht="14.1" customHeight="1" x14ac:dyDescent="0.2">
      <c r="A393" s="751">
        <f ca="1">IF($H393="UNIDADE CONSTRUTIVA",OFFSET(A393,-1,0)+1,LARGE(A$3:A392,1))</f>
        <v>0</v>
      </c>
      <c r="B393" s="751">
        <f t="shared" ca="1" si="62"/>
        <v>4</v>
      </c>
      <c r="C393" s="751">
        <f t="shared" ca="1" si="63"/>
        <v>1</v>
      </c>
      <c r="D393" s="752">
        <f t="shared" ca="1" si="64"/>
        <v>2</v>
      </c>
      <c r="E393" s="752">
        <f t="shared" ca="1" si="65"/>
        <v>1</v>
      </c>
      <c r="F393" s="209"/>
      <c r="J393" s="65"/>
      <c r="K393" s="146"/>
      <c r="L393" s="567"/>
      <c r="M393" s="567"/>
      <c r="N393" s="737"/>
      <c r="O393" s="638"/>
      <c r="P393" s="147"/>
      <c r="Q393" s="65"/>
    </row>
    <row r="394" spans="1:17" s="148" customFormat="1" ht="14.1" customHeight="1" x14ac:dyDescent="0.2">
      <c r="A394" s="751">
        <f ca="1">IF($H394="UNIDADE CONSTRUTIVA",OFFSET(A394,-1,0)+1,LARGE(A$3:A393,1))</f>
        <v>0</v>
      </c>
      <c r="B394" s="751">
        <f t="shared" ca="1" si="62"/>
        <v>4</v>
      </c>
      <c r="C394" s="751">
        <f t="shared" ca="1" si="63"/>
        <v>1</v>
      </c>
      <c r="D394" s="752">
        <f t="shared" ca="1" si="64"/>
        <v>2</v>
      </c>
      <c r="E394" s="752">
        <f t="shared" ca="1" si="65"/>
        <v>1</v>
      </c>
      <c r="F394" s="209"/>
      <c r="J394" s="65"/>
      <c r="K394" s="146"/>
      <c r="L394" s="567"/>
      <c r="M394" s="567"/>
      <c r="N394" s="737"/>
      <c r="O394" s="638"/>
      <c r="P394" s="147"/>
      <c r="Q394" s="65"/>
    </row>
    <row r="395" spans="1:17" s="148" customFormat="1" ht="14.1" customHeight="1" x14ac:dyDescent="0.2">
      <c r="A395" s="751">
        <f ca="1">IF($H395="UNIDADE CONSTRUTIVA",OFFSET(A395,-1,0)+1,LARGE(A$3:A394,1))</f>
        <v>0</v>
      </c>
      <c r="B395" s="751">
        <f t="shared" ca="1" si="62"/>
        <v>4</v>
      </c>
      <c r="C395" s="751">
        <f t="shared" ca="1" si="63"/>
        <v>1</v>
      </c>
      <c r="D395" s="752">
        <f t="shared" ca="1" si="64"/>
        <v>2</v>
      </c>
      <c r="E395" s="752">
        <f t="shared" ca="1" si="65"/>
        <v>1</v>
      </c>
      <c r="F395" s="209"/>
      <c r="J395" s="65"/>
      <c r="K395" s="146"/>
      <c r="L395" s="567"/>
      <c r="M395" s="567"/>
      <c r="N395" s="737"/>
      <c r="O395" s="638"/>
      <c r="P395" s="147"/>
      <c r="Q395" s="65"/>
    </row>
    <row r="396" spans="1:17" s="148" customFormat="1" ht="14.1" customHeight="1" x14ac:dyDescent="0.2">
      <c r="A396" s="751">
        <f ca="1">IF($H396="UNIDADE CONSTRUTIVA",OFFSET(A396,-1,0)+1,LARGE(A$3:A395,1))</f>
        <v>0</v>
      </c>
      <c r="B396" s="751">
        <f t="shared" ca="1" si="62"/>
        <v>4</v>
      </c>
      <c r="C396" s="751">
        <f t="shared" ca="1" si="63"/>
        <v>1</v>
      </c>
      <c r="D396" s="752">
        <f t="shared" ca="1" si="64"/>
        <v>2</v>
      </c>
      <c r="E396" s="752">
        <f t="shared" ca="1" si="65"/>
        <v>1</v>
      </c>
      <c r="F396" s="209"/>
      <c r="J396" s="65"/>
      <c r="K396" s="146"/>
      <c r="L396" s="567"/>
      <c r="M396" s="567"/>
      <c r="N396" s="737"/>
      <c r="O396" s="638"/>
      <c r="P396" s="147"/>
      <c r="Q396" s="65"/>
    </row>
    <row r="397" spans="1:17" s="148" customFormat="1" ht="14.1" customHeight="1" x14ac:dyDescent="0.2">
      <c r="A397" s="751">
        <f ca="1">IF($H397="UNIDADE CONSTRUTIVA",OFFSET(A397,-1,0)+1,LARGE(A$3:A396,1))</f>
        <v>0</v>
      </c>
      <c r="B397" s="751">
        <f t="shared" ca="1" si="62"/>
        <v>4</v>
      </c>
      <c r="C397" s="751">
        <f t="shared" ca="1" si="63"/>
        <v>1</v>
      </c>
      <c r="D397" s="752">
        <f t="shared" ca="1" si="64"/>
        <v>2</v>
      </c>
      <c r="E397" s="752">
        <f t="shared" ca="1" si="65"/>
        <v>1</v>
      </c>
      <c r="F397" s="209"/>
      <c r="J397" s="65"/>
      <c r="K397" s="146"/>
      <c r="L397" s="567"/>
      <c r="M397" s="567"/>
      <c r="N397" s="737"/>
      <c r="O397" s="638"/>
      <c r="P397" s="147"/>
      <c r="Q397" s="65"/>
    </row>
    <row r="398" spans="1:17" s="148" customFormat="1" ht="14.1" customHeight="1" x14ac:dyDescent="0.2">
      <c r="A398" s="751">
        <f ca="1">IF($H398="UNIDADE CONSTRUTIVA",OFFSET(A398,-1,0)+1,LARGE(A$3:A397,1))</f>
        <v>0</v>
      </c>
      <c r="B398" s="751">
        <f t="shared" ca="1" si="62"/>
        <v>4</v>
      </c>
      <c r="C398" s="751">
        <f t="shared" ca="1" si="63"/>
        <v>1</v>
      </c>
      <c r="D398" s="752">
        <f t="shared" ca="1" si="64"/>
        <v>2</v>
      </c>
      <c r="E398" s="752">
        <f t="shared" ca="1" si="65"/>
        <v>1</v>
      </c>
      <c r="F398" s="209"/>
      <c r="J398" s="65"/>
      <c r="K398" s="146"/>
      <c r="L398" s="567"/>
      <c r="M398" s="567"/>
      <c r="N398" s="737"/>
      <c r="O398" s="638"/>
      <c r="P398" s="147"/>
      <c r="Q398" s="65"/>
    </row>
    <row r="399" spans="1:17" s="148" customFormat="1" ht="14.1" customHeight="1" x14ac:dyDescent="0.2">
      <c r="A399" s="751">
        <f ca="1">IF($H399="UNIDADE CONSTRUTIVA",OFFSET(A399,-1,0)+1,LARGE(A$3:A398,1))</f>
        <v>0</v>
      </c>
      <c r="B399" s="751">
        <f t="shared" ca="1" si="62"/>
        <v>4</v>
      </c>
      <c r="C399" s="751">
        <f t="shared" ca="1" si="63"/>
        <v>1</v>
      </c>
      <c r="D399" s="752">
        <f t="shared" ca="1" si="64"/>
        <v>2</v>
      </c>
      <c r="E399" s="752">
        <f t="shared" ca="1" si="65"/>
        <v>1</v>
      </c>
      <c r="F399" s="209"/>
      <c r="J399" s="65"/>
      <c r="K399" s="146"/>
      <c r="L399" s="567"/>
      <c r="M399" s="567"/>
      <c r="N399" s="737"/>
      <c r="O399" s="638"/>
      <c r="P399" s="147"/>
      <c r="Q399" s="65"/>
    </row>
    <row r="400" spans="1:17" s="148" customFormat="1" ht="14.1" customHeight="1" x14ac:dyDescent="0.2">
      <c r="A400" s="751">
        <f ca="1">IF($H400="UNIDADE CONSTRUTIVA",OFFSET(A400,-1,0)+1,LARGE(A$3:A399,1))</f>
        <v>0</v>
      </c>
      <c r="B400" s="751">
        <f t="shared" ca="1" si="62"/>
        <v>4</v>
      </c>
      <c r="C400" s="751">
        <f t="shared" ca="1" si="63"/>
        <v>1</v>
      </c>
      <c r="D400" s="752">
        <f t="shared" ca="1" si="64"/>
        <v>2</v>
      </c>
      <c r="E400" s="752">
        <f t="shared" ca="1" si="65"/>
        <v>1</v>
      </c>
      <c r="F400" s="209"/>
      <c r="J400" s="65"/>
      <c r="K400" s="146"/>
      <c r="L400" s="567"/>
      <c r="M400" s="567"/>
      <c r="N400" s="737"/>
      <c r="O400" s="638"/>
      <c r="P400" s="147"/>
      <c r="Q400" s="65"/>
    </row>
    <row r="401" spans="1:17" s="148" customFormat="1" ht="14.1" customHeight="1" x14ac:dyDescent="0.2">
      <c r="A401" s="751">
        <f ca="1">IF($H401="UNIDADE CONSTRUTIVA",OFFSET(A401,-1,0)+1,LARGE(A$3:A400,1))</f>
        <v>0</v>
      </c>
      <c r="B401" s="751">
        <f t="shared" ca="1" si="62"/>
        <v>4</v>
      </c>
      <c r="C401" s="751">
        <f t="shared" ca="1" si="63"/>
        <v>1</v>
      </c>
      <c r="D401" s="752">
        <f t="shared" ca="1" si="64"/>
        <v>2</v>
      </c>
      <c r="E401" s="752">
        <f t="shared" ca="1" si="65"/>
        <v>1</v>
      </c>
      <c r="F401" s="209"/>
      <c r="J401" s="65"/>
      <c r="K401" s="146"/>
      <c r="L401" s="567"/>
      <c r="M401" s="567"/>
      <c r="N401" s="737"/>
      <c r="O401" s="638"/>
      <c r="P401" s="147"/>
      <c r="Q401" s="65"/>
    </row>
    <row r="402" spans="1:17" s="148" customFormat="1" ht="14.1" customHeight="1" x14ac:dyDescent="0.2">
      <c r="A402" s="751">
        <f ca="1">IF($H402="UNIDADE CONSTRUTIVA",OFFSET(A402,-1,0)+1,LARGE(A$3:A401,1))</f>
        <v>0</v>
      </c>
      <c r="B402" s="751">
        <f t="shared" ca="1" si="62"/>
        <v>4</v>
      </c>
      <c r="C402" s="751">
        <f t="shared" ca="1" si="63"/>
        <v>1</v>
      </c>
      <c r="D402" s="752">
        <f t="shared" ca="1" si="64"/>
        <v>2</v>
      </c>
      <c r="E402" s="752">
        <f t="shared" ca="1" si="65"/>
        <v>1</v>
      </c>
      <c r="F402" s="209"/>
      <c r="J402" s="65"/>
      <c r="K402" s="146"/>
      <c r="L402" s="567"/>
      <c r="M402" s="567"/>
      <c r="N402" s="737"/>
      <c r="O402" s="638"/>
      <c r="P402" s="147"/>
      <c r="Q402" s="65"/>
    </row>
    <row r="403" spans="1:17" s="148" customFormat="1" ht="14.1" customHeight="1" x14ac:dyDescent="0.2">
      <c r="A403" s="751">
        <f ca="1">IF($H403="UNIDADE CONSTRUTIVA",OFFSET(A403,-1,0)+1,LARGE(A$3:A402,1))</f>
        <v>0</v>
      </c>
      <c r="B403" s="751">
        <f t="shared" ca="1" si="62"/>
        <v>4</v>
      </c>
      <c r="C403" s="751">
        <f t="shared" ca="1" si="63"/>
        <v>1</v>
      </c>
      <c r="D403" s="752">
        <f t="shared" ca="1" si="64"/>
        <v>2</v>
      </c>
      <c r="E403" s="752">
        <f t="shared" ca="1" si="65"/>
        <v>1</v>
      </c>
      <c r="F403" s="209"/>
      <c r="J403" s="65"/>
      <c r="K403" s="146"/>
      <c r="L403" s="567"/>
      <c r="M403" s="567"/>
      <c r="N403" s="737"/>
      <c r="O403" s="638"/>
      <c r="P403" s="147"/>
      <c r="Q403" s="65"/>
    </row>
    <row r="404" spans="1:17" s="148" customFormat="1" ht="14.1" customHeight="1" x14ac:dyDescent="0.2">
      <c r="A404" s="751">
        <f ca="1">IF($H404="UNIDADE CONSTRUTIVA",OFFSET(A404,-1,0)+1,LARGE(A$3:A403,1))</f>
        <v>0</v>
      </c>
      <c r="B404" s="751">
        <f t="shared" ca="1" si="62"/>
        <v>4</v>
      </c>
      <c r="C404" s="751">
        <f t="shared" ca="1" si="63"/>
        <v>1</v>
      </c>
      <c r="D404" s="752">
        <f t="shared" ca="1" si="64"/>
        <v>2</v>
      </c>
      <c r="E404" s="752">
        <f t="shared" ca="1" si="65"/>
        <v>1</v>
      </c>
      <c r="F404" s="209"/>
      <c r="J404" s="65"/>
      <c r="K404" s="146"/>
      <c r="L404" s="567"/>
      <c r="M404" s="567"/>
      <c r="N404" s="737"/>
      <c r="O404" s="638"/>
      <c r="P404" s="147"/>
      <c r="Q404" s="65"/>
    </row>
    <row r="405" spans="1:17" s="148" customFormat="1" ht="14.1" customHeight="1" x14ac:dyDescent="0.2">
      <c r="A405" s="751">
        <f ca="1">IF($H405="UNIDADE CONSTRUTIVA",OFFSET(A405,-1,0)+1,LARGE(A$3:A404,1))</f>
        <v>0</v>
      </c>
      <c r="B405" s="751">
        <f t="shared" ca="1" si="62"/>
        <v>4</v>
      </c>
      <c r="C405" s="751">
        <f t="shared" ca="1" si="63"/>
        <v>1</v>
      </c>
      <c r="D405" s="752">
        <f t="shared" ca="1" si="64"/>
        <v>2</v>
      </c>
      <c r="E405" s="752">
        <f t="shared" ca="1" si="65"/>
        <v>1</v>
      </c>
      <c r="F405" s="209"/>
      <c r="J405" s="65"/>
      <c r="K405" s="146"/>
      <c r="L405" s="567"/>
      <c r="M405" s="567"/>
      <c r="N405" s="737"/>
      <c r="O405" s="638"/>
      <c r="P405" s="147"/>
      <c r="Q405" s="65"/>
    </row>
    <row r="406" spans="1:17" s="148" customFormat="1" ht="14.1" customHeight="1" x14ac:dyDescent="0.2">
      <c r="A406" s="751">
        <f ca="1">IF($H406="UNIDADE CONSTRUTIVA",OFFSET(A406,-1,0)+1,LARGE(A$3:A405,1))</f>
        <v>0</v>
      </c>
      <c r="B406" s="751">
        <f t="shared" ca="1" si="62"/>
        <v>4</v>
      </c>
      <c r="C406" s="751">
        <f t="shared" ca="1" si="63"/>
        <v>1</v>
      </c>
      <c r="D406" s="752">
        <f t="shared" ca="1" si="64"/>
        <v>2</v>
      </c>
      <c r="E406" s="752">
        <f t="shared" ca="1" si="65"/>
        <v>1</v>
      </c>
      <c r="F406" s="209"/>
      <c r="J406" s="65"/>
      <c r="K406" s="146"/>
      <c r="L406" s="567"/>
      <c r="M406" s="567"/>
      <c r="N406" s="737"/>
      <c r="O406" s="638"/>
      <c r="P406" s="147"/>
      <c r="Q406" s="65"/>
    </row>
    <row r="407" spans="1:17" s="148" customFormat="1" ht="14.1" customHeight="1" x14ac:dyDescent="0.2">
      <c r="A407" s="751">
        <f ca="1">IF($H407="UNIDADE CONSTRUTIVA",OFFSET(A407,-1,0)+1,LARGE(A$3:A406,1))</f>
        <v>0</v>
      </c>
      <c r="B407" s="751">
        <f t="shared" ca="1" si="62"/>
        <v>4</v>
      </c>
      <c r="C407" s="751">
        <f t="shared" ca="1" si="63"/>
        <v>1</v>
      </c>
      <c r="D407" s="752">
        <f t="shared" ca="1" si="64"/>
        <v>2</v>
      </c>
      <c r="E407" s="752">
        <f t="shared" ca="1" si="65"/>
        <v>1</v>
      </c>
      <c r="F407" s="209"/>
      <c r="J407" s="65"/>
      <c r="K407" s="146"/>
      <c r="L407" s="567"/>
      <c r="M407" s="567"/>
      <c r="N407" s="737"/>
      <c r="O407" s="638"/>
      <c r="P407" s="147"/>
      <c r="Q407" s="65"/>
    </row>
    <row r="408" spans="1:17" s="148" customFormat="1" ht="14.1" customHeight="1" x14ac:dyDescent="0.2">
      <c r="A408" s="751">
        <f ca="1">IF($H408="UNIDADE CONSTRUTIVA",OFFSET(A408,-1,0)+1,LARGE(A$3:A407,1))</f>
        <v>0</v>
      </c>
      <c r="B408" s="751">
        <f t="shared" ref="B408:B471" ca="1" si="66">IF(H408="UNIDADE CONSTRUTIVA",0,IF(H408="CÉLULA CONSTRUTIVA",OFFSET(B408,-1,0)+1,OFFSET(B408,-1,0)))</f>
        <v>4</v>
      </c>
      <c r="C408" s="751">
        <f t="shared" ref="C408:C471" ca="1" si="67">IF(H408="CÉLULA CONSTRUTIVA",0,IF(H408="ETAPA",OFFSET(C408,-1,0)+1,OFFSET(C408,-1,0)))</f>
        <v>1</v>
      </c>
      <c r="D408" s="752">
        <f t="shared" ref="D408:D471" ca="1" si="68">IF(H408="ETAPA",0,IF(H408="SUBETAPA",OFFSET(D408,-1,0)+1,OFFSET(D408,-1,0)))</f>
        <v>2</v>
      </c>
      <c r="E408" s="752">
        <f t="shared" ref="E408:E471" ca="1" si="69">IF(H408="Subetapa",0,IF(H408="serviço",OFFSET(E408,-1,0)+1,OFFSET(E408,-1,0)))</f>
        <v>1</v>
      </c>
      <c r="F408" s="209"/>
      <c r="J408" s="65"/>
      <c r="K408" s="146"/>
      <c r="L408" s="567"/>
      <c r="M408" s="567"/>
      <c r="N408" s="737"/>
      <c r="O408" s="638"/>
      <c r="P408" s="147"/>
      <c r="Q408" s="65"/>
    </row>
    <row r="409" spans="1:17" s="148" customFormat="1" ht="14.1" customHeight="1" x14ac:dyDescent="0.2">
      <c r="A409" s="751">
        <f ca="1">IF($H409="UNIDADE CONSTRUTIVA",OFFSET(A409,-1,0)+1,LARGE(A$3:A408,1))</f>
        <v>0</v>
      </c>
      <c r="B409" s="751">
        <f t="shared" ca="1" si="66"/>
        <v>4</v>
      </c>
      <c r="C409" s="751">
        <f t="shared" ca="1" si="67"/>
        <v>1</v>
      </c>
      <c r="D409" s="752">
        <f t="shared" ca="1" si="68"/>
        <v>2</v>
      </c>
      <c r="E409" s="752">
        <f t="shared" ca="1" si="69"/>
        <v>1</v>
      </c>
      <c r="F409" s="209"/>
      <c r="J409" s="65"/>
      <c r="K409" s="146"/>
      <c r="L409" s="567"/>
      <c r="M409" s="567"/>
      <c r="N409" s="737"/>
      <c r="O409" s="638"/>
      <c r="P409" s="147"/>
      <c r="Q409" s="65"/>
    </row>
    <row r="410" spans="1:17" s="148" customFormat="1" ht="14.1" customHeight="1" x14ac:dyDescent="0.2">
      <c r="A410" s="751">
        <f ca="1">IF($H410="UNIDADE CONSTRUTIVA",OFFSET(A410,-1,0)+1,LARGE(A$3:A409,1))</f>
        <v>0</v>
      </c>
      <c r="B410" s="751">
        <f t="shared" ca="1" si="66"/>
        <v>4</v>
      </c>
      <c r="C410" s="751">
        <f t="shared" ca="1" si="67"/>
        <v>1</v>
      </c>
      <c r="D410" s="752">
        <f t="shared" ca="1" si="68"/>
        <v>2</v>
      </c>
      <c r="E410" s="752">
        <f t="shared" ca="1" si="69"/>
        <v>1</v>
      </c>
      <c r="F410" s="209"/>
      <c r="J410" s="65"/>
      <c r="K410" s="146"/>
      <c r="L410" s="567"/>
      <c r="M410" s="567"/>
      <c r="N410" s="737"/>
      <c r="O410" s="638"/>
      <c r="P410" s="147"/>
      <c r="Q410" s="65"/>
    </row>
    <row r="411" spans="1:17" s="148" customFormat="1" ht="14.1" customHeight="1" x14ac:dyDescent="0.2">
      <c r="A411" s="751">
        <f ca="1">IF($H411="UNIDADE CONSTRUTIVA",OFFSET(A411,-1,0)+1,LARGE(A$3:A410,1))</f>
        <v>0</v>
      </c>
      <c r="B411" s="751">
        <f t="shared" ca="1" si="66"/>
        <v>4</v>
      </c>
      <c r="C411" s="751">
        <f t="shared" ca="1" si="67"/>
        <v>1</v>
      </c>
      <c r="D411" s="752">
        <f t="shared" ca="1" si="68"/>
        <v>2</v>
      </c>
      <c r="E411" s="752">
        <f t="shared" ca="1" si="69"/>
        <v>1</v>
      </c>
      <c r="F411" s="209"/>
      <c r="J411" s="65"/>
      <c r="K411" s="146"/>
      <c r="L411" s="567"/>
      <c r="M411" s="567"/>
      <c r="N411" s="737"/>
      <c r="O411" s="638"/>
      <c r="P411" s="147"/>
      <c r="Q411" s="65"/>
    </row>
    <row r="412" spans="1:17" s="148" customFormat="1" ht="14.1" customHeight="1" x14ac:dyDescent="0.2">
      <c r="A412" s="751">
        <f ca="1">IF($H412="UNIDADE CONSTRUTIVA",OFFSET(A412,-1,0)+1,LARGE(A$3:A411,1))</f>
        <v>0</v>
      </c>
      <c r="B412" s="751">
        <f t="shared" ca="1" si="66"/>
        <v>4</v>
      </c>
      <c r="C412" s="751">
        <f t="shared" ca="1" si="67"/>
        <v>1</v>
      </c>
      <c r="D412" s="752">
        <f t="shared" ca="1" si="68"/>
        <v>2</v>
      </c>
      <c r="E412" s="752">
        <f t="shared" ca="1" si="69"/>
        <v>1</v>
      </c>
      <c r="F412" s="209"/>
      <c r="J412" s="65"/>
      <c r="K412" s="146"/>
      <c r="L412" s="567"/>
      <c r="M412" s="567"/>
      <c r="N412" s="737"/>
      <c r="O412" s="638"/>
      <c r="P412" s="147"/>
      <c r="Q412" s="65"/>
    </row>
    <row r="413" spans="1:17" s="148" customFormat="1" ht="14.1" customHeight="1" x14ac:dyDescent="0.2">
      <c r="A413" s="751">
        <f ca="1">IF($H413="UNIDADE CONSTRUTIVA",OFFSET(A413,-1,0)+1,LARGE(A$3:A412,1))</f>
        <v>0</v>
      </c>
      <c r="B413" s="751">
        <f t="shared" ca="1" si="66"/>
        <v>4</v>
      </c>
      <c r="C413" s="751">
        <f t="shared" ca="1" si="67"/>
        <v>1</v>
      </c>
      <c r="D413" s="752">
        <f t="shared" ca="1" si="68"/>
        <v>2</v>
      </c>
      <c r="E413" s="752">
        <f t="shared" ca="1" si="69"/>
        <v>1</v>
      </c>
      <c r="F413" s="209"/>
      <c r="J413" s="65"/>
      <c r="K413" s="146"/>
      <c r="L413" s="567"/>
      <c r="M413" s="567"/>
      <c r="N413" s="737"/>
      <c r="O413" s="638"/>
      <c r="P413" s="147"/>
      <c r="Q413" s="65"/>
    </row>
    <row r="414" spans="1:17" s="148" customFormat="1" ht="14.1" customHeight="1" x14ac:dyDescent="0.2">
      <c r="A414" s="751">
        <f ca="1">IF($H414="UNIDADE CONSTRUTIVA",OFFSET(A414,-1,0)+1,LARGE(A$3:A413,1))</f>
        <v>0</v>
      </c>
      <c r="B414" s="751">
        <f t="shared" ca="1" si="66"/>
        <v>4</v>
      </c>
      <c r="C414" s="751">
        <f t="shared" ca="1" si="67"/>
        <v>1</v>
      </c>
      <c r="D414" s="752">
        <f t="shared" ca="1" si="68"/>
        <v>2</v>
      </c>
      <c r="E414" s="752">
        <f t="shared" ca="1" si="69"/>
        <v>1</v>
      </c>
      <c r="F414" s="209"/>
      <c r="J414" s="65"/>
      <c r="K414" s="146"/>
      <c r="L414" s="567"/>
      <c r="M414" s="567"/>
      <c r="N414" s="737"/>
      <c r="O414" s="638"/>
      <c r="P414" s="147"/>
      <c r="Q414" s="65"/>
    </row>
    <row r="415" spans="1:17" s="148" customFormat="1" ht="14.1" customHeight="1" x14ac:dyDescent="0.2">
      <c r="A415" s="751">
        <f ca="1">IF($H415="UNIDADE CONSTRUTIVA",OFFSET(A415,-1,0)+1,LARGE(A$3:A414,1))</f>
        <v>0</v>
      </c>
      <c r="B415" s="751">
        <f t="shared" ca="1" si="66"/>
        <v>4</v>
      </c>
      <c r="C415" s="751">
        <f t="shared" ca="1" si="67"/>
        <v>1</v>
      </c>
      <c r="D415" s="752">
        <f t="shared" ca="1" si="68"/>
        <v>2</v>
      </c>
      <c r="E415" s="752">
        <f t="shared" ca="1" si="69"/>
        <v>1</v>
      </c>
      <c r="F415" s="209"/>
      <c r="J415" s="65"/>
      <c r="K415" s="146"/>
      <c r="L415" s="567"/>
      <c r="M415" s="567"/>
      <c r="N415" s="737"/>
      <c r="O415" s="638"/>
      <c r="P415" s="147"/>
      <c r="Q415" s="65"/>
    </row>
    <row r="416" spans="1:17" s="148" customFormat="1" ht="14.1" customHeight="1" x14ac:dyDescent="0.2">
      <c r="A416" s="751">
        <f ca="1">IF($H416="UNIDADE CONSTRUTIVA",OFFSET(A416,-1,0)+1,LARGE(A$3:A415,1))</f>
        <v>0</v>
      </c>
      <c r="B416" s="751">
        <f t="shared" ca="1" si="66"/>
        <v>4</v>
      </c>
      <c r="C416" s="751">
        <f t="shared" ca="1" si="67"/>
        <v>1</v>
      </c>
      <c r="D416" s="752">
        <f t="shared" ca="1" si="68"/>
        <v>2</v>
      </c>
      <c r="E416" s="752">
        <f t="shared" ca="1" si="69"/>
        <v>1</v>
      </c>
      <c r="F416" s="209"/>
      <c r="J416" s="65"/>
      <c r="K416" s="146"/>
      <c r="L416" s="567"/>
      <c r="M416" s="567"/>
      <c r="N416" s="737"/>
      <c r="O416" s="638"/>
      <c r="P416" s="147"/>
      <c r="Q416" s="65"/>
    </row>
    <row r="417" spans="1:17" s="148" customFormat="1" ht="14.1" customHeight="1" x14ac:dyDescent="0.2">
      <c r="A417" s="751">
        <f ca="1">IF($H417="UNIDADE CONSTRUTIVA",OFFSET(A417,-1,0)+1,LARGE(A$3:A416,1))</f>
        <v>0</v>
      </c>
      <c r="B417" s="751">
        <f t="shared" ca="1" si="66"/>
        <v>4</v>
      </c>
      <c r="C417" s="751">
        <f t="shared" ca="1" si="67"/>
        <v>1</v>
      </c>
      <c r="D417" s="752">
        <f t="shared" ca="1" si="68"/>
        <v>2</v>
      </c>
      <c r="E417" s="752">
        <f t="shared" ca="1" si="69"/>
        <v>1</v>
      </c>
      <c r="F417" s="209"/>
      <c r="J417" s="65"/>
      <c r="K417" s="146"/>
      <c r="L417" s="567"/>
      <c r="M417" s="567"/>
      <c r="N417" s="737"/>
      <c r="O417" s="638"/>
      <c r="P417" s="147"/>
      <c r="Q417" s="65"/>
    </row>
    <row r="418" spans="1:17" s="148" customFormat="1" ht="14.1" customHeight="1" x14ac:dyDescent="0.2">
      <c r="A418" s="751">
        <f ca="1">IF($H418="UNIDADE CONSTRUTIVA",OFFSET(A418,-1,0)+1,LARGE(A$3:A417,1))</f>
        <v>0</v>
      </c>
      <c r="B418" s="751">
        <f t="shared" ca="1" si="66"/>
        <v>4</v>
      </c>
      <c r="C418" s="751">
        <f t="shared" ca="1" si="67"/>
        <v>1</v>
      </c>
      <c r="D418" s="752">
        <f t="shared" ca="1" si="68"/>
        <v>2</v>
      </c>
      <c r="E418" s="752">
        <f t="shared" ca="1" si="69"/>
        <v>1</v>
      </c>
      <c r="F418" s="209"/>
      <c r="J418" s="65"/>
      <c r="K418" s="146"/>
      <c r="L418" s="567"/>
      <c r="M418" s="567"/>
      <c r="N418" s="737"/>
      <c r="O418" s="638"/>
      <c r="P418" s="147"/>
      <c r="Q418" s="65"/>
    </row>
    <row r="419" spans="1:17" s="148" customFormat="1" ht="14.1" customHeight="1" x14ac:dyDescent="0.2">
      <c r="A419" s="751">
        <f ca="1">IF($H419="UNIDADE CONSTRUTIVA",OFFSET(A419,-1,0)+1,LARGE(A$3:A418,1))</f>
        <v>0</v>
      </c>
      <c r="B419" s="751">
        <f t="shared" ca="1" si="66"/>
        <v>4</v>
      </c>
      <c r="C419" s="751">
        <f t="shared" ca="1" si="67"/>
        <v>1</v>
      </c>
      <c r="D419" s="752">
        <f t="shared" ca="1" si="68"/>
        <v>2</v>
      </c>
      <c r="E419" s="752">
        <f t="shared" ca="1" si="69"/>
        <v>1</v>
      </c>
      <c r="F419" s="209"/>
      <c r="J419" s="65"/>
      <c r="K419" s="146"/>
      <c r="L419" s="567"/>
      <c r="M419" s="567"/>
      <c r="N419" s="737"/>
      <c r="O419" s="638"/>
      <c r="P419" s="147"/>
      <c r="Q419" s="65"/>
    </row>
    <row r="420" spans="1:17" s="148" customFormat="1" ht="14.1" customHeight="1" x14ac:dyDescent="0.2">
      <c r="A420" s="751">
        <f ca="1">IF($H420="UNIDADE CONSTRUTIVA",OFFSET(A420,-1,0)+1,LARGE(A$3:A419,1))</f>
        <v>0</v>
      </c>
      <c r="B420" s="751">
        <f t="shared" ca="1" si="66"/>
        <v>4</v>
      </c>
      <c r="C420" s="751">
        <f t="shared" ca="1" si="67"/>
        <v>1</v>
      </c>
      <c r="D420" s="752">
        <f t="shared" ca="1" si="68"/>
        <v>2</v>
      </c>
      <c r="E420" s="752">
        <f t="shared" ca="1" si="69"/>
        <v>1</v>
      </c>
      <c r="F420" s="209"/>
      <c r="J420" s="65"/>
      <c r="K420" s="146"/>
      <c r="L420" s="567"/>
      <c r="M420" s="567"/>
      <c r="N420" s="737"/>
      <c r="O420" s="638"/>
      <c r="P420" s="147"/>
      <c r="Q420" s="65"/>
    </row>
    <row r="421" spans="1:17" s="148" customFormat="1" ht="14.1" customHeight="1" x14ac:dyDescent="0.2">
      <c r="A421" s="751">
        <f ca="1">IF($H421="UNIDADE CONSTRUTIVA",OFFSET(A421,-1,0)+1,LARGE(A$3:A420,1))</f>
        <v>0</v>
      </c>
      <c r="B421" s="751">
        <f t="shared" ca="1" si="66"/>
        <v>4</v>
      </c>
      <c r="C421" s="751">
        <f t="shared" ca="1" si="67"/>
        <v>1</v>
      </c>
      <c r="D421" s="752">
        <f t="shared" ca="1" si="68"/>
        <v>2</v>
      </c>
      <c r="E421" s="752">
        <f t="shared" ca="1" si="69"/>
        <v>1</v>
      </c>
      <c r="F421" s="209"/>
      <c r="J421" s="65"/>
      <c r="K421" s="146"/>
      <c r="L421" s="567"/>
      <c r="M421" s="567"/>
      <c r="N421" s="737"/>
      <c r="O421" s="638"/>
      <c r="P421" s="147"/>
      <c r="Q421" s="65"/>
    </row>
    <row r="422" spans="1:17" s="148" customFormat="1" ht="14.1" customHeight="1" x14ac:dyDescent="0.2">
      <c r="A422" s="751">
        <f ca="1">IF($H422="UNIDADE CONSTRUTIVA",OFFSET(A422,-1,0)+1,LARGE(A$3:A421,1))</f>
        <v>0</v>
      </c>
      <c r="B422" s="751">
        <f t="shared" ca="1" si="66"/>
        <v>4</v>
      </c>
      <c r="C422" s="751">
        <f t="shared" ca="1" si="67"/>
        <v>1</v>
      </c>
      <c r="D422" s="752">
        <f t="shared" ca="1" si="68"/>
        <v>2</v>
      </c>
      <c r="E422" s="752">
        <f t="shared" ca="1" si="69"/>
        <v>1</v>
      </c>
      <c r="F422" s="209"/>
      <c r="J422" s="65"/>
      <c r="K422" s="146"/>
      <c r="L422" s="567"/>
      <c r="M422" s="567"/>
      <c r="N422" s="737"/>
      <c r="O422" s="638"/>
      <c r="P422" s="147"/>
      <c r="Q422" s="65"/>
    </row>
    <row r="423" spans="1:17" s="148" customFormat="1" ht="14.1" customHeight="1" x14ac:dyDescent="0.2">
      <c r="A423" s="751">
        <f ca="1">IF($H423="UNIDADE CONSTRUTIVA",OFFSET(A423,-1,0)+1,LARGE(A$3:A422,1))</f>
        <v>0</v>
      </c>
      <c r="B423" s="751">
        <f t="shared" ca="1" si="66"/>
        <v>4</v>
      </c>
      <c r="C423" s="751">
        <f t="shared" ca="1" si="67"/>
        <v>1</v>
      </c>
      <c r="D423" s="752">
        <f t="shared" ca="1" si="68"/>
        <v>2</v>
      </c>
      <c r="E423" s="752">
        <f t="shared" ca="1" si="69"/>
        <v>1</v>
      </c>
      <c r="F423" s="209"/>
      <c r="J423" s="65"/>
      <c r="K423" s="146"/>
      <c r="L423" s="567"/>
      <c r="M423" s="567"/>
      <c r="N423" s="737"/>
      <c r="O423" s="638"/>
      <c r="P423" s="147"/>
      <c r="Q423" s="65"/>
    </row>
    <row r="424" spans="1:17" s="148" customFormat="1" ht="14.1" customHeight="1" x14ac:dyDescent="0.2">
      <c r="A424" s="751">
        <f ca="1">IF($H424="UNIDADE CONSTRUTIVA",OFFSET(A424,-1,0)+1,LARGE(A$3:A423,1))</f>
        <v>0</v>
      </c>
      <c r="B424" s="751">
        <f t="shared" ca="1" si="66"/>
        <v>4</v>
      </c>
      <c r="C424" s="751">
        <f t="shared" ca="1" si="67"/>
        <v>1</v>
      </c>
      <c r="D424" s="752">
        <f t="shared" ca="1" si="68"/>
        <v>2</v>
      </c>
      <c r="E424" s="752">
        <f t="shared" ca="1" si="69"/>
        <v>1</v>
      </c>
      <c r="F424" s="209"/>
      <c r="J424" s="65"/>
      <c r="K424" s="146"/>
      <c r="L424" s="567"/>
      <c r="M424" s="567"/>
      <c r="N424" s="737"/>
      <c r="O424" s="638"/>
      <c r="P424" s="147"/>
      <c r="Q424" s="65"/>
    </row>
    <row r="425" spans="1:17" s="148" customFormat="1" ht="14.1" customHeight="1" x14ac:dyDescent="0.2">
      <c r="A425" s="751">
        <f ca="1">IF($H425="UNIDADE CONSTRUTIVA",OFFSET(A425,-1,0)+1,LARGE(A$3:A424,1))</f>
        <v>0</v>
      </c>
      <c r="B425" s="751">
        <f t="shared" ca="1" si="66"/>
        <v>4</v>
      </c>
      <c r="C425" s="751">
        <f t="shared" ca="1" si="67"/>
        <v>1</v>
      </c>
      <c r="D425" s="752">
        <f t="shared" ca="1" si="68"/>
        <v>2</v>
      </c>
      <c r="E425" s="752">
        <f t="shared" ca="1" si="69"/>
        <v>1</v>
      </c>
      <c r="F425" s="209"/>
      <c r="J425" s="65"/>
      <c r="K425" s="146"/>
      <c r="L425" s="567"/>
      <c r="M425" s="567"/>
      <c r="N425" s="737"/>
      <c r="O425" s="638"/>
      <c r="P425" s="147"/>
      <c r="Q425" s="65"/>
    </row>
    <row r="426" spans="1:17" s="148" customFormat="1" ht="14.1" customHeight="1" x14ac:dyDescent="0.2">
      <c r="A426" s="751">
        <f ca="1">IF($H426="UNIDADE CONSTRUTIVA",OFFSET(A426,-1,0)+1,LARGE(A$3:A425,1))</f>
        <v>0</v>
      </c>
      <c r="B426" s="751">
        <f t="shared" ca="1" si="66"/>
        <v>4</v>
      </c>
      <c r="C426" s="751">
        <f t="shared" ca="1" si="67"/>
        <v>1</v>
      </c>
      <c r="D426" s="752">
        <f t="shared" ca="1" si="68"/>
        <v>2</v>
      </c>
      <c r="E426" s="752">
        <f t="shared" ca="1" si="69"/>
        <v>1</v>
      </c>
      <c r="F426" s="209"/>
      <c r="J426" s="65"/>
      <c r="K426" s="146"/>
      <c r="L426" s="567"/>
      <c r="M426" s="567"/>
      <c r="N426" s="737"/>
      <c r="O426" s="638"/>
      <c r="P426" s="147"/>
      <c r="Q426" s="65"/>
    </row>
    <row r="427" spans="1:17" s="148" customFormat="1" ht="14.1" customHeight="1" x14ac:dyDescent="0.2">
      <c r="A427" s="751">
        <f ca="1">IF($H427="UNIDADE CONSTRUTIVA",OFFSET(A427,-1,0)+1,LARGE(A$3:A426,1))</f>
        <v>0</v>
      </c>
      <c r="B427" s="751">
        <f t="shared" ca="1" si="66"/>
        <v>4</v>
      </c>
      <c r="C427" s="751">
        <f t="shared" ca="1" si="67"/>
        <v>1</v>
      </c>
      <c r="D427" s="752">
        <f t="shared" ca="1" si="68"/>
        <v>2</v>
      </c>
      <c r="E427" s="752">
        <f t="shared" ca="1" si="69"/>
        <v>1</v>
      </c>
      <c r="F427" s="209"/>
      <c r="J427" s="65"/>
      <c r="K427" s="146"/>
      <c r="L427" s="567"/>
      <c r="M427" s="567"/>
      <c r="N427" s="737"/>
      <c r="O427" s="638"/>
      <c r="P427" s="147"/>
      <c r="Q427" s="65"/>
    </row>
    <row r="428" spans="1:17" s="148" customFormat="1" ht="14.1" customHeight="1" x14ac:dyDescent="0.2">
      <c r="A428" s="751">
        <f ca="1">IF($H428="UNIDADE CONSTRUTIVA",OFFSET(A428,-1,0)+1,LARGE(A$3:A427,1))</f>
        <v>0</v>
      </c>
      <c r="B428" s="751">
        <f t="shared" ca="1" si="66"/>
        <v>4</v>
      </c>
      <c r="C428" s="751">
        <f t="shared" ca="1" si="67"/>
        <v>1</v>
      </c>
      <c r="D428" s="752">
        <f t="shared" ca="1" si="68"/>
        <v>2</v>
      </c>
      <c r="E428" s="752">
        <f t="shared" ca="1" si="69"/>
        <v>1</v>
      </c>
      <c r="F428" s="209"/>
      <c r="J428" s="65"/>
      <c r="K428" s="146"/>
      <c r="L428" s="567"/>
      <c r="M428" s="567"/>
      <c r="N428" s="737"/>
      <c r="O428" s="638"/>
      <c r="P428" s="147"/>
      <c r="Q428" s="65"/>
    </row>
    <row r="429" spans="1:17" s="148" customFormat="1" ht="14.1" customHeight="1" x14ac:dyDescent="0.2">
      <c r="A429" s="751">
        <f ca="1">IF($H429="UNIDADE CONSTRUTIVA",OFFSET(A429,-1,0)+1,LARGE(A$3:A428,1))</f>
        <v>0</v>
      </c>
      <c r="B429" s="751">
        <f t="shared" ca="1" si="66"/>
        <v>4</v>
      </c>
      <c r="C429" s="751">
        <f t="shared" ca="1" si="67"/>
        <v>1</v>
      </c>
      <c r="D429" s="752">
        <f t="shared" ca="1" si="68"/>
        <v>2</v>
      </c>
      <c r="E429" s="752">
        <f t="shared" ca="1" si="69"/>
        <v>1</v>
      </c>
      <c r="F429" s="209"/>
      <c r="J429" s="65"/>
      <c r="K429" s="146"/>
      <c r="L429" s="567"/>
      <c r="M429" s="567"/>
      <c r="N429" s="737"/>
      <c r="O429" s="638"/>
      <c r="P429" s="147"/>
      <c r="Q429" s="65"/>
    </row>
    <row r="430" spans="1:17" s="148" customFormat="1" ht="14.1" customHeight="1" x14ac:dyDescent="0.2">
      <c r="A430" s="751">
        <f ca="1">IF($H430="UNIDADE CONSTRUTIVA",OFFSET(A430,-1,0)+1,LARGE(A$3:A429,1))</f>
        <v>0</v>
      </c>
      <c r="B430" s="751">
        <f t="shared" ca="1" si="66"/>
        <v>4</v>
      </c>
      <c r="C430" s="751">
        <f t="shared" ca="1" si="67"/>
        <v>1</v>
      </c>
      <c r="D430" s="752">
        <f t="shared" ca="1" si="68"/>
        <v>2</v>
      </c>
      <c r="E430" s="752">
        <f t="shared" ca="1" si="69"/>
        <v>1</v>
      </c>
      <c r="F430" s="209"/>
      <c r="J430" s="65"/>
      <c r="K430" s="146"/>
      <c r="L430" s="567"/>
      <c r="M430" s="567"/>
      <c r="N430" s="737"/>
      <c r="O430" s="638"/>
      <c r="P430" s="147"/>
      <c r="Q430" s="65"/>
    </row>
    <row r="431" spans="1:17" s="148" customFormat="1" ht="14.1" customHeight="1" x14ac:dyDescent="0.2">
      <c r="A431" s="751">
        <f ca="1">IF($H431="UNIDADE CONSTRUTIVA",OFFSET(A431,-1,0)+1,LARGE(A$3:A430,1))</f>
        <v>0</v>
      </c>
      <c r="B431" s="751">
        <f t="shared" ca="1" si="66"/>
        <v>4</v>
      </c>
      <c r="C431" s="751">
        <f t="shared" ca="1" si="67"/>
        <v>1</v>
      </c>
      <c r="D431" s="752">
        <f t="shared" ca="1" si="68"/>
        <v>2</v>
      </c>
      <c r="E431" s="752">
        <f t="shared" ca="1" si="69"/>
        <v>1</v>
      </c>
      <c r="F431" s="209"/>
      <c r="J431" s="65"/>
      <c r="K431" s="146"/>
      <c r="L431" s="567"/>
      <c r="M431" s="567"/>
      <c r="N431" s="737"/>
      <c r="O431" s="638"/>
      <c r="P431" s="147"/>
      <c r="Q431" s="65"/>
    </row>
    <row r="432" spans="1:17" s="148" customFormat="1" ht="14.1" customHeight="1" x14ac:dyDescent="0.2">
      <c r="A432" s="751">
        <f ca="1">IF($H432="UNIDADE CONSTRUTIVA",OFFSET(A432,-1,0)+1,LARGE(A$3:A431,1))</f>
        <v>0</v>
      </c>
      <c r="B432" s="751">
        <f t="shared" ca="1" si="66"/>
        <v>4</v>
      </c>
      <c r="C432" s="751">
        <f t="shared" ca="1" si="67"/>
        <v>1</v>
      </c>
      <c r="D432" s="752">
        <f t="shared" ca="1" si="68"/>
        <v>2</v>
      </c>
      <c r="E432" s="752">
        <f t="shared" ca="1" si="69"/>
        <v>1</v>
      </c>
      <c r="F432" s="209"/>
      <c r="J432" s="65"/>
      <c r="K432" s="146"/>
      <c r="L432" s="567"/>
      <c r="M432" s="567"/>
      <c r="N432" s="737"/>
      <c r="O432" s="638"/>
      <c r="P432" s="147"/>
      <c r="Q432" s="65"/>
    </row>
    <row r="433" spans="1:17" s="148" customFormat="1" ht="14.1" customHeight="1" x14ac:dyDescent="0.2">
      <c r="A433" s="751">
        <f ca="1">IF($H433="UNIDADE CONSTRUTIVA",OFFSET(A433,-1,0)+1,LARGE(A$3:A432,1))</f>
        <v>0</v>
      </c>
      <c r="B433" s="751">
        <f t="shared" ca="1" si="66"/>
        <v>4</v>
      </c>
      <c r="C433" s="751">
        <f t="shared" ca="1" si="67"/>
        <v>1</v>
      </c>
      <c r="D433" s="752">
        <f t="shared" ca="1" si="68"/>
        <v>2</v>
      </c>
      <c r="E433" s="752">
        <f t="shared" ca="1" si="69"/>
        <v>1</v>
      </c>
      <c r="F433" s="209"/>
      <c r="J433" s="65"/>
      <c r="K433" s="146"/>
      <c r="L433" s="567"/>
      <c r="M433" s="567"/>
      <c r="N433" s="737"/>
      <c r="O433" s="638"/>
      <c r="P433" s="147"/>
      <c r="Q433" s="65"/>
    </row>
    <row r="434" spans="1:17" s="148" customFormat="1" ht="14.1" customHeight="1" x14ac:dyDescent="0.2">
      <c r="A434" s="751">
        <f ca="1">IF($H434="UNIDADE CONSTRUTIVA",OFFSET(A434,-1,0)+1,LARGE(A$3:A433,1))</f>
        <v>0</v>
      </c>
      <c r="B434" s="751">
        <f t="shared" ca="1" si="66"/>
        <v>4</v>
      </c>
      <c r="C434" s="751">
        <f t="shared" ca="1" si="67"/>
        <v>1</v>
      </c>
      <c r="D434" s="752">
        <f t="shared" ca="1" si="68"/>
        <v>2</v>
      </c>
      <c r="E434" s="752">
        <f t="shared" ca="1" si="69"/>
        <v>1</v>
      </c>
      <c r="F434" s="209"/>
      <c r="J434" s="65"/>
      <c r="K434" s="146"/>
      <c r="L434" s="567"/>
      <c r="M434" s="567"/>
      <c r="N434" s="737"/>
      <c r="O434" s="638"/>
      <c r="P434" s="147"/>
      <c r="Q434" s="65"/>
    </row>
    <row r="435" spans="1:17" s="148" customFormat="1" ht="14.1" customHeight="1" x14ac:dyDescent="0.2">
      <c r="A435" s="751">
        <f ca="1">IF($H435="UNIDADE CONSTRUTIVA",OFFSET(A435,-1,0)+1,LARGE(A$3:A434,1))</f>
        <v>0</v>
      </c>
      <c r="B435" s="751">
        <f t="shared" ca="1" si="66"/>
        <v>4</v>
      </c>
      <c r="C435" s="751">
        <f t="shared" ca="1" si="67"/>
        <v>1</v>
      </c>
      <c r="D435" s="752">
        <f t="shared" ca="1" si="68"/>
        <v>2</v>
      </c>
      <c r="E435" s="752">
        <f t="shared" ca="1" si="69"/>
        <v>1</v>
      </c>
      <c r="F435" s="209"/>
      <c r="J435" s="65"/>
      <c r="K435" s="146"/>
      <c r="L435" s="567"/>
      <c r="M435" s="567"/>
      <c r="N435" s="737"/>
      <c r="O435" s="638"/>
      <c r="P435" s="147"/>
      <c r="Q435" s="65"/>
    </row>
    <row r="436" spans="1:17" s="148" customFormat="1" ht="14.1" customHeight="1" x14ac:dyDescent="0.2">
      <c r="A436" s="751">
        <f ca="1">IF($H436="UNIDADE CONSTRUTIVA",OFFSET(A436,-1,0)+1,LARGE(A$3:A435,1))</f>
        <v>0</v>
      </c>
      <c r="B436" s="751">
        <f t="shared" ca="1" si="66"/>
        <v>4</v>
      </c>
      <c r="C436" s="751">
        <f t="shared" ca="1" si="67"/>
        <v>1</v>
      </c>
      <c r="D436" s="752">
        <f t="shared" ca="1" si="68"/>
        <v>2</v>
      </c>
      <c r="E436" s="752">
        <f t="shared" ca="1" si="69"/>
        <v>1</v>
      </c>
      <c r="F436" s="209"/>
      <c r="J436" s="65"/>
      <c r="K436" s="146"/>
      <c r="L436" s="567"/>
      <c r="M436" s="567"/>
      <c r="N436" s="737"/>
      <c r="O436" s="638"/>
      <c r="P436" s="147"/>
      <c r="Q436" s="65"/>
    </row>
    <row r="437" spans="1:17" s="148" customFormat="1" ht="14.1" customHeight="1" x14ac:dyDescent="0.2">
      <c r="A437" s="751">
        <f ca="1">IF($H437="UNIDADE CONSTRUTIVA",OFFSET(A437,-1,0)+1,LARGE(A$3:A436,1))</f>
        <v>0</v>
      </c>
      <c r="B437" s="751">
        <f t="shared" ca="1" si="66"/>
        <v>4</v>
      </c>
      <c r="C437" s="751">
        <f t="shared" ca="1" si="67"/>
        <v>1</v>
      </c>
      <c r="D437" s="752">
        <f t="shared" ca="1" si="68"/>
        <v>2</v>
      </c>
      <c r="E437" s="752">
        <f t="shared" ca="1" si="69"/>
        <v>1</v>
      </c>
      <c r="F437" s="209"/>
      <c r="J437" s="65"/>
      <c r="K437" s="146"/>
      <c r="L437" s="567"/>
      <c r="M437" s="567"/>
      <c r="N437" s="737"/>
      <c r="O437" s="638"/>
      <c r="P437" s="147"/>
      <c r="Q437" s="65"/>
    </row>
    <row r="438" spans="1:17" s="148" customFormat="1" ht="14.1" customHeight="1" x14ac:dyDescent="0.2">
      <c r="A438" s="751">
        <f ca="1">IF($H438="UNIDADE CONSTRUTIVA",OFFSET(A438,-1,0)+1,LARGE(A$3:A437,1))</f>
        <v>0</v>
      </c>
      <c r="B438" s="751">
        <f t="shared" ca="1" si="66"/>
        <v>4</v>
      </c>
      <c r="C438" s="751">
        <f t="shared" ca="1" si="67"/>
        <v>1</v>
      </c>
      <c r="D438" s="752">
        <f t="shared" ca="1" si="68"/>
        <v>2</v>
      </c>
      <c r="E438" s="752">
        <f t="shared" ca="1" si="69"/>
        <v>1</v>
      </c>
      <c r="F438" s="209"/>
      <c r="J438" s="65"/>
      <c r="K438" s="146"/>
      <c r="L438" s="567"/>
      <c r="M438" s="567"/>
      <c r="N438" s="737"/>
      <c r="O438" s="638"/>
      <c r="P438" s="147"/>
      <c r="Q438" s="65"/>
    </row>
    <row r="439" spans="1:17" s="148" customFormat="1" ht="14.1" customHeight="1" x14ac:dyDescent="0.2">
      <c r="A439" s="751">
        <f ca="1">IF($H439="UNIDADE CONSTRUTIVA",OFFSET(A439,-1,0)+1,LARGE(A$3:A438,1))</f>
        <v>0</v>
      </c>
      <c r="B439" s="751">
        <f t="shared" ca="1" si="66"/>
        <v>4</v>
      </c>
      <c r="C439" s="751">
        <f t="shared" ca="1" si="67"/>
        <v>1</v>
      </c>
      <c r="D439" s="752">
        <f t="shared" ca="1" si="68"/>
        <v>2</v>
      </c>
      <c r="E439" s="752">
        <f t="shared" ca="1" si="69"/>
        <v>1</v>
      </c>
      <c r="F439" s="209"/>
      <c r="J439" s="65"/>
      <c r="K439" s="146"/>
      <c r="L439" s="567"/>
      <c r="M439" s="567"/>
      <c r="N439" s="737"/>
      <c r="O439" s="638"/>
      <c r="P439" s="147"/>
      <c r="Q439" s="65"/>
    </row>
    <row r="440" spans="1:17" s="148" customFormat="1" ht="14.1" customHeight="1" x14ac:dyDescent="0.2">
      <c r="A440" s="751">
        <f ca="1">IF($H440="UNIDADE CONSTRUTIVA",OFFSET(A440,-1,0)+1,LARGE(A$3:A439,1))</f>
        <v>0</v>
      </c>
      <c r="B440" s="751">
        <f t="shared" ca="1" si="66"/>
        <v>4</v>
      </c>
      <c r="C440" s="751">
        <f t="shared" ca="1" si="67"/>
        <v>1</v>
      </c>
      <c r="D440" s="752">
        <f t="shared" ca="1" si="68"/>
        <v>2</v>
      </c>
      <c r="E440" s="752">
        <f t="shared" ca="1" si="69"/>
        <v>1</v>
      </c>
      <c r="F440" s="209"/>
      <c r="J440" s="65"/>
      <c r="K440" s="146"/>
      <c r="L440" s="567"/>
      <c r="M440" s="567"/>
      <c r="N440" s="737"/>
      <c r="O440" s="638"/>
      <c r="P440" s="147"/>
      <c r="Q440" s="65"/>
    </row>
    <row r="441" spans="1:17" s="148" customFormat="1" ht="14.1" customHeight="1" x14ac:dyDescent="0.2">
      <c r="A441" s="751">
        <f ca="1">IF($H441="UNIDADE CONSTRUTIVA",OFFSET(A441,-1,0)+1,LARGE(A$3:A440,1))</f>
        <v>0</v>
      </c>
      <c r="B441" s="751">
        <f t="shared" ca="1" si="66"/>
        <v>4</v>
      </c>
      <c r="C441" s="751">
        <f t="shared" ca="1" si="67"/>
        <v>1</v>
      </c>
      <c r="D441" s="752">
        <f t="shared" ca="1" si="68"/>
        <v>2</v>
      </c>
      <c r="E441" s="752">
        <f t="shared" ca="1" si="69"/>
        <v>1</v>
      </c>
      <c r="F441" s="209"/>
      <c r="J441" s="65"/>
      <c r="K441" s="146"/>
      <c r="L441" s="567"/>
      <c r="M441" s="567"/>
      <c r="N441" s="737"/>
      <c r="O441" s="638"/>
      <c r="P441" s="147"/>
      <c r="Q441" s="65"/>
    </row>
    <row r="442" spans="1:17" s="148" customFormat="1" ht="14.1" customHeight="1" x14ac:dyDescent="0.2">
      <c r="A442" s="751">
        <f ca="1">IF($H442="UNIDADE CONSTRUTIVA",OFFSET(A442,-1,0)+1,LARGE(A$3:A441,1))</f>
        <v>0</v>
      </c>
      <c r="B442" s="751">
        <f t="shared" ca="1" si="66"/>
        <v>4</v>
      </c>
      <c r="C442" s="751">
        <f t="shared" ca="1" si="67"/>
        <v>1</v>
      </c>
      <c r="D442" s="752">
        <f t="shared" ca="1" si="68"/>
        <v>2</v>
      </c>
      <c r="E442" s="752">
        <f t="shared" ca="1" si="69"/>
        <v>1</v>
      </c>
      <c r="F442" s="209"/>
      <c r="J442" s="65"/>
      <c r="K442" s="146"/>
      <c r="L442" s="567"/>
      <c r="M442" s="567"/>
      <c r="N442" s="737"/>
      <c r="O442" s="638"/>
      <c r="P442" s="147"/>
      <c r="Q442" s="65"/>
    </row>
    <row r="443" spans="1:17" s="148" customFormat="1" ht="14.1" customHeight="1" x14ac:dyDescent="0.2">
      <c r="A443" s="751">
        <f ca="1">IF($H443="UNIDADE CONSTRUTIVA",OFFSET(A443,-1,0)+1,LARGE(A$3:A442,1))</f>
        <v>0</v>
      </c>
      <c r="B443" s="751">
        <f t="shared" ca="1" si="66"/>
        <v>4</v>
      </c>
      <c r="C443" s="751">
        <f t="shared" ca="1" si="67"/>
        <v>1</v>
      </c>
      <c r="D443" s="752">
        <f t="shared" ca="1" si="68"/>
        <v>2</v>
      </c>
      <c r="E443" s="752">
        <f t="shared" ca="1" si="69"/>
        <v>1</v>
      </c>
      <c r="F443" s="209"/>
      <c r="J443" s="65"/>
      <c r="K443" s="146"/>
      <c r="L443" s="567"/>
      <c r="M443" s="567"/>
      <c r="N443" s="737"/>
      <c r="O443" s="638"/>
      <c r="P443" s="147"/>
      <c r="Q443" s="65"/>
    </row>
    <row r="444" spans="1:17" s="148" customFormat="1" ht="14.1" customHeight="1" x14ac:dyDescent="0.2">
      <c r="A444" s="751">
        <f ca="1">IF($H444="UNIDADE CONSTRUTIVA",OFFSET(A444,-1,0)+1,LARGE(A$3:A443,1))</f>
        <v>0</v>
      </c>
      <c r="B444" s="751">
        <f t="shared" ca="1" si="66"/>
        <v>4</v>
      </c>
      <c r="C444" s="751">
        <f t="shared" ca="1" si="67"/>
        <v>1</v>
      </c>
      <c r="D444" s="752">
        <f t="shared" ca="1" si="68"/>
        <v>2</v>
      </c>
      <c r="E444" s="752">
        <f t="shared" ca="1" si="69"/>
        <v>1</v>
      </c>
      <c r="F444" s="209"/>
      <c r="J444" s="65"/>
      <c r="K444" s="146"/>
      <c r="L444" s="567"/>
      <c r="M444" s="567"/>
      <c r="N444" s="737"/>
      <c r="O444" s="638"/>
      <c r="P444" s="147"/>
      <c r="Q444" s="65"/>
    </row>
    <row r="445" spans="1:17" s="148" customFormat="1" ht="14.1" customHeight="1" x14ac:dyDescent="0.2">
      <c r="A445" s="751">
        <f ca="1">IF($H445="UNIDADE CONSTRUTIVA",OFFSET(A445,-1,0)+1,LARGE(A$3:A444,1))</f>
        <v>0</v>
      </c>
      <c r="B445" s="751">
        <f t="shared" ca="1" si="66"/>
        <v>4</v>
      </c>
      <c r="C445" s="751">
        <f t="shared" ca="1" si="67"/>
        <v>1</v>
      </c>
      <c r="D445" s="752">
        <f t="shared" ca="1" si="68"/>
        <v>2</v>
      </c>
      <c r="E445" s="752">
        <f t="shared" ca="1" si="69"/>
        <v>1</v>
      </c>
      <c r="F445" s="209"/>
      <c r="J445" s="65"/>
      <c r="K445" s="146"/>
      <c r="L445" s="567"/>
      <c r="M445" s="567"/>
      <c r="N445" s="737"/>
      <c r="O445" s="638"/>
      <c r="P445" s="147"/>
      <c r="Q445" s="65"/>
    </row>
    <row r="446" spans="1:17" s="148" customFormat="1" ht="14.1" customHeight="1" x14ac:dyDescent="0.2">
      <c r="A446" s="751">
        <f ca="1">IF($H446="UNIDADE CONSTRUTIVA",OFFSET(A446,-1,0)+1,LARGE(A$3:A445,1))</f>
        <v>0</v>
      </c>
      <c r="B446" s="751">
        <f t="shared" ca="1" si="66"/>
        <v>4</v>
      </c>
      <c r="C446" s="751">
        <f t="shared" ca="1" si="67"/>
        <v>1</v>
      </c>
      <c r="D446" s="752">
        <f t="shared" ca="1" si="68"/>
        <v>2</v>
      </c>
      <c r="E446" s="752">
        <f t="shared" ca="1" si="69"/>
        <v>1</v>
      </c>
      <c r="F446" s="209"/>
      <c r="J446" s="65"/>
      <c r="K446" s="146"/>
      <c r="L446" s="567"/>
      <c r="M446" s="567"/>
      <c r="N446" s="737"/>
      <c r="O446" s="638"/>
      <c r="P446" s="147"/>
      <c r="Q446" s="65"/>
    </row>
    <row r="447" spans="1:17" s="148" customFormat="1" ht="14.1" customHeight="1" x14ac:dyDescent="0.2">
      <c r="A447" s="751">
        <f ca="1">IF($H447="UNIDADE CONSTRUTIVA",OFFSET(A447,-1,0)+1,LARGE(A$3:A446,1))</f>
        <v>0</v>
      </c>
      <c r="B447" s="751">
        <f t="shared" ca="1" si="66"/>
        <v>4</v>
      </c>
      <c r="C447" s="751">
        <f t="shared" ca="1" si="67"/>
        <v>1</v>
      </c>
      <c r="D447" s="752">
        <f t="shared" ca="1" si="68"/>
        <v>2</v>
      </c>
      <c r="E447" s="752">
        <f t="shared" ca="1" si="69"/>
        <v>1</v>
      </c>
      <c r="F447" s="209"/>
      <c r="J447" s="65"/>
      <c r="K447" s="146"/>
      <c r="L447" s="567"/>
      <c r="M447" s="567"/>
      <c r="N447" s="737"/>
      <c r="O447" s="638"/>
      <c r="P447" s="147"/>
      <c r="Q447" s="65"/>
    </row>
    <row r="448" spans="1:17" s="148" customFormat="1" ht="14.1" customHeight="1" x14ac:dyDescent="0.2">
      <c r="A448" s="751">
        <f ca="1">IF($H448="UNIDADE CONSTRUTIVA",OFFSET(A448,-1,0)+1,LARGE(A$3:A447,1))</f>
        <v>0</v>
      </c>
      <c r="B448" s="751">
        <f t="shared" ca="1" si="66"/>
        <v>4</v>
      </c>
      <c r="C448" s="751">
        <f t="shared" ca="1" si="67"/>
        <v>1</v>
      </c>
      <c r="D448" s="752">
        <f t="shared" ca="1" si="68"/>
        <v>2</v>
      </c>
      <c r="E448" s="752">
        <f t="shared" ca="1" si="69"/>
        <v>1</v>
      </c>
      <c r="F448" s="209"/>
      <c r="J448" s="65"/>
      <c r="K448" s="146"/>
      <c r="L448" s="567"/>
      <c r="M448" s="567"/>
      <c r="N448" s="737"/>
      <c r="O448" s="638"/>
      <c r="P448" s="147"/>
      <c r="Q448" s="65"/>
    </row>
    <row r="449" spans="1:17" s="148" customFormat="1" ht="14.1" customHeight="1" x14ac:dyDescent="0.2">
      <c r="A449" s="751">
        <f ca="1">IF($H449="UNIDADE CONSTRUTIVA",OFFSET(A449,-1,0)+1,LARGE(A$3:A448,1))</f>
        <v>0</v>
      </c>
      <c r="B449" s="751">
        <f t="shared" ca="1" si="66"/>
        <v>4</v>
      </c>
      <c r="C449" s="751">
        <f t="shared" ca="1" si="67"/>
        <v>1</v>
      </c>
      <c r="D449" s="752">
        <f t="shared" ca="1" si="68"/>
        <v>2</v>
      </c>
      <c r="E449" s="752">
        <f t="shared" ca="1" si="69"/>
        <v>1</v>
      </c>
      <c r="F449" s="209"/>
      <c r="J449" s="65"/>
      <c r="K449" s="146"/>
      <c r="L449" s="567"/>
      <c r="M449" s="567"/>
      <c r="N449" s="737"/>
      <c r="O449" s="638"/>
      <c r="P449" s="147"/>
      <c r="Q449" s="65"/>
    </row>
    <row r="450" spans="1:17" s="148" customFormat="1" ht="14.1" customHeight="1" x14ac:dyDescent="0.2">
      <c r="A450" s="751">
        <f ca="1">IF($H450="UNIDADE CONSTRUTIVA",OFFSET(A450,-1,0)+1,LARGE(A$3:A449,1))</f>
        <v>0</v>
      </c>
      <c r="B450" s="751">
        <f t="shared" ca="1" si="66"/>
        <v>4</v>
      </c>
      <c r="C450" s="751">
        <f t="shared" ca="1" si="67"/>
        <v>1</v>
      </c>
      <c r="D450" s="752">
        <f t="shared" ca="1" si="68"/>
        <v>2</v>
      </c>
      <c r="E450" s="752">
        <f t="shared" ca="1" si="69"/>
        <v>1</v>
      </c>
      <c r="F450" s="209"/>
      <c r="J450" s="65"/>
      <c r="K450" s="146"/>
      <c r="L450" s="567"/>
      <c r="M450" s="567"/>
      <c r="N450" s="737"/>
      <c r="O450" s="638"/>
      <c r="P450" s="147"/>
      <c r="Q450" s="65"/>
    </row>
    <row r="451" spans="1:17" s="148" customFormat="1" ht="14.1" customHeight="1" x14ac:dyDescent="0.2">
      <c r="A451" s="751">
        <f ca="1">IF($H451="UNIDADE CONSTRUTIVA",OFFSET(A451,-1,0)+1,LARGE(A$3:A450,1))</f>
        <v>0</v>
      </c>
      <c r="B451" s="751">
        <f t="shared" ca="1" si="66"/>
        <v>4</v>
      </c>
      <c r="C451" s="751">
        <f t="shared" ca="1" si="67"/>
        <v>1</v>
      </c>
      <c r="D451" s="752">
        <f t="shared" ca="1" si="68"/>
        <v>2</v>
      </c>
      <c r="E451" s="752">
        <f t="shared" ca="1" si="69"/>
        <v>1</v>
      </c>
      <c r="F451" s="209"/>
      <c r="J451" s="65"/>
      <c r="K451" s="146"/>
      <c r="L451" s="567"/>
      <c r="M451" s="567"/>
      <c r="N451" s="737"/>
      <c r="O451" s="638"/>
      <c r="P451" s="147"/>
      <c r="Q451" s="65"/>
    </row>
    <row r="452" spans="1:17" s="148" customFormat="1" ht="14.1" customHeight="1" x14ac:dyDescent="0.2">
      <c r="A452" s="751">
        <f ca="1">IF($H452="UNIDADE CONSTRUTIVA",OFFSET(A452,-1,0)+1,LARGE(A$3:A451,1))</f>
        <v>0</v>
      </c>
      <c r="B452" s="751">
        <f t="shared" ca="1" si="66"/>
        <v>4</v>
      </c>
      <c r="C452" s="751">
        <f t="shared" ca="1" si="67"/>
        <v>1</v>
      </c>
      <c r="D452" s="752">
        <f t="shared" ca="1" si="68"/>
        <v>2</v>
      </c>
      <c r="E452" s="752">
        <f t="shared" ca="1" si="69"/>
        <v>1</v>
      </c>
      <c r="F452" s="209"/>
      <c r="J452" s="65"/>
      <c r="K452" s="146"/>
      <c r="L452" s="567"/>
      <c r="M452" s="567"/>
      <c r="N452" s="737"/>
      <c r="O452" s="638"/>
      <c r="P452" s="147"/>
      <c r="Q452" s="65"/>
    </row>
    <row r="453" spans="1:17" s="148" customFormat="1" ht="14.1" customHeight="1" x14ac:dyDescent="0.2">
      <c r="A453" s="751">
        <f ca="1">IF($H453="UNIDADE CONSTRUTIVA",OFFSET(A453,-1,0)+1,LARGE(A$3:A452,1))</f>
        <v>0</v>
      </c>
      <c r="B453" s="751">
        <f t="shared" ca="1" si="66"/>
        <v>4</v>
      </c>
      <c r="C453" s="751">
        <f t="shared" ca="1" si="67"/>
        <v>1</v>
      </c>
      <c r="D453" s="752">
        <f t="shared" ca="1" si="68"/>
        <v>2</v>
      </c>
      <c r="E453" s="752">
        <f t="shared" ca="1" si="69"/>
        <v>1</v>
      </c>
      <c r="F453" s="209"/>
      <c r="J453" s="65"/>
      <c r="K453" s="146"/>
      <c r="L453" s="567"/>
      <c r="M453" s="567"/>
      <c r="N453" s="737"/>
      <c r="O453" s="638"/>
      <c r="P453" s="147"/>
      <c r="Q453" s="65"/>
    </row>
    <row r="454" spans="1:17" s="148" customFormat="1" ht="14.1" customHeight="1" x14ac:dyDescent="0.2">
      <c r="A454" s="751">
        <f ca="1">IF($H454="UNIDADE CONSTRUTIVA",OFFSET(A454,-1,0)+1,LARGE(A$3:A453,1))</f>
        <v>0</v>
      </c>
      <c r="B454" s="751">
        <f t="shared" ca="1" si="66"/>
        <v>4</v>
      </c>
      <c r="C454" s="751">
        <f t="shared" ca="1" si="67"/>
        <v>1</v>
      </c>
      <c r="D454" s="752">
        <f t="shared" ca="1" si="68"/>
        <v>2</v>
      </c>
      <c r="E454" s="752">
        <f t="shared" ca="1" si="69"/>
        <v>1</v>
      </c>
      <c r="F454" s="209"/>
      <c r="J454" s="65"/>
      <c r="K454" s="146"/>
      <c r="L454" s="567"/>
      <c r="M454" s="567"/>
      <c r="N454" s="737"/>
      <c r="O454" s="638"/>
      <c r="P454" s="147"/>
      <c r="Q454" s="65"/>
    </row>
    <row r="455" spans="1:17" s="148" customFormat="1" ht="14.1" customHeight="1" x14ac:dyDescent="0.2">
      <c r="A455" s="751">
        <f ca="1">IF($H455="UNIDADE CONSTRUTIVA",OFFSET(A455,-1,0)+1,LARGE(A$3:A454,1))</f>
        <v>0</v>
      </c>
      <c r="B455" s="751">
        <f t="shared" ca="1" si="66"/>
        <v>4</v>
      </c>
      <c r="C455" s="751">
        <f t="shared" ca="1" si="67"/>
        <v>1</v>
      </c>
      <c r="D455" s="752">
        <f t="shared" ca="1" si="68"/>
        <v>2</v>
      </c>
      <c r="E455" s="752">
        <f t="shared" ca="1" si="69"/>
        <v>1</v>
      </c>
      <c r="F455" s="209"/>
      <c r="J455" s="65"/>
      <c r="K455" s="146"/>
      <c r="L455" s="567"/>
      <c r="M455" s="567"/>
      <c r="N455" s="737"/>
      <c r="O455" s="638"/>
      <c r="P455" s="147"/>
      <c r="Q455" s="65"/>
    </row>
    <row r="456" spans="1:17" s="148" customFormat="1" ht="14.1" customHeight="1" x14ac:dyDescent="0.2">
      <c r="A456" s="751">
        <f ca="1">IF($H456="UNIDADE CONSTRUTIVA",OFFSET(A456,-1,0)+1,LARGE(A$3:A455,1))</f>
        <v>0</v>
      </c>
      <c r="B456" s="751">
        <f t="shared" ca="1" si="66"/>
        <v>4</v>
      </c>
      <c r="C456" s="751">
        <f t="shared" ca="1" si="67"/>
        <v>1</v>
      </c>
      <c r="D456" s="752">
        <f t="shared" ca="1" si="68"/>
        <v>2</v>
      </c>
      <c r="E456" s="752">
        <f t="shared" ca="1" si="69"/>
        <v>1</v>
      </c>
      <c r="F456" s="209"/>
      <c r="J456" s="65"/>
      <c r="K456" s="146"/>
      <c r="L456" s="567"/>
      <c r="M456" s="567"/>
      <c r="N456" s="737"/>
      <c r="O456" s="638"/>
      <c r="P456" s="147"/>
      <c r="Q456" s="65"/>
    </row>
    <row r="457" spans="1:17" s="148" customFormat="1" ht="14.1" customHeight="1" x14ac:dyDescent="0.2">
      <c r="A457" s="751">
        <f ca="1">IF($H457="UNIDADE CONSTRUTIVA",OFFSET(A457,-1,0)+1,LARGE(A$3:A456,1))</f>
        <v>0</v>
      </c>
      <c r="B457" s="751">
        <f t="shared" ca="1" si="66"/>
        <v>4</v>
      </c>
      <c r="C457" s="751">
        <f t="shared" ca="1" si="67"/>
        <v>1</v>
      </c>
      <c r="D457" s="752">
        <f t="shared" ca="1" si="68"/>
        <v>2</v>
      </c>
      <c r="E457" s="752">
        <f t="shared" ca="1" si="69"/>
        <v>1</v>
      </c>
      <c r="F457" s="209"/>
      <c r="J457" s="65"/>
      <c r="K457" s="146"/>
      <c r="L457" s="567"/>
      <c r="M457" s="567"/>
      <c r="N457" s="737"/>
      <c r="O457" s="638"/>
      <c r="P457" s="147"/>
      <c r="Q457" s="65"/>
    </row>
    <row r="458" spans="1:17" s="148" customFormat="1" ht="14.1" customHeight="1" x14ac:dyDescent="0.2">
      <c r="A458" s="751">
        <f ca="1">IF($H458="UNIDADE CONSTRUTIVA",OFFSET(A458,-1,0)+1,LARGE(A$3:A457,1))</f>
        <v>0</v>
      </c>
      <c r="B458" s="751">
        <f t="shared" ca="1" si="66"/>
        <v>4</v>
      </c>
      <c r="C458" s="751">
        <f t="shared" ca="1" si="67"/>
        <v>1</v>
      </c>
      <c r="D458" s="752">
        <f t="shared" ca="1" si="68"/>
        <v>2</v>
      </c>
      <c r="E458" s="752">
        <f t="shared" ca="1" si="69"/>
        <v>1</v>
      </c>
      <c r="F458" s="209"/>
      <c r="J458" s="65"/>
      <c r="K458" s="146"/>
      <c r="L458" s="567"/>
      <c r="M458" s="567"/>
      <c r="N458" s="737"/>
      <c r="O458" s="638"/>
      <c r="P458" s="147"/>
      <c r="Q458" s="65"/>
    </row>
    <row r="459" spans="1:17" s="148" customFormat="1" ht="14.1" customHeight="1" x14ac:dyDescent="0.2">
      <c r="A459" s="751">
        <f ca="1">IF($H459="UNIDADE CONSTRUTIVA",OFFSET(A459,-1,0)+1,LARGE(A$3:A458,1))</f>
        <v>0</v>
      </c>
      <c r="B459" s="751">
        <f t="shared" ca="1" si="66"/>
        <v>4</v>
      </c>
      <c r="C459" s="751">
        <f t="shared" ca="1" si="67"/>
        <v>1</v>
      </c>
      <c r="D459" s="752">
        <f t="shared" ca="1" si="68"/>
        <v>2</v>
      </c>
      <c r="E459" s="752">
        <f t="shared" ca="1" si="69"/>
        <v>1</v>
      </c>
      <c r="F459" s="209"/>
      <c r="J459" s="65"/>
      <c r="K459" s="146"/>
      <c r="L459" s="567"/>
      <c r="M459" s="567"/>
      <c r="N459" s="737"/>
      <c r="O459" s="638"/>
      <c r="P459" s="147"/>
      <c r="Q459" s="65"/>
    </row>
    <row r="460" spans="1:17" s="148" customFormat="1" ht="14.1" customHeight="1" x14ac:dyDescent="0.2">
      <c r="A460" s="751">
        <f ca="1">IF($H460="UNIDADE CONSTRUTIVA",OFFSET(A460,-1,0)+1,LARGE(A$3:A459,1))</f>
        <v>0</v>
      </c>
      <c r="B460" s="751">
        <f t="shared" ca="1" si="66"/>
        <v>4</v>
      </c>
      <c r="C460" s="751">
        <f t="shared" ca="1" si="67"/>
        <v>1</v>
      </c>
      <c r="D460" s="752">
        <f t="shared" ca="1" si="68"/>
        <v>2</v>
      </c>
      <c r="E460" s="752">
        <f t="shared" ca="1" si="69"/>
        <v>1</v>
      </c>
      <c r="F460" s="209"/>
      <c r="J460" s="65"/>
      <c r="K460" s="146"/>
      <c r="L460" s="567"/>
      <c r="M460" s="567"/>
      <c r="N460" s="737"/>
      <c r="O460" s="638"/>
      <c r="P460" s="147"/>
      <c r="Q460" s="65"/>
    </row>
    <row r="461" spans="1:17" s="148" customFormat="1" ht="14.1" customHeight="1" x14ac:dyDescent="0.2">
      <c r="A461" s="751">
        <f ca="1">IF($H461="UNIDADE CONSTRUTIVA",OFFSET(A461,-1,0)+1,LARGE(A$3:A460,1))</f>
        <v>0</v>
      </c>
      <c r="B461" s="751">
        <f t="shared" ca="1" si="66"/>
        <v>4</v>
      </c>
      <c r="C461" s="751">
        <f t="shared" ca="1" si="67"/>
        <v>1</v>
      </c>
      <c r="D461" s="752">
        <f t="shared" ca="1" si="68"/>
        <v>2</v>
      </c>
      <c r="E461" s="752">
        <f t="shared" ca="1" si="69"/>
        <v>1</v>
      </c>
      <c r="F461" s="209"/>
      <c r="J461" s="65"/>
      <c r="K461" s="146"/>
      <c r="L461" s="567"/>
      <c r="M461" s="567"/>
      <c r="N461" s="737"/>
      <c r="O461" s="638"/>
      <c r="P461" s="147"/>
      <c r="Q461" s="65"/>
    </row>
    <row r="462" spans="1:17" s="148" customFormat="1" ht="14.1" customHeight="1" x14ac:dyDescent="0.2">
      <c r="A462" s="751">
        <f ca="1">IF($H462="UNIDADE CONSTRUTIVA",OFFSET(A462,-1,0)+1,LARGE(A$3:A461,1))</f>
        <v>0</v>
      </c>
      <c r="B462" s="751">
        <f t="shared" ca="1" si="66"/>
        <v>4</v>
      </c>
      <c r="C462" s="751">
        <f t="shared" ca="1" si="67"/>
        <v>1</v>
      </c>
      <c r="D462" s="752">
        <f t="shared" ca="1" si="68"/>
        <v>2</v>
      </c>
      <c r="E462" s="752">
        <f t="shared" ca="1" si="69"/>
        <v>1</v>
      </c>
      <c r="F462" s="209"/>
      <c r="J462" s="65"/>
      <c r="K462" s="146"/>
      <c r="L462" s="567"/>
      <c r="M462" s="567"/>
      <c r="N462" s="737"/>
      <c r="O462" s="638"/>
      <c r="P462" s="147"/>
      <c r="Q462" s="65"/>
    </row>
    <row r="463" spans="1:17" s="148" customFormat="1" ht="14.1" customHeight="1" x14ac:dyDescent="0.2">
      <c r="A463" s="751">
        <f ca="1">IF($H463="UNIDADE CONSTRUTIVA",OFFSET(A463,-1,0)+1,LARGE(A$3:A462,1))</f>
        <v>0</v>
      </c>
      <c r="B463" s="751">
        <f t="shared" ca="1" si="66"/>
        <v>4</v>
      </c>
      <c r="C463" s="751">
        <f t="shared" ca="1" si="67"/>
        <v>1</v>
      </c>
      <c r="D463" s="752">
        <f t="shared" ca="1" si="68"/>
        <v>2</v>
      </c>
      <c r="E463" s="752">
        <f t="shared" ca="1" si="69"/>
        <v>1</v>
      </c>
      <c r="F463" s="209"/>
      <c r="J463" s="65"/>
      <c r="K463" s="146"/>
      <c r="L463" s="567"/>
      <c r="M463" s="567"/>
      <c r="N463" s="737"/>
      <c r="O463" s="638"/>
      <c r="P463" s="147"/>
      <c r="Q463" s="65"/>
    </row>
    <row r="464" spans="1:17" s="148" customFormat="1" ht="14.1" customHeight="1" x14ac:dyDescent="0.2">
      <c r="A464" s="751">
        <f ca="1">IF($H464="UNIDADE CONSTRUTIVA",OFFSET(A464,-1,0)+1,LARGE(A$3:A463,1))</f>
        <v>0</v>
      </c>
      <c r="B464" s="751">
        <f t="shared" ca="1" si="66"/>
        <v>4</v>
      </c>
      <c r="C464" s="751">
        <f t="shared" ca="1" si="67"/>
        <v>1</v>
      </c>
      <c r="D464" s="752">
        <f t="shared" ca="1" si="68"/>
        <v>2</v>
      </c>
      <c r="E464" s="752">
        <f t="shared" ca="1" si="69"/>
        <v>1</v>
      </c>
      <c r="F464" s="209"/>
      <c r="J464" s="65"/>
      <c r="K464" s="146"/>
      <c r="L464" s="567"/>
      <c r="M464" s="567"/>
      <c r="N464" s="737"/>
      <c r="O464" s="638"/>
      <c r="P464" s="147"/>
      <c r="Q464" s="65"/>
    </row>
    <row r="465" spans="1:17" s="148" customFormat="1" ht="14.1" customHeight="1" x14ac:dyDescent="0.2">
      <c r="A465" s="751">
        <f ca="1">IF($H465="UNIDADE CONSTRUTIVA",OFFSET(A465,-1,0)+1,LARGE(A$3:A464,1))</f>
        <v>0</v>
      </c>
      <c r="B465" s="751">
        <f t="shared" ca="1" si="66"/>
        <v>4</v>
      </c>
      <c r="C465" s="751">
        <f t="shared" ca="1" si="67"/>
        <v>1</v>
      </c>
      <c r="D465" s="752">
        <f t="shared" ca="1" si="68"/>
        <v>2</v>
      </c>
      <c r="E465" s="752">
        <f t="shared" ca="1" si="69"/>
        <v>1</v>
      </c>
      <c r="F465" s="209"/>
      <c r="J465" s="65"/>
      <c r="K465" s="146"/>
      <c r="L465" s="567"/>
      <c r="M465" s="567"/>
      <c r="N465" s="737"/>
      <c r="O465" s="638"/>
      <c r="P465" s="147"/>
      <c r="Q465" s="65"/>
    </row>
    <row r="466" spans="1:17" s="148" customFormat="1" ht="14.1" customHeight="1" x14ac:dyDescent="0.2">
      <c r="A466" s="751">
        <f ca="1">IF($H466="UNIDADE CONSTRUTIVA",OFFSET(A466,-1,0)+1,LARGE(A$3:A465,1))</f>
        <v>0</v>
      </c>
      <c r="B466" s="751">
        <f t="shared" ca="1" si="66"/>
        <v>4</v>
      </c>
      <c r="C466" s="751">
        <f t="shared" ca="1" si="67"/>
        <v>1</v>
      </c>
      <c r="D466" s="752">
        <f t="shared" ca="1" si="68"/>
        <v>2</v>
      </c>
      <c r="E466" s="752">
        <f t="shared" ca="1" si="69"/>
        <v>1</v>
      </c>
      <c r="F466" s="209"/>
      <c r="J466" s="65"/>
      <c r="K466" s="146"/>
      <c r="L466" s="567"/>
      <c r="M466" s="567"/>
      <c r="N466" s="737"/>
      <c r="O466" s="638"/>
      <c r="P466" s="147"/>
      <c r="Q466" s="65"/>
    </row>
    <row r="467" spans="1:17" s="148" customFormat="1" ht="14.1" customHeight="1" x14ac:dyDescent="0.2">
      <c r="A467" s="751">
        <f ca="1">IF($H467="UNIDADE CONSTRUTIVA",OFFSET(A467,-1,0)+1,LARGE(A$3:A466,1))</f>
        <v>0</v>
      </c>
      <c r="B467" s="751">
        <f t="shared" ca="1" si="66"/>
        <v>4</v>
      </c>
      <c r="C467" s="751">
        <f t="shared" ca="1" si="67"/>
        <v>1</v>
      </c>
      <c r="D467" s="752">
        <f t="shared" ca="1" si="68"/>
        <v>2</v>
      </c>
      <c r="E467" s="752">
        <f t="shared" ca="1" si="69"/>
        <v>1</v>
      </c>
      <c r="F467" s="209"/>
      <c r="J467" s="65"/>
      <c r="K467" s="146"/>
      <c r="L467" s="567"/>
      <c r="M467" s="567"/>
      <c r="N467" s="737"/>
      <c r="O467" s="638"/>
      <c r="P467" s="147"/>
      <c r="Q467" s="65"/>
    </row>
    <row r="468" spans="1:17" s="148" customFormat="1" ht="14.1" customHeight="1" x14ac:dyDescent="0.2">
      <c r="A468" s="751">
        <f ca="1">IF($H468="UNIDADE CONSTRUTIVA",OFFSET(A468,-1,0)+1,LARGE(A$3:A467,1))</f>
        <v>0</v>
      </c>
      <c r="B468" s="751">
        <f t="shared" ca="1" si="66"/>
        <v>4</v>
      </c>
      <c r="C468" s="751">
        <f t="shared" ca="1" si="67"/>
        <v>1</v>
      </c>
      <c r="D468" s="752">
        <f t="shared" ca="1" si="68"/>
        <v>2</v>
      </c>
      <c r="E468" s="752">
        <f t="shared" ca="1" si="69"/>
        <v>1</v>
      </c>
      <c r="F468" s="209"/>
      <c r="J468" s="65"/>
      <c r="K468" s="146"/>
      <c r="L468" s="567"/>
      <c r="M468" s="567"/>
      <c r="N468" s="737"/>
      <c r="O468" s="638"/>
      <c r="P468" s="147"/>
      <c r="Q468" s="65"/>
    </row>
    <row r="469" spans="1:17" s="148" customFormat="1" ht="14.1" customHeight="1" x14ac:dyDescent="0.2">
      <c r="A469" s="751">
        <f ca="1">IF($H469="UNIDADE CONSTRUTIVA",OFFSET(A469,-1,0)+1,LARGE(A$3:A468,1))</f>
        <v>0</v>
      </c>
      <c r="B469" s="751">
        <f t="shared" ca="1" si="66"/>
        <v>4</v>
      </c>
      <c r="C469" s="751">
        <f t="shared" ca="1" si="67"/>
        <v>1</v>
      </c>
      <c r="D469" s="752">
        <f t="shared" ca="1" si="68"/>
        <v>2</v>
      </c>
      <c r="E469" s="752">
        <f t="shared" ca="1" si="69"/>
        <v>1</v>
      </c>
      <c r="F469" s="209"/>
      <c r="J469" s="65"/>
      <c r="K469" s="146"/>
      <c r="L469" s="567"/>
      <c r="M469" s="567"/>
      <c r="N469" s="737"/>
      <c r="O469" s="638"/>
      <c r="P469" s="147"/>
      <c r="Q469" s="65"/>
    </row>
    <row r="470" spans="1:17" s="148" customFormat="1" ht="14.1" customHeight="1" x14ac:dyDescent="0.2">
      <c r="A470" s="751">
        <f ca="1">IF($H470="UNIDADE CONSTRUTIVA",OFFSET(A470,-1,0)+1,LARGE(A$3:A469,1))</f>
        <v>0</v>
      </c>
      <c r="B470" s="751">
        <f t="shared" ca="1" si="66"/>
        <v>4</v>
      </c>
      <c r="C470" s="751">
        <f t="shared" ca="1" si="67"/>
        <v>1</v>
      </c>
      <c r="D470" s="752">
        <f t="shared" ca="1" si="68"/>
        <v>2</v>
      </c>
      <c r="E470" s="752">
        <f t="shared" ca="1" si="69"/>
        <v>1</v>
      </c>
      <c r="F470" s="209"/>
      <c r="J470" s="65"/>
      <c r="K470" s="146"/>
      <c r="L470" s="567"/>
      <c r="M470" s="567"/>
      <c r="N470" s="737"/>
      <c r="O470" s="638"/>
      <c r="P470" s="147"/>
      <c r="Q470" s="65"/>
    </row>
    <row r="471" spans="1:17" s="148" customFormat="1" ht="14.1" customHeight="1" x14ac:dyDescent="0.2">
      <c r="A471" s="751">
        <f ca="1">IF($H471="UNIDADE CONSTRUTIVA",OFFSET(A471,-1,0)+1,LARGE(A$3:A470,1))</f>
        <v>0</v>
      </c>
      <c r="B471" s="751">
        <f t="shared" ca="1" si="66"/>
        <v>4</v>
      </c>
      <c r="C471" s="751">
        <f t="shared" ca="1" si="67"/>
        <v>1</v>
      </c>
      <c r="D471" s="752">
        <f t="shared" ca="1" si="68"/>
        <v>2</v>
      </c>
      <c r="E471" s="752">
        <f t="shared" ca="1" si="69"/>
        <v>1</v>
      </c>
      <c r="F471" s="209"/>
      <c r="J471" s="65"/>
      <c r="K471" s="146"/>
      <c r="L471" s="567"/>
      <c r="M471" s="567"/>
      <c r="N471" s="737"/>
      <c r="O471" s="638"/>
      <c r="P471" s="147"/>
      <c r="Q471" s="65"/>
    </row>
    <row r="472" spans="1:17" s="148" customFormat="1" ht="14.1" customHeight="1" x14ac:dyDescent="0.2">
      <c r="A472" s="751">
        <f ca="1">IF($H472="UNIDADE CONSTRUTIVA",OFFSET(A472,-1,0)+1,LARGE(A$3:A471,1))</f>
        <v>0</v>
      </c>
      <c r="B472" s="751">
        <f t="shared" ref="B472:B535" ca="1" si="70">IF(H472="UNIDADE CONSTRUTIVA",0,IF(H472="CÉLULA CONSTRUTIVA",OFFSET(B472,-1,0)+1,OFFSET(B472,-1,0)))</f>
        <v>4</v>
      </c>
      <c r="C472" s="751">
        <f t="shared" ref="C472:C535" ca="1" si="71">IF(H472="CÉLULA CONSTRUTIVA",0,IF(H472="ETAPA",OFFSET(C472,-1,0)+1,OFFSET(C472,-1,0)))</f>
        <v>1</v>
      </c>
      <c r="D472" s="752">
        <f t="shared" ref="D472:D535" ca="1" si="72">IF(H472="ETAPA",0,IF(H472="SUBETAPA",OFFSET(D472,-1,0)+1,OFFSET(D472,-1,0)))</f>
        <v>2</v>
      </c>
      <c r="E472" s="752">
        <f t="shared" ref="E472:E535" ca="1" si="73">IF(H472="Subetapa",0,IF(H472="serviço",OFFSET(E472,-1,0)+1,OFFSET(E472,-1,0)))</f>
        <v>1</v>
      </c>
      <c r="F472" s="209"/>
      <c r="J472" s="65"/>
      <c r="K472" s="146"/>
      <c r="L472" s="567"/>
      <c r="M472" s="567"/>
      <c r="N472" s="737"/>
      <c r="O472" s="638"/>
      <c r="P472" s="147"/>
      <c r="Q472" s="65"/>
    </row>
    <row r="473" spans="1:17" s="148" customFormat="1" ht="14.1" customHeight="1" x14ac:dyDescent="0.2">
      <c r="A473" s="751">
        <f ca="1">IF($H473="UNIDADE CONSTRUTIVA",OFFSET(A473,-1,0)+1,LARGE(A$3:A472,1))</f>
        <v>0</v>
      </c>
      <c r="B473" s="751">
        <f t="shared" ca="1" si="70"/>
        <v>4</v>
      </c>
      <c r="C473" s="751">
        <f t="shared" ca="1" si="71"/>
        <v>1</v>
      </c>
      <c r="D473" s="752">
        <f t="shared" ca="1" si="72"/>
        <v>2</v>
      </c>
      <c r="E473" s="752">
        <f t="shared" ca="1" si="73"/>
        <v>1</v>
      </c>
      <c r="F473" s="209"/>
      <c r="J473" s="65"/>
      <c r="K473" s="146"/>
      <c r="L473" s="567"/>
      <c r="M473" s="567"/>
      <c r="N473" s="737"/>
      <c r="O473" s="638"/>
      <c r="P473" s="147"/>
      <c r="Q473" s="65"/>
    </row>
    <row r="474" spans="1:17" s="148" customFormat="1" ht="14.1" customHeight="1" x14ac:dyDescent="0.2">
      <c r="A474" s="751">
        <f ca="1">IF($H474="UNIDADE CONSTRUTIVA",OFFSET(A474,-1,0)+1,LARGE(A$3:A473,1))</f>
        <v>0</v>
      </c>
      <c r="B474" s="751">
        <f t="shared" ca="1" si="70"/>
        <v>4</v>
      </c>
      <c r="C474" s="751">
        <f t="shared" ca="1" si="71"/>
        <v>1</v>
      </c>
      <c r="D474" s="752">
        <f t="shared" ca="1" si="72"/>
        <v>2</v>
      </c>
      <c r="E474" s="752">
        <f t="shared" ca="1" si="73"/>
        <v>1</v>
      </c>
      <c r="F474" s="209"/>
      <c r="J474" s="65"/>
      <c r="K474" s="146"/>
      <c r="L474" s="567"/>
      <c r="M474" s="567"/>
      <c r="N474" s="737"/>
      <c r="O474" s="638"/>
      <c r="P474" s="147"/>
      <c r="Q474" s="65"/>
    </row>
    <row r="475" spans="1:17" s="148" customFormat="1" ht="14.1" customHeight="1" x14ac:dyDescent="0.2">
      <c r="A475" s="751">
        <f ca="1">IF($H475="UNIDADE CONSTRUTIVA",OFFSET(A475,-1,0)+1,LARGE(A$3:A474,1))</f>
        <v>0</v>
      </c>
      <c r="B475" s="751">
        <f t="shared" ca="1" si="70"/>
        <v>4</v>
      </c>
      <c r="C475" s="751">
        <f t="shared" ca="1" si="71"/>
        <v>1</v>
      </c>
      <c r="D475" s="752">
        <f t="shared" ca="1" si="72"/>
        <v>2</v>
      </c>
      <c r="E475" s="752">
        <f t="shared" ca="1" si="73"/>
        <v>1</v>
      </c>
      <c r="F475" s="209"/>
      <c r="J475" s="65"/>
      <c r="K475" s="146"/>
      <c r="L475" s="567"/>
      <c r="M475" s="567"/>
      <c r="N475" s="737"/>
      <c r="O475" s="638"/>
      <c r="P475" s="147"/>
      <c r="Q475" s="65"/>
    </row>
    <row r="476" spans="1:17" s="148" customFormat="1" ht="14.1" customHeight="1" x14ac:dyDescent="0.2">
      <c r="A476" s="751">
        <f ca="1">IF($H476="UNIDADE CONSTRUTIVA",OFFSET(A476,-1,0)+1,LARGE(A$3:A475,1))</f>
        <v>0</v>
      </c>
      <c r="B476" s="751">
        <f t="shared" ca="1" si="70"/>
        <v>4</v>
      </c>
      <c r="C476" s="751">
        <f t="shared" ca="1" si="71"/>
        <v>1</v>
      </c>
      <c r="D476" s="752">
        <f t="shared" ca="1" si="72"/>
        <v>2</v>
      </c>
      <c r="E476" s="752">
        <f t="shared" ca="1" si="73"/>
        <v>1</v>
      </c>
      <c r="F476" s="209"/>
      <c r="J476" s="65"/>
      <c r="K476" s="146"/>
      <c r="L476" s="567"/>
      <c r="M476" s="567"/>
      <c r="N476" s="737"/>
      <c r="O476" s="638"/>
      <c r="P476" s="147"/>
      <c r="Q476" s="65"/>
    </row>
    <row r="477" spans="1:17" s="148" customFormat="1" ht="14.1" customHeight="1" x14ac:dyDescent="0.2">
      <c r="A477" s="751">
        <f ca="1">IF($H477="UNIDADE CONSTRUTIVA",OFFSET(A477,-1,0)+1,LARGE(A$3:A476,1))</f>
        <v>0</v>
      </c>
      <c r="B477" s="751">
        <f t="shared" ca="1" si="70"/>
        <v>4</v>
      </c>
      <c r="C477" s="751">
        <f t="shared" ca="1" si="71"/>
        <v>1</v>
      </c>
      <c r="D477" s="752">
        <f t="shared" ca="1" si="72"/>
        <v>2</v>
      </c>
      <c r="E477" s="752">
        <f t="shared" ca="1" si="73"/>
        <v>1</v>
      </c>
      <c r="F477" s="209"/>
      <c r="J477" s="65"/>
      <c r="K477" s="146"/>
      <c r="L477" s="567"/>
      <c r="M477" s="567"/>
      <c r="N477" s="737"/>
      <c r="O477" s="638"/>
      <c r="P477" s="147"/>
      <c r="Q477" s="65"/>
    </row>
    <row r="478" spans="1:17" s="148" customFormat="1" ht="14.1" customHeight="1" x14ac:dyDescent="0.2">
      <c r="A478" s="751">
        <f ca="1">IF($H478="UNIDADE CONSTRUTIVA",OFFSET(A478,-1,0)+1,LARGE(A$3:A477,1))</f>
        <v>0</v>
      </c>
      <c r="B478" s="751">
        <f t="shared" ca="1" si="70"/>
        <v>4</v>
      </c>
      <c r="C478" s="751">
        <f t="shared" ca="1" si="71"/>
        <v>1</v>
      </c>
      <c r="D478" s="752">
        <f t="shared" ca="1" si="72"/>
        <v>2</v>
      </c>
      <c r="E478" s="752">
        <f t="shared" ca="1" si="73"/>
        <v>1</v>
      </c>
      <c r="F478" s="209"/>
      <c r="J478" s="65"/>
      <c r="K478" s="146"/>
      <c r="L478" s="567"/>
      <c r="M478" s="567"/>
      <c r="N478" s="737"/>
      <c r="O478" s="638"/>
      <c r="P478" s="147"/>
      <c r="Q478" s="65"/>
    </row>
    <row r="479" spans="1:17" s="148" customFormat="1" ht="14.1" customHeight="1" x14ac:dyDescent="0.2">
      <c r="A479" s="751">
        <f ca="1">IF($H479="UNIDADE CONSTRUTIVA",OFFSET(A479,-1,0)+1,LARGE(A$3:A478,1))</f>
        <v>0</v>
      </c>
      <c r="B479" s="751">
        <f t="shared" ca="1" si="70"/>
        <v>4</v>
      </c>
      <c r="C479" s="751">
        <f t="shared" ca="1" si="71"/>
        <v>1</v>
      </c>
      <c r="D479" s="752">
        <f t="shared" ca="1" si="72"/>
        <v>2</v>
      </c>
      <c r="E479" s="752">
        <f t="shared" ca="1" si="73"/>
        <v>1</v>
      </c>
      <c r="F479" s="209"/>
      <c r="J479" s="65"/>
      <c r="K479" s="146"/>
      <c r="L479" s="567"/>
      <c r="M479" s="567"/>
      <c r="N479" s="737"/>
      <c r="O479" s="638"/>
      <c r="P479" s="147"/>
      <c r="Q479" s="65"/>
    </row>
    <row r="480" spans="1:17" s="148" customFormat="1" ht="14.1" customHeight="1" x14ac:dyDescent="0.2">
      <c r="A480" s="751">
        <f ca="1">IF($H480="UNIDADE CONSTRUTIVA",OFFSET(A480,-1,0)+1,LARGE(A$3:A479,1))</f>
        <v>0</v>
      </c>
      <c r="B480" s="751">
        <f t="shared" ca="1" si="70"/>
        <v>4</v>
      </c>
      <c r="C480" s="751">
        <f t="shared" ca="1" si="71"/>
        <v>1</v>
      </c>
      <c r="D480" s="752">
        <f t="shared" ca="1" si="72"/>
        <v>2</v>
      </c>
      <c r="E480" s="752">
        <f t="shared" ca="1" si="73"/>
        <v>1</v>
      </c>
      <c r="F480" s="209"/>
      <c r="J480" s="65"/>
      <c r="K480" s="146"/>
      <c r="L480" s="567"/>
      <c r="M480" s="567"/>
      <c r="N480" s="737"/>
      <c r="O480" s="638"/>
      <c r="P480" s="147"/>
      <c r="Q480" s="65"/>
    </row>
    <row r="481" spans="1:17" s="148" customFormat="1" ht="14.1" customHeight="1" x14ac:dyDescent="0.2">
      <c r="A481" s="751">
        <f ca="1">IF($H481="UNIDADE CONSTRUTIVA",OFFSET(A481,-1,0)+1,LARGE(A$3:A480,1))</f>
        <v>0</v>
      </c>
      <c r="B481" s="751">
        <f t="shared" ca="1" si="70"/>
        <v>4</v>
      </c>
      <c r="C481" s="751">
        <f t="shared" ca="1" si="71"/>
        <v>1</v>
      </c>
      <c r="D481" s="752">
        <f t="shared" ca="1" si="72"/>
        <v>2</v>
      </c>
      <c r="E481" s="752">
        <f t="shared" ca="1" si="73"/>
        <v>1</v>
      </c>
      <c r="F481" s="209"/>
      <c r="J481" s="65"/>
      <c r="K481" s="146"/>
      <c r="L481" s="567"/>
      <c r="M481" s="567"/>
      <c r="N481" s="737"/>
      <c r="O481" s="638"/>
      <c r="P481" s="147"/>
      <c r="Q481" s="65"/>
    </row>
    <row r="482" spans="1:17" s="148" customFormat="1" ht="14.1" customHeight="1" x14ac:dyDescent="0.2">
      <c r="A482" s="751">
        <f ca="1">IF($H482="UNIDADE CONSTRUTIVA",OFFSET(A482,-1,0)+1,LARGE(A$3:A481,1))</f>
        <v>0</v>
      </c>
      <c r="B482" s="751">
        <f t="shared" ca="1" si="70"/>
        <v>4</v>
      </c>
      <c r="C482" s="751">
        <f t="shared" ca="1" si="71"/>
        <v>1</v>
      </c>
      <c r="D482" s="752">
        <f t="shared" ca="1" si="72"/>
        <v>2</v>
      </c>
      <c r="E482" s="752">
        <f t="shared" ca="1" si="73"/>
        <v>1</v>
      </c>
      <c r="F482" s="209"/>
      <c r="J482" s="65"/>
      <c r="K482" s="146"/>
      <c r="L482" s="567"/>
      <c r="M482" s="567"/>
      <c r="N482" s="737"/>
      <c r="O482" s="638"/>
      <c r="P482" s="147"/>
      <c r="Q482" s="65"/>
    </row>
    <row r="483" spans="1:17" s="148" customFormat="1" ht="14.1" customHeight="1" x14ac:dyDescent="0.2">
      <c r="A483" s="751">
        <f ca="1">IF($H483="UNIDADE CONSTRUTIVA",OFFSET(A483,-1,0)+1,LARGE(A$3:A482,1))</f>
        <v>0</v>
      </c>
      <c r="B483" s="751">
        <f t="shared" ca="1" si="70"/>
        <v>4</v>
      </c>
      <c r="C483" s="751">
        <f t="shared" ca="1" si="71"/>
        <v>1</v>
      </c>
      <c r="D483" s="752">
        <f t="shared" ca="1" si="72"/>
        <v>2</v>
      </c>
      <c r="E483" s="752">
        <f t="shared" ca="1" si="73"/>
        <v>1</v>
      </c>
      <c r="F483" s="209"/>
      <c r="J483" s="65"/>
      <c r="K483" s="146"/>
      <c r="L483" s="567"/>
      <c r="M483" s="567"/>
      <c r="N483" s="737"/>
      <c r="O483" s="638"/>
      <c r="P483" s="147"/>
      <c r="Q483" s="65"/>
    </row>
    <row r="484" spans="1:17" s="148" customFormat="1" ht="14.1" customHeight="1" x14ac:dyDescent="0.2">
      <c r="A484" s="751">
        <f ca="1">IF($H484="UNIDADE CONSTRUTIVA",OFFSET(A484,-1,0)+1,LARGE(A$3:A483,1))</f>
        <v>0</v>
      </c>
      <c r="B484" s="751">
        <f t="shared" ca="1" si="70"/>
        <v>4</v>
      </c>
      <c r="C484" s="751">
        <f t="shared" ca="1" si="71"/>
        <v>1</v>
      </c>
      <c r="D484" s="752">
        <f t="shared" ca="1" si="72"/>
        <v>2</v>
      </c>
      <c r="E484" s="752">
        <f t="shared" ca="1" si="73"/>
        <v>1</v>
      </c>
      <c r="F484" s="209"/>
      <c r="J484" s="65"/>
      <c r="K484" s="146"/>
      <c r="L484" s="567"/>
      <c r="M484" s="567"/>
      <c r="N484" s="737"/>
      <c r="O484" s="638"/>
      <c r="P484" s="147"/>
      <c r="Q484" s="65"/>
    </row>
    <row r="485" spans="1:17" s="148" customFormat="1" ht="14.1" customHeight="1" x14ac:dyDescent="0.2">
      <c r="A485" s="751">
        <f ca="1">IF($H485="UNIDADE CONSTRUTIVA",OFFSET(A485,-1,0)+1,LARGE(A$3:A484,1))</f>
        <v>0</v>
      </c>
      <c r="B485" s="751">
        <f t="shared" ca="1" si="70"/>
        <v>4</v>
      </c>
      <c r="C485" s="751">
        <f t="shared" ca="1" si="71"/>
        <v>1</v>
      </c>
      <c r="D485" s="752">
        <f t="shared" ca="1" si="72"/>
        <v>2</v>
      </c>
      <c r="E485" s="752">
        <f t="shared" ca="1" si="73"/>
        <v>1</v>
      </c>
      <c r="F485" s="209"/>
      <c r="J485" s="65"/>
      <c r="K485" s="146"/>
      <c r="L485" s="567"/>
      <c r="M485" s="567"/>
      <c r="N485" s="737"/>
      <c r="O485" s="638"/>
      <c r="P485" s="147"/>
      <c r="Q485" s="65"/>
    </row>
    <row r="486" spans="1:17" s="148" customFormat="1" ht="14.1" customHeight="1" x14ac:dyDescent="0.2">
      <c r="A486" s="751">
        <f ca="1">IF($H486="UNIDADE CONSTRUTIVA",OFFSET(A486,-1,0)+1,LARGE(A$3:A485,1))</f>
        <v>0</v>
      </c>
      <c r="B486" s="751">
        <f t="shared" ca="1" si="70"/>
        <v>4</v>
      </c>
      <c r="C486" s="751">
        <f t="shared" ca="1" si="71"/>
        <v>1</v>
      </c>
      <c r="D486" s="752">
        <f t="shared" ca="1" si="72"/>
        <v>2</v>
      </c>
      <c r="E486" s="752">
        <f t="shared" ca="1" si="73"/>
        <v>1</v>
      </c>
      <c r="F486" s="209"/>
      <c r="J486" s="65"/>
      <c r="K486" s="146"/>
      <c r="L486" s="567"/>
      <c r="M486" s="567"/>
      <c r="N486" s="737"/>
      <c r="O486" s="638"/>
      <c r="P486" s="147"/>
      <c r="Q486" s="65"/>
    </row>
    <row r="487" spans="1:17" s="148" customFormat="1" ht="14.1" customHeight="1" x14ac:dyDescent="0.2">
      <c r="A487" s="751">
        <f ca="1">IF($H487="UNIDADE CONSTRUTIVA",OFFSET(A487,-1,0)+1,LARGE(A$3:A486,1))</f>
        <v>0</v>
      </c>
      <c r="B487" s="751">
        <f t="shared" ca="1" si="70"/>
        <v>4</v>
      </c>
      <c r="C487" s="751">
        <f t="shared" ca="1" si="71"/>
        <v>1</v>
      </c>
      <c r="D487" s="752">
        <f t="shared" ca="1" si="72"/>
        <v>2</v>
      </c>
      <c r="E487" s="752">
        <f t="shared" ca="1" si="73"/>
        <v>1</v>
      </c>
      <c r="F487" s="209"/>
      <c r="J487" s="65"/>
      <c r="K487" s="146"/>
      <c r="L487" s="567"/>
      <c r="M487" s="567"/>
      <c r="N487" s="737"/>
      <c r="O487" s="638"/>
      <c r="P487" s="147"/>
      <c r="Q487" s="65"/>
    </row>
    <row r="488" spans="1:17" s="148" customFormat="1" ht="14.1" customHeight="1" x14ac:dyDescent="0.2">
      <c r="A488" s="751">
        <f ca="1">IF($H488="UNIDADE CONSTRUTIVA",OFFSET(A488,-1,0)+1,LARGE(A$3:A487,1))</f>
        <v>0</v>
      </c>
      <c r="B488" s="751">
        <f t="shared" ca="1" si="70"/>
        <v>4</v>
      </c>
      <c r="C488" s="751">
        <f t="shared" ca="1" si="71"/>
        <v>1</v>
      </c>
      <c r="D488" s="752">
        <f t="shared" ca="1" si="72"/>
        <v>2</v>
      </c>
      <c r="E488" s="752">
        <f t="shared" ca="1" si="73"/>
        <v>1</v>
      </c>
      <c r="F488" s="209"/>
      <c r="J488" s="65"/>
      <c r="K488" s="146"/>
      <c r="L488" s="567"/>
      <c r="M488" s="567"/>
      <c r="N488" s="737"/>
      <c r="O488" s="638"/>
      <c r="P488" s="147"/>
      <c r="Q488" s="65"/>
    </row>
    <row r="489" spans="1:17" s="148" customFormat="1" ht="14.1" customHeight="1" x14ac:dyDescent="0.2">
      <c r="A489" s="751">
        <f ca="1">IF($H489="UNIDADE CONSTRUTIVA",OFFSET(A489,-1,0)+1,LARGE(A$3:A488,1))</f>
        <v>0</v>
      </c>
      <c r="B489" s="751">
        <f t="shared" ca="1" si="70"/>
        <v>4</v>
      </c>
      <c r="C489" s="751">
        <f t="shared" ca="1" si="71"/>
        <v>1</v>
      </c>
      <c r="D489" s="752">
        <f t="shared" ca="1" si="72"/>
        <v>2</v>
      </c>
      <c r="E489" s="752">
        <f t="shared" ca="1" si="73"/>
        <v>1</v>
      </c>
      <c r="F489" s="209"/>
      <c r="J489" s="65"/>
      <c r="K489" s="146"/>
      <c r="L489" s="567"/>
      <c r="M489" s="567"/>
      <c r="N489" s="737"/>
      <c r="O489" s="638"/>
      <c r="P489" s="147"/>
      <c r="Q489" s="65"/>
    </row>
    <row r="490" spans="1:17" s="148" customFormat="1" ht="14.1" customHeight="1" x14ac:dyDescent="0.2">
      <c r="A490" s="751">
        <f ca="1">IF($H490="UNIDADE CONSTRUTIVA",OFFSET(A490,-1,0)+1,LARGE(A$3:A489,1))</f>
        <v>0</v>
      </c>
      <c r="B490" s="751">
        <f t="shared" ca="1" si="70"/>
        <v>4</v>
      </c>
      <c r="C490" s="751">
        <f t="shared" ca="1" si="71"/>
        <v>1</v>
      </c>
      <c r="D490" s="752">
        <f t="shared" ca="1" si="72"/>
        <v>2</v>
      </c>
      <c r="E490" s="752">
        <f t="shared" ca="1" si="73"/>
        <v>1</v>
      </c>
      <c r="F490" s="209"/>
      <c r="J490" s="65"/>
      <c r="K490" s="146"/>
      <c r="L490" s="567"/>
      <c r="M490" s="567"/>
      <c r="N490" s="737"/>
      <c r="O490" s="638"/>
      <c r="P490" s="147"/>
      <c r="Q490" s="65"/>
    </row>
    <row r="491" spans="1:17" s="148" customFormat="1" ht="14.1" customHeight="1" x14ac:dyDescent="0.2">
      <c r="A491" s="751">
        <f ca="1">IF($H491="UNIDADE CONSTRUTIVA",OFFSET(A491,-1,0)+1,LARGE(A$3:A490,1))</f>
        <v>0</v>
      </c>
      <c r="B491" s="751">
        <f t="shared" ca="1" si="70"/>
        <v>4</v>
      </c>
      <c r="C491" s="751">
        <f t="shared" ca="1" si="71"/>
        <v>1</v>
      </c>
      <c r="D491" s="752">
        <f t="shared" ca="1" si="72"/>
        <v>2</v>
      </c>
      <c r="E491" s="752">
        <f t="shared" ca="1" si="73"/>
        <v>1</v>
      </c>
      <c r="F491" s="209"/>
      <c r="J491" s="65"/>
      <c r="K491" s="146"/>
      <c r="L491" s="567"/>
      <c r="M491" s="567"/>
      <c r="N491" s="737"/>
      <c r="O491" s="638"/>
      <c r="P491" s="147"/>
      <c r="Q491" s="65"/>
    </row>
    <row r="492" spans="1:17" s="148" customFormat="1" ht="14.1" customHeight="1" x14ac:dyDescent="0.2">
      <c r="A492" s="751">
        <f ca="1">IF($H492="UNIDADE CONSTRUTIVA",OFFSET(A492,-1,0)+1,LARGE(A$3:A491,1))</f>
        <v>0</v>
      </c>
      <c r="B492" s="751">
        <f t="shared" ca="1" si="70"/>
        <v>4</v>
      </c>
      <c r="C492" s="751">
        <f t="shared" ca="1" si="71"/>
        <v>1</v>
      </c>
      <c r="D492" s="752">
        <f t="shared" ca="1" si="72"/>
        <v>2</v>
      </c>
      <c r="E492" s="752">
        <f t="shared" ca="1" si="73"/>
        <v>1</v>
      </c>
      <c r="F492" s="209"/>
      <c r="J492" s="65"/>
      <c r="K492" s="146"/>
      <c r="L492" s="567"/>
      <c r="M492" s="567"/>
      <c r="N492" s="737"/>
      <c r="O492" s="638"/>
      <c r="P492" s="147"/>
      <c r="Q492" s="65"/>
    </row>
    <row r="493" spans="1:17" s="148" customFormat="1" ht="14.1" customHeight="1" x14ac:dyDescent="0.2">
      <c r="A493" s="751">
        <f ca="1">IF($H493="UNIDADE CONSTRUTIVA",OFFSET(A493,-1,0)+1,LARGE(A$3:A492,1))</f>
        <v>0</v>
      </c>
      <c r="B493" s="751">
        <f t="shared" ca="1" si="70"/>
        <v>4</v>
      </c>
      <c r="C493" s="751">
        <f t="shared" ca="1" si="71"/>
        <v>1</v>
      </c>
      <c r="D493" s="752">
        <f t="shared" ca="1" si="72"/>
        <v>2</v>
      </c>
      <c r="E493" s="752">
        <f t="shared" ca="1" si="73"/>
        <v>1</v>
      </c>
      <c r="F493" s="209"/>
      <c r="J493" s="65"/>
      <c r="K493" s="146"/>
      <c r="L493" s="567"/>
      <c r="M493" s="567"/>
      <c r="N493" s="737"/>
      <c r="O493" s="638"/>
      <c r="P493" s="147"/>
      <c r="Q493" s="65"/>
    </row>
    <row r="494" spans="1:17" s="148" customFormat="1" ht="14.1" customHeight="1" x14ac:dyDescent="0.2">
      <c r="A494" s="751">
        <f ca="1">IF($H494="UNIDADE CONSTRUTIVA",OFFSET(A494,-1,0)+1,LARGE(A$3:A493,1))</f>
        <v>0</v>
      </c>
      <c r="B494" s="751">
        <f t="shared" ca="1" si="70"/>
        <v>4</v>
      </c>
      <c r="C494" s="751">
        <f t="shared" ca="1" si="71"/>
        <v>1</v>
      </c>
      <c r="D494" s="752">
        <f t="shared" ca="1" si="72"/>
        <v>2</v>
      </c>
      <c r="E494" s="752">
        <f t="shared" ca="1" si="73"/>
        <v>1</v>
      </c>
      <c r="F494" s="209"/>
      <c r="J494" s="65"/>
      <c r="K494" s="146"/>
      <c r="L494" s="567"/>
      <c r="M494" s="567"/>
      <c r="N494" s="737"/>
      <c r="O494" s="638"/>
      <c r="P494" s="147"/>
      <c r="Q494" s="65"/>
    </row>
    <row r="495" spans="1:17" s="148" customFormat="1" ht="14.1" customHeight="1" x14ac:dyDescent="0.2">
      <c r="A495" s="751">
        <f ca="1">IF($H495="UNIDADE CONSTRUTIVA",OFFSET(A495,-1,0)+1,LARGE(A$3:A494,1))</f>
        <v>0</v>
      </c>
      <c r="B495" s="751">
        <f t="shared" ca="1" si="70"/>
        <v>4</v>
      </c>
      <c r="C495" s="751">
        <f t="shared" ca="1" si="71"/>
        <v>1</v>
      </c>
      <c r="D495" s="752">
        <f t="shared" ca="1" si="72"/>
        <v>2</v>
      </c>
      <c r="E495" s="752">
        <f t="shared" ca="1" si="73"/>
        <v>1</v>
      </c>
      <c r="F495" s="209"/>
      <c r="J495" s="65"/>
      <c r="K495" s="146"/>
      <c r="L495" s="567"/>
      <c r="M495" s="567"/>
      <c r="N495" s="737"/>
      <c r="O495" s="638"/>
      <c r="P495" s="147"/>
      <c r="Q495" s="65"/>
    </row>
    <row r="496" spans="1:17" s="148" customFormat="1" ht="14.1" customHeight="1" x14ac:dyDescent="0.2">
      <c r="A496" s="751">
        <f ca="1">IF($H496="UNIDADE CONSTRUTIVA",OFFSET(A496,-1,0)+1,LARGE(A$3:A495,1))</f>
        <v>0</v>
      </c>
      <c r="B496" s="751">
        <f t="shared" ca="1" si="70"/>
        <v>4</v>
      </c>
      <c r="C496" s="751">
        <f t="shared" ca="1" si="71"/>
        <v>1</v>
      </c>
      <c r="D496" s="752">
        <f t="shared" ca="1" si="72"/>
        <v>2</v>
      </c>
      <c r="E496" s="752">
        <f t="shared" ca="1" si="73"/>
        <v>1</v>
      </c>
      <c r="F496" s="209"/>
      <c r="J496" s="65"/>
      <c r="K496" s="146"/>
      <c r="L496" s="567"/>
      <c r="M496" s="567"/>
      <c r="N496" s="737"/>
      <c r="O496" s="638"/>
      <c r="P496" s="147"/>
      <c r="Q496" s="65"/>
    </row>
    <row r="497" spans="1:17" s="148" customFormat="1" ht="14.1" customHeight="1" x14ac:dyDescent="0.2">
      <c r="A497" s="751">
        <f ca="1">IF($H497="UNIDADE CONSTRUTIVA",OFFSET(A497,-1,0)+1,LARGE(A$3:A496,1))</f>
        <v>0</v>
      </c>
      <c r="B497" s="751">
        <f t="shared" ca="1" si="70"/>
        <v>4</v>
      </c>
      <c r="C497" s="751">
        <f t="shared" ca="1" si="71"/>
        <v>1</v>
      </c>
      <c r="D497" s="752">
        <f t="shared" ca="1" si="72"/>
        <v>2</v>
      </c>
      <c r="E497" s="752">
        <f t="shared" ca="1" si="73"/>
        <v>1</v>
      </c>
      <c r="F497" s="209"/>
      <c r="J497" s="65"/>
      <c r="K497" s="146"/>
      <c r="L497" s="567"/>
      <c r="M497" s="567"/>
      <c r="N497" s="737"/>
      <c r="O497" s="638"/>
      <c r="P497" s="147"/>
      <c r="Q497" s="65"/>
    </row>
    <row r="498" spans="1:17" s="148" customFormat="1" ht="14.1" customHeight="1" x14ac:dyDescent="0.2">
      <c r="A498" s="751">
        <f ca="1">IF($H498="UNIDADE CONSTRUTIVA",OFFSET(A498,-1,0)+1,LARGE(A$3:A497,1))</f>
        <v>0</v>
      </c>
      <c r="B498" s="751">
        <f t="shared" ca="1" si="70"/>
        <v>4</v>
      </c>
      <c r="C498" s="751">
        <f t="shared" ca="1" si="71"/>
        <v>1</v>
      </c>
      <c r="D498" s="752">
        <f t="shared" ca="1" si="72"/>
        <v>2</v>
      </c>
      <c r="E498" s="752">
        <f t="shared" ca="1" si="73"/>
        <v>1</v>
      </c>
      <c r="F498" s="209"/>
      <c r="J498" s="65"/>
      <c r="K498" s="146"/>
      <c r="L498" s="567"/>
      <c r="M498" s="567"/>
      <c r="N498" s="737"/>
      <c r="O498" s="638"/>
      <c r="P498" s="147"/>
      <c r="Q498" s="65"/>
    </row>
    <row r="499" spans="1:17" s="148" customFormat="1" ht="14.1" customHeight="1" x14ac:dyDescent="0.2">
      <c r="A499" s="751">
        <f ca="1">IF($H499="UNIDADE CONSTRUTIVA",OFFSET(A499,-1,0)+1,LARGE(A$3:A498,1))</f>
        <v>0</v>
      </c>
      <c r="B499" s="751">
        <f t="shared" ca="1" si="70"/>
        <v>4</v>
      </c>
      <c r="C499" s="751">
        <f t="shared" ca="1" si="71"/>
        <v>1</v>
      </c>
      <c r="D499" s="752">
        <f t="shared" ca="1" si="72"/>
        <v>2</v>
      </c>
      <c r="E499" s="752">
        <f t="shared" ca="1" si="73"/>
        <v>1</v>
      </c>
      <c r="F499" s="209"/>
      <c r="J499" s="65"/>
      <c r="K499" s="146"/>
      <c r="L499" s="567"/>
      <c r="M499" s="567"/>
      <c r="N499" s="737"/>
      <c r="O499" s="638"/>
      <c r="P499" s="147"/>
      <c r="Q499" s="65"/>
    </row>
    <row r="500" spans="1:17" s="148" customFormat="1" ht="14.1" customHeight="1" x14ac:dyDescent="0.2">
      <c r="A500" s="751">
        <f ca="1">IF($H500="UNIDADE CONSTRUTIVA",OFFSET(A500,-1,0)+1,LARGE(A$3:A499,1))</f>
        <v>0</v>
      </c>
      <c r="B500" s="751">
        <f t="shared" ca="1" si="70"/>
        <v>4</v>
      </c>
      <c r="C500" s="751">
        <f t="shared" ca="1" si="71"/>
        <v>1</v>
      </c>
      <c r="D500" s="752">
        <f t="shared" ca="1" si="72"/>
        <v>2</v>
      </c>
      <c r="E500" s="752">
        <f t="shared" ca="1" si="73"/>
        <v>1</v>
      </c>
      <c r="F500" s="209"/>
      <c r="J500" s="65"/>
      <c r="K500" s="146"/>
      <c r="L500" s="567"/>
      <c r="M500" s="567"/>
      <c r="N500" s="737"/>
      <c r="O500" s="638"/>
      <c r="P500" s="147"/>
      <c r="Q500" s="65"/>
    </row>
    <row r="501" spans="1:17" s="148" customFormat="1" ht="14.1" customHeight="1" x14ac:dyDescent="0.2">
      <c r="A501" s="751">
        <f ca="1">IF($H501="UNIDADE CONSTRUTIVA",OFFSET(A501,-1,0)+1,LARGE(A$3:A500,1))</f>
        <v>0</v>
      </c>
      <c r="B501" s="751">
        <f t="shared" ca="1" si="70"/>
        <v>4</v>
      </c>
      <c r="C501" s="751">
        <f t="shared" ca="1" si="71"/>
        <v>1</v>
      </c>
      <c r="D501" s="752">
        <f t="shared" ca="1" si="72"/>
        <v>2</v>
      </c>
      <c r="E501" s="752">
        <f t="shared" ca="1" si="73"/>
        <v>1</v>
      </c>
      <c r="F501" s="209"/>
      <c r="J501" s="65"/>
      <c r="K501" s="146"/>
      <c r="L501" s="567"/>
      <c r="M501" s="567"/>
      <c r="N501" s="737"/>
      <c r="O501" s="638"/>
      <c r="P501" s="147"/>
      <c r="Q501" s="65"/>
    </row>
    <row r="502" spans="1:17" s="148" customFormat="1" ht="14.1" customHeight="1" x14ac:dyDescent="0.2">
      <c r="A502" s="751">
        <f ca="1">IF($H502="UNIDADE CONSTRUTIVA",OFFSET(A502,-1,0)+1,LARGE(A$3:A501,1))</f>
        <v>0</v>
      </c>
      <c r="B502" s="751">
        <f t="shared" ca="1" si="70"/>
        <v>4</v>
      </c>
      <c r="C502" s="751">
        <f t="shared" ca="1" si="71"/>
        <v>1</v>
      </c>
      <c r="D502" s="752">
        <f t="shared" ca="1" si="72"/>
        <v>2</v>
      </c>
      <c r="E502" s="752">
        <f t="shared" ca="1" si="73"/>
        <v>1</v>
      </c>
      <c r="F502" s="209"/>
      <c r="J502" s="65"/>
      <c r="K502" s="146"/>
      <c r="L502" s="567"/>
      <c r="M502" s="567"/>
      <c r="N502" s="737"/>
      <c r="O502" s="638"/>
      <c r="P502" s="147"/>
      <c r="Q502" s="65"/>
    </row>
    <row r="503" spans="1:17" s="148" customFormat="1" ht="14.1" customHeight="1" x14ac:dyDescent="0.2">
      <c r="A503" s="751">
        <f ca="1">IF($H503="UNIDADE CONSTRUTIVA",OFFSET(A503,-1,0)+1,LARGE(A$3:A502,1))</f>
        <v>0</v>
      </c>
      <c r="B503" s="751">
        <f t="shared" ca="1" si="70"/>
        <v>4</v>
      </c>
      <c r="C503" s="751">
        <f t="shared" ca="1" si="71"/>
        <v>1</v>
      </c>
      <c r="D503" s="752">
        <f t="shared" ca="1" si="72"/>
        <v>2</v>
      </c>
      <c r="E503" s="752">
        <f t="shared" ca="1" si="73"/>
        <v>1</v>
      </c>
      <c r="F503" s="209"/>
      <c r="J503" s="65"/>
      <c r="K503" s="146"/>
      <c r="L503" s="567"/>
      <c r="M503" s="567"/>
      <c r="N503" s="737"/>
      <c r="O503" s="638"/>
      <c r="P503" s="147"/>
      <c r="Q503" s="65"/>
    </row>
    <row r="504" spans="1:17" s="148" customFormat="1" ht="14.1" customHeight="1" x14ac:dyDescent="0.2">
      <c r="A504" s="751">
        <f ca="1">IF($H504="UNIDADE CONSTRUTIVA",OFFSET(A504,-1,0)+1,LARGE(A$3:A503,1))</f>
        <v>0</v>
      </c>
      <c r="B504" s="751">
        <f t="shared" ca="1" si="70"/>
        <v>4</v>
      </c>
      <c r="C504" s="751">
        <f t="shared" ca="1" si="71"/>
        <v>1</v>
      </c>
      <c r="D504" s="752">
        <f t="shared" ca="1" si="72"/>
        <v>2</v>
      </c>
      <c r="E504" s="752">
        <f t="shared" ca="1" si="73"/>
        <v>1</v>
      </c>
      <c r="F504" s="209"/>
      <c r="J504" s="65"/>
      <c r="K504" s="146"/>
      <c r="L504" s="567"/>
      <c r="M504" s="567"/>
      <c r="N504" s="737"/>
      <c r="O504" s="638"/>
      <c r="P504" s="147"/>
      <c r="Q504" s="65"/>
    </row>
    <row r="505" spans="1:17" s="148" customFormat="1" ht="14.1" customHeight="1" x14ac:dyDescent="0.2">
      <c r="A505" s="751">
        <f ca="1">IF($H505="UNIDADE CONSTRUTIVA",OFFSET(A505,-1,0)+1,LARGE(A$3:A504,1))</f>
        <v>0</v>
      </c>
      <c r="B505" s="751">
        <f t="shared" ca="1" si="70"/>
        <v>4</v>
      </c>
      <c r="C505" s="751">
        <f t="shared" ca="1" si="71"/>
        <v>1</v>
      </c>
      <c r="D505" s="752">
        <f t="shared" ca="1" si="72"/>
        <v>2</v>
      </c>
      <c r="E505" s="752">
        <f t="shared" ca="1" si="73"/>
        <v>1</v>
      </c>
      <c r="F505" s="209"/>
      <c r="J505" s="65"/>
      <c r="K505" s="146"/>
      <c r="L505" s="567"/>
      <c r="M505" s="567"/>
      <c r="N505" s="737"/>
      <c r="O505" s="638"/>
      <c r="P505" s="147"/>
      <c r="Q505" s="65"/>
    </row>
    <row r="506" spans="1:17" s="148" customFormat="1" ht="14.1" customHeight="1" x14ac:dyDescent="0.2">
      <c r="A506" s="751">
        <f ca="1">IF($H506="UNIDADE CONSTRUTIVA",OFFSET(A506,-1,0)+1,LARGE(A$3:A505,1))</f>
        <v>0</v>
      </c>
      <c r="B506" s="751">
        <f t="shared" ca="1" si="70"/>
        <v>4</v>
      </c>
      <c r="C506" s="751">
        <f t="shared" ca="1" si="71"/>
        <v>1</v>
      </c>
      <c r="D506" s="752">
        <f t="shared" ca="1" si="72"/>
        <v>2</v>
      </c>
      <c r="E506" s="752">
        <f t="shared" ca="1" si="73"/>
        <v>1</v>
      </c>
      <c r="F506" s="209"/>
      <c r="J506" s="65"/>
      <c r="K506" s="146"/>
      <c r="L506" s="567"/>
      <c r="M506" s="567"/>
      <c r="N506" s="737"/>
      <c r="O506" s="638"/>
      <c r="P506" s="147"/>
      <c r="Q506" s="65"/>
    </row>
    <row r="507" spans="1:17" s="148" customFormat="1" ht="14.1" customHeight="1" x14ac:dyDescent="0.2">
      <c r="A507" s="751">
        <f ca="1">IF($H507="UNIDADE CONSTRUTIVA",OFFSET(A507,-1,0)+1,LARGE(A$3:A506,1))</f>
        <v>0</v>
      </c>
      <c r="B507" s="751">
        <f t="shared" ca="1" si="70"/>
        <v>4</v>
      </c>
      <c r="C507" s="751">
        <f t="shared" ca="1" si="71"/>
        <v>1</v>
      </c>
      <c r="D507" s="752">
        <f t="shared" ca="1" si="72"/>
        <v>2</v>
      </c>
      <c r="E507" s="752">
        <f t="shared" ca="1" si="73"/>
        <v>1</v>
      </c>
      <c r="F507" s="209"/>
      <c r="J507" s="65"/>
      <c r="K507" s="146"/>
      <c r="L507" s="567"/>
      <c r="M507" s="567"/>
      <c r="N507" s="737"/>
      <c r="O507" s="638"/>
      <c r="P507" s="147"/>
      <c r="Q507" s="65"/>
    </row>
    <row r="508" spans="1:17" s="148" customFormat="1" ht="14.1" customHeight="1" x14ac:dyDescent="0.2">
      <c r="A508" s="751">
        <f ca="1">IF($H508="UNIDADE CONSTRUTIVA",OFFSET(A508,-1,0)+1,LARGE(A$3:A507,1))</f>
        <v>0</v>
      </c>
      <c r="B508" s="751">
        <f t="shared" ca="1" si="70"/>
        <v>4</v>
      </c>
      <c r="C508" s="751">
        <f t="shared" ca="1" si="71"/>
        <v>1</v>
      </c>
      <c r="D508" s="752">
        <f t="shared" ca="1" si="72"/>
        <v>2</v>
      </c>
      <c r="E508" s="752">
        <f t="shared" ca="1" si="73"/>
        <v>1</v>
      </c>
      <c r="F508" s="209"/>
      <c r="J508" s="65"/>
      <c r="K508" s="146"/>
      <c r="L508" s="567"/>
      <c r="M508" s="567"/>
      <c r="N508" s="737"/>
      <c r="O508" s="638"/>
      <c r="P508" s="147"/>
      <c r="Q508" s="65"/>
    </row>
    <row r="509" spans="1:17" s="148" customFormat="1" ht="14.1" customHeight="1" x14ac:dyDescent="0.2">
      <c r="A509" s="751">
        <f ca="1">IF($H509="UNIDADE CONSTRUTIVA",OFFSET(A509,-1,0)+1,LARGE(A$3:A508,1))</f>
        <v>0</v>
      </c>
      <c r="B509" s="751">
        <f t="shared" ca="1" si="70"/>
        <v>4</v>
      </c>
      <c r="C509" s="751">
        <f t="shared" ca="1" si="71"/>
        <v>1</v>
      </c>
      <c r="D509" s="752">
        <f t="shared" ca="1" si="72"/>
        <v>2</v>
      </c>
      <c r="E509" s="752">
        <f t="shared" ca="1" si="73"/>
        <v>1</v>
      </c>
      <c r="F509" s="209"/>
      <c r="J509" s="65"/>
      <c r="K509" s="146"/>
      <c r="L509" s="567"/>
      <c r="M509" s="567"/>
      <c r="N509" s="737"/>
      <c r="O509" s="638"/>
      <c r="P509" s="147"/>
      <c r="Q509" s="65"/>
    </row>
    <row r="510" spans="1:17" s="148" customFormat="1" ht="14.1" customHeight="1" x14ac:dyDescent="0.2">
      <c r="A510" s="751">
        <f ca="1">IF($H510="UNIDADE CONSTRUTIVA",OFFSET(A510,-1,0)+1,LARGE(A$3:A509,1))</f>
        <v>0</v>
      </c>
      <c r="B510" s="751">
        <f t="shared" ca="1" si="70"/>
        <v>4</v>
      </c>
      <c r="C510" s="751">
        <f t="shared" ca="1" si="71"/>
        <v>1</v>
      </c>
      <c r="D510" s="752">
        <f t="shared" ca="1" si="72"/>
        <v>2</v>
      </c>
      <c r="E510" s="752">
        <f t="shared" ca="1" si="73"/>
        <v>1</v>
      </c>
      <c r="F510" s="209"/>
      <c r="J510" s="65"/>
      <c r="K510" s="146"/>
      <c r="L510" s="567"/>
      <c r="M510" s="567"/>
      <c r="N510" s="737"/>
      <c r="O510" s="638"/>
      <c r="P510" s="147"/>
      <c r="Q510" s="65"/>
    </row>
    <row r="511" spans="1:17" s="148" customFormat="1" ht="14.1" customHeight="1" x14ac:dyDescent="0.2">
      <c r="A511" s="751">
        <f ca="1">IF($H511="UNIDADE CONSTRUTIVA",OFFSET(A511,-1,0)+1,LARGE(A$3:A510,1))</f>
        <v>0</v>
      </c>
      <c r="B511" s="751">
        <f t="shared" ca="1" si="70"/>
        <v>4</v>
      </c>
      <c r="C511" s="751">
        <f t="shared" ca="1" si="71"/>
        <v>1</v>
      </c>
      <c r="D511" s="752">
        <f t="shared" ca="1" si="72"/>
        <v>2</v>
      </c>
      <c r="E511" s="752">
        <f t="shared" ca="1" si="73"/>
        <v>1</v>
      </c>
      <c r="F511" s="209"/>
      <c r="J511" s="65"/>
      <c r="K511" s="146"/>
      <c r="L511" s="567"/>
      <c r="M511" s="567"/>
      <c r="N511" s="737"/>
      <c r="O511" s="638"/>
      <c r="P511" s="147"/>
      <c r="Q511" s="65"/>
    </row>
    <row r="512" spans="1:17" s="148" customFormat="1" ht="14.1" customHeight="1" x14ac:dyDescent="0.2">
      <c r="A512" s="751">
        <f ca="1">IF($H512="UNIDADE CONSTRUTIVA",OFFSET(A512,-1,0)+1,LARGE(A$3:A511,1))</f>
        <v>0</v>
      </c>
      <c r="B512" s="751">
        <f t="shared" ca="1" si="70"/>
        <v>4</v>
      </c>
      <c r="C512" s="751">
        <f t="shared" ca="1" si="71"/>
        <v>1</v>
      </c>
      <c r="D512" s="752">
        <f t="shared" ca="1" si="72"/>
        <v>2</v>
      </c>
      <c r="E512" s="752">
        <f t="shared" ca="1" si="73"/>
        <v>1</v>
      </c>
      <c r="F512" s="209"/>
      <c r="J512" s="65"/>
      <c r="K512" s="146"/>
      <c r="L512" s="567"/>
      <c r="M512" s="567"/>
      <c r="N512" s="737"/>
      <c r="O512" s="638"/>
      <c r="P512" s="147"/>
      <c r="Q512" s="65"/>
    </row>
    <row r="513" spans="1:17" s="148" customFormat="1" ht="14.1" customHeight="1" x14ac:dyDescent="0.2">
      <c r="A513" s="751">
        <f ca="1">IF($H513="UNIDADE CONSTRUTIVA",OFFSET(A513,-1,0)+1,LARGE(A$3:A512,1))</f>
        <v>0</v>
      </c>
      <c r="B513" s="751">
        <f t="shared" ca="1" si="70"/>
        <v>4</v>
      </c>
      <c r="C513" s="751">
        <f t="shared" ca="1" si="71"/>
        <v>1</v>
      </c>
      <c r="D513" s="752">
        <f t="shared" ca="1" si="72"/>
        <v>2</v>
      </c>
      <c r="E513" s="752">
        <f t="shared" ca="1" si="73"/>
        <v>1</v>
      </c>
      <c r="F513" s="209"/>
      <c r="J513" s="65"/>
      <c r="K513" s="146"/>
      <c r="L513" s="567"/>
      <c r="M513" s="567"/>
      <c r="N513" s="737"/>
      <c r="O513" s="638"/>
      <c r="P513" s="147"/>
      <c r="Q513" s="65"/>
    </row>
    <row r="514" spans="1:17" s="148" customFormat="1" ht="14.1" customHeight="1" x14ac:dyDescent="0.2">
      <c r="A514" s="751">
        <f ca="1">IF($H514="UNIDADE CONSTRUTIVA",OFFSET(A514,-1,0)+1,LARGE(A$3:A513,1))</f>
        <v>0</v>
      </c>
      <c r="B514" s="751">
        <f t="shared" ca="1" si="70"/>
        <v>4</v>
      </c>
      <c r="C514" s="751">
        <f t="shared" ca="1" si="71"/>
        <v>1</v>
      </c>
      <c r="D514" s="752">
        <f t="shared" ca="1" si="72"/>
        <v>2</v>
      </c>
      <c r="E514" s="752">
        <f t="shared" ca="1" si="73"/>
        <v>1</v>
      </c>
      <c r="F514" s="209"/>
      <c r="J514" s="65"/>
      <c r="K514" s="146"/>
      <c r="L514" s="567"/>
      <c r="M514" s="567"/>
      <c r="N514" s="737"/>
      <c r="O514" s="638"/>
      <c r="P514" s="147"/>
      <c r="Q514" s="65"/>
    </row>
    <row r="515" spans="1:17" s="148" customFormat="1" ht="14.1" customHeight="1" x14ac:dyDescent="0.2">
      <c r="A515" s="751">
        <f ca="1">IF($H515="UNIDADE CONSTRUTIVA",OFFSET(A515,-1,0)+1,LARGE(A$3:A514,1))</f>
        <v>0</v>
      </c>
      <c r="B515" s="751">
        <f t="shared" ca="1" si="70"/>
        <v>4</v>
      </c>
      <c r="C515" s="751">
        <f t="shared" ca="1" si="71"/>
        <v>1</v>
      </c>
      <c r="D515" s="752">
        <f t="shared" ca="1" si="72"/>
        <v>2</v>
      </c>
      <c r="E515" s="752">
        <f t="shared" ca="1" si="73"/>
        <v>1</v>
      </c>
      <c r="F515" s="209"/>
      <c r="J515" s="65"/>
      <c r="K515" s="146"/>
      <c r="L515" s="567"/>
      <c r="M515" s="567"/>
      <c r="N515" s="737"/>
      <c r="O515" s="638"/>
      <c r="P515" s="147"/>
      <c r="Q515" s="65"/>
    </row>
    <row r="516" spans="1:17" s="148" customFormat="1" ht="14.1" customHeight="1" x14ac:dyDescent="0.2">
      <c r="A516" s="751">
        <f ca="1">IF($H516="UNIDADE CONSTRUTIVA",OFFSET(A516,-1,0)+1,LARGE(A$3:A515,1))</f>
        <v>0</v>
      </c>
      <c r="B516" s="751">
        <f t="shared" ca="1" si="70"/>
        <v>4</v>
      </c>
      <c r="C516" s="751">
        <f t="shared" ca="1" si="71"/>
        <v>1</v>
      </c>
      <c r="D516" s="752">
        <f t="shared" ca="1" si="72"/>
        <v>2</v>
      </c>
      <c r="E516" s="752">
        <f t="shared" ca="1" si="73"/>
        <v>1</v>
      </c>
      <c r="F516" s="209"/>
      <c r="J516" s="65"/>
      <c r="K516" s="146"/>
      <c r="L516" s="567"/>
      <c r="M516" s="567"/>
      <c r="N516" s="737"/>
      <c r="O516" s="638"/>
      <c r="P516" s="147"/>
      <c r="Q516" s="65"/>
    </row>
    <row r="517" spans="1:17" s="148" customFormat="1" ht="14.1" customHeight="1" x14ac:dyDescent="0.2">
      <c r="A517" s="751">
        <f ca="1">IF($H517="UNIDADE CONSTRUTIVA",OFFSET(A517,-1,0)+1,LARGE(A$3:A516,1))</f>
        <v>0</v>
      </c>
      <c r="B517" s="751">
        <f t="shared" ca="1" si="70"/>
        <v>4</v>
      </c>
      <c r="C517" s="751">
        <f t="shared" ca="1" si="71"/>
        <v>1</v>
      </c>
      <c r="D517" s="752">
        <f t="shared" ca="1" si="72"/>
        <v>2</v>
      </c>
      <c r="E517" s="752">
        <f t="shared" ca="1" si="73"/>
        <v>1</v>
      </c>
      <c r="F517" s="209"/>
      <c r="J517" s="65"/>
      <c r="K517" s="146"/>
      <c r="L517" s="567"/>
      <c r="M517" s="567"/>
      <c r="N517" s="737"/>
      <c r="O517" s="638"/>
      <c r="P517" s="147"/>
      <c r="Q517" s="65"/>
    </row>
    <row r="518" spans="1:17" s="148" customFormat="1" ht="14.1" customHeight="1" x14ac:dyDescent="0.2">
      <c r="A518" s="751">
        <f ca="1">IF($H518="UNIDADE CONSTRUTIVA",OFFSET(A518,-1,0)+1,LARGE(A$3:A517,1))</f>
        <v>0</v>
      </c>
      <c r="B518" s="751">
        <f t="shared" ca="1" si="70"/>
        <v>4</v>
      </c>
      <c r="C518" s="751">
        <f t="shared" ca="1" si="71"/>
        <v>1</v>
      </c>
      <c r="D518" s="752">
        <f t="shared" ca="1" si="72"/>
        <v>2</v>
      </c>
      <c r="E518" s="752">
        <f t="shared" ca="1" si="73"/>
        <v>1</v>
      </c>
      <c r="F518" s="209"/>
      <c r="J518" s="65"/>
      <c r="K518" s="146"/>
      <c r="L518" s="567"/>
      <c r="M518" s="567"/>
      <c r="N518" s="737"/>
      <c r="O518" s="638"/>
      <c r="P518" s="147"/>
      <c r="Q518" s="65"/>
    </row>
    <row r="519" spans="1:17" s="148" customFormat="1" ht="14.1" customHeight="1" x14ac:dyDescent="0.2">
      <c r="A519" s="751">
        <f ca="1">IF($H519="UNIDADE CONSTRUTIVA",OFFSET(A519,-1,0)+1,LARGE(A$3:A518,1))</f>
        <v>0</v>
      </c>
      <c r="B519" s="751">
        <f t="shared" ca="1" si="70"/>
        <v>4</v>
      </c>
      <c r="C519" s="751">
        <f t="shared" ca="1" si="71"/>
        <v>1</v>
      </c>
      <c r="D519" s="752">
        <f t="shared" ca="1" si="72"/>
        <v>2</v>
      </c>
      <c r="E519" s="752">
        <f t="shared" ca="1" si="73"/>
        <v>1</v>
      </c>
      <c r="F519" s="209"/>
      <c r="J519" s="65"/>
      <c r="K519" s="146"/>
      <c r="L519" s="567"/>
      <c r="M519" s="567"/>
      <c r="N519" s="737"/>
      <c r="O519" s="638"/>
      <c r="P519" s="147"/>
      <c r="Q519" s="65"/>
    </row>
    <row r="520" spans="1:17" s="148" customFormat="1" ht="14.1" customHeight="1" x14ac:dyDescent="0.2">
      <c r="A520" s="751">
        <f ca="1">IF($H520="UNIDADE CONSTRUTIVA",OFFSET(A520,-1,0)+1,LARGE(A$3:A519,1))</f>
        <v>0</v>
      </c>
      <c r="B520" s="751">
        <f t="shared" ca="1" si="70"/>
        <v>4</v>
      </c>
      <c r="C520" s="751">
        <f t="shared" ca="1" si="71"/>
        <v>1</v>
      </c>
      <c r="D520" s="752">
        <f t="shared" ca="1" si="72"/>
        <v>2</v>
      </c>
      <c r="E520" s="752">
        <f t="shared" ca="1" si="73"/>
        <v>1</v>
      </c>
      <c r="F520" s="209"/>
      <c r="J520" s="65"/>
      <c r="K520" s="146"/>
      <c r="L520" s="567"/>
      <c r="M520" s="567"/>
      <c r="N520" s="737"/>
      <c r="O520" s="638"/>
      <c r="P520" s="147"/>
      <c r="Q520" s="65"/>
    </row>
    <row r="521" spans="1:17" s="148" customFormat="1" ht="14.1" customHeight="1" x14ac:dyDescent="0.2">
      <c r="A521" s="751">
        <f ca="1">IF($H521="UNIDADE CONSTRUTIVA",OFFSET(A521,-1,0)+1,LARGE(A$3:A520,1))</f>
        <v>0</v>
      </c>
      <c r="B521" s="751">
        <f t="shared" ca="1" si="70"/>
        <v>4</v>
      </c>
      <c r="C521" s="751">
        <f t="shared" ca="1" si="71"/>
        <v>1</v>
      </c>
      <c r="D521" s="752">
        <f t="shared" ca="1" si="72"/>
        <v>2</v>
      </c>
      <c r="E521" s="752">
        <f t="shared" ca="1" si="73"/>
        <v>1</v>
      </c>
      <c r="F521" s="209"/>
      <c r="J521" s="65"/>
      <c r="K521" s="146"/>
      <c r="L521" s="567"/>
      <c r="M521" s="567"/>
      <c r="N521" s="737"/>
      <c r="O521" s="638"/>
      <c r="P521" s="147"/>
      <c r="Q521" s="65"/>
    </row>
    <row r="522" spans="1:17" s="148" customFormat="1" ht="14.1" customHeight="1" x14ac:dyDescent="0.2">
      <c r="A522" s="751">
        <f ca="1">IF($H522="UNIDADE CONSTRUTIVA",OFFSET(A522,-1,0)+1,LARGE(A$3:A521,1))</f>
        <v>0</v>
      </c>
      <c r="B522" s="751">
        <f t="shared" ca="1" si="70"/>
        <v>4</v>
      </c>
      <c r="C522" s="751">
        <f t="shared" ca="1" si="71"/>
        <v>1</v>
      </c>
      <c r="D522" s="752">
        <f t="shared" ca="1" si="72"/>
        <v>2</v>
      </c>
      <c r="E522" s="752">
        <f t="shared" ca="1" si="73"/>
        <v>1</v>
      </c>
      <c r="F522" s="209"/>
      <c r="J522" s="65"/>
      <c r="K522" s="146"/>
      <c r="L522" s="567"/>
      <c r="M522" s="567"/>
      <c r="N522" s="737"/>
      <c r="O522" s="638"/>
      <c r="P522" s="147"/>
      <c r="Q522" s="65"/>
    </row>
    <row r="523" spans="1:17" s="148" customFormat="1" ht="14.1" customHeight="1" x14ac:dyDescent="0.2">
      <c r="A523" s="751">
        <f ca="1">IF($H523="UNIDADE CONSTRUTIVA",OFFSET(A523,-1,0)+1,LARGE(A$3:A522,1))</f>
        <v>0</v>
      </c>
      <c r="B523" s="751">
        <f t="shared" ca="1" si="70"/>
        <v>4</v>
      </c>
      <c r="C523" s="751">
        <f t="shared" ca="1" si="71"/>
        <v>1</v>
      </c>
      <c r="D523" s="752">
        <f t="shared" ca="1" si="72"/>
        <v>2</v>
      </c>
      <c r="E523" s="752">
        <f t="shared" ca="1" si="73"/>
        <v>1</v>
      </c>
      <c r="F523" s="209"/>
      <c r="J523" s="65"/>
      <c r="K523" s="146"/>
      <c r="L523" s="567"/>
      <c r="M523" s="567"/>
      <c r="N523" s="737"/>
      <c r="O523" s="638"/>
      <c r="P523" s="147"/>
      <c r="Q523" s="65"/>
    </row>
    <row r="524" spans="1:17" s="148" customFormat="1" ht="14.1" customHeight="1" x14ac:dyDescent="0.2">
      <c r="A524" s="751">
        <f ca="1">IF($H524="UNIDADE CONSTRUTIVA",OFFSET(A524,-1,0)+1,LARGE(A$3:A523,1))</f>
        <v>0</v>
      </c>
      <c r="B524" s="751">
        <f t="shared" ca="1" si="70"/>
        <v>4</v>
      </c>
      <c r="C524" s="751">
        <f t="shared" ca="1" si="71"/>
        <v>1</v>
      </c>
      <c r="D524" s="752">
        <f t="shared" ca="1" si="72"/>
        <v>2</v>
      </c>
      <c r="E524" s="752">
        <f t="shared" ca="1" si="73"/>
        <v>1</v>
      </c>
      <c r="F524" s="209"/>
      <c r="J524" s="65"/>
      <c r="K524" s="146"/>
      <c r="L524" s="567"/>
      <c r="M524" s="567"/>
      <c r="N524" s="737"/>
      <c r="O524" s="638"/>
      <c r="P524" s="147"/>
      <c r="Q524" s="65"/>
    </row>
    <row r="525" spans="1:17" s="148" customFormat="1" ht="14.1" customHeight="1" x14ac:dyDescent="0.2">
      <c r="A525" s="751">
        <f ca="1">IF($H525="UNIDADE CONSTRUTIVA",OFFSET(A525,-1,0)+1,LARGE(A$3:A524,1))</f>
        <v>0</v>
      </c>
      <c r="B525" s="751">
        <f t="shared" ca="1" si="70"/>
        <v>4</v>
      </c>
      <c r="C525" s="751">
        <f t="shared" ca="1" si="71"/>
        <v>1</v>
      </c>
      <c r="D525" s="752">
        <f t="shared" ca="1" si="72"/>
        <v>2</v>
      </c>
      <c r="E525" s="752">
        <f t="shared" ca="1" si="73"/>
        <v>1</v>
      </c>
      <c r="F525" s="209"/>
      <c r="J525" s="65"/>
      <c r="K525" s="146"/>
      <c r="L525" s="567"/>
      <c r="M525" s="567"/>
      <c r="N525" s="737"/>
      <c r="O525" s="638"/>
      <c r="P525" s="147"/>
      <c r="Q525" s="65"/>
    </row>
    <row r="526" spans="1:17" s="148" customFormat="1" ht="14.1" customHeight="1" x14ac:dyDescent="0.2">
      <c r="A526" s="751">
        <f ca="1">IF($H526="UNIDADE CONSTRUTIVA",OFFSET(A526,-1,0)+1,LARGE(A$3:A525,1))</f>
        <v>0</v>
      </c>
      <c r="B526" s="751">
        <f t="shared" ca="1" si="70"/>
        <v>4</v>
      </c>
      <c r="C526" s="751">
        <f t="shared" ca="1" si="71"/>
        <v>1</v>
      </c>
      <c r="D526" s="752">
        <f t="shared" ca="1" si="72"/>
        <v>2</v>
      </c>
      <c r="E526" s="752">
        <f t="shared" ca="1" si="73"/>
        <v>1</v>
      </c>
      <c r="F526" s="209"/>
      <c r="J526" s="65"/>
      <c r="K526" s="146"/>
      <c r="L526" s="567"/>
      <c r="M526" s="567"/>
      <c r="N526" s="737"/>
      <c r="O526" s="638"/>
      <c r="P526" s="147"/>
      <c r="Q526" s="65"/>
    </row>
    <row r="527" spans="1:17" s="148" customFormat="1" ht="14.1" customHeight="1" x14ac:dyDescent="0.2">
      <c r="A527" s="751">
        <f ca="1">IF($H527="UNIDADE CONSTRUTIVA",OFFSET(A527,-1,0)+1,LARGE(A$3:A526,1))</f>
        <v>0</v>
      </c>
      <c r="B527" s="751">
        <f t="shared" ca="1" si="70"/>
        <v>4</v>
      </c>
      <c r="C527" s="751">
        <f t="shared" ca="1" si="71"/>
        <v>1</v>
      </c>
      <c r="D527" s="752">
        <f t="shared" ca="1" si="72"/>
        <v>2</v>
      </c>
      <c r="E527" s="752">
        <f t="shared" ca="1" si="73"/>
        <v>1</v>
      </c>
      <c r="F527" s="209"/>
      <c r="J527" s="65"/>
      <c r="K527" s="146"/>
      <c r="L527" s="567"/>
      <c r="M527" s="567"/>
      <c r="N527" s="737"/>
      <c r="O527" s="638"/>
      <c r="P527" s="147"/>
      <c r="Q527" s="65"/>
    </row>
    <row r="528" spans="1:17" s="148" customFormat="1" ht="14.1" customHeight="1" x14ac:dyDescent="0.2">
      <c r="A528" s="751">
        <f ca="1">IF($H528="UNIDADE CONSTRUTIVA",OFFSET(A528,-1,0)+1,LARGE(A$3:A527,1))</f>
        <v>0</v>
      </c>
      <c r="B528" s="751">
        <f t="shared" ca="1" si="70"/>
        <v>4</v>
      </c>
      <c r="C528" s="751">
        <f t="shared" ca="1" si="71"/>
        <v>1</v>
      </c>
      <c r="D528" s="752">
        <f t="shared" ca="1" si="72"/>
        <v>2</v>
      </c>
      <c r="E528" s="752">
        <f t="shared" ca="1" si="73"/>
        <v>1</v>
      </c>
      <c r="F528" s="209"/>
      <c r="J528" s="65"/>
      <c r="K528" s="146"/>
      <c r="L528" s="567"/>
      <c r="M528" s="567"/>
      <c r="N528" s="737"/>
      <c r="O528" s="638"/>
      <c r="P528" s="147"/>
      <c r="Q528" s="65"/>
    </row>
    <row r="529" spans="1:17" s="148" customFormat="1" ht="14.1" customHeight="1" x14ac:dyDescent="0.2">
      <c r="A529" s="751">
        <f ca="1">IF($H529="UNIDADE CONSTRUTIVA",OFFSET(A529,-1,0)+1,LARGE(A$3:A528,1))</f>
        <v>0</v>
      </c>
      <c r="B529" s="751">
        <f t="shared" ca="1" si="70"/>
        <v>4</v>
      </c>
      <c r="C529" s="751">
        <f t="shared" ca="1" si="71"/>
        <v>1</v>
      </c>
      <c r="D529" s="752">
        <f t="shared" ca="1" si="72"/>
        <v>2</v>
      </c>
      <c r="E529" s="752">
        <f t="shared" ca="1" si="73"/>
        <v>1</v>
      </c>
      <c r="F529" s="209"/>
      <c r="J529" s="65"/>
      <c r="K529" s="146"/>
      <c r="L529" s="567"/>
      <c r="M529" s="567"/>
      <c r="N529" s="737"/>
      <c r="O529" s="638"/>
      <c r="P529" s="147"/>
      <c r="Q529" s="65"/>
    </row>
    <row r="530" spans="1:17" s="148" customFormat="1" ht="14.1" customHeight="1" x14ac:dyDescent="0.2">
      <c r="A530" s="751">
        <f ca="1">IF($H530="UNIDADE CONSTRUTIVA",OFFSET(A530,-1,0)+1,LARGE(A$3:A529,1))</f>
        <v>0</v>
      </c>
      <c r="B530" s="751">
        <f t="shared" ca="1" si="70"/>
        <v>4</v>
      </c>
      <c r="C530" s="751">
        <f t="shared" ca="1" si="71"/>
        <v>1</v>
      </c>
      <c r="D530" s="752">
        <f t="shared" ca="1" si="72"/>
        <v>2</v>
      </c>
      <c r="E530" s="752">
        <f t="shared" ca="1" si="73"/>
        <v>1</v>
      </c>
      <c r="F530" s="209"/>
      <c r="J530" s="65"/>
      <c r="K530" s="146"/>
      <c r="L530" s="567"/>
      <c r="M530" s="567"/>
      <c r="N530" s="737"/>
      <c r="O530" s="638"/>
      <c r="P530" s="147"/>
      <c r="Q530" s="65"/>
    </row>
    <row r="531" spans="1:17" s="148" customFormat="1" ht="14.1" customHeight="1" x14ac:dyDescent="0.2">
      <c r="A531" s="751">
        <f ca="1">IF($H531="UNIDADE CONSTRUTIVA",OFFSET(A531,-1,0)+1,LARGE(A$3:A530,1))</f>
        <v>0</v>
      </c>
      <c r="B531" s="751">
        <f t="shared" ca="1" si="70"/>
        <v>4</v>
      </c>
      <c r="C531" s="751">
        <f t="shared" ca="1" si="71"/>
        <v>1</v>
      </c>
      <c r="D531" s="752">
        <f t="shared" ca="1" si="72"/>
        <v>2</v>
      </c>
      <c r="E531" s="752">
        <f t="shared" ca="1" si="73"/>
        <v>1</v>
      </c>
      <c r="F531" s="209"/>
      <c r="J531" s="65"/>
      <c r="K531" s="146"/>
      <c r="L531" s="567"/>
      <c r="M531" s="567"/>
      <c r="N531" s="737"/>
      <c r="O531" s="638"/>
      <c r="P531" s="147"/>
      <c r="Q531" s="65"/>
    </row>
    <row r="532" spans="1:17" s="148" customFormat="1" ht="14.1" customHeight="1" x14ac:dyDescent="0.2">
      <c r="A532" s="751">
        <f ca="1">IF($H532="UNIDADE CONSTRUTIVA",OFFSET(A532,-1,0)+1,LARGE(A$3:A531,1))</f>
        <v>0</v>
      </c>
      <c r="B532" s="751">
        <f t="shared" ca="1" si="70"/>
        <v>4</v>
      </c>
      <c r="C532" s="751">
        <f t="shared" ca="1" si="71"/>
        <v>1</v>
      </c>
      <c r="D532" s="752">
        <f t="shared" ca="1" si="72"/>
        <v>2</v>
      </c>
      <c r="E532" s="752">
        <f t="shared" ca="1" si="73"/>
        <v>1</v>
      </c>
      <c r="F532" s="209"/>
      <c r="J532" s="65"/>
      <c r="K532" s="146"/>
      <c r="L532" s="567"/>
      <c r="M532" s="567"/>
      <c r="N532" s="737"/>
      <c r="O532" s="638"/>
      <c r="P532" s="147"/>
      <c r="Q532" s="65"/>
    </row>
    <row r="533" spans="1:17" s="148" customFormat="1" ht="14.1" customHeight="1" x14ac:dyDescent="0.2">
      <c r="A533" s="751">
        <f ca="1">IF($H533="UNIDADE CONSTRUTIVA",OFFSET(A533,-1,0)+1,LARGE(A$3:A532,1))</f>
        <v>0</v>
      </c>
      <c r="B533" s="751">
        <f t="shared" ca="1" si="70"/>
        <v>4</v>
      </c>
      <c r="C533" s="751">
        <f t="shared" ca="1" si="71"/>
        <v>1</v>
      </c>
      <c r="D533" s="752">
        <f t="shared" ca="1" si="72"/>
        <v>2</v>
      </c>
      <c r="E533" s="752">
        <f t="shared" ca="1" si="73"/>
        <v>1</v>
      </c>
      <c r="F533" s="209"/>
      <c r="J533" s="65"/>
      <c r="K533" s="146"/>
      <c r="L533" s="567"/>
      <c r="M533" s="567"/>
      <c r="N533" s="737"/>
      <c r="O533" s="638"/>
      <c r="P533" s="147"/>
      <c r="Q533" s="65"/>
    </row>
    <row r="534" spans="1:17" s="148" customFormat="1" ht="14.1" customHeight="1" x14ac:dyDescent="0.2">
      <c r="A534" s="751">
        <f ca="1">IF($H534="UNIDADE CONSTRUTIVA",OFFSET(A534,-1,0)+1,LARGE(A$3:A533,1))</f>
        <v>0</v>
      </c>
      <c r="B534" s="751">
        <f t="shared" ca="1" si="70"/>
        <v>4</v>
      </c>
      <c r="C534" s="751">
        <f t="shared" ca="1" si="71"/>
        <v>1</v>
      </c>
      <c r="D534" s="752">
        <f t="shared" ca="1" si="72"/>
        <v>2</v>
      </c>
      <c r="E534" s="752">
        <f t="shared" ca="1" si="73"/>
        <v>1</v>
      </c>
      <c r="F534" s="209"/>
      <c r="J534" s="65"/>
      <c r="K534" s="146"/>
      <c r="L534" s="567"/>
      <c r="M534" s="567"/>
      <c r="N534" s="737"/>
      <c r="O534" s="638"/>
      <c r="P534" s="147"/>
      <c r="Q534" s="65"/>
    </row>
    <row r="535" spans="1:17" s="148" customFormat="1" ht="14.1" customHeight="1" x14ac:dyDescent="0.2">
      <c r="A535" s="751">
        <f ca="1">IF($H535="UNIDADE CONSTRUTIVA",OFFSET(A535,-1,0)+1,LARGE(A$3:A534,1))</f>
        <v>0</v>
      </c>
      <c r="B535" s="751">
        <f t="shared" ca="1" si="70"/>
        <v>4</v>
      </c>
      <c r="C535" s="751">
        <f t="shared" ca="1" si="71"/>
        <v>1</v>
      </c>
      <c r="D535" s="752">
        <f t="shared" ca="1" si="72"/>
        <v>2</v>
      </c>
      <c r="E535" s="752">
        <f t="shared" ca="1" si="73"/>
        <v>1</v>
      </c>
      <c r="F535" s="209"/>
      <c r="J535" s="65"/>
      <c r="K535" s="146"/>
      <c r="L535" s="567"/>
      <c r="M535" s="567"/>
      <c r="N535" s="737"/>
      <c r="O535" s="638"/>
      <c r="P535" s="147"/>
      <c r="Q535" s="65"/>
    </row>
    <row r="536" spans="1:17" s="148" customFormat="1" ht="14.1" customHeight="1" x14ac:dyDescent="0.2">
      <c r="A536" s="751">
        <f ca="1">IF($H536="UNIDADE CONSTRUTIVA",OFFSET(A536,-1,0)+1,LARGE(A$3:A535,1))</f>
        <v>0</v>
      </c>
      <c r="B536" s="751">
        <f t="shared" ref="B536:B599" ca="1" si="74">IF(H536="UNIDADE CONSTRUTIVA",0,IF(H536="CÉLULA CONSTRUTIVA",OFFSET(B536,-1,0)+1,OFFSET(B536,-1,0)))</f>
        <v>4</v>
      </c>
      <c r="C536" s="751">
        <f t="shared" ref="C536:C599" ca="1" si="75">IF(H536="CÉLULA CONSTRUTIVA",0,IF(H536="ETAPA",OFFSET(C536,-1,0)+1,OFFSET(C536,-1,0)))</f>
        <v>1</v>
      </c>
      <c r="D536" s="752">
        <f t="shared" ref="D536:D599" ca="1" si="76">IF(H536="ETAPA",0,IF(H536="SUBETAPA",OFFSET(D536,-1,0)+1,OFFSET(D536,-1,0)))</f>
        <v>2</v>
      </c>
      <c r="E536" s="752">
        <f t="shared" ref="E536:E599" ca="1" si="77">IF(H536="Subetapa",0,IF(H536="serviço",OFFSET(E536,-1,0)+1,OFFSET(E536,-1,0)))</f>
        <v>1</v>
      </c>
      <c r="F536" s="209"/>
      <c r="J536" s="65"/>
      <c r="K536" s="146"/>
      <c r="L536" s="567"/>
      <c r="M536" s="567"/>
      <c r="N536" s="737"/>
      <c r="O536" s="638"/>
      <c r="P536" s="147"/>
      <c r="Q536" s="65"/>
    </row>
    <row r="537" spans="1:17" s="148" customFormat="1" ht="14.1" customHeight="1" x14ac:dyDescent="0.2">
      <c r="A537" s="751">
        <f ca="1">IF($H537="UNIDADE CONSTRUTIVA",OFFSET(A537,-1,0)+1,LARGE(A$3:A536,1))</f>
        <v>0</v>
      </c>
      <c r="B537" s="751">
        <f t="shared" ca="1" si="74"/>
        <v>4</v>
      </c>
      <c r="C537" s="751">
        <f t="shared" ca="1" si="75"/>
        <v>1</v>
      </c>
      <c r="D537" s="752">
        <f t="shared" ca="1" si="76"/>
        <v>2</v>
      </c>
      <c r="E537" s="752">
        <f t="shared" ca="1" si="77"/>
        <v>1</v>
      </c>
      <c r="F537" s="209"/>
      <c r="J537" s="65"/>
      <c r="K537" s="146"/>
      <c r="L537" s="567"/>
      <c r="M537" s="567"/>
      <c r="N537" s="737"/>
      <c r="O537" s="638"/>
      <c r="P537" s="147"/>
      <c r="Q537" s="65"/>
    </row>
    <row r="538" spans="1:17" s="148" customFormat="1" ht="14.1" customHeight="1" x14ac:dyDescent="0.2">
      <c r="A538" s="751">
        <f ca="1">IF($H538="UNIDADE CONSTRUTIVA",OFFSET(A538,-1,0)+1,LARGE(A$3:A537,1))</f>
        <v>0</v>
      </c>
      <c r="B538" s="751">
        <f t="shared" ca="1" si="74"/>
        <v>4</v>
      </c>
      <c r="C538" s="751">
        <f t="shared" ca="1" si="75"/>
        <v>1</v>
      </c>
      <c r="D538" s="752">
        <f t="shared" ca="1" si="76"/>
        <v>2</v>
      </c>
      <c r="E538" s="752">
        <f t="shared" ca="1" si="77"/>
        <v>1</v>
      </c>
      <c r="F538" s="209"/>
      <c r="J538" s="65"/>
      <c r="K538" s="146"/>
      <c r="L538" s="567"/>
      <c r="M538" s="567"/>
      <c r="N538" s="737"/>
      <c r="O538" s="638"/>
      <c r="P538" s="147"/>
      <c r="Q538" s="65"/>
    </row>
    <row r="539" spans="1:17" s="148" customFormat="1" ht="14.1" customHeight="1" x14ac:dyDescent="0.2">
      <c r="A539" s="751">
        <f ca="1">IF($H539="UNIDADE CONSTRUTIVA",OFFSET(A539,-1,0)+1,LARGE(A$3:A538,1))</f>
        <v>0</v>
      </c>
      <c r="B539" s="751">
        <f t="shared" ca="1" si="74"/>
        <v>4</v>
      </c>
      <c r="C539" s="751">
        <f t="shared" ca="1" si="75"/>
        <v>1</v>
      </c>
      <c r="D539" s="752">
        <f t="shared" ca="1" si="76"/>
        <v>2</v>
      </c>
      <c r="E539" s="752">
        <f t="shared" ca="1" si="77"/>
        <v>1</v>
      </c>
      <c r="F539" s="209"/>
      <c r="J539" s="65"/>
      <c r="K539" s="146"/>
      <c r="L539" s="567"/>
      <c r="M539" s="567"/>
      <c r="N539" s="737"/>
      <c r="O539" s="638"/>
      <c r="P539" s="147"/>
      <c r="Q539" s="65"/>
    </row>
    <row r="540" spans="1:17" s="148" customFormat="1" ht="14.1" customHeight="1" x14ac:dyDescent="0.2">
      <c r="A540" s="751">
        <f ca="1">IF($H540="UNIDADE CONSTRUTIVA",OFFSET(A540,-1,0)+1,LARGE(A$3:A539,1))</f>
        <v>0</v>
      </c>
      <c r="B540" s="751">
        <f t="shared" ca="1" si="74"/>
        <v>4</v>
      </c>
      <c r="C540" s="751">
        <f t="shared" ca="1" si="75"/>
        <v>1</v>
      </c>
      <c r="D540" s="752">
        <f t="shared" ca="1" si="76"/>
        <v>2</v>
      </c>
      <c r="E540" s="752">
        <f t="shared" ca="1" si="77"/>
        <v>1</v>
      </c>
      <c r="F540" s="209"/>
      <c r="J540" s="65"/>
      <c r="K540" s="146"/>
      <c r="L540" s="567"/>
      <c r="M540" s="567"/>
      <c r="N540" s="737"/>
      <c r="O540" s="638"/>
      <c r="P540" s="147"/>
      <c r="Q540" s="65"/>
    </row>
    <row r="541" spans="1:17" s="148" customFormat="1" ht="14.1" customHeight="1" x14ac:dyDescent="0.2">
      <c r="A541" s="751">
        <f ca="1">IF($H541="UNIDADE CONSTRUTIVA",OFFSET(A541,-1,0)+1,LARGE(A$3:A540,1))</f>
        <v>0</v>
      </c>
      <c r="B541" s="751">
        <f t="shared" ca="1" si="74"/>
        <v>4</v>
      </c>
      <c r="C541" s="751">
        <f t="shared" ca="1" si="75"/>
        <v>1</v>
      </c>
      <c r="D541" s="752">
        <f t="shared" ca="1" si="76"/>
        <v>2</v>
      </c>
      <c r="E541" s="752">
        <f t="shared" ca="1" si="77"/>
        <v>1</v>
      </c>
      <c r="F541" s="209"/>
      <c r="J541" s="65"/>
      <c r="K541" s="146"/>
      <c r="L541" s="567"/>
      <c r="M541" s="567"/>
      <c r="N541" s="737"/>
      <c r="O541" s="638"/>
      <c r="P541" s="147"/>
      <c r="Q541" s="65"/>
    </row>
    <row r="542" spans="1:17" s="148" customFormat="1" ht="14.1" customHeight="1" x14ac:dyDescent="0.2">
      <c r="A542" s="751">
        <f ca="1">IF($H542="UNIDADE CONSTRUTIVA",OFFSET(A542,-1,0)+1,LARGE(A$3:A541,1))</f>
        <v>0</v>
      </c>
      <c r="B542" s="751">
        <f t="shared" ca="1" si="74"/>
        <v>4</v>
      </c>
      <c r="C542" s="751">
        <f t="shared" ca="1" si="75"/>
        <v>1</v>
      </c>
      <c r="D542" s="752">
        <f t="shared" ca="1" si="76"/>
        <v>2</v>
      </c>
      <c r="E542" s="752">
        <f t="shared" ca="1" si="77"/>
        <v>1</v>
      </c>
      <c r="F542" s="209"/>
      <c r="J542" s="65"/>
      <c r="K542" s="146"/>
      <c r="L542" s="567"/>
      <c r="M542" s="567"/>
      <c r="N542" s="737"/>
      <c r="O542" s="638"/>
      <c r="P542" s="147"/>
      <c r="Q542" s="65"/>
    </row>
    <row r="543" spans="1:17" s="148" customFormat="1" ht="14.1" customHeight="1" x14ac:dyDescent="0.2">
      <c r="A543" s="751">
        <f ca="1">IF($H543="UNIDADE CONSTRUTIVA",OFFSET(A543,-1,0)+1,LARGE(A$3:A542,1))</f>
        <v>0</v>
      </c>
      <c r="B543" s="751">
        <f t="shared" ca="1" si="74"/>
        <v>4</v>
      </c>
      <c r="C543" s="751">
        <f t="shared" ca="1" si="75"/>
        <v>1</v>
      </c>
      <c r="D543" s="752">
        <f t="shared" ca="1" si="76"/>
        <v>2</v>
      </c>
      <c r="E543" s="752">
        <f t="shared" ca="1" si="77"/>
        <v>1</v>
      </c>
      <c r="F543" s="209"/>
      <c r="J543" s="65"/>
      <c r="K543" s="146"/>
      <c r="L543" s="567"/>
      <c r="M543" s="567"/>
      <c r="N543" s="737"/>
      <c r="O543" s="638"/>
      <c r="P543" s="147"/>
      <c r="Q543" s="65"/>
    </row>
    <row r="544" spans="1:17" s="148" customFormat="1" ht="14.1" customHeight="1" x14ac:dyDescent="0.2">
      <c r="A544" s="751">
        <f ca="1">IF($H544="UNIDADE CONSTRUTIVA",OFFSET(A544,-1,0)+1,LARGE(A$3:A543,1))</f>
        <v>0</v>
      </c>
      <c r="B544" s="751">
        <f t="shared" ca="1" si="74"/>
        <v>4</v>
      </c>
      <c r="C544" s="751">
        <f t="shared" ca="1" si="75"/>
        <v>1</v>
      </c>
      <c r="D544" s="752">
        <f t="shared" ca="1" si="76"/>
        <v>2</v>
      </c>
      <c r="E544" s="752">
        <f t="shared" ca="1" si="77"/>
        <v>1</v>
      </c>
      <c r="F544" s="209"/>
      <c r="J544" s="65"/>
      <c r="K544" s="146"/>
      <c r="L544" s="567"/>
      <c r="M544" s="567"/>
      <c r="N544" s="737"/>
      <c r="O544" s="638"/>
      <c r="P544" s="147"/>
      <c r="Q544" s="65"/>
    </row>
    <row r="545" spans="1:17" s="148" customFormat="1" ht="14.1" customHeight="1" x14ac:dyDescent="0.2">
      <c r="A545" s="751">
        <f ca="1">IF($H545="UNIDADE CONSTRUTIVA",OFFSET(A545,-1,0)+1,LARGE(A$3:A544,1))</f>
        <v>0</v>
      </c>
      <c r="B545" s="751">
        <f t="shared" ca="1" si="74"/>
        <v>4</v>
      </c>
      <c r="C545" s="751">
        <f t="shared" ca="1" si="75"/>
        <v>1</v>
      </c>
      <c r="D545" s="752">
        <f t="shared" ca="1" si="76"/>
        <v>2</v>
      </c>
      <c r="E545" s="752">
        <f t="shared" ca="1" si="77"/>
        <v>1</v>
      </c>
      <c r="F545" s="209"/>
      <c r="J545" s="65"/>
      <c r="K545" s="146"/>
      <c r="L545" s="567"/>
      <c r="M545" s="567"/>
      <c r="N545" s="737"/>
      <c r="O545" s="638"/>
      <c r="P545" s="147"/>
      <c r="Q545" s="65"/>
    </row>
    <row r="546" spans="1:17" s="148" customFormat="1" ht="14.1" customHeight="1" x14ac:dyDescent="0.2">
      <c r="A546" s="751">
        <f ca="1">IF($H546="UNIDADE CONSTRUTIVA",OFFSET(A546,-1,0)+1,LARGE(A$3:A545,1))</f>
        <v>0</v>
      </c>
      <c r="B546" s="751">
        <f t="shared" ca="1" si="74"/>
        <v>4</v>
      </c>
      <c r="C546" s="751">
        <f t="shared" ca="1" si="75"/>
        <v>1</v>
      </c>
      <c r="D546" s="752">
        <f t="shared" ca="1" si="76"/>
        <v>2</v>
      </c>
      <c r="E546" s="752">
        <f t="shared" ca="1" si="77"/>
        <v>1</v>
      </c>
      <c r="F546" s="209"/>
      <c r="J546" s="65"/>
      <c r="K546" s="146"/>
      <c r="L546" s="567"/>
      <c r="M546" s="567"/>
      <c r="N546" s="737"/>
      <c r="O546" s="638"/>
      <c r="P546" s="147"/>
      <c r="Q546" s="65"/>
    </row>
    <row r="547" spans="1:17" s="148" customFormat="1" ht="14.1" customHeight="1" x14ac:dyDescent="0.2">
      <c r="A547" s="751">
        <f ca="1">IF($H547="UNIDADE CONSTRUTIVA",OFFSET(A547,-1,0)+1,LARGE(A$3:A546,1))</f>
        <v>0</v>
      </c>
      <c r="B547" s="751">
        <f t="shared" ca="1" si="74"/>
        <v>4</v>
      </c>
      <c r="C547" s="751">
        <f t="shared" ca="1" si="75"/>
        <v>1</v>
      </c>
      <c r="D547" s="752">
        <f t="shared" ca="1" si="76"/>
        <v>2</v>
      </c>
      <c r="E547" s="752">
        <f t="shared" ca="1" si="77"/>
        <v>1</v>
      </c>
      <c r="F547" s="209"/>
      <c r="J547" s="65"/>
      <c r="K547" s="146"/>
      <c r="L547" s="567"/>
      <c r="M547" s="567"/>
      <c r="N547" s="737"/>
      <c r="O547" s="638"/>
      <c r="P547" s="147"/>
      <c r="Q547" s="65"/>
    </row>
    <row r="548" spans="1:17" s="148" customFormat="1" ht="14.1" customHeight="1" x14ac:dyDescent="0.2">
      <c r="A548" s="751">
        <f ca="1">IF($H548="UNIDADE CONSTRUTIVA",OFFSET(A548,-1,0)+1,LARGE(A$3:A547,1))</f>
        <v>0</v>
      </c>
      <c r="B548" s="751">
        <f t="shared" ca="1" si="74"/>
        <v>4</v>
      </c>
      <c r="C548" s="751">
        <f t="shared" ca="1" si="75"/>
        <v>1</v>
      </c>
      <c r="D548" s="752">
        <f t="shared" ca="1" si="76"/>
        <v>2</v>
      </c>
      <c r="E548" s="752">
        <f t="shared" ca="1" si="77"/>
        <v>1</v>
      </c>
      <c r="F548" s="209"/>
      <c r="J548" s="65"/>
      <c r="K548" s="146"/>
      <c r="L548" s="567"/>
      <c r="M548" s="567"/>
      <c r="N548" s="737"/>
      <c r="O548" s="638"/>
      <c r="P548" s="147"/>
      <c r="Q548" s="65"/>
    </row>
    <row r="549" spans="1:17" s="148" customFormat="1" ht="14.1" customHeight="1" x14ac:dyDescent="0.2">
      <c r="A549" s="751">
        <f ca="1">IF($H549="UNIDADE CONSTRUTIVA",OFFSET(A549,-1,0)+1,LARGE(A$3:A548,1))</f>
        <v>0</v>
      </c>
      <c r="B549" s="751">
        <f t="shared" ca="1" si="74"/>
        <v>4</v>
      </c>
      <c r="C549" s="751">
        <f t="shared" ca="1" si="75"/>
        <v>1</v>
      </c>
      <c r="D549" s="752">
        <f t="shared" ca="1" si="76"/>
        <v>2</v>
      </c>
      <c r="E549" s="752">
        <f t="shared" ca="1" si="77"/>
        <v>1</v>
      </c>
      <c r="F549" s="209"/>
      <c r="J549" s="65"/>
      <c r="K549" s="146"/>
      <c r="L549" s="567"/>
      <c r="M549" s="567"/>
      <c r="N549" s="737"/>
      <c r="O549" s="638"/>
      <c r="P549" s="147"/>
      <c r="Q549" s="65"/>
    </row>
    <row r="550" spans="1:17" s="148" customFormat="1" ht="14.1" customHeight="1" x14ac:dyDescent="0.2">
      <c r="A550" s="751">
        <f ca="1">IF($H550="UNIDADE CONSTRUTIVA",OFFSET(A550,-1,0)+1,LARGE(A$3:A549,1))</f>
        <v>0</v>
      </c>
      <c r="B550" s="751">
        <f t="shared" ca="1" si="74"/>
        <v>4</v>
      </c>
      <c r="C550" s="751">
        <f t="shared" ca="1" si="75"/>
        <v>1</v>
      </c>
      <c r="D550" s="752">
        <f t="shared" ca="1" si="76"/>
        <v>2</v>
      </c>
      <c r="E550" s="752">
        <f t="shared" ca="1" si="77"/>
        <v>1</v>
      </c>
      <c r="F550" s="209"/>
      <c r="J550" s="65"/>
      <c r="K550" s="146"/>
      <c r="L550" s="567"/>
      <c r="M550" s="567"/>
      <c r="N550" s="737"/>
      <c r="O550" s="638"/>
      <c r="P550" s="147"/>
      <c r="Q550" s="65"/>
    </row>
    <row r="551" spans="1:17" s="148" customFormat="1" ht="14.1" customHeight="1" x14ac:dyDescent="0.2">
      <c r="A551" s="751">
        <f ca="1">IF($H551="UNIDADE CONSTRUTIVA",OFFSET(A551,-1,0)+1,LARGE(A$3:A550,1))</f>
        <v>0</v>
      </c>
      <c r="B551" s="751">
        <f t="shared" ca="1" si="74"/>
        <v>4</v>
      </c>
      <c r="C551" s="751">
        <f t="shared" ca="1" si="75"/>
        <v>1</v>
      </c>
      <c r="D551" s="752">
        <f t="shared" ca="1" si="76"/>
        <v>2</v>
      </c>
      <c r="E551" s="752">
        <f t="shared" ca="1" si="77"/>
        <v>1</v>
      </c>
      <c r="F551" s="209"/>
      <c r="J551" s="65"/>
      <c r="K551" s="146"/>
      <c r="L551" s="567"/>
      <c r="M551" s="567"/>
      <c r="N551" s="737"/>
      <c r="O551" s="638"/>
      <c r="P551" s="147"/>
      <c r="Q551" s="65"/>
    </row>
    <row r="552" spans="1:17" s="148" customFormat="1" ht="14.1" customHeight="1" x14ac:dyDescent="0.2">
      <c r="A552" s="751">
        <f ca="1">IF($H552="UNIDADE CONSTRUTIVA",OFFSET(A552,-1,0)+1,LARGE(A$3:A551,1))</f>
        <v>0</v>
      </c>
      <c r="B552" s="751">
        <f t="shared" ca="1" si="74"/>
        <v>4</v>
      </c>
      <c r="C552" s="751">
        <f t="shared" ca="1" si="75"/>
        <v>1</v>
      </c>
      <c r="D552" s="752">
        <f t="shared" ca="1" si="76"/>
        <v>2</v>
      </c>
      <c r="E552" s="752">
        <f t="shared" ca="1" si="77"/>
        <v>1</v>
      </c>
      <c r="F552" s="209"/>
      <c r="J552" s="65"/>
      <c r="K552" s="146"/>
      <c r="L552" s="567"/>
      <c r="M552" s="567"/>
      <c r="N552" s="737"/>
      <c r="O552" s="638"/>
      <c r="P552" s="147"/>
      <c r="Q552" s="65"/>
    </row>
    <row r="553" spans="1:17" s="148" customFormat="1" ht="14.1" customHeight="1" x14ac:dyDescent="0.2">
      <c r="A553" s="751">
        <f ca="1">IF($H553="UNIDADE CONSTRUTIVA",OFFSET(A553,-1,0)+1,LARGE(A$3:A552,1))</f>
        <v>0</v>
      </c>
      <c r="B553" s="751">
        <f t="shared" ca="1" si="74"/>
        <v>4</v>
      </c>
      <c r="C553" s="751">
        <f t="shared" ca="1" si="75"/>
        <v>1</v>
      </c>
      <c r="D553" s="752">
        <f t="shared" ca="1" si="76"/>
        <v>2</v>
      </c>
      <c r="E553" s="752">
        <f t="shared" ca="1" si="77"/>
        <v>1</v>
      </c>
      <c r="F553" s="209"/>
      <c r="J553" s="65"/>
      <c r="K553" s="146"/>
      <c r="L553" s="567"/>
      <c r="M553" s="567"/>
      <c r="N553" s="737"/>
      <c r="O553" s="638"/>
      <c r="P553" s="147"/>
      <c r="Q553" s="65"/>
    </row>
    <row r="554" spans="1:17" s="148" customFormat="1" ht="14.1" customHeight="1" x14ac:dyDescent="0.2">
      <c r="A554" s="751">
        <f ca="1">IF($H554="UNIDADE CONSTRUTIVA",OFFSET(A554,-1,0)+1,LARGE(A$3:A553,1))</f>
        <v>0</v>
      </c>
      <c r="B554" s="751">
        <f t="shared" ca="1" si="74"/>
        <v>4</v>
      </c>
      <c r="C554" s="751">
        <f t="shared" ca="1" si="75"/>
        <v>1</v>
      </c>
      <c r="D554" s="752">
        <f t="shared" ca="1" si="76"/>
        <v>2</v>
      </c>
      <c r="E554" s="752">
        <f t="shared" ca="1" si="77"/>
        <v>1</v>
      </c>
      <c r="F554" s="209"/>
      <c r="J554" s="65"/>
      <c r="K554" s="146"/>
      <c r="L554" s="567"/>
      <c r="M554" s="567"/>
      <c r="N554" s="737"/>
      <c r="O554" s="638"/>
      <c r="P554" s="147"/>
      <c r="Q554" s="65"/>
    </row>
    <row r="555" spans="1:17" s="148" customFormat="1" ht="14.1" customHeight="1" x14ac:dyDescent="0.2">
      <c r="A555" s="751">
        <f ca="1">IF($H555="UNIDADE CONSTRUTIVA",OFFSET(A555,-1,0)+1,LARGE(A$3:A554,1))</f>
        <v>0</v>
      </c>
      <c r="B555" s="751">
        <f t="shared" ca="1" si="74"/>
        <v>4</v>
      </c>
      <c r="C555" s="751">
        <f t="shared" ca="1" si="75"/>
        <v>1</v>
      </c>
      <c r="D555" s="752">
        <f t="shared" ca="1" si="76"/>
        <v>2</v>
      </c>
      <c r="E555" s="752">
        <f t="shared" ca="1" si="77"/>
        <v>1</v>
      </c>
      <c r="F555" s="209"/>
      <c r="J555" s="65"/>
      <c r="K555" s="146"/>
      <c r="L555" s="567"/>
      <c r="M555" s="567"/>
      <c r="N555" s="737"/>
      <c r="O555" s="638"/>
      <c r="P555" s="147"/>
      <c r="Q555" s="65"/>
    </row>
    <row r="556" spans="1:17" s="148" customFormat="1" ht="14.1" customHeight="1" x14ac:dyDescent="0.2">
      <c r="A556" s="751">
        <f ca="1">IF($H556="UNIDADE CONSTRUTIVA",OFFSET(A556,-1,0)+1,LARGE(A$3:A555,1))</f>
        <v>0</v>
      </c>
      <c r="B556" s="751">
        <f t="shared" ca="1" si="74"/>
        <v>4</v>
      </c>
      <c r="C556" s="751">
        <f t="shared" ca="1" si="75"/>
        <v>1</v>
      </c>
      <c r="D556" s="752">
        <f t="shared" ca="1" si="76"/>
        <v>2</v>
      </c>
      <c r="E556" s="752">
        <f t="shared" ca="1" si="77"/>
        <v>1</v>
      </c>
      <c r="F556" s="209"/>
      <c r="J556" s="65"/>
      <c r="K556" s="146"/>
      <c r="L556" s="567"/>
      <c r="M556" s="567"/>
      <c r="N556" s="737"/>
      <c r="O556" s="638"/>
      <c r="P556" s="147"/>
      <c r="Q556" s="65"/>
    </row>
    <row r="557" spans="1:17" s="148" customFormat="1" ht="14.1" customHeight="1" x14ac:dyDescent="0.2">
      <c r="A557" s="751">
        <f ca="1">IF($H557="UNIDADE CONSTRUTIVA",OFFSET(A557,-1,0)+1,LARGE(A$3:A556,1))</f>
        <v>0</v>
      </c>
      <c r="B557" s="751">
        <f t="shared" ca="1" si="74"/>
        <v>4</v>
      </c>
      <c r="C557" s="751">
        <f t="shared" ca="1" si="75"/>
        <v>1</v>
      </c>
      <c r="D557" s="752">
        <f t="shared" ca="1" si="76"/>
        <v>2</v>
      </c>
      <c r="E557" s="752">
        <f t="shared" ca="1" si="77"/>
        <v>1</v>
      </c>
      <c r="F557" s="209"/>
      <c r="J557" s="65"/>
      <c r="K557" s="146"/>
      <c r="L557" s="567"/>
      <c r="M557" s="567"/>
      <c r="N557" s="737"/>
      <c r="O557" s="638"/>
      <c r="P557" s="147"/>
      <c r="Q557" s="65"/>
    </row>
    <row r="558" spans="1:17" s="148" customFormat="1" ht="14.1" customHeight="1" x14ac:dyDescent="0.2">
      <c r="A558" s="751">
        <f ca="1">IF($H558="UNIDADE CONSTRUTIVA",OFFSET(A558,-1,0)+1,LARGE(A$3:A557,1))</f>
        <v>0</v>
      </c>
      <c r="B558" s="751">
        <f t="shared" ca="1" si="74"/>
        <v>4</v>
      </c>
      <c r="C558" s="751">
        <f t="shared" ca="1" si="75"/>
        <v>1</v>
      </c>
      <c r="D558" s="752">
        <f t="shared" ca="1" si="76"/>
        <v>2</v>
      </c>
      <c r="E558" s="752">
        <f t="shared" ca="1" si="77"/>
        <v>1</v>
      </c>
      <c r="F558" s="209"/>
      <c r="J558" s="65"/>
      <c r="K558" s="146"/>
      <c r="L558" s="567"/>
      <c r="M558" s="567"/>
      <c r="N558" s="737"/>
      <c r="O558" s="638"/>
      <c r="P558" s="147"/>
      <c r="Q558" s="65"/>
    </row>
    <row r="559" spans="1:17" s="148" customFormat="1" ht="14.1" customHeight="1" x14ac:dyDescent="0.2">
      <c r="A559" s="751">
        <f ca="1">IF($H559="UNIDADE CONSTRUTIVA",OFFSET(A559,-1,0)+1,LARGE(A$3:A558,1))</f>
        <v>0</v>
      </c>
      <c r="B559" s="751">
        <f t="shared" ca="1" si="74"/>
        <v>4</v>
      </c>
      <c r="C559" s="751">
        <f t="shared" ca="1" si="75"/>
        <v>1</v>
      </c>
      <c r="D559" s="752">
        <f t="shared" ca="1" si="76"/>
        <v>2</v>
      </c>
      <c r="E559" s="752">
        <f t="shared" ca="1" si="77"/>
        <v>1</v>
      </c>
      <c r="F559" s="209"/>
      <c r="J559" s="65"/>
      <c r="K559" s="146"/>
      <c r="L559" s="567"/>
      <c r="M559" s="567"/>
      <c r="N559" s="737"/>
      <c r="O559" s="638"/>
      <c r="P559" s="147"/>
      <c r="Q559" s="65"/>
    </row>
    <row r="560" spans="1:17" s="148" customFormat="1" ht="14.1" customHeight="1" x14ac:dyDescent="0.2">
      <c r="A560" s="751">
        <f ca="1">IF($H560="UNIDADE CONSTRUTIVA",OFFSET(A560,-1,0)+1,LARGE(A$3:A559,1))</f>
        <v>0</v>
      </c>
      <c r="B560" s="751">
        <f t="shared" ca="1" si="74"/>
        <v>4</v>
      </c>
      <c r="C560" s="751">
        <f t="shared" ca="1" si="75"/>
        <v>1</v>
      </c>
      <c r="D560" s="752">
        <f t="shared" ca="1" si="76"/>
        <v>2</v>
      </c>
      <c r="E560" s="752">
        <f t="shared" ca="1" si="77"/>
        <v>1</v>
      </c>
      <c r="F560" s="209"/>
      <c r="J560" s="65"/>
      <c r="K560" s="146"/>
      <c r="L560" s="567"/>
      <c r="M560" s="567"/>
      <c r="N560" s="737"/>
      <c r="O560" s="638"/>
      <c r="P560" s="147"/>
      <c r="Q560" s="65"/>
    </row>
    <row r="561" spans="1:17" s="148" customFormat="1" ht="14.1" customHeight="1" x14ac:dyDescent="0.2">
      <c r="A561" s="751">
        <f ca="1">IF($H561="UNIDADE CONSTRUTIVA",OFFSET(A561,-1,0)+1,LARGE(A$3:A560,1))</f>
        <v>0</v>
      </c>
      <c r="B561" s="751">
        <f t="shared" ca="1" si="74"/>
        <v>4</v>
      </c>
      <c r="C561" s="751">
        <f t="shared" ca="1" si="75"/>
        <v>1</v>
      </c>
      <c r="D561" s="752">
        <f t="shared" ca="1" si="76"/>
        <v>2</v>
      </c>
      <c r="E561" s="752">
        <f t="shared" ca="1" si="77"/>
        <v>1</v>
      </c>
      <c r="F561" s="209"/>
      <c r="J561" s="65"/>
      <c r="K561" s="146"/>
      <c r="L561" s="567"/>
      <c r="M561" s="567"/>
      <c r="N561" s="737"/>
      <c r="O561" s="638"/>
      <c r="P561" s="147"/>
      <c r="Q561" s="65"/>
    </row>
    <row r="562" spans="1:17" s="148" customFormat="1" ht="14.1" customHeight="1" x14ac:dyDescent="0.2">
      <c r="A562" s="751">
        <f ca="1">IF($H562="UNIDADE CONSTRUTIVA",OFFSET(A562,-1,0)+1,LARGE(A$3:A561,1))</f>
        <v>0</v>
      </c>
      <c r="B562" s="751">
        <f t="shared" ca="1" si="74"/>
        <v>4</v>
      </c>
      <c r="C562" s="751">
        <f t="shared" ca="1" si="75"/>
        <v>1</v>
      </c>
      <c r="D562" s="752">
        <f t="shared" ca="1" si="76"/>
        <v>2</v>
      </c>
      <c r="E562" s="752">
        <f t="shared" ca="1" si="77"/>
        <v>1</v>
      </c>
      <c r="F562" s="209"/>
      <c r="J562" s="65"/>
      <c r="K562" s="146"/>
      <c r="L562" s="567"/>
      <c r="M562" s="567"/>
      <c r="N562" s="737"/>
      <c r="O562" s="638"/>
      <c r="P562" s="147"/>
      <c r="Q562" s="65"/>
    </row>
    <row r="563" spans="1:17" s="148" customFormat="1" ht="14.1" customHeight="1" x14ac:dyDescent="0.2">
      <c r="A563" s="751">
        <f ca="1">IF($H563="UNIDADE CONSTRUTIVA",OFFSET(A563,-1,0)+1,LARGE(A$3:A562,1))</f>
        <v>0</v>
      </c>
      <c r="B563" s="751">
        <f t="shared" ca="1" si="74"/>
        <v>4</v>
      </c>
      <c r="C563" s="751">
        <f t="shared" ca="1" si="75"/>
        <v>1</v>
      </c>
      <c r="D563" s="752">
        <f t="shared" ca="1" si="76"/>
        <v>2</v>
      </c>
      <c r="E563" s="752">
        <f t="shared" ca="1" si="77"/>
        <v>1</v>
      </c>
      <c r="F563" s="209"/>
      <c r="J563" s="65"/>
      <c r="K563" s="146"/>
      <c r="L563" s="567"/>
      <c r="M563" s="567"/>
      <c r="N563" s="737"/>
      <c r="O563" s="638"/>
      <c r="P563" s="147"/>
      <c r="Q563" s="65"/>
    </row>
    <row r="564" spans="1:17" s="148" customFormat="1" ht="14.1" customHeight="1" x14ac:dyDescent="0.2">
      <c r="A564" s="751">
        <f ca="1">IF($H564="UNIDADE CONSTRUTIVA",OFFSET(A564,-1,0)+1,LARGE(A$3:A563,1))</f>
        <v>0</v>
      </c>
      <c r="B564" s="751">
        <f t="shared" ca="1" si="74"/>
        <v>4</v>
      </c>
      <c r="C564" s="751">
        <f t="shared" ca="1" si="75"/>
        <v>1</v>
      </c>
      <c r="D564" s="752">
        <f t="shared" ca="1" si="76"/>
        <v>2</v>
      </c>
      <c r="E564" s="752">
        <f t="shared" ca="1" si="77"/>
        <v>1</v>
      </c>
      <c r="F564" s="209"/>
      <c r="J564" s="65"/>
      <c r="K564" s="146"/>
      <c r="L564" s="567"/>
      <c r="M564" s="567"/>
      <c r="N564" s="737"/>
      <c r="O564" s="638"/>
      <c r="P564" s="147"/>
      <c r="Q564" s="65"/>
    </row>
    <row r="565" spans="1:17" s="148" customFormat="1" ht="14.1" customHeight="1" x14ac:dyDescent="0.2">
      <c r="A565" s="751">
        <f ca="1">IF($H565="UNIDADE CONSTRUTIVA",OFFSET(A565,-1,0)+1,LARGE(A$3:A564,1))</f>
        <v>0</v>
      </c>
      <c r="B565" s="751">
        <f t="shared" ca="1" si="74"/>
        <v>4</v>
      </c>
      <c r="C565" s="751">
        <f t="shared" ca="1" si="75"/>
        <v>1</v>
      </c>
      <c r="D565" s="752">
        <f t="shared" ca="1" si="76"/>
        <v>2</v>
      </c>
      <c r="E565" s="752">
        <f t="shared" ca="1" si="77"/>
        <v>1</v>
      </c>
      <c r="F565" s="209"/>
      <c r="J565" s="65"/>
      <c r="K565" s="146"/>
      <c r="L565" s="567"/>
      <c r="M565" s="567"/>
      <c r="N565" s="737"/>
      <c r="O565" s="638"/>
      <c r="P565" s="147"/>
      <c r="Q565" s="65"/>
    </row>
    <row r="566" spans="1:17" s="148" customFormat="1" ht="14.1" customHeight="1" x14ac:dyDescent="0.2">
      <c r="A566" s="751">
        <f ca="1">IF($H566="UNIDADE CONSTRUTIVA",OFFSET(A566,-1,0)+1,LARGE(A$3:A565,1))</f>
        <v>0</v>
      </c>
      <c r="B566" s="751">
        <f t="shared" ca="1" si="74"/>
        <v>4</v>
      </c>
      <c r="C566" s="751">
        <f t="shared" ca="1" si="75"/>
        <v>1</v>
      </c>
      <c r="D566" s="752">
        <f t="shared" ca="1" si="76"/>
        <v>2</v>
      </c>
      <c r="E566" s="752">
        <f t="shared" ca="1" si="77"/>
        <v>1</v>
      </c>
      <c r="F566" s="209"/>
      <c r="J566" s="65"/>
      <c r="K566" s="146"/>
      <c r="L566" s="567"/>
      <c r="M566" s="567"/>
      <c r="N566" s="737"/>
      <c r="O566" s="638"/>
      <c r="P566" s="147"/>
      <c r="Q566" s="65"/>
    </row>
    <row r="567" spans="1:17" s="148" customFormat="1" ht="14.1" customHeight="1" x14ac:dyDescent="0.2">
      <c r="A567" s="751">
        <f ca="1">IF($H567="UNIDADE CONSTRUTIVA",OFFSET(A567,-1,0)+1,LARGE(A$3:A566,1))</f>
        <v>0</v>
      </c>
      <c r="B567" s="751">
        <f t="shared" ca="1" si="74"/>
        <v>4</v>
      </c>
      <c r="C567" s="751">
        <f t="shared" ca="1" si="75"/>
        <v>1</v>
      </c>
      <c r="D567" s="752">
        <f t="shared" ca="1" si="76"/>
        <v>2</v>
      </c>
      <c r="E567" s="752">
        <f t="shared" ca="1" si="77"/>
        <v>1</v>
      </c>
      <c r="F567" s="209"/>
      <c r="J567" s="65"/>
      <c r="K567" s="146"/>
      <c r="L567" s="567"/>
      <c r="M567" s="567"/>
      <c r="N567" s="737"/>
      <c r="O567" s="638"/>
      <c r="P567" s="147"/>
      <c r="Q567" s="65"/>
    </row>
    <row r="568" spans="1:17" s="148" customFormat="1" ht="14.1" customHeight="1" x14ac:dyDescent="0.2">
      <c r="A568" s="751">
        <f ca="1">IF($H568="UNIDADE CONSTRUTIVA",OFFSET(A568,-1,0)+1,LARGE(A$3:A567,1))</f>
        <v>0</v>
      </c>
      <c r="B568" s="751">
        <f t="shared" ca="1" si="74"/>
        <v>4</v>
      </c>
      <c r="C568" s="751">
        <f t="shared" ca="1" si="75"/>
        <v>1</v>
      </c>
      <c r="D568" s="752">
        <f t="shared" ca="1" si="76"/>
        <v>2</v>
      </c>
      <c r="E568" s="752">
        <f t="shared" ca="1" si="77"/>
        <v>1</v>
      </c>
      <c r="F568" s="209"/>
      <c r="J568" s="65"/>
      <c r="K568" s="146"/>
      <c r="L568" s="567"/>
      <c r="M568" s="567"/>
      <c r="N568" s="737"/>
      <c r="O568" s="638"/>
      <c r="P568" s="147"/>
      <c r="Q568" s="65"/>
    </row>
    <row r="569" spans="1:17" s="148" customFormat="1" ht="14.1" customHeight="1" x14ac:dyDescent="0.2">
      <c r="A569" s="751">
        <f ca="1">IF($H569="UNIDADE CONSTRUTIVA",OFFSET(A569,-1,0)+1,LARGE(A$3:A568,1))</f>
        <v>0</v>
      </c>
      <c r="B569" s="751">
        <f t="shared" ca="1" si="74"/>
        <v>4</v>
      </c>
      <c r="C569" s="751">
        <f t="shared" ca="1" si="75"/>
        <v>1</v>
      </c>
      <c r="D569" s="752">
        <f t="shared" ca="1" si="76"/>
        <v>2</v>
      </c>
      <c r="E569" s="752">
        <f t="shared" ca="1" si="77"/>
        <v>1</v>
      </c>
      <c r="F569" s="209"/>
      <c r="J569" s="65"/>
      <c r="K569" s="146"/>
      <c r="L569" s="567"/>
      <c r="M569" s="567"/>
      <c r="N569" s="737"/>
      <c r="O569" s="638"/>
      <c r="P569" s="147"/>
      <c r="Q569" s="65"/>
    </row>
    <row r="570" spans="1:17" s="148" customFormat="1" ht="14.1" customHeight="1" x14ac:dyDescent="0.2">
      <c r="A570" s="751">
        <f ca="1">IF($H570="UNIDADE CONSTRUTIVA",OFFSET(A570,-1,0)+1,LARGE(A$3:A569,1))</f>
        <v>0</v>
      </c>
      <c r="B570" s="751">
        <f t="shared" ca="1" si="74"/>
        <v>4</v>
      </c>
      <c r="C570" s="751">
        <f t="shared" ca="1" si="75"/>
        <v>1</v>
      </c>
      <c r="D570" s="752">
        <f t="shared" ca="1" si="76"/>
        <v>2</v>
      </c>
      <c r="E570" s="752">
        <f t="shared" ca="1" si="77"/>
        <v>1</v>
      </c>
      <c r="F570" s="209"/>
      <c r="J570" s="65"/>
      <c r="K570" s="146"/>
      <c r="L570" s="567"/>
      <c r="M570" s="567"/>
      <c r="N570" s="737"/>
      <c r="O570" s="638"/>
      <c r="P570" s="147"/>
      <c r="Q570" s="65"/>
    </row>
    <row r="571" spans="1:17" s="148" customFormat="1" ht="14.1" customHeight="1" x14ac:dyDescent="0.2">
      <c r="A571" s="751">
        <f ca="1">IF($H571="UNIDADE CONSTRUTIVA",OFFSET(A571,-1,0)+1,LARGE(A$3:A570,1))</f>
        <v>0</v>
      </c>
      <c r="B571" s="751">
        <f t="shared" ca="1" si="74"/>
        <v>4</v>
      </c>
      <c r="C571" s="751">
        <f t="shared" ca="1" si="75"/>
        <v>1</v>
      </c>
      <c r="D571" s="752">
        <f t="shared" ca="1" si="76"/>
        <v>2</v>
      </c>
      <c r="E571" s="752">
        <f t="shared" ca="1" si="77"/>
        <v>1</v>
      </c>
      <c r="F571" s="209"/>
      <c r="J571" s="65"/>
      <c r="K571" s="146"/>
      <c r="L571" s="567"/>
      <c r="M571" s="567"/>
      <c r="N571" s="737"/>
      <c r="O571" s="638"/>
      <c r="P571" s="147"/>
      <c r="Q571" s="65"/>
    </row>
    <row r="572" spans="1:17" s="148" customFormat="1" ht="14.1" customHeight="1" x14ac:dyDescent="0.2">
      <c r="A572" s="751">
        <f ca="1">IF($H572="UNIDADE CONSTRUTIVA",OFFSET(A572,-1,0)+1,LARGE(A$3:A571,1))</f>
        <v>0</v>
      </c>
      <c r="B572" s="751">
        <f t="shared" ca="1" si="74"/>
        <v>4</v>
      </c>
      <c r="C572" s="751">
        <f t="shared" ca="1" si="75"/>
        <v>1</v>
      </c>
      <c r="D572" s="752">
        <f t="shared" ca="1" si="76"/>
        <v>2</v>
      </c>
      <c r="E572" s="752">
        <f t="shared" ca="1" si="77"/>
        <v>1</v>
      </c>
      <c r="F572" s="209"/>
      <c r="J572" s="65"/>
      <c r="K572" s="146"/>
      <c r="L572" s="567"/>
      <c r="M572" s="567"/>
      <c r="N572" s="737"/>
      <c r="O572" s="638"/>
      <c r="P572" s="147"/>
      <c r="Q572" s="65"/>
    </row>
    <row r="573" spans="1:17" s="148" customFormat="1" ht="14.1" customHeight="1" x14ac:dyDescent="0.2">
      <c r="A573" s="751">
        <f ca="1">IF($H573="UNIDADE CONSTRUTIVA",OFFSET(A573,-1,0)+1,LARGE(A$3:A572,1))</f>
        <v>0</v>
      </c>
      <c r="B573" s="751">
        <f t="shared" ca="1" si="74"/>
        <v>4</v>
      </c>
      <c r="C573" s="751">
        <f t="shared" ca="1" si="75"/>
        <v>1</v>
      </c>
      <c r="D573" s="752">
        <f t="shared" ca="1" si="76"/>
        <v>2</v>
      </c>
      <c r="E573" s="752">
        <f t="shared" ca="1" si="77"/>
        <v>1</v>
      </c>
      <c r="F573" s="209"/>
      <c r="J573" s="65"/>
      <c r="K573" s="146"/>
      <c r="L573" s="567"/>
      <c r="M573" s="567"/>
      <c r="N573" s="737"/>
      <c r="O573" s="638"/>
      <c r="P573" s="147"/>
      <c r="Q573" s="65"/>
    </row>
    <row r="574" spans="1:17" s="148" customFormat="1" ht="14.1" customHeight="1" x14ac:dyDescent="0.2">
      <c r="A574" s="751">
        <f ca="1">IF($H574="UNIDADE CONSTRUTIVA",OFFSET(A574,-1,0)+1,LARGE(A$3:A573,1))</f>
        <v>0</v>
      </c>
      <c r="B574" s="751">
        <f t="shared" ca="1" si="74"/>
        <v>4</v>
      </c>
      <c r="C574" s="751">
        <f t="shared" ca="1" si="75"/>
        <v>1</v>
      </c>
      <c r="D574" s="752">
        <f t="shared" ca="1" si="76"/>
        <v>2</v>
      </c>
      <c r="E574" s="752">
        <f t="shared" ca="1" si="77"/>
        <v>1</v>
      </c>
      <c r="F574" s="209"/>
      <c r="J574" s="65"/>
      <c r="K574" s="146"/>
      <c r="L574" s="567"/>
      <c r="M574" s="567"/>
      <c r="N574" s="737"/>
      <c r="O574" s="638"/>
      <c r="P574" s="147"/>
      <c r="Q574" s="65"/>
    </row>
    <row r="575" spans="1:17" s="148" customFormat="1" ht="14.1" customHeight="1" x14ac:dyDescent="0.2">
      <c r="A575" s="751">
        <f ca="1">IF($H575="UNIDADE CONSTRUTIVA",OFFSET(A575,-1,0)+1,LARGE(A$3:A574,1))</f>
        <v>0</v>
      </c>
      <c r="B575" s="751">
        <f t="shared" ca="1" si="74"/>
        <v>4</v>
      </c>
      <c r="C575" s="751">
        <f t="shared" ca="1" si="75"/>
        <v>1</v>
      </c>
      <c r="D575" s="752">
        <f t="shared" ca="1" si="76"/>
        <v>2</v>
      </c>
      <c r="E575" s="752">
        <f t="shared" ca="1" si="77"/>
        <v>1</v>
      </c>
      <c r="F575" s="209"/>
      <c r="J575" s="65"/>
      <c r="K575" s="146"/>
      <c r="L575" s="567"/>
      <c r="M575" s="567"/>
      <c r="N575" s="737"/>
      <c r="O575" s="638"/>
      <c r="P575" s="147"/>
      <c r="Q575" s="65"/>
    </row>
    <row r="576" spans="1:17" s="148" customFormat="1" ht="14.1" customHeight="1" x14ac:dyDescent="0.2">
      <c r="A576" s="751">
        <f ca="1">IF($H576="UNIDADE CONSTRUTIVA",OFFSET(A576,-1,0)+1,LARGE(A$3:A575,1))</f>
        <v>0</v>
      </c>
      <c r="B576" s="751">
        <f t="shared" ca="1" si="74"/>
        <v>4</v>
      </c>
      <c r="C576" s="751">
        <f t="shared" ca="1" si="75"/>
        <v>1</v>
      </c>
      <c r="D576" s="752">
        <f t="shared" ca="1" si="76"/>
        <v>2</v>
      </c>
      <c r="E576" s="752">
        <f t="shared" ca="1" si="77"/>
        <v>1</v>
      </c>
      <c r="F576" s="209"/>
      <c r="J576" s="65"/>
      <c r="K576" s="146"/>
      <c r="L576" s="567"/>
      <c r="M576" s="567"/>
      <c r="N576" s="737"/>
      <c r="O576" s="638"/>
      <c r="P576" s="147"/>
      <c r="Q576" s="65"/>
    </row>
    <row r="577" spans="1:17" s="148" customFormat="1" ht="14.1" customHeight="1" x14ac:dyDescent="0.2">
      <c r="A577" s="751">
        <f ca="1">IF($H577="UNIDADE CONSTRUTIVA",OFFSET(A577,-1,0)+1,LARGE(A$3:A576,1))</f>
        <v>0</v>
      </c>
      <c r="B577" s="751">
        <f t="shared" ca="1" si="74"/>
        <v>4</v>
      </c>
      <c r="C577" s="751">
        <f t="shared" ca="1" si="75"/>
        <v>1</v>
      </c>
      <c r="D577" s="752">
        <f t="shared" ca="1" si="76"/>
        <v>2</v>
      </c>
      <c r="E577" s="752">
        <f t="shared" ca="1" si="77"/>
        <v>1</v>
      </c>
      <c r="F577" s="209"/>
      <c r="J577" s="65"/>
      <c r="K577" s="146"/>
      <c r="L577" s="567"/>
      <c r="M577" s="567"/>
      <c r="N577" s="737"/>
      <c r="O577" s="638"/>
      <c r="P577" s="147"/>
      <c r="Q577" s="65"/>
    </row>
    <row r="578" spans="1:17" s="148" customFormat="1" ht="14.1" customHeight="1" x14ac:dyDescent="0.2">
      <c r="A578" s="751">
        <f ca="1">IF($H578="UNIDADE CONSTRUTIVA",OFFSET(A578,-1,0)+1,LARGE(A$3:A577,1))</f>
        <v>0</v>
      </c>
      <c r="B578" s="751">
        <f t="shared" ca="1" si="74"/>
        <v>4</v>
      </c>
      <c r="C578" s="751">
        <f t="shared" ca="1" si="75"/>
        <v>1</v>
      </c>
      <c r="D578" s="752">
        <f t="shared" ca="1" si="76"/>
        <v>2</v>
      </c>
      <c r="E578" s="752">
        <f t="shared" ca="1" si="77"/>
        <v>1</v>
      </c>
      <c r="F578" s="209"/>
      <c r="J578" s="65"/>
      <c r="K578" s="146"/>
      <c r="L578" s="567"/>
      <c r="M578" s="567"/>
      <c r="N578" s="737"/>
      <c r="O578" s="638"/>
      <c r="P578" s="147"/>
      <c r="Q578" s="65"/>
    </row>
    <row r="579" spans="1:17" s="148" customFormat="1" ht="14.1" customHeight="1" x14ac:dyDescent="0.2">
      <c r="A579" s="751">
        <f ca="1">IF($H579="UNIDADE CONSTRUTIVA",OFFSET(A579,-1,0)+1,LARGE(A$3:A578,1))</f>
        <v>0</v>
      </c>
      <c r="B579" s="751">
        <f t="shared" ca="1" si="74"/>
        <v>4</v>
      </c>
      <c r="C579" s="751">
        <f t="shared" ca="1" si="75"/>
        <v>1</v>
      </c>
      <c r="D579" s="752">
        <f t="shared" ca="1" si="76"/>
        <v>2</v>
      </c>
      <c r="E579" s="752">
        <f t="shared" ca="1" si="77"/>
        <v>1</v>
      </c>
      <c r="F579" s="209"/>
      <c r="J579" s="65"/>
      <c r="K579" s="146"/>
      <c r="L579" s="567"/>
      <c r="M579" s="567"/>
      <c r="N579" s="737"/>
      <c r="O579" s="638"/>
      <c r="P579" s="147"/>
      <c r="Q579" s="65"/>
    </row>
    <row r="580" spans="1:17" s="148" customFormat="1" ht="14.1" customHeight="1" x14ac:dyDescent="0.2">
      <c r="A580" s="751">
        <f ca="1">IF($H580="UNIDADE CONSTRUTIVA",OFFSET(A580,-1,0)+1,LARGE(A$3:A579,1))</f>
        <v>0</v>
      </c>
      <c r="B580" s="751">
        <f t="shared" ca="1" si="74"/>
        <v>4</v>
      </c>
      <c r="C580" s="751">
        <f t="shared" ca="1" si="75"/>
        <v>1</v>
      </c>
      <c r="D580" s="752">
        <f t="shared" ca="1" si="76"/>
        <v>2</v>
      </c>
      <c r="E580" s="752">
        <f t="shared" ca="1" si="77"/>
        <v>1</v>
      </c>
      <c r="F580" s="209"/>
      <c r="J580" s="65"/>
      <c r="K580" s="146"/>
      <c r="L580" s="567"/>
      <c r="M580" s="567"/>
      <c r="N580" s="737"/>
      <c r="O580" s="638"/>
      <c r="P580" s="147"/>
      <c r="Q580" s="65"/>
    </row>
    <row r="581" spans="1:17" s="148" customFormat="1" ht="14.1" customHeight="1" x14ac:dyDescent="0.2">
      <c r="A581" s="751">
        <f ca="1">IF($H581="UNIDADE CONSTRUTIVA",OFFSET(A581,-1,0)+1,LARGE(A$3:A580,1))</f>
        <v>0</v>
      </c>
      <c r="B581" s="751">
        <f t="shared" ca="1" si="74"/>
        <v>4</v>
      </c>
      <c r="C581" s="751">
        <f t="shared" ca="1" si="75"/>
        <v>1</v>
      </c>
      <c r="D581" s="752">
        <f t="shared" ca="1" si="76"/>
        <v>2</v>
      </c>
      <c r="E581" s="752">
        <f t="shared" ca="1" si="77"/>
        <v>1</v>
      </c>
      <c r="F581" s="209"/>
      <c r="J581" s="65"/>
      <c r="K581" s="146"/>
      <c r="L581" s="567"/>
      <c r="M581" s="567"/>
      <c r="N581" s="737"/>
      <c r="O581" s="638"/>
      <c r="P581" s="147"/>
      <c r="Q581" s="65"/>
    </row>
    <row r="582" spans="1:17" s="148" customFormat="1" ht="14.1" customHeight="1" x14ac:dyDescent="0.2">
      <c r="A582" s="751">
        <f ca="1">IF($H582="UNIDADE CONSTRUTIVA",OFFSET(A582,-1,0)+1,LARGE(A$3:A581,1))</f>
        <v>0</v>
      </c>
      <c r="B582" s="751">
        <f t="shared" ca="1" si="74"/>
        <v>4</v>
      </c>
      <c r="C582" s="751">
        <f t="shared" ca="1" si="75"/>
        <v>1</v>
      </c>
      <c r="D582" s="752">
        <f t="shared" ca="1" si="76"/>
        <v>2</v>
      </c>
      <c r="E582" s="752">
        <f t="shared" ca="1" si="77"/>
        <v>1</v>
      </c>
      <c r="F582" s="209"/>
      <c r="J582" s="65"/>
      <c r="K582" s="146"/>
      <c r="L582" s="567"/>
      <c r="M582" s="567"/>
      <c r="N582" s="737"/>
      <c r="O582" s="638"/>
      <c r="P582" s="147"/>
      <c r="Q582" s="65"/>
    </row>
    <row r="583" spans="1:17" s="148" customFormat="1" ht="14.1" customHeight="1" x14ac:dyDescent="0.2">
      <c r="A583" s="751">
        <f ca="1">IF($H583="UNIDADE CONSTRUTIVA",OFFSET(A583,-1,0)+1,LARGE(A$3:A582,1))</f>
        <v>0</v>
      </c>
      <c r="B583" s="751">
        <f t="shared" ca="1" si="74"/>
        <v>4</v>
      </c>
      <c r="C583" s="751">
        <f t="shared" ca="1" si="75"/>
        <v>1</v>
      </c>
      <c r="D583" s="752">
        <f t="shared" ca="1" si="76"/>
        <v>2</v>
      </c>
      <c r="E583" s="752">
        <f t="shared" ca="1" si="77"/>
        <v>1</v>
      </c>
      <c r="F583" s="209"/>
      <c r="J583" s="65"/>
      <c r="K583" s="146"/>
      <c r="L583" s="567"/>
      <c r="M583" s="567"/>
      <c r="N583" s="737"/>
      <c r="O583" s="638"/>
      <c r="P583" s="147"/>
      <c r="Q583" s="65"/>
    </row>
    <row r="584" spans="1:17" s="148" customFormat="1" ht="14.1" customHeight="1" x14ac:dyDescent="0.2">
      <c r="A584" s="751">
        <f ca="1">IF($H584="UNIDADE CONSTRUTIVA",OFFSET(A584,-1,0)+1,LARGE(A$3:A583,1))</f>
        <v>0</v>
      </c>
      <c r="B584" s="751">
        <f t="shared" ca="1" si="74"/>
        <v>4</v>
      </c>
      <c r="C584" s="751">
        <f t="shared" ca="1" si="75"/>
        <v>1</v>
      </c>
      <c r="D584" s="752">
        <f t="shared" ca="1" si="76"/>
        <v>2</v>
      </c>
      <c r="E584" s="752">
        <f t="shared" ca="1" si="77"/>
        <v>1</v>
      </c>
      <c r="F584" s="209"/>
      <c r="J584" s="65"/>
      <c r="K584" s="146"/>
      <c r="L584" s="567"/>
      <c r="M584" s="567"/>
      <c r="N584" s="737"/>
      <c r="O584" s="638"/>
      <c r="P584" s="147"/>
      <c r="Q584" s="65"/>
    </row>
    <row r="585" spans="1:17" s="148" customFormat="1" ht="14.1" customHeight="1" x14ac:dyDescent="0.2">
      <c r="A585" s="751">
        <f ca="1">IF($H585="UNIDADE CONSTRUTIVA",OFFSET(A585,-1,0)+1,LARGE(A$3:A584,1))</f>
        <v>0</v>
      </c>
      <c r="B585" s="751">
        <f t="shared" ca="1" si="74"/>
        <v>4</v>
      </c>
      <c r="C585" s="751">
        <f t="shared" ca="1" si="75"/>
        <v>1</v>
      </c>
      <c r="D585" s="752">
        <f t="shared" ca="1" si="76"/>
        <v>2</v>
      </c>
      <c r="E585" s="752">
        <f t="shared" ca="1" si="77"/>
        <v>1</v>
      </c>
      <c r="F585" s="209"/>
      <c r="J585" s="65"/>
      <c r="K585" s="146"/>
      <c r="L585" s="567"/>
      <c r="M585" s="567"/>
      <c r="N585" s="737"/>
      <c r="O585" s="638"/>
      <c r="P585" s="147"/>
      <c r="Q585" s="65"/>
    </row>
    <row r="586" spans="1:17" s="148" customFormat="1" ht="14.1" customHeight="1" x14ac:dyDescent="0.2">
      <c r="A586" s="751">
        <f ca="1">IF($H586="UNIDADE CONSTRUTIVA",OFFSET(A586,-1,0)+1,LARGE(A$3:A585,1))</f>
        <v>0</v>
      </c>
      <c r="B586" s="751">
        <f t="shared" ca="1" si="74"/>
        <v>4</v>
      </c>
      <c r="C586" s="751">
        <f t="shared" ca="1" si="75"/>
        <v>1</v>
      </c>
      <c r="D586" s="752">
        <f t="shared" ca="1" si="76"/>
        <v>2</v>
      </c>
      <c r="E586" s="752">
        <f t="shared" ca="1" si="77"/>
        <v>1</v>
      </c>
      <c r="F586" s="209"/>
      <c r="J586" s="65"/>
      <c r="K586" s="146"/>
      <c r="L586" s="567"/>
      <c r="M586" s="567"/>
      <c r="N586" s="737"/>
      <c r="O586" s="638"/>
      <c r="P586" s="147"/>
      <c r="Q586" s="65"/>
    </row>
    <row r="587" spans="1:17" s="148" customFormat="1" ht="14.1" customHeight="1" x14ac:dyDescent="0.2">
      <c r="A587" s="751">
        <f ca="1">IF($H587="UNIDADE CONSTRUTIVA",OFFSET(A587,-1,0)+1,LARGE(A$3:A586,1))</f>
        <v>0</v>
      </c>
      <c r="B587" s="751">
        <f t="shared" ca="1" si="74"/>
        <v>4</v>
      </c>
      <c r="C587" s="751">
        <f t="shared" ca="1" si="75"/>
        <v>1</v>
      </c>
      <c r="D587" s="752">
        <f t="shared" ca="1" si="76"/>
        <v>2</v>
      </c>
      <c r="E587" s="752">
        <f t="shared" ca="1" si="77"/>
        <v>1</v>
      </c>
      <c r="F587" s="209"/>
      <c r="J587" s="65"/>
      <c r="K587" s="146"/>
      <c r="L587" s="567"/>
      <c r="M587" s="567"/>
      <c r="N587" s="737"/>
      <c r="O587" s="638"/>
      <c r="P587" s="147"/>
      <c r="Q587" s="65"/>
    </row>
    <row r="588" spans="1:17" s="148" customFormat="1" ht="14.1" customHeight="1" x14ac:dyDescent="0.2">
      <c r="A588" s="751">
        <f ca="1">IF($H588="UNIDADE CONSTRUTIVA",OFFSET(A588,-1,0)+1,LARGE(A$3:A587,1))</f>
        <v>0</v>
      </c>
      <c r="B588" s="751">
        <f t="shared" ca="1" si="74"/>
        <v>4</v>
      </c>
      <c r="C588" s="751">
        <f t="shared" ca="1" si="75"/>
        <v>1</v>
      </c>
      <c r="D588" s="752">
        <f t="shared" ca="1" si="76"/>
        <v>2</v>
      </c>
      <c r="E588" s="752">
        <f t="shared" ca="1" si="77"/>
        <v>1</v>
      </c>
      <c r="F588" s="209"/>
      <c r="J588" s="65"/>
      <c r="K588" s="146"/>
      <c r="L588" s="567"/>
      <c r="M588" s="567"/>
      <c r="N588" s="737"/>
      <c r="O588" s="638"/>
      <c r="P588" s="147"/>
      <c r="Q588" s="65"/>
    </row>
    <row r="589" spans="1:17" s="148" customFormat="1" ht="14.1" customHeight="1" x14ac:dyDescent="0.2">
      <c r="A589" s="751">
        <f ca="1">IF($H589="UNIDADE CONSTRUTIVA",OFFSET(A589,-1,0)+1,LARGE(A$3:A588,1))</f>
        <v>0</v>
      </c>
      <c r="B589" s="751">
        <f t="shared" ca="1" si="74"/>
        <v>4</v>
      </c>
      <c r="C589" s="751">
        <f t="shared" ca="1" si="75"/>
        <v>1</v>
      </c>
      <c r="D589" s="752">
        <f t="shared" ca="1" si="76"/>
        <v>2</v>
      </c>
      <c r="E589" s="752">
        <f t="shared" ca="1" si="77"/>
        <v>1</v>
      </c>
      <c r="F589" s="209"/>
      <c r="J589" s="65"/>
      <c r="K589" s="146"/>
      <c r="L589" s="567"/>
      <c r="M589" s="567"/>
      <c r="N589" s="737"/>
      <c r="O589" s="638"/>
      <c r="P589" s="147"/>
      <c r="Q589" s="65"/>
    </row>
    <row r="590" spans="1:17" s="148" customFormat="1" ht="14.1" customHeight="1" x14ac:dyDescent="0.2">
      <c r="A590" s="751">
        <f ca="1">IF($H590="UNIDADE CONSTRUTIVA",OFFSET(A590,-1,0)+1,LARGE(A$3:A589,1))</f>
        <v>0</v>
      </c>
      <c r="B590" s="751">
        <f t="shared" ca="1" si="74"/>
        <v>4</v>
      </c>
      <c r="C590" s="751">
        <f t="shared" ca="1" si="75"/>
        <v>1</v>
      </c>
      <c r="D590" s="752">
        <f t="shared" ca="1" si="76"/>
        <v>2</v>
      </c>
      <c r="E590" s="752">
        <f t="shared" ca="1" si="77"/>
        <v>1</v>
      </c>
      <c r="F590" s="209"/>
      <c r="J590" s="65"/>
      <c r="K590" s="146"/>
      <c r="L590" s="567"/>
      <c r="M590" s="567"/>
      <c r="N590" s="737"/>
      <c r="O590" s="638"/>
      <c r="P590" s="147"/>
      <c r="Q590" s="65"/>
    </row>
    <row r="591" spans="1:17" s="148" customFormat="1" ht="14.1" customHeight="1" x14ac:dyDescent="0.2">
      <c r="A591" s="751">
        <f ca="1">IF($H591="UNIDADE CONSTRUTIVA",OFFSET(A591,-1,0)+1,LARGE(A$3:A590,1))</f>
        <v>0</v>
      </c>
      <c r="B591" s="751">
        <f t="shared" ca="1" si="74"/>
        <v>4</v>
      </c>
      <c r="C591" s="751">
        <f t="shared" ca="1" si="75"/>
        <v>1</v>
      </c>
      <c r="D591" s="752">
        <f t="shared" ca="1" si="76"/>
        <v>2</v>
      </c>
      <c r="E591" s="752">
        <f t="shared" ca="1" si="77"/>
        <v>1</v>
      </c>
      <c r="F591" s="209"/>
      <c r="J591" s="65"/>
      <c r="K591" s="146"/>
      <c r="L591" s="567"/>
      <c r="M591" s="567"/>
      <c r="N591" s="737"/>
      <c r="O591" s="638"/>
      <c r="P591" s="147"/>
      <c r="Q591" s="65"/>
    </row>
    <row r="592" spans="1:17" s="148" customFormat="1" ht="14.1" customHeight="1" x14ac:dyDescent="0.2">
      <c r="A592" s="751">
        <f ca="1">IF($H592="UNIDADE CONSTRUTIVA",OFFSET(A592,-1,0)+1,LARGE(A$3:A591,1))</f>
        <v>0</v>
      </c>
      <c r="B592" s="751">
        <f t="shared" ca="1" si="74"/>
        <v>4</v>
      </c>
      <c r="C592" s="751">
        <f t="shared" ca="1" si="75"/>
        <v>1</v>
      </c>
      <c r="D592" s="752">
        <f t="shared" ca="1" si="76"/>
        <v>2</v>
      </c>
      <c r="E592" s="752">
        <f t="shared" ca="1" si="77"/>
        <v>1</v>
      </c>
      <c r="F592" s="209"/>
      <c r="J592" s="65"/>
      <c r="K592" s="146"/>
      <c r="L592" s="567"/>
      <c r="M592" s="567"/>
      <c r="N592" s="737"/>
      <c r="O592" s="638"/>
      <c r="P592" s="147"/>
      <c r="Q592" s="65"/>
    </row>
    <row r="593" spans="1:17" s="148" customFormat="1" ht="14.1" customHeight="1" x14ac:dyDescent="0.2">
      <c r="A593" s="751">
        <f ca="1">IF($H593="UNIDADE CONSTRUTIVA",OFFSET(A593,-1,0)+1,LARGE(A$3:A592,1))</f>
        <v>0</v>
      </c>
      <c r="B593" s="751">
        <f t="shared" ca="1" si="74"/>
        <v>4</v>
      </c>
      <c r="C593" s="751">
        <f t="shared" ca="1" si="75"/>
        <v>1</v>
      </c>
      <c r="D593" s="752">
        <f t="shared" ca="1" si="76"/>
        <v>2</v>
      </c>
      <c r="E593" s="752">
        <f t="shared" ca="1" si="77"/>
        <v>1</v>
      </c>
      <c r="F593" s="209"/>
      <c r="J593" s="65"/>
      <c r="K593" s="146"/>
      <c r="L593" s="567"/>
      <c r="M593" s="567"/>
      <c r="N593" s="737"/>
      <c r="O593" s="638"/>
      <c r="P593" s="147"/>
      <c r="Q593" s="65"/>
    </row>
    <row r="594" spans="1:17" s="148" customFormat="1" ht="14.1" customHeight="1" x14ac:dyDescent="0.2">
      <c r="A594" s="751">
        <f ca="1">IF($H594="UNIDADE CONSTRUTIVA",OFFSET(A594,-1,0)+1,LARGE(A$3:A593,1))</f>
        <v>0</v>
      </c>
      <c r="B594" s="751">
        <f t="shared" ca="1" si="74"/>
        <v>4</v>
      </c>
      <c r="C594" s="751">
        <f t="shared" ca="1" si="75"/>
        <v>1</v>
      </c>
      <c r="D594" s="752">
        <f t="shared" ca="1" si="76"/>
        <v>2</v>
      </c>
      <c r="E594" s="752">
        <f t="shared" ca="1" si="77"/>
        <v>1</v>
      </c>
      <c r="F594" s="209"/>
      <c r="J594" s="65"/>
      <c r="K594" s="146"/>
      <c r="L594" s="567"/>
      <c r="M594" s="567"/>
      <c r="N594" s="737"/>
      <c r="O594" s="638"/>
      <c r="P594" s="147"/>
      <c r="Q594" s="65"/>
    </row>
    <row r="595" spans="1:17" s="148" customFormat="1" ht="14.1" customHeight="1" x14ac:dyDescent="0.2">
      <c r="A595" s="751">
        <f ca="1">IF($H595="UNIDADE CONSTRUTIVA",OFFSET(A595,-1,0)+1,LARGE(A$3:A594,1))</f>
        <v>0</v>
      </c>
      <c r="B595" s="751">
        <f t="shared" ca="1" si="74"/>
        <v>4</v>
      </c>
      <c r="C595" s="751">
        <f t="shared" ca="1" si="75"/>
        <v>1</v>
      </c>
      <c r="D595" s="752">
        <f t="shared" ca="1" si="76"/>
        <v>2</v>
      </c>
      <c r="E595" s="752">
        <f t="shared" ca="1" si="77"/>
        <v>1</v>
      </c>
      <c r="F595" s="209"/>
      <c r="J595" s="65"/>
      <c r="K595" s="146"/>
      <c r="L595" s="567"/>
      <c r="M595" s="567"/>
      <c r="N595" s="737"/>
      <c r="O595" s="638"/>
      <c r="P595" s="147"/>
      <c r="Q595" s="65"/>
    </row>
    <row r="596" spans="1:17" s="148" customFormat="1" ht="14.1" customHeight="1" x14ac:dyDescent="0.2">
      <c r="A596" s="751">
        <f ca="1">IF($H596="UNIDADE CONSTRUTIVA",OFFSET(A596,-1,0)+1,LARGE(A$3:A595,1))</f>
        <v>0</v>
      </c>
      <c r="B596" s="751">
        <f t="shared" ca="1" si="74"/>
        <v>4</v>
      </c>
      <c r="C596" s="751">
        <f t="shared" ca="1" si="75"/>
        <v>1</v>
      </c>
      <c r="D596" s="752">
        <f t="shared" ca="1" si="76"/>
        <v>2</v>
      </c>
      <c r="E596" s="752">
        <f t="shared" ca="1" si="77"/>
        <v>1</v>
      </c>
      <c r="F596" s="209"/>
      <c r="J596" s="65"/>
      <c r="K596" s="146"/>
      <c r="L596" s="567"/>
      <c r="M596" s="567"/>
      <c r="N596" s="737"/>
      <c r="O596" s="638"/>
      <c r="P596" s="147"/>
      <c r="Q596" s="65"/>
    </row>
    <row r="597" spans="1:17" s="148" customFormat="1" ht="14.1" customHeight="1" x14ac:dyDescent="0.2">
      <c r="A597" s="751">
        <f ca="1">IF($H597="UNIDADE CONSTRUTIVA",OFFSET(A597,-1,0)+1,LARGE(A$3:A596,1))</f>
        <v>0</v>
      </c>
      <c r="B597" s="751">
        <f t="shared" ca="1" si="74"/>
        <v>4</v>
      </c>
      <c r="C597" s="751">
        <f t="shared" ca="1" si="75"/>
        <v>1</v>
      </c>
      <c r="D597" s="752">
        <f t="shared" ca="1" si="76"/>
        <v>2</v>
      </c>
      <c r="E597" s="752">
        <f t="shared" ca="1" si="77"/>
        <v>1</v>
      </c>
      <c r="F597" s="209"/>
      <c r="J597" s="65"/>
      <c r="K597" s="146"/>
      <c r="L597" s="567"/>
      <c r="M597" s="567"/>
      <c r="N597" s="737"/>
      <c r="O597" s="638"/>
      <c r="P597" s="147"/>
      <c r="Q597" s="65"/>
    </row>
    <row r="598" spans="1:17" s="148" customFormat="1" ht="14.1" customHeight="1" x14ac:dyDescent="0.2">
      <c r="A598" s="751">
        <f ca="1">IF($H598="UNIDADE CONSTRUTIVA",OFFSET(A598,-1,0)+1,LARGE(A$3:A597,1))</f>
        <v>0</v>
      </c>
      <c r="B598" s="751">
        <f t="shared" ca="1" si="74"/>
        <v>4</v>
      </c>
      <c r="C598" s="751">
        <f t="shared" ca="1" si="75"/>
        <v>1</v>
      </c>
      <c r="D598" s="752">
        <f t="shared" ca="1" si="76"/>
        <v>2</v>
      </c>
      <c r="E598" s="752">
        <f t="shared" ca="1" si="77"/>
        <v>1</v>
      </c>
      <c r="F598" s="209"/>
      <c r="J598" s="65"/>
      <c r="K598" s="146"/>
      <c r="L598" s="567"/>
      <c r="M598" s="567"/>
      <c r="N598" s="737"/>
      <c r="O598" s="638"/>
      <c r="P598" s="147"/>
      <c r="Q598" s="65"/>
    </row>
    <row r="599" spans="1:17" s="148" customFormat="1" ht="14.1" customHeight="1" x14ac:dyDescent="0.2">
      <c r="A599" s="751">
        <f ca="1">IF($H599="UNIDADE CONSTRUTIVA",OFFSET(A599,-1,0)+1,LARGE(A$3:A598,1))</f>
        <v>0</v>
      </c>
      <c r="B599" s="751">
        <f t="shared" ca="1" si="74"/>
        <v>4</v>
      </c>
      <c r="C599" s="751">
        <f t="shared" ca="1" si="75"/>
        <v>1</v>
      </c>
      <c r="D599" s="752">
        <f t="shared" ca="1" si="76"/>
        <v>2</v>
      </c>
      <c r="E599" s="752">
        <f t="shared" ca="1" si="77"/>
        <v>1</v>
      </c>
      <c r="F599" s="209"/>
      <c r="J599" s="65"/>
      <c r="K599" s="146"/>
      <c r="L599" s="567"/>
      <c r="M599" s="567"/>
      <c r="N599" s="737"/>
      <c r="O599" s="638"/>
      <c r="P599" s="147"/>
      <c r="Q599" s="65"/>
    </row>
    <row r="600" spans="1:17" s="148" customFormat="1" ht="14.1" customHeight="1" x14ac:dyDescent="0.2">
      <c r="A600" s="751">
        <f ca="1">IF($H600="UNIDADE CONSTRUTIVA",OFFSET(A600,-1,0)+1,LARGE(A$3:A599,1))</f>
        <v>0</v>
      </c>
      <c r="B600" s="751">
        <f t="shared" ref="B600:B663" ca="1" si="78">IF(H600="UNIDADE CONSTRUTIVA",0,IF(H600="CÉLULA CONSTRUTIVA",OFFSET(B600,-1,0)+1,OFFSET(B600,-1,0)))</f>
        <v>4</v>
      </c>
      <c r="C600" s="751">
        <f t="shared" ref="C600:C663" ca="1" si="79">IF(H600="CÉLULA CONSTRUTIVA",0,IF(H600="ETAPA",OFFSET(C600,-1,0)+1,OFFSET(C600,-1,0)))</f>
        <v>1</v>
      </c>
      <c r="D600" s="752">
        <f t="shared" ref="D600:D663" ca="1" si="80">IF(H600="ETAPA",0,IF(H600="SUBETAPA",OFFSET(D600,-1,0)+1,OFFSET(D600,-1,0)))</f>
        <v>2</v>
      </c>
      <c r="E600" s="752">
        <f t="shared" ref="E600:E663" ca="1" si="81">IF(H600="Subetapa",0,IF(H600="serviço",OFFSET(E600,-1,0)+1,OFFSET(E600,-1,0)))</f>
        <v>1</v>
      </c>
      <c r="F600" s="209"/>
      <c r="J600" s="65"/>
      <c r="K600" s="146"/>
      <c r="L600" s="567"/>
      <c r="M600" s="567"/>
      <c r="N600" s="737"/>
      <c r="O600" s="638"/>
      <c r="P600" s="147"/>
      <c r="Q600" s="65"/>
    </row>
    <row r="601" spans="1:17" s="148" customFormat="1" ht="14.1" customHeight="1" x14ac:dyDescent="0.2">
      <c r="A601" s="751">
        <f ca="1">IF($H601="UNIDADE CONSTRUTIVA",OFFSET(A601,-1,0)+1,LARGE(A$3:A600,1))</f>
        <v>0</v>
      </c>
      <c r="B601" s="751">
        <f t="shared" ca="1" si="78"/>
        <v>4</v>
      </c>
      <c r="C601" s="751">
        <f t="shared" ca="1" si="79"/>
        <v>1</v>
      </c>
      <c r="D601" s="752">
        <f t="shared" ca="1" si="80"/>
        <v>2</v>
      </c>
      <c r="E601" s="752">
        <f t="shared" ca="1" si="81"/>
        <v>1</v>
      </c>
      <c r="F601" s="209"/>
      <c r="J601" s="65"/>
      <c r="K601" s="146"/>
      <c r="L601" s="567"/>
      <c r="M601" s="567"/>
      <c r="N601" s="737"/>
      <c r="O601" s="638"/>
      <c r="P601" s="147"/>
      <c r="Q601" s="65"/>
    </row>
    <row r="602" spans="1:17" s="148" customFormat="1" ht="14.1" customHeight="1" x14ac:dyDescent="0.2">
      <c r="A602" s="751">
        <f ca="1">IF($H602="UNIDADE CONSTRUTIVA",OFFSET(A602,-1,0)+1,LARGE(A$3:A601,1))</f>
        <v>0</v>
      </c>
      <c r="B602" s="751">
        <f t="shared" ca="1" si="78"/>
        <v>4</v>
      </c>
      <c r="C602" s="751">
        <f t="shared" ca="1" si="79"/>
        <v>1</v>
      </c>
      <c r="D602" s="752">
        <f t="shared" ca="1" si="80"/>
        <v>2</v>
      </c>
      <c r="E602" s="752">
        <f t="shared" ca="1" si="81"/>
        <v>1</v>
      </c>
      <c r="F602" s="209"/>
      <c r="J602" s="65"/>
      <c r="K602" s="146"/>
      <c r="L602" s="567"/>
      <c r="M602" s="567"/>
      <c r="N602" s="737"/>
      <c r="O602" s="638"/>
      <c r="P602" s="147"/>
      <c r="Q602" s="65"/>
    </row>
    <row r="603" spans="1:17" s="148" customFormat="1" ht="14.1" customHeight="1" x14ac:dyDescent="0.2">
      <c r="A603" s="751">
        <f ca="1">IF($H603="UNIDADE CONSTRUTIVA",OFFSET(A603,-1,0)+1,LARGE(A$3:A602,1))</f>
        <v>0</v>
      </c>
      <c r="B603" s="751">
        <f t="shared" ca="1" si="78"/>
        <v>4</v>
      </c>
      <c r="C603" s="751">
        <f t="shared" ca="1" si="79"/>
        <v>1</v>
      </c>
      <c r="D603" s="752">
        <f t="shared" ca="1" si="80"/>
        <v>2</v>
      </c>
      <c r="E603" s="752">
        <f t="shared" ca="1" si="81"/>
        <v>1</v>
      </c>
      <c r="F603" s="209"/>
      <c r="J603" s="65"/>
      <c r="K603" s="146"/>
      <c r="L603" s="567"/>
      <c r="M603" s="567"/>
      <c r="N603" s="737"/>
      <c r="O603" s="638"/>
      <c r="P603" s="147"/>
      <c r="Q603" s="65"/>
    </row>
    <row r="604" spans="1:17" s="148" customFormat="1" ht="14.1" customHeight="1" x14ac:dyDescent="0.2">
      <c r="A604" s="751">
        <f ca="1">IF($H604="UNIDADE CONSTRUTIVA",OFFSET(A604,-1,0)+1,LARGE(A$3:A603,1))</f>
        <v>0</v>
      </c>
      <c r="B604" s="751">
        <f t="shared" ca="1" si="78"/>
        <v>4</v>
      </c>
      <c r="C604" s="751">
        <f t="shared" ca="1" si="79"/>
        <v>1</v>
      </c>
      <c r="D604" s="752">
        <f t="shared" ca="1" si="80"/>
        <v>2</v>
      </c>
      <c r="E604" s="752">
        <f t="shared" ca="1" si="81"/>
        <v>1</v>
      </c>
      <c r="F604" s="209"/>
      <c r="J604" s="65"/>
      <c r="K604" s="146"/>
      <c r="L604" s="567"/>
      <c r="M604" s="567"/>
      <c r="N604" s="737"/>
      <c r="O604" s="638"/>
      <c r="P604" s="147"/>
      <c r="Q604" s="65"/>
    </row>
    <row r="605" spans="1:17" s="148" customFormat="1" ht="14.1" customHeight="1" x14ac:dyDescent="0.2">
      <c r="A605" s="751">
        <f ca="1">IF($H605="UNIDADE CONSTRUTIVA",OFFSET(A605,-1,0)+1,LARGE(A$3:A604,1))</f>
        <v>0</v>
      </c>
      <c r="B605" s="751">
        <f t="shared" ca="1" si="78"/>
        <v>4</v>
      </c>
      <c r="C605" s="751">
        <f t="shared" ca="1" si="79"/>
        <v>1</v>
      </c>
      <c r="D605" s="752">
        <f t="shared" ca="1" si="80"/>
        <v>2</v>
      </c>
      <c r="E605" s="752">
        <f t="shared" ca="1" si="81"/>
        <v>1</v>
      </c>
      <c r="F605" s="209"/>
      <c r="J605" s="65"/>
      <c r="K605" s="146"/>
      <c r="L605" s="567"/>
      <c r="M605" s="567"/>
      <c r="N605" s="737"/>
      <c r="O605" s="638"/>
      <c r="P605" s="147"/>
      <c r="Q605" s="65"/>
    </row>
    <row r="606" spans="1:17" s="148" customFormat="1" ht="14.1" customHeight="1" x14ac:dyDescent="0.2">
      <c r="A606" s="751">
        <f ca="1">IF($H606="UNIDADE CONSTRUTIVA",OFFSET(A606,-1,0)+1,LARGE(A$3:A605,1))</f>
        <v>0</v>
      </c>
      <c r="B606" s="751">
        <f t="shared" ca="1" si="78"/>
        <v>4</v>
      </c>
      <c r="C606" s="751">
        <f t="shared" ca="1" si="79"/>
        <v>1</v>
      </c>
      <c r="D606" s="752">
        <f t="shared" ca="1" si="80"/>
        <v>2</v>
      </c>
      <c r="E606" s="752">
        <f t="shared" ca="1" si="81"/>
        <v>1</v>
      </c>
      <c r="F606" s="209"/>
      <c r="J606" s="65"/>
      <c r="K606" s="146"/>
      <c r="L606" s="567"/>
      <c r="M606" s="567"/>
      <c r="N606" s="737"/>
      <c r="O606" s="638"/>
      <c r="P606" s="147"/>
      <c r="Q606" s="65"/>
    </row>
    <row r="607" spans="1:17" s="148" customFormat="1" ht="14.1" customHeight="1" x14ac:dyDescent="0.2">
      <c r="A607" s="751">
        <f ca="1">IF($H607="UNIDADE CONSTRUTIVA",OFFSET(A607,-1,0)+1,LARGE(A$3:A606,1))</f>
        <v>0</v>
      </c>
      <c r="B607" s="751">
        <f t="shared" ca="1" si="78"/>
        <v>4</v>
      </c>
      <c r="C607" s="751">
        <f t="shared" ca="1" si="79"/>
        <v>1</v>
      </c>
      <c r="D607" s="752">
        <f t="shared" ca="1" si="80"/>
        <v>2</v>
      </c>
      <c r="E607" s="752">
        <f t="shared" ca="1" si="81"/>
        <v>1</v>
      </c>
      <c r="F607" s="209"/>
      <c r="J607" s="65"/>
      <c r="K607" s="146"/>
      <c r="L607" s="567"/>
      <c r="M607" s="567"/>
      <c r="N607" s="737"/>
      <c r="O607" s="638"/>
      <c r="P607" s="147"/>
      <c r="Q607" s="65"/>
    </row>
    <row r="608" spans="1:17" s="148" customFormat="1" ht="14.1" customHeight="1" x14ac:dyDescent="0.2">
      <c r="A608" s="751">
        <f ca="1">IF($H608="UNIDADE CONSTRUTIVA",OFFSET(A608,-1,0)+1,LARGE(A$3:A607,1))</f>
        <v>0</v>
      </c>
      <c r="B608" s="751">
        <f t="shared" ca="1" si="78"/>
        <v>4</v>
      </c>
      <c r="C608" s="751">
        <f t="shared" ca="1" si="79"/>
        <v>1</v>
      </c>
      <c r="D608" s="752">
        <f t="shared" ca="1" si="80"/>
        <v>2</v>
      </c>
      <c r="E608" s="752">
        <f t="shared" ca="1" si="81"/>
        <v>1</v>
      </c>
      <c r="F608" s="209"/>
      <c r="J608" s="65"/>
      <c r="K608" s="146"/>
      <c r="L608" s="567"/>
      <c r="M608" s="567"/>
      <c r="N608" s="737"/>
      <c r="O608" s="638"/>
      <c r="P608" s="147"/>
      <c r="Q608" s="65"/>
    </row>
    <row r="609" spans="1:17" s="148" customFormat="1" ht="14.1" customHeight="1" x14ac:dyDescent="0.2">
      <c r="A609" s="751">
        <f ca="1">IF($H609="UNIDADE CONSTRUTIVA",OFFSET(A609,-1,0)+1,LARGE(A$3:A608,1))</f>
        <v>0</v>
      </c>
      <c r="B609" s="751">
        <f t="shared" ca="1" si="78"/>
        <v>4</v>
      </c>
      <c r="C609" s="751">
        <f t="shared" ca="1" si="79"/>
        <v>1</v>
      </c>
      <c r="D609" s="752">
        <f t="shared" ca="1" si="80"/>
        <v>2</v>
      </c>
      <c r="E609" s="752">
        <f t="shared" ca="1" si="81"/>
        <v>1</v>
      </c>
      <c r="F609" s="209"/>
      <c r="J609" s="65"/>
      <c r="K609" s="146"/>
      <c r="L609" s="567"/>
      <c r="M609" s="567"/>
      <c r="N609" s="737"/>
      <c r="O609" s="638"/>
      <c r="P609" s="147"/>
      <c r="Q609" s="65"/>
    </row>
    <row r="610" spans="1:17" s="148" customFormat="1" ht="14.1" customHeight="1" x14ac:dyDescent="0.2">
      <c r="A610" s="751">
        <f ca="1">IF($H610="UNIDADE CONSTRUTIVA",OFFSET(A610,-1,0)+1,LARGE(A$3:A609,1))</f>
        <v>0</v>
      </c>
      <c r="B610" s="751">
        <f t="shared" ca="1" si="78"/>
        <v>4</v>
      </c>
      <c r="C610" s="751">
        <f t="shared" ca="1" si="79"/>
        <v>1</v>
      </c>
      <c r="D610" s="752">
        <f t="shared" ca="1" si="80"/>
        <v>2</v>
      </c>
      <c r="E610" s="752">
        <f t="shared" ca="1" si="81"/>
        <v>1</v>
      </c>
      <c r="F610" s="209"/>
      <c r="J610" s="65"/>
      <c r="K610" s="146"/>
      <c r="L610" s="567"/>
      <c r="M610" s="567"/>
      <c r="N610" s="737"/>
      <c r="O610" s="638"/>
      <c r="P610" s="147"/>
      <c r="Q610" s="65"/>
    </row>
    <row r="611" spans="1:17" s="148" customFormat="1" ht="14.1" customHeight="1" x14ac:dyDescent="0.2">
      <c r="A611" s="751">
        <f ca="1">IF($H611="UNIDADE CONSTRUTIVA",OFFSET(A611,-1,0)+1,LARGE(A$3:A610,1))</f>
        <v>0</v>
      </c>
      <c r="B611" s="751">
        <f t="shared" ca="1" si="78"/>
        <v>4</v>
      </c>
      <c r="C611" s="751">
        <f t="shared" ca="1" si="79"/>
        <v>1</v>
      </c>
      <c r="D611" s="752">
        <f t="shared" ca="1" si="80"/>
        <v>2</v>
      </c>
      <c r="E611" s="752">
        <f t="shared" ca="1" si="81"/>
        <v>1</v>
      </c>
      <c r="F611" s="209"/>
      <c r="J611" s="65"/>
      <c r="K611" s="146"/>
      <c r="L611" s="567"/>
      <c r="M611" s="567"/>
      <c r="N611" s="737"/>
      <c r="O611" s="638"/>
      <c r="P611" s="147"/>
      <c r="Q611" s="65"/>
    </row>
    <row r="612" spans="1:17" s="148" customFormat="1" ht="14.1" customHeight="1" x14ac:dyDescent="0.2">
      <c r="A612" s="751">
        <f ca="1">IF($H612="UNIDADE CONSTRUTIVA",OFFSET(A612,-1,0)+1,LARGE(A$3:A611,1))</f>
        <v>0</v>
      </c>
      <c r="B612" s="751">
        <f t="shared" ca="1" si="78"/>
        <v>4</v>
      </c>
      <c r="C612" s="751">
        <f t="shared" ca="1" si="79"/>
        <v>1</v>
      </c>
      <c r="D612" s="752">
        <f t="shared" ca="1" si="80"/>
        <v>2</v>
      </c>
      <c r="E612" s="752">
        <f t="shared" ca="1" si="81"/>
        <v>1</v>
      </c>
      <c r="F612" s="209"/>
      <c r="J612" s="65"/>
      <c r="K612" s="146"/>
      <c r="L612" s="567"/>
      <c r="M612" s="567"/>
      <c r="N612" s="737"/>
      <c r="O612" s="638"/>
      <c r="P612" s="147"/>
      <c r="Q612" s="65"/>
    </row>
    <row r="613" spans="1:17" s="148" customFormat="1" ht="14.1" customHeight="1" x14ac:dyDescent="0.2">
      <c r="A613" s="751">
        <f ca="1">IF($H613="UNIDADE CONSTRUTIVA",OFFSET(A613,-1,0)+1,LARGE(A$3:A612,1))</f>
        <v>0</v>
      </c>
      <c r="B613" s="751">
        <f t="shared" ca="1" si="78"/>
        <v>4</v>
      </c>
      <c r="C613" s="751">
        <f t="shared" ca="1" si="79"/>
        <v>1</v>
      </c>
      <c r="D613" s="752">
        <f t="shared" ca="1" si="80"/>
        <v>2</v>
      </c>
      <c r="E613" s="752">
        <f t="shared" ca="1" si="81"/>
        <v>1</v>
      </c>
      <c r="F613" s="209"/>
      <c r="J613" s="65"/>
      <c r="K613" s="146"/>
      <c r="L613" s="567"/>
      <c r="M613" s="567"/>
      <c r="N613" s="737"/>
      <c r="O613" s="638"/>
      <c r="P613" s="147"/>
      <c r="Q613" s="65"/>
    </row>
    <row r="614" spans="1:17" s="148" customFormat="1" ht="14.1" customHeight="1" x14ac:dyDescent="0.2">
      <c r="A614" s="751">
        <f ca="1">IF($H614="UNIDADE CONSTRUTIVA",OFFSET(A614,-1,0)+1,LARGE(A$3:A613,1))</f>
        <v>0</v>
      </c>
      <c r="B614" s="751">
        <f t="shared" ca="1" si="78"/>
        <v>4</v>
      </c>
      <c r="C614" s="751">
        <f t="shared" ca="1" si="79"/>
        <v>1</v>
      </c>
      <c r="D614" s="752">
        <f t="shared" ca="1" si="80"/>
        <v>2</v>
      </c>
      <c r="E614" s="752">
        <f t="shared" ca="1" si="81"/>
        <v>1</v>
      </c>
      <c r="F614" s="209"/>
      <c r="J614" s="65"/>
      <c r="K614" s="146"/>
      <c r="L614" s="567"/>
      <c r="M614" s="567"/>
      <c r="N614" s="737"/>
      <c r="O614" s="638"/>
      <c r="P614" s="147"/>
      <c r="Q614" s="65"/>
    </row>
    <row r="615" spans="1:17" s="148" customFormat="1" ht="14.1" customHeight="1" x14ac:dyDescent="0.2">
      <c r="A615" s="751">
        <f ca="1">IF($H615="UNIDADE CONSTRUTIVA",OFFSET(A615,-1,0)+1,LARGE(A$3:A614,1))</f>
        <v>0</v>
      </c>
      <c r="B615" s="751">
        <f t="shared" ca="1" si="78"/>
        <v>4</v>
      </c>
      <c r="C615" s="751">
        <f t="shared" ca="1" si="79"/>
        <v>1</v>
      </c>
      <c r="D615" s="752">
        <f t="shared" ca="1" si="80"/>
        <v>2</v>
      </c>
      <c r="E615" s="752">
        <f t="shared" ca="1" si="81"/>
        <v>1</v>
      </c>
      <c r="F615" s="209"/>
      <c r="J615" s="65"/>
      <c r="K615" s="146"/>
      <c r="L615" s="567"/>
      <c r="M615" s="567"/>
      <c r="N615" s="737"/>
      <c r="O615" s="638"/>
      <c r="P615" s="147"/>
      <c r="Q615" s="65"/>
    </row>
    <row r="616" spans="1:17" s="148" customFormat="1" ht="14.1" customHeight="1" x14ac:dyDescent="0.2">
      <c r="A616" s="751">
        <f ca="1">IF($H616="UNIDADE CONSTRUTIVA",OFFSET(A616,-1,0)+1,LARGE(A$3:A615,1))</f>
        <v>0</v>
      </c>
      <c r="B616" s="751">
        <f t="shared" ca="1" si="78"/>
        <v>4</v>
      </c>
      <c r="C616" s="751">
        <f t="shared" ca="1" si="79"/>
        <v>1</v>
      </c>
      <c r="D616" s="752">
        <f t="shared" ca="1" si="80"/>
        <v>2</v>
      </c>
      <c r="E616" s="752">
        <f t="shared" ca="1" si="81"/>
        <v>1</v>
      </c>
      <c r="F616" s="209"/>
      <c r="J616" s="65"/>
      <c r="K616" s="146"/>
      <c r="L616" s="567"/>
      <c r="M616" s="567"/>
      <c r="N616" s="737"/>
      <c r="O616" s="638"/>
      <c r="P616" s="147"/>
      <c r="Q616" s="65"/>
    </row>
    <row r="617" spans="1:17" s="148" customFormat="1" ht="14.1" customHeight="1" x14ac:dyDescent="0.2">
      <c r="A617" s="751">
        <f ca="1">IF($H617="UNIDADE CONSTRUTIVA",OFFSET(A617,-1,0)+1,LARGE(A$3:A616,1))</f>
        <v>0</v>
      </c>
      <c r="B617" s="751">
        <f t="shared" ca="1" si="78"/>
        <v>4</v>
      </c>
      <c r="C617" s="751">
        <f t="shared" ca="1" si="79"/>
        <v>1</v>
      </c>
      <c r="D617" s="752">
        <f t="shared" ca="1" si="80"/>
        <v>2</v>
      </c>
      <c r="E617" s="752">
        <f t="shared" ca="1" si="81"/>
        <v>1</v>
      </c>
      <c r="F617" s="209"/>
      <c r="J617" s="65"/>
      <c r="K617" s="146"/>
      <c r="L617" s="567"/>
      <c r="M617" s="567"/>
      <c r="N617" s="737"/>
      <c r="O617" s="638"/>
      <c r="P617" s="147"/>
      <c r="Q617" s="65"/>
    </row>
    <row r="618" spans="1:17" s="148" customFormat="1" ht="14.1" customHeight="1" x14ac:dyDescent="0.2">
      <c r="A618" s="751">
        <f ca="1">IF($H618="UNIDADE CONSTRUTIVA",OFFSET(A618,-1,0)+1,LARGE(A$3:A617,1))</f>
        <v>0</v>
      </c>
      <c r="B618" s="751">
        <f t="shared" ca="1" si="78"/>
        <v>4</v>
      </c>
      <c r="C618" s="751">
        <f t="shared" ca="1" si="79"/>
        <v>1</v>
      </c>
      <c r="D618" s="752">
        <f t="shared" ca="1" si="80"/>
        <v>2</v>
      </c>
      <c r="E618" s="752">
        <f t="shared" ca="1" si="81"/>
        <v>1</v>
      </c>
      <c r="F618" s="209"/>
      <c r="J618" s="65"/>
      <c r="K618" s="146"/>
      <c r="L618" s="567"/>
      <c r="M618" s="567"/>
      <c r="N618" s="737"/>
      <c r="O618" s="638"/>
      <c r="P618" s="147"/>
      <c r="Q618" s="65"/>
    </row>
    <row r="619" spans="1:17" s="148" customFormat="1" ht="14.1" customHeight="1" x14ac:dyDescent="0.2">
      <c r="A619" s="751">
        <f ca="1">IF($H619="UNIDADE CONSTRUTIVA",OFFSET(A619,-1,0)+1,LARGE(A$3:A618,1))</f>
        <v>0</v>
      </c>
      <c r="B619" s="751">
        <f t="shared" ca="1" si="78"/>
        <v>4</v>
      </c>
      <c r="C619" s="751">
        <f t="shared" ca="1" si="79"/>
        <v>1</v>
      </c>
      <c r="D619" s="752">
        <f t="shared" ca="1" si="80"/>
        <v>2</v>
      </c>
      <c r="E619" s="752">
        <f t="shared" ca="1" si="81"/>
        <v>1</v>
      </c>
      <c r="F619" s="209"/>
      <c r="J619" s="65"/>
      <c r="K619" s="146"/>
      <c r="L619" s="567"/>
      <c r="M619" s="567"/>
      <c r="N619" s="737"/>
      <c r="O619" s="638"/>
      <c r="P619" s="147"/>
      <c r="Q619" s="65"/>
    </row>
    <row r="620" spans="1:17" s="148" customFormat="1" ht="14.1" customHeight="1" x14ac:dyDescent="0.2">
      <c r="A620" s="751">
        <f ca="1">IF($H620="UNIDADE CONSTRUTIVA",OFFSET(A620,-1,0)+1,LARGE(A$3:A619,1))</f>
        <v>0</v>
      </c>
      <c r="B620" s="751">
        <f t="shared" ca="1" si="78"/>
        <v>4</v>
      </c>
      <c r="C620" s="751">
        <f t="shared" ca="1" si="79"/>
        <v>1</v>
      </c>
      <c r="D620" s="752">
        <f t="shared" ca="1" si="80"/>
        <v>2</v>
      </c>
      <c r="E620" s="752">
        <f t="shared" ca="1" si="81"/>
        <v>1</v>
      </c>
      <c r="F620" s="209"/>
      <c r="J620" s="65"/>
      <c r="K620" s="146"/>
      <c r="L620" s="567"/>
      <c r="M620" s="567"/>
      <c r="N620" s="737"/>
      <c r="O620" s="638"/>
      <c r="P620" s="147"/>
      <c r="Q620" s="65"/>
    </row>
    <row r="621" spans="1:17" s="148" customFormat="1" ht="14.1" customHeight="1" x14ac:dyDescent="0.2">
      <c r="A621" s="751">
        <f ca="1">IF($H621="UNIDADE CONSTRUTIVA",OFFSET(A621,-1,0)+1,LARGE(A$3:A620,1))</f>
        <v>0</v>
      </c>
      <c r="B621" s="751">
        <f t="shared" ca="1" si="78"/>
        <v>4</v>
      </c>
      <c r="C621" s="751">
        <f t="shared" ca="1" si="79"/>
        <v>1</v>
      </c>
      <c r="D621" s="752">
        <f t="shared" ca="1" si="80"/>
        <v>2</v>
      </c>
      <c r="E621" s="752">
        <f t="shared" ca="1" si="81"/>
        <v>1</v>
      </c>
      <c r="F621" s="209"/>
      <c r="J621" s="65"/>
      <c r="K621" s="146"/>
      <c r="L621" s="567"/>
      <c r="M621" s="567"/>
      <c r="N621" s="737"/>
      <c r="O621" s="638"/>
      <c r="P621" s="147"/>
      <c r="Q621" s="65"/>
    </row>
    <row r="622" spans="1:17" s="148" customFormat="1" ht="14.1" customHeight="1" x14ac:dyDescent="0.2">
      <c r="A622" s="751">
        <f ca="1">IF($H622="UNIDADE CONSTRUTIVA",OFFSET(A622,-1,0)+1,LARGE(A$3:A621,1))</f>
        <v>0</v>
      </c>
      <c r="B622" s="751">
        <f t="shared" ca="1" si="78"/>
        <v>4</v>
      </c>
      <c r="C622" s="751">
        <f t="shared" ca="1" si="79"/>
        <v>1</v>
      </c>
      <c r="D622" s="752">
        <f t="shared" ca="1" si="80"/>
        <v>2</v>
      </c>
      <c r="E622" s="752">
        <f t="shared" ca="1" si="81"/>
        <v>1</v>
      </c>
      <c r="F622" s="209"/>
      <c r="J622" s="65"/>
      <c r="K622" s="146"/>
      <c r="L622" s="567"/>
      <c r="M622" s="567"/>
      <c r="N622" s="737"/>
      <c r="O622" s="638"/>
      <c r="P622" s="147"/>
      <c r="Q622" s="65"/>
    </row>
    <row r="623" spans="1:17" s="148" customFormat="1" ht="14.1" customHeight="1" x14ac:dyDescent="0.2">
      <c r="A623" s="751">
        <f ca="1">IF($H623="UNIDADE CONSTRUTIVA",OFFSET(A623,-1,0)+1,LARGE(A$3:A622,1))</f>
        <v>0</v>
      </c>
      <c r="B623" s="751">
        <f t="shared" ca="1" si="78"/>
        <v>4</v>
      </c>
      <c r="C623" s="751">
        <f t="shared" ca="1" si="79"/>
        <v>1</v>
      </c>
      <c r="D623" s="752">
        <f t="shared" ca="1" si="80"/>
        <v>2</v>
      </c>
      <c r="E623" s="752">
        <f t="shared" ca="1" si="81"/>
        <v>1</v>
      </c>
      <c r="F623" s="209"/>
      <c r="J623" s="65"/>
      <c r="K623" s="146"/>
      <c r="L623" s="567"/>
      <c r="M623" s="567"/>
      <c r="N623" s="737"/>
      <c r="O623" s="638"/>
      <c r="P623" s="147"/>
      <c r="Q623" s="65"/>
    </row>
    <row r="624" spans="1:17" s="148" customFormat="1" ht="14.1" customHeight="1" x14ac:dyDescent="0.2">
      <c r="A624" s="751">
        <f ca="1">IF($H624="UNIDADE CONSTRUTIVA",OFFSET(A624,-1,0)+1,LARGE(A$3:A623,1))</f>
        <v>0</v>
      </c>
      <c r="B624" s="751">
        <f t="shared" ca="1" si="78"/>
        <v>4</v>
      </c>
      <c r="C624" s="751">
        <f t="shared" ca="1" si="79"/>
        <v>1</v>
      </c>
      <c r="D624" s="752">
        <f t="shared" ca="1" si="80"/>
        <v>2</v>
      </c>
      <c r="E624" s="752">
        <f t="shared" ca="1" si="81"/>
        <v>1</v>
      </c>
      <c r="F624" s="209"/>
      <c r="J624" s="65"/>
      <c r="K624" s="146"/>
      <c r="L624" s="567"/>
      <c r="M624" s="567"/>
      <c r="N624" s="737"/>
      <c r="O624" s="638"/>
      <c r="P624" s="147"/>
      <c r="Q624" s="65"/>
    </row>
    <row r="625" spans="1:17" s="148" customFormat="1" ht="14.1" customHeight="1" x14ac:dyDescent="0.2">
      <c r="A625" s="751">
        <f ca="1">IF($H625="UNIDADE CONSTRUTIVA",OFFSET(A625,-1,0)+1,LARGE(A$3:A624,1))</f>
        <v>0</v>
      </c>
      <c r="B625" s="751">
        <f t="shared" ca="1" si="78"/>
        <v>4</v>
      </c>
      <c r="C625" s="751">
        <f t="shared" ca="1" si="79"/>
        <v>1</v>
      </c>
      <c r="D625" s="752">
        <f t="shared" ca="1" si="80"/>
        <v>2</v>
      </c>
      <c r="E625" s="752">
        <f t="shared" ca="1" si="81"/>
        <v>1</v>
      </c>
      <c r="F625" s="209"/>
      <c r="J625" s="65"/>
      <c r="K625" s="146"/>
      <c r="L625" s="567"/>
      <c r="M625" s="567"/>
      <c r="N625" s="737"/>
      <c r="O625" s="638"/>
      <c r="P625" s="147"/>
      <c r="Q625" s="65"/>
    </row>
    <row r="626" spans="1:17" s="148" customFormat="1" ht="14.1" customHeight="1" x14ac:dyDescent="0.2">
      <c r="A626" s="751">
        <f ca="1">IF($H626="UNIDADE CONSTRUTIVA",OFFSET(A626,-1,0)+1,LARGE(A$3:A625,1))</f>
        <v>0</v>
      </c>
      <c r="B626" s="751">
        <f t="shared" ca="1" si="78"/>
        <v>4</v>
      </c>
      <c r="C626" s="751">
        <f t="shared" ca="1" si="79"/>
        <v>1</v>
      </c>
      <c r="D626" s="752">
        <f t="shared" ca="1" si="80"/>
        <v>2</v>
      </c>
      <c r="E626" s="752">
        <f t="shared" ca="1" si="81"/>
        <v>1</v>
      </c>
      <c r="F626" s="209"/>
      <c r="J626" s="65"/>
      <c r="K626" s="146"/>
      <c r="L626" s="567"/>
      <c r="M626" s="567"/>
      <c r="N626" s="737"/>
      <c r="O626" s="638"/>
      <c r="P626" s="147"/>
      <c r="Q626" s="65"/>
    </row>
    <row r="627" spans="1:17" s="148" customFormat="1" ht="14.1" customHeight="1" x14ac:dyDescent="0.2">
      <c r="A627" s="751">
        <f ca="1">IF($H627="UNIDADE CONSTRUTIVA",OFFSET(A627,-1,0)+1,LARGE(A$3:A626,1))</f>
        <v>0</v>
      </c>
      <c r="B627" s="751">
        <f t="shared" ca="1" si="78"/>
        <v>4</v>
      </c>
      <c r="C627" s="751">
        <f t="shared" ca="1" si="79"/>
        <v>1</v>
      </c>
      <c r="D627" s="752">
        <f t="shared" ca="1" si="80"/>
        <v>2</v>
      </c>
      <c r="E627" s="752">
        <f t="shared" ca="1" si="81"/>
        <v>1</v>
      </c>
      <c r="F627" s="209"/>
      <c r="J627" s="65"/>
      <c r="K627" s="146"/>
      <c r="L627" s="567"/>
      <c r="M627" s="567"/>
      <c r="N627" s="737"/>
      <c r="O627" s="638"/>
      <c r="P627" s="147"/>
      <c r="Q627" s="65"/>
    </row>
    <row r="628" spans="1:17" s="148" customFormat="1" ht="14.1" customHeight="1" x14ac:dyDescent="0.2">
      <c r="A628" s="751">
        <f ca="1">IF($H628="UNIDADE CONSTRUTIVA",OFFSET(A628,-1,0)+1,LARGE(A$3:A627,1))</f>
        <v>0</v>
      </c>
      <c r="B628" s="751">
        <f t="shared" ca="1" si="78"/>
        <v>4</v>
      </c>
      <c r="C628" s="751">
        <f t="shared" ca="1" si="79"/>
        <v>1</v>
      </c>
      <c r="D628" s="752">
        <f t="shared" ca="1" si="80"/>
        <v>2</v>
      </c>
      <c r="E628" s="752">
        <f t="shared" ca="1" si="81"/>
        <v>1</v>
      </c>
      <c r="F628" s="209"/>
      <c r="J628" s="65"/>
      <c r="K628" s="146"/>
      <c r="L628" s="567"/>
      <c r="M628" s="567"/>
      <c r="N628" s="737"/>
      <c r="O628" s="638"/>
      <c r="P628" s="147"/>
      <c r="Q628" s="65"/>
    </row>
    <row r="629" spans="1:17" s="148" customFormat="1" ht="14.1" customHeight="1" x14ac:dyDescent="0.2">
      <c r="A629" s="751">
        <f ca="1">IF($H629="UNIDADE CONSTRUTIVA",OFFSET(A629,-1,0)+1,LARGE(A$3:A628,1))</f>
        <v>0</v>
      </c>
      <c r="B629" s="751">
        <f t="shared" ca="1" si="78"/>
        <v>4</v>
      </c>
      <c r="C629" s="751">
        <f t="shared" ca="1" si="79"/>
        <v>1</v>
      </c>
      <c r="D629" s="752">
        <f t="shared" ca="1" si="80"/>
        <v>2</v>
      </c>
      <c r="E629" s="752">
        <f t="shared" ca="1" si="81"/>
        <v>1</v>
      </c>
      <c r="F629" s="209"/>
      <c r="J629" s="65"/>
      <c r="K629" s="146"/>
      <c r="L629" s="567"/>
      <c r="M629" s="567"/>
      <c r="N629" s="737"/>
      <c r="O629" s="638"/>
      <c r="P629" s="147"/>
      <c r="Q629" s="65"/>
    </row>
    <row r="630" spans="1:17" s="148" customFormat="1" ht="14.1" customHeight="1" x14ac:dyDescent="0.2">
      <c r="A630" s="751">
        <f ca="1">IF($H630="UNIDADE CONSTRUTIVA",OFFSET(A630,-1,0)+1,LARGE(A$3:A629,1))</f>
        <v>0</v>
      </c>
      <c r="B630" s="751">
        <f t="shared" ca="1" si="78"/>
        <v>4</v>
      </c>
      <c r="C630" s="751">
        <f t="shared" ca="1" si="79"/>
        <v>1</v>
      </c>
      <c r="D630" s="752">
        <f t="shared" ca="1" si="80"/>
        <v>2</v>
      </c>
      <c r="E630" s="752">
        <f t="shared" ca="1" si="81"/>
        <v>1</v>
      </c>
      <c r="F630" s="209"/>
      <c r="J630" s="65"/>
      <c r="K630" s="146"/>
      <c r="L630" s="567"/>
      <c r="M630" s="567"/>
      <c r="N630" s="737"/>
      <c r="O630" s="638"/>
      <c r="P630" s="147"/>
      <c r="Q630" s="65"/>
    </row>
    <row r="631" spans="1:17" s="148" customFormat="1" ht="14.1" customHeight="1" x14ac:dyDescent="0.2">
      <c r="A631" s="751">
        <f ca="1">IF($H631="UNIDADE CONSTRUTIVA",OFFSET(A631,-1,0)+1,LARGE(A$3:A630,1))</f>
        <v>0</v>
      </c>
      <c r="B631" s="751">
        <f t="shared" ca="1" si="78"/>
        <v>4</v>
      </c>
      <c r="C631" s="751">
        <f t="shared" ca="1" si="79"/>
        <v>1</v>
      </c>
      <c r="D631" s="752">
        <f t="shared" ca="1" si="80"/>
        <v>2</v>
      </c>
      <c r="E631" s="752">
        <f t="shared" ca="1" si="81"/>
        <v>1</v>
      </c>
      <c r="F631" s="209"/>
      <c r="J631" s="65"/>
      <c r="K631" s="146"/>
      <c r="L631" s="567"/>
      <c r="M631" s="567"/>
      <c r="N631" s="737"/>
      <c r="O631" s="638"/>
      <c r="P631" s="147"/>
      <c r="Q631" s="65"/>
    </row>
    <row r="632" spans="1:17" s="148" customFormat="1" ht="14.1" customHeight="1" x14ac:dyDescent="0.2">
      <c r="A632" s="751">
        <f ca="1">IF($H632="UNIDADE CONSTRUTIVA",OFFSET(A632,-1,0)+1,LARGE(A$3:A631,1))</f>
        <v>0</v>
      </c>
      <c r="B632" s="751">
        <f t="shared" ca="1" si="78"/>
        <v>4</v>
      </c>
      <c r="C632" s="751">
        <f t="shared" ca="1" si="79"/>
        <v>1</v>
      </c>
      <c r="D632" s="752">
        <f t="shared" ca="1" si="80"/>
        <v>2</v>
      </c>
      <c r="E632" s="752">
        <f t="shared" ca="1" si="81"/>
        <v>1</v>
      </c>
      <c r="F632" s="209"/>
      <c r="J632" s="65"/>
      <c r="K632" s="146"/>
      <c r="L632" s="567"/>
      <c r="M632" s="567"/>
      <c r="N632" s="737"/>
      <c r="O632" s="638"/>
      <c r="P632" s="147"/>
      <c r="Q632" s="65"/>
    </row>
    <row r="633" spans="1:17" s="148" customFormat="1" ht="14.1" customHeight="1" x14ac:dyDescent="0.2">
      <c r="A633" s="751">
        <f ca="1">IF($H633="UNIDADE CONSTRUTIVA",OFFSET(A633,-1,0)+1,LARGE(A$3:A632,1))</f>
        <v>0</v>
      </c>
      <c r="B633" s="751">
        <f t="shared" ca="1" si="78"/>
        <v>4</v>
      </c>
      <c r="C633" s="751">
        <f t="shared" ca="1" si="79"/>
        <v>1</v>
      </c>
      <c r="D633" s="752">
        <f t="shared" ca="1" si="80"/>
        <v>2</v>
      </c>
      <c r="E633" s="752">
        <f t="shared" ca="1" si="81"/>
        <v>1</v>
      </c>
      <c r="F633" s="209"/>
      <c r="J633" s="65"/>
      <c r="K633" s="146"/>
      <c r="L633" s="567"/>
      <c r="M633" s="567"/>
      <c r="N633" s="737"/>
      <c r="O633" s="638"/>
      <c r="P633" s="147"/>
      <c r="Q633" s="65"/>
    </row>
    <row r="634" spans="1:17" s="148" customFormat="1" ht="14.1" customHeight="1" x14ac:dyDescent="0.2">
      <c r="A634" s="751">
        <f ca="1">IF($H634="UNIDADE CONSTRUTIVA",OFFSET(A634,-1,0)+1,LARGE(A$3:A633,1))</f>
        <v>0</v>
      </c>
      <c r="B634" s="751">
        <f t="shared" ca="1" si="78"/>
        <v>4</v>
      </c>
      <c r="C634" s="751">
        <f t="shared" ca="1" si="79"/>
        <v>1</v>
      </c>
      <c r="D634" s="752">
        <f t="shared" ca="1" si="80"/>
        <v>2</v>
      </c>
      <c r="E634" s="752">
        <f t="shared" ca="1" si="81"/>
        <v>1</v>
      </c>
      <c r="F634" s="209"/>
      <c r="J634" s="65"/>
      <c r="K634" s="146"/>
      <c r="L634" s="567"/>
      <c r="M634" s="567"/>
      <c r="N634" s="737"/>
      <c r="O634" s="638"/>
      <c r="P634" s="147"/>
      <c r="Q634" s="65"/>
    </row>
    <row r="635" spans="1:17" s="148" customFormat="1" ht="14.1" customHeight="1" x14ac:dyDescent="0.2">
      <c r="A635" s="751">
        <f ca="1">IF($H635="UNIDADE CONSTRUTIVA",OFFSET(A635,-1,0)+1,LARGE(A$3:A634,1))</f>
        <v>0</v>
      </c>
      <c r="B635" s="751">
        <f t="shared" ca="1" si="78"/>
        <v>4</v>
      </c>
      <c r="C635" s="751">
        <f t="shared" ca="1" si="79"/>
        <v>1</v>
      </c>
      <c r="D635" s="752">
        <f t="shared" ca="1" si="80"/>
        <v>2</v>
      </c>
      <c r="E635" s="752">
        <f t="shared" ca="1" si="81"/>
        <v>1</v>
      </c>
      <c r="F635" s="209"/>
      <c r="J635" s="65"/>
      <c r="K635" s="146"/>
      <c r="L635" s="567"/>
      <c r="M635" s="567"/>
      <c r="N635" s="737"/>
      <c r="O635" s="638"/>
      <c r="P635" s="147"/>
      <c r="Q635" s="65"/>
    </row>
    <row r="636" spans="1:17" s="148" customFormat="1" ht="14.1" customHeight="1" x14ac:dyDescent="0.2">
      <c r="A636" s="751">
        <f ca="1">IF($H636="UNIDADE CONSTRUTIVA",OFFSET(A636,-1,0)+1,LARGE(A$3:A635,1))</f>
        <v>0</v>
      </c>
      <c r="B636" s="751">
        <f t="shared" ca="1" si="78"/>
        <v>4</v>
      </c>
      <c r="C636" s="751">
        <f t="shared" ca="1" si="79"/>
        <v>1</v>
      </c>
      <c r="D636" s="752">
        <f t="shared" ca="1" si="80"/>
        <v>2</v>
      </c>
      <c r="E636" s="752">
        <f t="shared" ca="1" si="81"/>
        <v>1</v>
      </c>
      <c r="F636" s="209"/>
      <c r="J636" s="65"/>
      <c r="K636" s="146"/>
      <c r="L636" s="567"/>
      <c r="M636" s="567"/>
      <c r="N636" s="737"/>
      <c r="O636" s="638"/>
      <c r="P636" s="147"/>
      <c r="Q636" s="65"/>
    </row>
    <row r="637" spans="1:17" s="148" customFormat="1" ht="14.1" customHeight="1" x14ac:dyDescent="0.2">
      <c r="A637" s="751">
        <f ca="1">IF($H637="UNIDADE CONSTRUTIVA",OFFSET(A637,-1,0)+1,LARGE(A$3:A636,1))</f>
        <v>0</v>
      </c>
      <c r="B637" s="751">
        <f t="shared" ca="1" si="78"/>
        <v>4</v>
      </c>
      <c r="C637" s="751">
        <f t="shared" ca="1" si="79"/>
        <v>1</v>
      </c>
      <c r="D637" s="752">
        <f t="shared" ca="1" si="80"/>
        <v>2</v>
      </c>
      <c r="E637" s="752">
        <f t="shared" ca="1" si="81"/>
        <v>1</v>
      </c>
      <c r="F637" s="209"/>
      <c r="J637" s="65"/>
      <c r="K637" s="146"/>
      <c r="L637" s="567"/>
      <c r="M637" s="567"/>
      <c r="N637" s="737"/>
      <c r="O637" s="638"/>
      <c r="P637" s="147"/>
      <c r="Q637" s="65"/>
    </row>
    <row r="638" spans="1:17" s="148" customFormat="1" ht="14.1" customHeight="1" x14ac:dyDescent="0.2">
      <c r="A638" s="751">
        <f ca="1">IF($H638="UNIDADE CONSTRUTIVA",OFFSET(A638,-1,0)+1,LARGE(A$3:A637,1))</f>
        <v>0</v>
      </c>
      <c r="B638" s="751">
        <f t="shared" ca="1" si="78"/>
        <v>4</v>
      </c>
      <c r="C638" s="751">
        <f t="shared" ca="1" si="79"/>
        <v>1</v>
      </c>
      <c r="D638" s="752">
        <f t="shared" ca="1" si="80"/>
        <v>2</v>
      </c>
      <c r="E638" s="752">
        <f t="shared" ca="1" si="81"/>
        <v>1</v>
      </c>
      <c r="F638" s="209"/>
      <c r="J638" s="65"/>
      <c r="K638" s="146"/>
      <c r="L638" s="567"/>
      <c r="M638" s="567"/>
      <c r="N638" s="737"/>
      <c r="O638" s="638"/>
      <c r="P638" s="147"/>
      <c r="Q638" s="65"/>
    </row>
    <row r="639" spans="1:17" s="148" customFormat="1" ht="14.1" customHeight="1" x14ac:dyDescent="0.2">
      <c r="A639" s="751">
        <f ca="1">IF($H639="UNIDADE CONSTRUTIVA",OFFSET(A639,-1,0)+1,LARGE(A$3:A638,1))</f>
        <v>0</v>
      </c>
      <c r="B639" s="751">
        <f t="shared" ca="1" si="78"/>
        <v>4</v>
      </c>
      <c r="C639" s="751">
        <f t="shared" ca="1" si="79"/>
        <v>1</v>
      </c>
      <c r="D639" s="752">
        <f t="shared" ca="1" si="80"/>
        <v>2</v>
      </c>
      <c r="E639" s="752">
        <f t="shared" ca="1" si="81"/>
        <v>1</v>
      </c>
      <c r="F639" s="209"/>
      <c r="J639" s="65"/>
      <c r="K639" s="146"/>
      <c r="L639" s="567"/>
      <c r="M639" s="567"/>
      <c r="N639" s="737"/>
      <c r="O639" s="638"/>
      <c r="P639" s="147"/>
      <c r="Q639" s="65"/>
    </row>
    <row r="640" spans="1:17" s="148" customFormat="1" ht="14.1" customHeight="1" x14ac:dyDescent="0.2">
      <c r="A640" s="751">
        <f ca="1">IF($H640="UNIDADE CONSTRUTIVA",OFFSET(A640,-1,0)+1,LARGE(A$3:A639,1))</f>
        <v>0</v>
      </c>
      <c r="B640" s="751">
        <f t="shared" ca="1" si="78"/>
        <v>4</v>
      </c>
      <c r="C640" s="751">
        <f t="shared" ca="1" si="79"/>
        <v>1</v>
      </c>
      <c r="D640" s="752">
        <f t="shared" ca="1" si="80"/>
        <v>2</v>
      </c>
      <c r="E640" s="752">
        <f t="shared" ca="1" si="81"/>
        <v>1</v>
      </c>
      <c r="F640" s="209"/>
      <c r="J640" s="65"/>
      <c r="K640" s="146"/>
      <c r="L640" s="567"/>
      <c r="M640" s="567"/>
      <c r="N640" s="737"/>
      <c r="O640" s="638"/>
      <c r="P640" s="147"/>
      <c r="Q640" s="65"/>
    </row>
    <row r="641" spans="1:17" s="148" customFormat="1" ht="14.1" customHeight="1" x14ac:dyDescent="0.2">
      <c r="A641" s="751">
        <f ca="1">IF($H641="UNIDADE CONSTRUTIVA",OFFSET(A641,-1,0)+1,LARGE(A$3:A640,1))</f>
        <v>0</v>
      </c>
      <c r="B641" s="751">
        <f t="shared" ca="1" si="78"/>
        <v>4</v>
      </c>
      <c r="C641" s="751">
        <f t="shared" ca="1" si="79"/>
        <v>1</v>
      </c>
      <c r="D641" s="752">
        <f t="shared" ca="1" si="80"/>
        <v>2</v>
      </c>
      <c r="E641" s="752">
        <f t="shared" ca="1" si="81"/>
        <v>1</v>
      </c>
      <c r="F641" s="209"/>
      <c r="J641" s="65"/>
      <c r="K641" s="146"/>
      <c r="L641" s="567"/>
      <c r="M641" s="567"/>
      <c r="N641" s="737"/>
      <c r="O641" s="638"/>
      <c r="P641" s="147"/>
      <c r="Q641" s="65"/>
    </row>
    <row r="642" spans="1:17" s="148" customFormat="1" ht="14.1" customHeight="1" x14ac:dyDescent="0.2">
      <c r="A642" s="751">
        <f ca="1">IF($H642="UNIDADE CONSTRUTIVA",OFFSET(A642,-1,0)+1,LARGE(A$3:A641,1))</f>
        <v>0</v>
      </c>
      <c r="B642" s="751">
        <f t="shared" ca="1" si="78"/>
        <v>4</v>
      </c>
      <c r="C642" s="751">
        <f t="shared" ca="1" si="79"/>
        <v>1</v>
      </c>
      <c r="D642" s="752">
        <f t="shared" ca="1" si="80"/>
        <v>2</v>
      </c>
      <c r="E642" s="752">
        <f t="shared" ca="1" si="81"/>
        <v>1</v>
      </c>
      <c r="F642" s="209"/>
      <c r="J642" s="65"/>
      <c r="K642" s="146"/>
      <c r="L642" s="567"/>
      <c r="M642" s="567"/>
      <c r="N642" s="737"/>
      <c r="O642" s="638"/>
      <c r="P642" s="147"/>
      <c r="Q642" s="65"/>
    </row>
    <row r="643" spans="1:17" s="148" customFormat="1" ht="14.1" customHeight="1" x14ac:dyDescent="0.2">
      <c r="A643" s="751">
        <f ca="1">IF($H643="UNIDADE CONSTRUTIVA",OFFSET(A643,-1,0)+1,LARGE(A$3:A642,1))</f>
        <v>0</v>
      </c>
      <c r="B643" s="751">
        <f t="shared" ca="1" si="78"/>
        <v>4</v>
      </c>
      <c r="C643" s="751">
        <f t="shared" ca="1" si="79"/>
        <v>1</v>
      </c>
      <c r="D643" s="752">
        <f t="shared" ca="1" si="80"/>
        <v>2</v>
      </c>
      <c r="E643" s="752">
        <f t="shared" ca="1" si="81"/>
        <v>1</v>
      </c>
      <c r="F643" s="209"/>
      <c r="J643" s="65"/>
      <c r="K643" s="146"/>
      <c r="L643" s="567"/>
      <c r="M643" s="567"/>
      <c r="N643" s="737"/>
      <c r="O643" s="638"/>
      <c r="P643" s="147"/>
      <c r="Q643" s="65"/>
    </row>
    <row r="644" spans="1:17" s="148" customFormat="1" ht="14.1" customHeight="1" x14ac:dyDescent="0.2">
      <c r="A644" s="751">
        <f ca="1">IF($H644="UNIDADE CONSTRUTIVA",OFFSET(A644,-1,0)+1,LARGE(A$3:A643,1))</f>
        <v>0</v>
      </c>
      <c r="B644" s="751">
        <f t="shared" ca="1" si="78"/>
        <v>4</v>
      </c>
      <c r="C644" s="751">
        <f t="shared" ca="1" si="79"/>
        <v>1</v>
      </c>
      <c r="D644" s="752">
        <f t="shared" ca="1" si="80"/>
        <v>2</v>
      </c>
      <c r="E644" s="752">
        <f t="shared" ca="1" si="81"/>
        <v>1</v>
      </c>
      <c r="F644" s="209"/>
      <c r="J644" s="65"/>
      <c r="K644" s="146"/>
      <c r="L644" s="567"/>
      <c r="M644" s="567"/>
      <c r="N644" s="737"/>
      <c r="O644" s="638"/>
      <c r="P644" s="147"/>
      <c r="Q644" s="65"/>
    </row>
    <row r="645" spans="1:17" s="148" customFormat="1" ht="14.1" customHeight="1" x14ac:dyDescent="0.2">
      <c r="A645" s="751">
        <f ca="1">IF($H645="UNIDADE CONSTRUTIVA",OFFSET(A645,-1,0)+1,LARGE(A$3:A644,1))</f>
        <v>0</v>
      </c>
      <c r="B645" s="751">
        <f t="shared" ca="1" si="78"/>
        <v>4</v>
      </c>
      <c r="C645" s="751">
        <f t="shared" ca="1" si="79"/>
        <v>1</v>
      </c>
      <c r="D645" s="752">
        <f t="shared" ca="1" si="80"/>
        <v>2</v>
      </c>
      <c r="E645" s="752">
        <f t="shared" ca="1" si="81"/>
        <v>1</v>
      </c>
      <c r="F645" s="209"/>
      <c r="J645" s="65"/>
      <c r="K645" s="146"/>
      <c r="L645" s="567"/>
      <c r="M645" s="567"/>
      <c r="N645" s="737"/>
      <c r="O645" s="638"/>
      <c r="P645" s="147"/>
      <c r="Q645" s="65"/>
    </row>
    <row r="646" spans="1:17" s="148" customFormat="1" ht="14.1" customHeight="1" x14ac:dyDescent="0.2">
      <c r="A646" s="751">
        <f ca="1">IF($H646="UNIDADE CONSTRUTIVA",OFFSET(A646,-1,0)+1,LARGE(A$3:A645,1))</f>
        <v>0</v>
      </c>
      <c r="B646" s="751">
        <f t="shared" ca="1" si="78"/>
        <v>4</v>
      </c>
      <c r="C646" s="751">
        <f t="shared" ca="1" si="79"/>
        <v>1</v>
      </c>
      <c r="D646" s="752">
        <f t="shared" ca="1" si="80"/>
        <v>2</v>
      </c>
      <c r="E646" s="752">
        <f t="shared" ca="1" si="81"/>
        <v>1</v>
      </c>
      <c r="F646" s="209"/>
      <c r="J646" s="65"/>
      <c r="K646" s="146"/>
      <c r="L646" s="567"/>
      <c r="M646" s="567"/>
      <c r="N646" s="737"/>
      <c r="O646" s="638"/>
      <c r="P646" s="147"/>
      <c r="Q646" s="65"/>
    </row>
    <row r="647" spans="1:17" s="148" customFormat="1" ht="14.1" customHeight="1" x14ac:dyDescent="0.2">
      <c r="A647" s="751">
        <f ca="1">IF($H647="UNIDADE CONSTRUTIVA",OFFSET(A647,-1,0)+1,LARGE(A$3:A646,1))</f>
        <v>0</v>
      </c>
      <c r="B647" s="751">
        <f t="shared" ca="1" si="78"/>
        <v>4</v>
      </c>
      <c r="C647" s="751">
        <f t="shared" ca="1" si="79"/>
        <v>1</v>
      </c>
      <c r="D647" s="752">
        <f t="shared" ca="1" si="80"/>
        <v>2</v>
      </c>
      <c r="E647" s="752">
        <f t="shared" ca="1" si="81"/>
        <v>1</v>
      </c>
      <c r="F647" s="209"/>
      <c r="J647" s="65"/>
      <c r="K647" s="146"/>
      <c r="L647" s="567"/>
      <c r="M647" s="567"/>
      <c r="N647" s="737"/>
      <c r="O647" s="638"/>
      <c r="P647" s="147"/>
      <c r="Q647" s="65"/>
    </row>
    <row r="648" spans="1:17" s="148" customFormat="1" ht="14.1" customHeight="1" x14ac:dyDescent="0.2">
      <c r="A648" s="751">
        <f ca="1">IF($H648="UNIDADE CONSTRUTIVA",OFFSET(A648,-1,0)+1,LARGE(A$3:A647,1))</f>
        <v>0</v>
      </c>
      <c r="B648" s="751">
        <f t="shared" ca="1" si="78"/>
        <v>4</v>
      </c>
      <c r="C648" s="751">
        <f t="shared" ca="1" si="79"/>
        <v>1</v>
      </c>
      <c r="D648" s="752">
        <f t="shared" ca="1" si="80"/>
        <v>2</v>
      </c>
      <c r="E648" s="752">
        <f t="shared" ca="1" si="81"/>
        <v>1</v>
      </c>
      <c r="F648" s="209"/>
      <c r="J648" s="65"/>
      <c r="K648" s="146"/>
      <c r="L648" s="567"/>
      <c r="M648" s="567"/>
      <c r="N648" s="737"/>
      <c r="O648" s="638"/>
      <c r="P648" s="147"/>
      <c r="Q648" s="65"/>
    </row>
    <row r="649" spans="1:17" s="148" customFormat="1" ht="14.1" customHeight="1" x14ac:dyDescent="0.2">
      <c r="A649" s="751">
        <f ca="1">IF($H649="UNIDADE CONSTRUTIVA",OFFSET(A649,-1,0)+1,LARGE(A$3:A648,1))</f>
        <v>0</v>
      </c>
      <c r="B649" s="751">
        <f t="shared" ca="1" si="78"/>
        <v>4</v>
      </c>
      <c r="C649" s="751">
        <f t="shared" ca="1" si="79"/>
        <v>1</v>
      </c>
      <c r="D649" s="752">
        <f t="shared" ca="1" si="80"/>
        <v>2</v>
      </c>
      <c r="E649" s="752">
        <f t="shared" ca="1" si="81"/>
        <v>1</v>
      </c>
      <c r="F649" s="209"/>
      <c r="J649" s="65"/>
      <c r="K649" s="146"/>
      <c r="L649" s="567"/>
      <c r="M649" s="567"/>
      <c r="N649" s="737"/>
      <c r="O649" s="638"/>
      <c r="P649" s="147"/>
      <c r="Q649" s="65"/>
    </row>
    <row r="650" spans="1:17" s="148" customFormat="1" ht="14.1" customHeight="1" x14ac:dyDescent="0.2">
      <c r="A650" s="751">
        <f ca="1">IF($H650="UNIDADE CONSTRUTIVA",OFFSET(A650,-1,0)+1,LARGE(A$3:A649,1))</f>
        <v>0</v>
      </c>
      <c r="B650" s="751">
        <f t="shared" ca="1" si="78"/>
        <v>4</v>
      </c>
      <c r="C650" s="751">
        <f t="shared" ca="1" si="79"/>
        <v>1</v>
      </c>
      <c r="D650" s="752">
        <f t="shared" ca="1" si="80"/>
        <v>2</v>
      </c>
      <c r="E650" s="752">
        <f t="shared" ca="1" si="81"/>
        <v>1</v>
      </c>
      <c r="F650" s="209"/>
      <c r="J650" s="65"/>
      <c r="K650" s="146"/>
      <c r="L650" s="567"/>
      <c r="M650" s="567"/>
      <c r="N650" s="737"/>
      <c r="O650" s="638"/>
      <c r="P650" s="147"/>
      <c r="Q650" s="65"/>
    </row>
    <row r="651" spans="1:17" s="148" customFormat="1" ht="14.1" customHeight="1" x14ac:dyDescent="0.2">
      <c r="A651" s="751">
        <f ca="1">IF($H651="UNIDADE CONSTRUTIVA",OFFSET(A651,-1,0)+1,LARGE(A$3:A650,1))</f>
        <v>0</v>
      </c>
      <c r="B651" s="751">
        <f t="shared" ca="1" si="78"/>
        <v>4</v>
      </c>
      <c r="C651" s="751">
        <f t="shared" ca="1" si="79"/>
        <v>1</v>
      </c>
      <c r="D651" s="752">
        <f t="shared" ca="1" si="80"/>
        <v>2</v>
      </c>
      <c r="E651" s="752">
        <f t="shared" ca="1" si="81"/>
        <v>1</v>
      </c>
      <c r="F651" s="65"/>
      <c r="J651" s="65"/>
      <c r="K651" s="146"/>
      <c r="L651" s="567"/>
      <c r="M651" s="567"/>
      <c r="N651" s="737"/>
      <c r="O651" s="638"/>
      <c r="P651" s="147"/>
      <c r="Q651" s="65"/>
    </row>
    <row r="652" spans="1:17" s="148" customFormat="1" ht="14.1" customHeight="1" x14ac:dyDescent="0.2">
      <c r="A652" s="751">
        <f ca="1">IF($H652="UNIDADE CONSTRUTIVA",OFFSET(A652,-1,0)+1,LARGE(A$3:A651,1))</f>
        <v>0</v>
      </c>
      <c r="B652" s="751">
        <f t="shared" ca="1" si="78"/>
        <v>4</v>
      </c>
      <c r="C652" s="751">
        <f t="shared" ca="1" si="79"/>
        <v>1</v>
      </c>
      <c r="D652" s="752">
        <f t="shared" ca="1" si="80"/>
        <v>2</v>
      </c>
      <c r="E652" s="752">
        <f t="shared" ca="1" si="81"/>
        <v>1</v>
      </c>
      <c r="F652" s="65"/>
      <c r="J652" s="65"/>
      <c r="K652" s="146"/>
      <c r="L652" s="567"/>
      <c r="M652" s="567"/>
      <c r="N652" s="737"/>
      <c r="O652" s="638"/>
      <c r="P652" s="147"/>
      <c r="Q652" s="65"/>
    </row>
    <row r="653" spans="1:17" s="148" customFormat="1" ht="14.1" customHeight="1" x14ac:dyDescent="0.2">
      <c r="A653" s="751">
        <f ca="1">IF($H653="UNIDADE CONSTRUTIVA",OFFSET(A653,-1,0)+1,LARGE(A$3:A652,1))</f>
        <v>0</v>
      </c>
      <c r="B653" s="751">
        <f t="shared" ca="1" si="78"/>
        <v>4</v>
      </c>
      <c r="C653" s="751">
        <f t="shared" ca="1" si="79"/>
        <v>1</v>
      </c>
      <c r="D653" s="752">
        <f t="shared" ca="1" si="80"/>
        <v>2</v>
      </c>
      <c r="E653" s="752">
        <f t="shared" ca="1" si="81"/>
        <v>1</v>
      </c>
      <c r="F653" s="65"/>
      <c r="J653" s="65"/>
      <c r="K653" s="146"/>
      <c r="L653" s="567"/>
      <c r="M653" s="567"/>
      <c r="N653" s="737"/>
      <c r="O653" s="638"/>
      <c r="P653" s="147"/>
      <c r="Q653" s="65"/>
    </row>
    <row r="654" spans="1:17" s="148" customFormat="1" ht="14.1" customHeight="1" x14ac:dyDescent="0.2">
      <c r="A654" s="751">
        <f ca="1">IF($H654="UNIDADE CONSTRUTIVA",OFFSET(A654,-1,0)+1,LARGE(A$3:A653,1))</f>
        <v>0</v>
      </c>
      <c r="B654" s="751">
        <f t="shared" ca="1" si="78"/>
        <v>4</v>
      </c>
      <c r="C654" s="751">
        <f t="shared" ca="1" si="79"/>
        <v>1</v>
      </c>
      <c r="D654" s="752">
        <f t="shared" ca="1" si="80"/>
        <v>2</v>
      </c>
      <c r="E654" s="752">
        <f t="shared" ca="1" si="81"/>
        <v>1</v>
      </c>
      <c r="F654" s="65"/>
      <c r="J654" s="65"/>
      <c r="K654" s="146"/>
      <c r="L654" s="567"/>
      <c r="M654" s="567"/>
      <c r="N654" s="737"/>
      <c r="O654" s="638"/>
      <c r="P654" s="147"/>
      <c r="Q654" s="65"/>
    </row>
    <row r="655" spans="1:17" s="148" customFormat="1" ht="14.1" customHeight="1" x14ac:dyDescent="0.2">
      <c r="A655" s="751">
        <f ca="1">IF($H655="UNIDADE CONSTRUTIVA",OFFSET(A655,-1,0)+1,LARGE(A$3:A654,1))</f>
        <v>0</v>
      </c>
      <c r="B655" s="751">
        <f t="shared" ca="1" si="78"/>
        <v>4</v>
      </c>
      <c r="C655" s="751">
        <f t="shared" ca="1" si="79"/>
        <v>1</v>
      </c>
      <c r="D655" s="752">
        <f t="shared" ca="1" si="80"/>
        <v>2</v>
      </c>
      <c r="E655" s="752">
        <f t="shared" ca="1" si="81"/>
        <v>1</v>
      </c>
      <c r="F655" s="65"/>
      <c r="J655" s="65"/>
      <c r="K655" s="146"/>
      <c r="L655" s="567"/>
      <c r="M655" s="567"/>
      <c r="N655" s="737"/>
      <c r="O655" s="638"/>
      <c r="P655" s="147"/>
      <c r="Q655" s="65"/>
    </row>
    <row r="656" spans="1:17" s="148" customFormat="1" ht="14.1" customHeight="1" x14ac:dyDescent="0.2">
      <c r="A656" s="751">
        <f ca="1">IF($H656="UNIDADE CONSTRUTIVA",OFFSET(A656,-1,0)+1,LARGE(A$3:A655,1))</f>
        <v>0</v>
      </c>
      <c r="B656" s="751">
        <f t="shared" ca="1" si="78"/>
        <v>4</v>
      </c>
      <c r="C656" s="751">
        <f t="shared" ca="1" si="79"/>
        <v>1</v>
      </c>
      <c r="D656" s="752">
        <f t="shared" ca="1" si="80"/>
        <v>2</v>
      </c>
      <c r="E656" s="752">
        <f t="shared" ca="1" si="81"/>
        <v>1</v>
      </c>
      <c r="F656" s="65"/>
      <c r="J656" s="65"/>
      <c r="K656" s="146"/>
      <c r="L656" s="567"/>
      <c r="M656" s="567"/>
      <c r="N656" s="737"/>
      <c r="O656" s="638"/>
      <c r="P656" s="147"/>
      <c r="Q656" s="65"/>
    </row>
    <row r="657" spans="1:17" s="148" customFormat="1" ht="14.1" customHeight="1" x14ac:dyDescent="0.2">
      <c r="A657" s="751">
        <f ca="1">IF($H657="UNIDADE CONSTRUTIVA",OFFSET(A657,-1,0)+1,LARGE(A$3:A656,1))</f>
        <v>0</v>
      </c>
      <c r="B657" s="751">
        <f t="shared" ca="1" si="78"/>
        <v>4</v>
      </c>
      <c r="C657" s="751">
        <f t="shared" ca="1" si="79"/>
        <v>1</v>
      </c>
      <c r="D657" s="752">
        <f t="shared" ca="1" si="80"/>
        <v>2</v>
      </c>
      <c r="E657" s="752">
        <f t="shared" ca="1" si="81"/>
        <v>1</v>
      </c>
      <c r="F657" s="65"/>
      <c r="J657" s="65"/>
      <c r="K657" s="146"/>
      <c r="L657" s="567"/>
      <c r="M657" s="567"/>
      <c r="N657" s="737"/>
      <c r="O657" s="638"/>
      <c r="P657" s="147"/>
      <c r="Q657" s="65"/>
    </row>
    <row r="658" spans="1:17" s="148" customFormat="1" ht="14.1" customHeight="1" x14ac:dyDescent="0.2">
      <c r="A658" s="751">
        <f ca="1">IF($H658="UNIDADE CONSTRUTIVA",OFFSET(A658,-1,0)+1,LARGE(A$3:A657,1))</f>
        <v>0</v>
      </c>
      <c r="B658" s="751">
        <f t="shared" ca="1" si="78"/>
        <v>4</v>
      </c>
      <c r="C658" s="751">
        <f t="shared" ca="1" si="79"/>
        <v>1</v>
      </c>
      <c r="D658" s="752">
        <f t="shared" ca="1" si="80"/>
        <v>2</v>
      </c>
      <c r="E658" s="752">
        <f t="shared" ca="1" si="81"/>
        <v>1</v>
      </c>
      <c r="F658" s="65"/>
      <c r="J658" s="65"/>
      <c r="K658" s="146"/>
      <c r="L658" s="567"/>
      <c r="M658" s="567"/>
      <c r="N658" s="737"/>
      <c r="O658" s="638"/>
      <c r="P658" s="147"/>
      <c r="Q658" s="65"/>
    </row>
    <row r="659" spans="1:17" s="148" customFormat="1" ht="14.1" customHeight="1" x14ac:dyDescent="0.2">
      <c r="A659" s="751">
        <f ca="1">IF($H659="UNIDADE CONSTRUTIVA",OFFSET(A659,-1,0)+1,LARGE(A$3:A658,1))</f>
        <v>0</v>
      </c>
      <c r="B659" s="751">
        <f t="shared" ca="1" si="78"/>
        <v>4</v>
      </c>
      <c r="C659" s="751">
        <f t="shared" ca="1" si="79"/>
        <v>1</v>
      </c>
      <c r="D659" s="752">
        <f t="shared" ca="1" si="80"/>
        <v>2</v>
      </c>
      <c r="E659" s="752">
        <f t="shared" ca="1" si="81"/>
        <v>1</v>
      </c>
      <c r="F659" s="65"/>
      <c r="J659" s="65"/>
      <c r="K659" s="146"/>
      <c r="L659" s="567"/>
      <c r="M659" s="567"/>
      <c r="N659" s="737"/>
      <c r="O659" s="638"/>
      <c r="P659" s="147"/>
      <c r="Q659" s="65"/>
    </row>
    <row r="660" spans="1:17" s="148" customFormat="1" ht="14.1" customHeight="1" x14ac:dyDescent="0.2">
      <c r="A660" s="751">
        <f ca="1">IF($H660="UNIDADE CONSTRUTIVA",OFFSET(A660,-1,0)+1,LARGE(A$3:A659,1))</f>
        <v>0</v>
      </c>
      <c r="B660" s="751">
        <f t="shared" ca="1" si="78"/>
        <v>4</v>
      </c>
      <c r="C660" s="751">
        <f t="shared" ca="1" si="79"/>
        <v>1</v>
      </c>
      <c r="D660" s="752">
        <f t="shared" ca="1" si="80"/>
        <v>2</v>
      </c>
      <c r="E660" s="752">
        <f t="shared" ca="1" si="81"/>
        <v>1</v>
      </c>
      <c r="F660" s="65"/>
      <c r="J660" s="65"/>
      <c r="K660" s="146"/>
      <c r="L660" s="567"/>
      <c r="M660" s="567"/>
      <c r="N660" s="737"/>
      <c r="O660" s="638"/>
      <c r="P660" s="147"/>
      <c r="Q660" s="65"/>
    </row>
    <row r="661" spans="1:17" s="148" customFormat="1" ht="14.1" customHeight="1" x14ac:dyDescent="0.2">
      <c r="A661" s="751">
        <f ca="1">IF($H661="UNIDADE CONSTRUTIVA",OFFSET(A661,-1,0)+1,LARGE(A$3:A660,1))</f>
        <v>0</v>
      </c>
      <c r="B661" s="751">
        <f t="shared" ca="1" si="78"/>
        <v>4</v>
      </c>
      <c r="C661" s="751">
        <f t="shared" ca="1" si="79"/>
        <v>1</v>
      </c>
      <c r="D661" s="752">
        <f t="shared" ca="1" si="80"/>
        <v>2</v>
      </c>
      <c r="E661" s="752">
        <f t="shared" ca="1" si="81"/>
        <v>1</v>
      </c>
      <c r="F661" s="65"/>
      <c r="J661" s="65"/>
      <c r="K661" s="146"/>
      <c r="L661" s="567"/>
      <c r="M661" s="567"/>
      <c r="N661" s="737"/>
      <c r="O661" s="638"/>
      <c r="P661" s="147"/>
      <c r="Q661" s="65"/>
    </row>
    <row r="662" spans="1:17" s="148" customFormat="1" ht="14.1" customHeight="1" x14ac:dyDescent="0.2">
      <c r="A662" s="751">
        <f ca="1">IF($H662="UNIDADE CONSTRUTIVA",OFFSET(A662,-1,0)+1,LARGE(A$3:A661,1))</f>
        <v>0</v>
      </c>
      <c r="B662" s="751">
        <f t="shared" ca="1" si="78"/>
        <v>4</v>
      </c>
      <c r="C662" s="751">
        <f t="shared" ca="1" si="79"/>
        <v>1</v>
      </c>
      <c r="D662" s="752">
        <f t="shared" ca="1" si="80"/>
        <v>2</v>
      </c>
      <c r="E662" s="752">
        <f t="shared" ca="1" si="81"/>
        <v>1</v>
      </c>
      <c r="F662" s="65"/>
      <c r="J662" s="65"/>
      <c r="K662" s="146"/>
      <c r="L662" s="567"/>
      <c r="M662" s="567"/>
      <c r="N662" s="737"/>
      <c r="O662" s="638"/>
      <c r="P662" s="147"/>
      <c r="Q662" s="65"/>
    </row>
    <row r="663" spans="1:17" ht="14.1" customHeight="1" x14ac:dyDescent="0.2">
      <c r="A663" s="751">
        <f ca="1">IF($H663="UNIDADE CONSTRUTIVA",OFFSET(A663,-1,0)+1,LARGE(A$3:A662,1))</f>
        <v>0</v>
      </c>
      <c r="B663" s="751">
        <f t="shared" ca="1" si="78"/>
        <v>4</v>
      </c>
      <c r="C663" s="751">
        <f t="shared" ca="1" si="79"/>
        <v>1</v>
      </c>
      <c r="D663" s="752">
        <f t="shared" ca="1" si="80"/>
        <v>2</v>
      </c>
      <c r="E663" s="752">
        <f t="shared" ca="1" si="81"/>
        <v>1</v>
      </c>
    </row>
    <row r="664" spans="1:17" ht="14.1" customHeight="1" x14ac:dyDescent="0.2">
      <c r="A664" s="751">
        <f ca="1">IF($H664="UNIDADE CONSTRUTIVA",OFFSET(A664,-1,0)+1,LARGE(A$3:A663,1))</f>
        <v>0</v>
      </c>
      <c r="B664" s="751">
        <f t="shared" ref="B664:B708" ca="1" si="82">IF(H664="UNIDADE CONSTRUTIVA",0,IF(H664="CÉLULA CONSTRUTIVA",OFFSET(B664,-1,0)+1,OFFSET(B664,-1,0)))</f>
        <v>4</v>
      </c>
      <c r="C664" s="751">
        <f t="shared" ref="C664:C708" ca="1" si="83">IF(H664="CÉLULA CONSTRUTIVA",0,IF(H664="ETAPA",OFFSET(C664,-1,0)+1,OFFSET(C664,-1,0)))</f>
        <v>1</v>
      </c>
      <c r="D664" s="752">
        <f t="shared" ref="D664:D708" ca="1" si="84">IF(H664="ETAPA",0,IF(H664="SUBETAPA",OFFSET(D664,-1,0)+1,OFFSET(D664,-1,0)))</f>
        <v>2</v>
      </c>
      <c r="E664" s="752">
        <f t="shared" ref="E664:E708" ca="1" si="85">IF(H664="Subetapa",0,IF(H664="serviço",OFFSET(E664,-1,0)+1,OFFSET(E664,-1,0)))</f>
        <v>1</v>
      </c>
    </row>
    <row r="665" spans="1:17" ht="14.1" customHeight="1" x14ac:dyDescent="0.2">
      <c r="A665" s="751">
        <f ca="1">IF($H665="UNIDADE CONSTRUTIVA",OFFSET(A665,-1,0)+1,LARGE(A$3:A664,1))</f>
        <v>0</v>
      </c>
      <c r="B665" s="751">
        <f t="shared" ca="1" si="82"/>
        <v>4</v>
      </c>
      <c r="C665" s="751">
        <f t="shared" ca="1" si="83"/>
        <v>1</v>
      </c>
      <c r="D665" s="752">
        <f t="shared" ca="1" si="84"/>
        <v>2</v>
      </c>
      <c r="E665" s="752">
        <f t="shared" ca="1" si="85"/>
        <v>1</v>
      </c>
    </row>
    <row r="666" spans="1:17" ht="14.1" customHeight="1" x14ac:dyDescent="0.2">
      <c r="A666" s="751">
        <f ca="1">IF($H666="UNIDADE CONSTRUTIVA",OFFSET(A666,-1,0)+1,LARGE(A$3:A665,1))</f>
        <v>0</v>
      </c>
      <c r="B666" s="751">
        <f t="shared" ca="1" si="82"/>
        <v>4</v>
      </c>
      <c r="C666" s="751">
        <f t="shared" ca="1" si="83"/>
        <v>1</v>
      </c>
      <c r="D666" s="752">
        <f t="shared" ca="1" si="84"/>
        <v>2</v>
      </c>
      <c r="E666" s="752">
        <f t="shared" ca="1" si="85"/>
        <v>1</v>
      </c>
    </row>
    <row r="667" spans="1:17" ht="14.1" customHeight="1" x14ac:dyDescent="0.2">
      <c r="A667" s="751">
        <f ca="1">IF($H667="UNIDADE CONSTRUTIVA",OFFSET(A667,-1,0)+1,LARGE(A$3:A666,1))</f>
        <v>0</v>
      </c>
      <c r="B667" s="751">
        <f t="shared" ca="1" si="82"/>
        <v>4</v>
      </c>
      <c r="C667" s="751">
        <f t="shared" ca="1" si="83"/>
        <v>1</v>
      </c>
      <c r="D667" s="752">
        <f t="shared" ca="1" si="84"/>
        <v>2</v>
      </c>
      <c r="E667" s="752">
        <f t="shared" ca="1" si="85"/>
        <v>1</v>
      </c>
    </row>
    <row r="668" spans="1:17" ht="14.1" customHeight="1" x14ac:dyDescent="0.2">
      <c r="A668" s="751">
        <f ca="1">IF($H668="UNIDADE CONSTRUTIVA",OFFSET(A668,-1,0)+1,LARGE(A$3:A667,1))</f>
        <v>0</v>
      </c>
      <c r="B668" s="751">
        <f t="shared" ca="1" si="82"/>
        <v>4</v>
      </c>
      <c r="C668" s="751">
        <f t="shared" ca="1" si="83"/>
        <v>1</v>
      </c>
      <c r="D668" s="752">
        <f t="shared" ca="1" si="84"/>
        <v>2</v>
      </c>
      <c r="E668" s="752">
        <f t="shared" ca="1" si="85"/>
        <v>1</v>
      </c>
    </row>
    <row r="669" spans="1:17" ht="14.1" customHeight="1" x14ac:dyDescent="0.2">
      <c r="A669" s="751">
        <f ca="1">IF($H669="UNIDADE CONSTRUTIVA",OFFSET(A669,-1,0)+1,LARGE(A$3:A668,1))</f>
        <v>0</v>
      </c>
      <c r="B669" s="751">
        <f t="shared" ca="1" si="82"/>
        <v>4</v>
      </c>
      <c r="C669" s="751">
        <f t="shared" ca="1" si="83"/>
        <v>1</v>
      </c>
      <c r="D669" s="752">
        <f t="shared" ca="1" si="84"/>
        <v>2</v>
      </c>
      <c r="E669" s="752">
        <f t="shared" ca="1" si="85"/>
        <v>1</v>
      </c>
    </row>
    <row r="670" spans="1:17" ht="14.1" customHeight="1" x14ac:dyDescent="0.2">
      <c r="A670" s="751">
        <f ca="1">IF($H670="UNIDADE CONSTRUTIVA",OFFSET(A670,-1,0)+1,LARGE(A$3:A669,1))</f>
        <v>0</v>
      </c>
      <c r="B670" s="751">
        <f t="shared" ca="1" si="82"/>
        <v>4</v>
      </c>
      <c r="C670" s="751">
        <f t="shared" ca="1" si="83"/>
        <v>1</v>
      </c>
      <c r="D670" s="752">
        <f t="shared" ca="1" si="84"/>
        <v>2</v>
      </c>
      <c r="E670" s="752">
        <f t="shared" ca="1" si="85"/>
        <v>1</v>
      </c>
    </row>
    <row r="671" spans="1:17" ht="14.1" customHeight="1" x14ac:dyDescent="0.2">
      <c r="A671" s="751">
        <f ca="1">IF($H671="UNIDADE CONSTRUTIVA",OFFSET(A671,-1,0)+1,LARGE(A$3:A670,1))</f>
        <v>0</v>
      </c>
      <c r="B671" s="751">
        <f t="shared" ca="1" si="82"/>
        <v>4</v>
      </c>
      <c r="C671" s="751">
        <f t="shared" ca="1" si="83"/>
        <v>1</v>
      </c>
      <c r="D671" s="752">
        <f t="shared" ca="1" si="84"/>
        <v>2</v>
      </c>
      <c r="E671" s="752">
        <f t="shared" ca="1" si="85"/>
        <v>1</v>
      </c>
    </row>
    <row r="672" spans="1:17" ht="14.1" customHeight="1" x14ac:dyDescent="0.2">
      <c r="A672" s="751">
        <f ca="1">IF($H672="UNIDADE CONSTRUTIVA",OFFSET(A672,-1,0)+1,LARGE(A$3:A671,1))</f>
        <v>0</v>
      </c>
      <c r="B672" s="751">
        <f t="shared" ca="1" si="82"/>
        <v>4</v>
      </c>
      <c r="C672" s="751">
        <f t="shared" ca="1" si="83"/>
        <v>1</v>
      </c>
      <c r="D672" s="752">
        <f t="shared" ca="1" si="84"/>
        <v>2</v>
      </c>
      <c r="E672" s="752">
        <f t="shared" ca="1" si="85"/>
        <v>1</v>
      </c>
    </row>
    <row r="673" spans="1:5" ht="14.1" customHeight="1" x14ac:dyDescent="0.2">
      <c r="A673" s="751">
        <f ca="1">IF($H673="UNIDADE CONSTRUTIVA",OFFSET(A673,-1,0)+1,LARGE(A$3:A672,1))</f>
        <v>0</v>
      </c>
      <c r="B673" s="751">
        <f t="shared" ca="1" si="82"/>
        <v>4</v>
      </c>
      <c r="C673" s="751">
        <f t="shared" ca="1" si="83"/>
        <v>1</v>
      </c>
      <c r="D673" s="752">
        <f t="shared" ca="1" si="84"/>
        <v>2</v>
      </c>
      <c r="E673" s="752">
        <f t="shared" ca="1" si="85"/>
        <v>1</v>
      </c>
    </row>
    <row r="674" spans="1:5" ht="14.1" customHeight="1" x14ac:dyDescent="0.2">
      <c r="A674" s="751">
        <f ca="1">IF($H674="UNIDADE CONSTRUTIVA",OFFSET(A674,-1,0)+1,LARGE(A$3:A673,1))</f>
        <v>0</v>
      </c>
      <c r="B674" s="751">
        <f t="shared" ca="1" si="82"/>
        <v>4</v>
      </c>
      <c r="C674" s="751">
        <f t="shared" ca="1" si="83"/>
        <v>1</v>
      </c>
      <c r="D674" s="752">
        <f t="shared" ca="1" si="84"/>
        <v>2</v>
      </c>
      <c r="E674" s="752">
        <f t="shared" ca="1" si="85"/>
        <v>1</v>
      </c>
    </row>
    <row r="675" spans="1:5" ht="14.1" customHeight="1" x14ac:dyDescent="0.2">
      <c r="A675" s="751">
        <f ca="1">IF($H675="UNIDADE CONSTRUTIVA",OFFSET(A675,-1,0)+1,LARGE(A$3:A674,1))</f>
        <v>0</v>
      </c>
      <c r="B675" s="751">
        <f t="shared" ca="1" si="82"/>
        <v>4</v>
      </c>
      <c r="C675" s="751">
        <f t="shared" ca="1" si="83"/>
        <v>1</v>
      </c>
      <c r="D675" s="752">
        <f t="shared" ca="1" si="84"/>
        <v>2</v>
      </c>
      <c r="E675" s="752">
        <f t="shared" ca="1" si="85"/>
        <v>1</v>
      </c>
    </row>
    <row r="676" spans="1:5" ht="14.1" customHeight="1" x14ac:dyDescent="0.2">
      <c r="A676" s="751">
        <f ca="1">IF($H676="UNIDADE CONSTRUTIVA",OFFSET(A676,-1,0)+1,LARGE(A$3:A675,1))</f>
        <v>0</v>
      </c>
      <c r="B676" s="751">
        <f t="shared" ca="1" si="82"/>
        <v>4</v>
      </c>
      <c r="C676" s="751">
        <f t="shared" ca="1" si="83"/>
        <v>1</v>
      </c>
      <c r="D676" s="752">
        <f t="shared" ca="1" si="84"/>
        <v>2</v>
      </c>
      <c r="E676" s="752">
        <f t="shared" ca="1" si="85"/>
        <v>1</v>
      </c>
    </row>
    <row r="677" spans="1:5" ht="14.1" customHeight="1" x14ac:dyDescent="0.2">
      <c r="A677" s="751">
        <f ca="1">IF($H677="UNIDADE CONSTRUTIVA",OFFSET(A677,-1,0)+1,LARGE(A$3:A676,1))</f>
        <v>0</v>
      </c>
      <c r="B677" s="751">
        <f t="shared" ca="1" si="82"/>
        <v>4</v>
      </c>
      <c r="C677" s="751">
        <f t="shared" ca="1" si="83"/>
        <v>1</v>
      </c>
      <c r="D677" s="752">
        <f t="shared" ca="1" si="84"/>
        <v>2</v>
      </c>
      <c r="E677" s="752">
        <f t="shared" ca="1" si="85"/>
        <v>1</v>
      </c>
    </row>
    <row r="678" spans="1:5" ht="14.1" customHeight="1" x14ac:dyDescent="0.2">
      <c r="A678" s="751">
        <f ca="1">IF($H678="UNIDADE CONSTRUTIVA",OFFSET(A678,-1,0)+1,LARGE(A$3:A677,1))</f>
        <v>0</v>
      </c>
      <c r="B678" s="751">
        <f t="shared" ca="1" si="82"/>
        <v>4</v>
      </c>
      <c r="C678" s="751">
        <f t="shared" ca="1" si="83"/>
        <v>1</v>
      </c>
      <c r="D678" s="752">
        <f t="shared" ca="1" si="84"/>
        <v>2</v>
      </c>
      <c r="E678" s="752">
        <f t="shared" ca="1" si="85"/>
        <v>1</v>
      </c>
    </row>
    <row r="679" spans="1:5" ht="14.1" customHeight="1" x14ac:dyDescent="0.2">
      <c r="A679" s="751">
        <f ca="1">IF($H679="UNIDADE CONSTRUTIVA",OFFSET(A679,-1,0)+1,LARGE(A$3:A678,1))</f>
        <v>0</v>
      </c>
      <c r="B679" s="751">
        <f t="shared" ca="1" si="82"/>
        <v>4</v>
      </c>
      <c r="C679" s="751">
        <f t="shared" ca="1" si="83"/>
        <v>1</v>
      </c>
      <c r="D679" s="752">
        <f t="shared" ca="1" si="84"/>
        <v>2</v>
      </c>
      <c r="E679" s="752">
        <f t="shared" ca="1" si="85"/>
        <v>1</v>
      </c>
    </row>
    <row r="680" spans="1:5" ht="14.1" customHeight="1" x14ac:dyDescent="0.2">
      <c r="A680" s="751">
        <f ca="1">IF($H680="UNIDADE CONSTRUTIVA",OFFSET(A680,-1,0)+1,LARGE(A$3:A679,1))</f>
        <v>0</v>
      </c>
      <c r="B680" s="751">
        <f t="shared" ca="1" si="82"/>
        <v>4</v>
      </c>
      <c r="C680" s="751">
        <f t="shared" ca="1" si="83"/>
        <v>1</v>
      </c>
      <c r="D680" s="752">
        <f t="shared" ca="1" si="84"/>
        <v>2</v>
      </c>
      <c r="E680" s="752">
        <f t="shared" ca="1" si="85"/>
        <v>1</v>
      </c>
    </row>
    <row r="681" spans="1:5" ht="14.1" customHeight="1" x14ac:dyDescent="0.2">
      <c r="A681" s="751">
        <f ca="1">IF($H681="UNIDADE CONSTRUTIVA",OFFSET(A681,-1,0)+1,LARGE(A$3:A680,1))</f>
        <v>0</v>
      </c>
      <c r="B681" s="751">
        <f t="shared" ca="1" si="82"/>
        <v>4</v>
      </c>
      <c r="C681" s="751">
        <f t="shared" ca="1" si="83"/>
        <v>1</v>
      </c>
      <c r="D681" s="752">
        <f t="shared" ca="1" si="84"/>
        <v>2</v>
      </c>
      <c r="E681" s="752">
        <f t="shared" ca="1" si="85"/>
        <v>1</v>
      </c>
    </row>
    <row r="682" spans="1:5" ht="14.1" customHeight="1" x14ac:dyDescent="0.2">
      <c r="A682" s="751">
        <f ca="1">IF($H682="UNIDADE CONSTRUTIVA",OFFSET(A682,-1,0)+1,LARGE(A$3:A681,1))</f>
        <v>0</v>
      </c>
      <c r="B682" s="751">
        <f t="shared" ca="1" si="82"/>
        <v>4</v>
      </c>
      <c r="C682" s="751">
        <f t="shared" ca="1" si="83"/>
        <v>1</v>
      </c>
      <c r="D682" s="752">
        <f t="shared" ca="1" si="84"/>
        <v>2</v>
      </c>
      <c r="E682" s="752">
        <f t="shared" ca="1" si="85"/>
        <v>1</v>
      </c>
    </row>
    <row r="683" spans="1:5" ht="14.1" customHeight="1" x14ac:dyDescent="0.2">
      <c r="A683" s="751">
        <f ca="1">IF($H683="UNIDADE CONSTRUTIVA",OFFSET(A683,-1,0)+1,LARGE(A$3:A682,1))</f>
        <v>0</v>
      </c>
      <c r="B683" s="751">
        <f t="shared" ca="1" si="82"/>
        <v>4</v>
      </c>
      <c r="C683" s="751">
        <f t="shared" ca="1" si="83"/>
        <v>1</v>
      </c>
      <c r="D683" s="752">
        <f t="shared" ca="1" si="84"/>
        <v>2</v>
      </c>
      <c r="E683" s="752">
        <f t="shared" ca="1" si="85"/>
        <v>1</v>
      </c>
    </row>
    <row r="684" spans="1:5" ht="14.1" customHeight="1" x14ac:dyDescent="0.2">
      <c r="A684" s="751">
        <f ca="1">IF($H684="UNIDADE CONSTRUTIVA",OFFSET(A684,-1,0)+1,LARGE(A$3:A683,1))</f>
        <v>0</v>
      </c>
      <c r="B684" s="751">
        <f t="shared" ca="1" si="82"/>
        <v>4</v>
      </c>
      <c r="C684" s="751">
        <f t="shared" ca="1" si="83"/>
        <v>1</v>
      </c>
      <c r="D684" s="752">
        <f t="shared" ca="1" si="84"/>
        <v>2</v>
      </c>
      <c r="E684" s="752">
        <f t="shared" ca="1" si="85"/>
        <v>1</v>
      </c>
    </row>
    <row r="685" spans="1:5" ht="14.1" customHeight="1" x14ac:dyDescent="0.2">
      <c r="A685" s="751">
        <f ca="1">IF($H685="UNIDADE CONSTRUTIVA",OFFSET(A685,-1,0)+1,LARGE(A$3:A684,1))</f>
        <v>0</v>
      </c>
      <c r="B685" s="751">
        <f t="shared" ca="1" si="82"/>
        <v>4</v>
      </c>
      <c r="C685" s="751">
        <f t="shared" ca="1" si="83"/>
        <v>1</v>
      </c>
      <c r="D685" s="752">
        <f t="shared" ca="1" si="84"/>
        <v>2</v>
      </c>
      <c r="E685" s="752">
        <f t="shared" ca="1" si="85"/>
        <v>1</v>
      </c>
    </row>
    <row r="686" spans="1:5" ht="14.1" customHeight="1" x14ac:dyDescent="0.2">
      <c r="A686" s="751">
        <f ca="1">IF($H686="UNIDADE CONSTRUTIVA",OFFSET(A686,-1,0)+1,LARGE(A$3:A685,1))</f>
        <v>0</v>
      </c>
      <c r="B686" s="751">
        <f t="shared" ca="1" si="82"/>
        <v>4</v>
      </c>
      <c r="C686" s="751">
        <f t="shared" ca="1" si="83"/>
        <v>1</v>
      </c>
      <c r="D686" s="752">
        <f t="shared" ca="1" si="84"/>
        <v>2</v>
      </c>
      <c r="E686" s="752">
        <f t="shared" ca="1" si="85"/>
        <v>1</v>
      </c>
    </row>
    <row r="687" spans="1:5" ht="14.1" customHeight="1" x14ac:dyDescent="0.2">
      <c r="A687" s="751">
        <f ca="1">IF($H687="UNIDADE CONSTRUTIVA",OFFSET(A687,-1,0)+1,LARGE(A$3:A686,1))</f>
        <v>0</v>
      </c>
      <c r="B687" s="751">
        <f t="shared" ca="1" si="82"/>
        <v>4</v>
      </c>
      <c r="C687" s="751">
        <f t="shared" ca="1" si="83"/>
        <v>1</v>
      </c>
      <c r="D687" s="752">
        <f t="shared" ca="1" si="84"/>
        <v>2</v>
      </c>
      <c r="E687" s="752">
        <f t="shared" ca="1" si="85"/>
        <v>1</v>
      </c>
    </row>
    <row r="688" spans="1:5" ht="14.1" customHeight="1" x14ac:dyDescent="0.2">
      <c r="A688" s="751">
        <f ca="1">IF($H688="UNIDADE CONSTRUTIVA",OFFSET(A688,-1,0)+1,LARGE(A$3:A687,1))</f>
        <v>0</v>
      </c>
      <c r="B688" s="751">
        <f t="shared" ca="1" si="82"/>
        <v>4</v>
      </c>
      <c r="C688" s="751">
        <f t="shared" ca="1" si="83"/>
        <v>1</v>
      </c>
      <c r="D688" s="752">
        <f t="shared" ca="1" si="84"/>
        <v>2</v>
      </c>
      <c r="E688" s="752">
        <f t="shared" ca="1" si="85"/>
        <v>1</v>
      </c>
    </row>
    <row r="689" spans="1:5" ht="14.1" customHeight="1" x14ac:dyDescent="0.2">
      <c r="A689" s="751">
        <f ca="1">IF($H689="UNIDADE CONSTRUTIVA",OFFSET(A689,-1,0)+1,LARGE(A$3:A688,1))</f>
        <v>0</v>
      </c>
      <c r="B689" s="751">
        <f t="shared" ca="1" si="82"/>
        <v>4</v>
      </c>
      <c r="C689" s="751">
        <f t="shared" ca="1" si="83"/>
        <v>1</v>
      </c>
      <c r="D689" s="752">
        <f t="shared" ca="1" si="84"/>
        <v>2</v>
      </c>
      <c r="E689" s="752">
        <f t="shared" ca="1" si="85"/>
        <v>1</v>
      </c>
    </row>
    <row r="690" spans="1:5" ht="14.1" customHeight="1" x14ac:dyDescent="0.2">
      <c r="A690" s="751">
        <f ca="1">IF($H690="UNIDADE CONSTRUTIVA",OFFSET(A690,-1,0)+1,LARGE(A$3:A689,1))</f>
        <v>0</v>
      </c>
      <c r="B690" s="751">
        <f t="shared" ca="1" si="82"/>
        <v>4</v>
      </c>
      <c r="C690" s="751">
        <f t="shared" ca="1" si="83"/>
        <v>1</v>
      </c>
      <c r="D690" s="752">
        <f t="shared" ca="1" si="84"/>
        <v>2</v>
      </c>
      <c r="E690" s="752">
        <f t="shared" ca="1" si="85"/>
        <v>1</v>
      </c>
    </row>
    <row r="691" spans="1:5" ht="14.1" customHeight="1" x14ac:dyDescent="0.2">
      <c r="A691" s="751">
        <f ca="1">IF($H691="UNIDADE CONSTRUTIVA",OFFSET(A691,-1,0)+1,LARGE(A$3:A690,1))</f>
        <v>0</v>
      </c>
      <c r="B691" s="751">
        <f t="shared" ca="1" si="82"/>
        <v>4</v>
      </c>
      <c r="C691" s="751">
        <f t="shared" ca="1" si="83"/>
        <v>1</v>
      </c>
      <c r="D691" s="752">
        <f t="shared" ca="1" si="84"/>
        <v>2</v>
      </c>
      <c r="E691" s="752">
        <f t="shared" ca="1" si="85"/>
        <v>1</v>
      </c>
    </row>
    <row r="692" spans="1:5" ht="14.1" customHeight="1" x14ac:dyDescent="0.2">
      <c r="A692" s="751">
        <f ca="1">IF($H692="UNIDADE CONSTRUTIVA",OFFSET(A692,-1,0)+1,LARGE(A$3:A691,1))</f>
        <v>0</v>
      </c>
      <c r="B692" s="751">
        <f t="shared" ca="1" si="82"/>
        <v>4</v>
      </c>
      <c r="C692" s="751">
        <f t="shared" ca="1" si="83"/>
        <v>1</v>
      </c>
      <c r="D692" s="752">
        <f t="shared" ca="1" si="84"/>
        <v>2</v>
      </c>
      <c r="E692" s="752">
        <f t="shared" ca="1" si="85"/>
        <v>1</v>
      </c>
    </row>
    <row r="693" spans="1:5" ht="14.1" customHeight="1" x14ac:dyDescent="0.2">
      <c r="A693" s="751">
        <f ca="1">IF($H693="UNIDADE CONSTRUTIVA",OFFSET(A693,-1,0)+1,LARGE(A$3:A692,1))</f>
        <v>0</v>
      </c>
      <c r="B693" s="751">
        <f t="shared" ca="1" si="82"/>
        <v>4</v>
      </c>
      <c r="C693" s="751">
        <f t="shared" ca="1" si="83"/>
        <v>1</v>
      </c>
      <c r="D693" s="752">
        <f t="shared" ca="1" si="84"/>
        <v>2</v>
      </c>
      <c r="E693" s="752">
        <f t="shared" ca="1" si="85"/>
        <v>1</v>
      </c>
    </row>
    <row r="694" spans="1:5" ht="14.1" customHeight="1" x14ac:dyDescent="0.2">
      <c r="A694" s="751">
        <f ca="1">IF($H694="UNIDADE CONSTRUTIVA",OFFSET(A694,-1,0)+1,LARGE(A$3:A693,1))</f>
        <v>0</v>
      </c>
      <c r="B694" s="751">
        <f t="shared" ca="1" si="82"/>
        <v>4</v>
      </c>
      <c r="C694" s="751">
        <f t="shared" ca="1" si="83"/>
        <v>1</v>
      </c>
      <c r="D694" s="752">
        <f t="shared" ca="1" si="84"/>
        <v>2</v>
      </c>
      <c r="E694" s="752">
        <f t="shared" ca="1" si="85"/>
        <v>1</v>
      </c>
    </row>
    <row r="695" spans="1:5" ht="14.1" customHeight="1" x14ac:dyDescent="0.2">
      <c r="A695" s="751">
        <f ca="1">IF($H695="UNIDADE CONSTRUTIVA",OFFSET(A695,-1,0)+1,LARGE(A$3:A694,1))</f>
        <v>0</v>
      </c>
      <c r="B695" s="751">
        <f t="shared" ca="1" si="82"/>
        <v>4</v>
      </c>
      <c r="C695" s="751">
        <f t="shared" ca="1" si="83"/>
        <v>1</v>
      </c>
      <c r="D695" s="752">
        <f t="shared" ca="1" si="84"/>
        <v>2</v>
      </c>
      <c r="E695" s="752">
        <f t="shared" ca="1" si="85"/>
        <v>1</v>
      </c>
    </row>
    <row r="696" spans="1:5" ht="14.1" customHeight="1" x14ac:dyDescent="0.2">
      <c r="A696" s="751">
        <f ca="1">IF($H696="UNIDADE CONSTRUTIVA",OFFSET(A696,-1,0)+1,LARGE(A$3:A695,1))</f>
        <v>0</v>
      </c>
      <c r="B696" s="751">
        <f t="shared" ca="1" si="82"/>
        <v>4</v>
      </c>
      <c r="C696" s="751">
        <f t="shared" ca="1" si="83"/>
        <v>1</v>
      </c>
      <c r="D696" s="752">
        <f t="shared" ca="1" si="84"/>
        <v>2</v>
      </c>
      <c r="E696" s="752">
        <f t="shared" ca="1" si="85"/>
        <v>1</v>
      </c>
    </row>
    <row r="697" spans="1:5" ht="14.1" customHeight="1" x14ac:dyDescent="0.2">
      <c r="A697" s="751">
        <f ca="1">IF($H697="UNIDADE CONSTRUTIVA",OFFSET(A697,-1,0)+1,LARGE(A$3:A696,1))</f>
        <v>0</v>
      </c>
      <c r="B697" s="751">
        <f t="shared" ca="1" si="82"/>
        <v>4</v>
      </c>
      <c r="C697" s="751">
        <f t="shared" ca="1" si="83"/>
        <v>1</v>
      </c>
      <c r="D697" s="752">
        <f t="shared" ca="1" si="84"/>
        <v>2</v>
      </c>
      <c r="E697" s="752">
        <f t="shared" ca="1" si="85"/>
        <v>1</v>
      </c>
    </row>
    <row r="698" spans="1:5" ht="14.1" customHeight="1" x14ac:dyDescent="0.2">
      <c r="A698" s="751">
        <f ca="1">IF($H698="UNIDADE CONSTRUTIVA",OFFSET(A698,-1,0)+1,LARGE(A$3:A697,1))</f>
        <v>0</v>
      </c>
      <c r="B698" s="751">
        <f t="shared" ca="1" si="82"/>
        <v>4</v>
      </c>
      <c r="C698" s="751">
        <f t="shared" ca="1" si="83"/>
        <v>1</v>
      </c>
      <c r="D698" s="752">
        <f t="shared" ca="1" si="84"/>
        <v>2</v>
      </c>
      <c r="E698" s="752">
        <f t="shared" ca="1" si="85"/>
        <v>1</v>
      </c>
    </row>
    <row r="699" spans="1:5" ht="14.1" customHeight="1" x14ac:dyDescent="0.2">
      <c r="A699" s="751">
        <f ca="1">IF($H699="UNIDADE CONSTRUTIVA",OFFSET(A699,-1,0)+1,LARGE(A$3:A698,1))</f>
        <v>0</v>
      </c>
      <c r="B699" s="751">
        <f t="shared" ca="1" si="82"/>
        <v>4</v>
      </c>
      <c r="C699" s="751">
        <f t="shared" ca="1" si="83"/>
        <v>1</v>
      </c>
      <c r="D699" s="752">
        <f t="shared" ca="1" si="84"/>
        <v>2</v>
      </c>
      <c r="E699" s="752">
        <f t="shared" ca="1" si="85"/>
        <v>1</v>
      </c>
    </row>
    <row r="700" spans="1:5" ht="14.1" customHeight="1" x14ac:dyDescent="0.2">
      <c r="A700" s="751">
        <f ca="1">IF($H700="UNIDADE CONSTRUTIVA",OFFSET(A700,-1,0)+1,LARGE(A$3:A699,1))</f>
        <v>0</v>
      </c>
      <c r="B700" s="751">
        <f t="shared" ca="1" si="82"/>
        <v>4</v>
      </c>
      <c r="C700" s="751">
        <f t="shared" ca="1" si="83"/>
        <v>1</v>
      </c>
      <c r="D700" s="752">
        <f t="shared" ca="1" si="84"/>
        <v>2</v>
      </c>
      <c r="E700" s="752">
        <f t="shared" ca="1" si="85"/>
        <v>1</v>
      </c>
    </row>
    <row r="701" spans="1:5" ht="14.1" customHeight="1" x14ac:dyDescent="0.2">
      <c r="A701" s="751">
        <f ca="1">IF($H701="UNIDADE CONSTRUTIVA",OFFSET(A701,-1,0)+1,LARGE(A$3:A700,1))</f>
        <v>0</v>
      </c>
      <c r="B701" s="751">
        <f t="shared" ca="1" si="82"/>
        <v>4</v>
      </c>
      <c r="C701" s="751">
        <f t="shared" ca="1" si="83"/>
        <v>1</v>
      </c>
      <c r="D701" s="752">
        <f t="shared" ca="1" si="84"/>
        <v>2</v>
      </c>
      <c r="E701" s="752">
        <f t="shared" ca="1" si="85"/>
        <v>1</v>
      </c>
    </row>
    <row r="702" spans="1:5" ht="14.1" customHeight="1" x14ac:dyDescent="0.2">
      <c r="A702" s="751">
        <f ca="1">IF($H702="UNIDADE CONSTRUTIVA",OFFSET(A702,-1,0)+1,LARGE(A$3:A701,1))</f>
        <v>0</v>
      </c>
      <c r="B702" s="751">
        <f t="shared" ca="1" si="82"/>
        <v>4</v>
      </c>
      <c r="C702" s="751">
        <f t="shared" ca="1" si="83"/>
        <v>1</v>
      </c>
      <c r="D702" s="752">
        <f t="shared" ca="1" si="84"/>
        <v>2</v>
      </c>
      <c r="E702" s="752">
        <f t="shared" ca="1" si="85"/>
        <v>1</v>
      </c>
    </row>
    <row r="703" spans="1:5" ht="14.1" customHeight="1" x14ac:dyDescent="0.2">
      <c r="A703" s="751">
        <f ca="1">IF($H703="UNIDADE CONSTRUTIVA",OFFSET(A703,-1,0)+1,LARGE(A$3:A702,1))</f>
        <v>0</v>
      </c>
      <c r="B703" s="751">
        <f t="shared" ca="1" si="82"/>
        <v>4</v>
      </c>
      <c r="C703" s="751">
        <f t="shared" ca="1" si="83"/>
        <v>1</v>
      </c>
      <c r="D703" s="752">
        <f t="shared" ca="1" si="84"/>
        <v>2</v>
      </c>
      <c r="E703" s="752">
        <f t="shared" ca="1" si="85"/>
        <v>1</v>
      </c>
    </row>
    <row r="704" spans="1:5" ht="14.1" customHeight="1" x14ac:dyDescent="0.2">
      <c r="A704" s="751">
        <f ca="1">IF($H704="UNIDADE CONSTRUTIVA",OFFSET(A704,-1,0)+1,LARGE(A$3:A703,1))</f>
        <v>0</v>
      </c>
      <c r="B704" s="751">
        <f t="shared" ca="1" si="82"/>
        <v>4</v>
      </c>
      <c r="C704" s="751">
        <f t="shared" ca="1" si="83"/>
        <v>1</v>
      </c>
      <c r="D704" s="752">
        <f t="shared" ca="1" si="84"/>
        <v>2</v>
      </c>
      <c r="E704" s="752">
        <f t="shared" ca="1" si="85"/>
        <v>1</v>
      </c>
    </row>
    <row r="705" spans="1:5" ht="14.1" customHeight="1" x14ac:dyDescent="0.2">
      <c r="A705" s="751">
        <f ca="1">IF($H705="UNIDADE CONSTRUTIVA",OFFSET(A705,-1,0)+1,LARGE(A$3:A704,1))</f>
        <v>0</v>
      </c>
      <c r="B705" s="751">
        <f t="shared" ca="1" si="82"/>
        <v>4</v>
      </c>
      <c r="C705" s="751">
        <f t="shared" ca="1" si="83"/>
        <v>1</v>
      </c>
      <c r="D705" s="752">
        <f t="shared" ca="1" si="84"/>
        <v>2</v>
      </c>
      <c r="E705" s="752">
        <f t="shared" ca="1" si="85"/>
        <v>1</v>
      </c>
    </row>
    <row r="706" spans="1:5" ht="14.1" customHeight="1" x14ac:dyDescent="0.2">
      <c r="A706" s="751">
        <f ca="1">IF($H706="UNIDADE CONSTRUTIVA",OFFSET(A706,-1,0)+1,LARGE(A$3:A705,1))</f>
        <v>0</v>
      </c>
      <c r="B706" s="751">
        <f t="shared" ca="1" si="82"/>
        <v>4</v>
      </c>
      <c r="C706" s="751">
        <f t="shared" ca="1" si="83"/>
        <v>1</v>
      </c>
      <c r="D706" s="752">
        <f t="shared" ca="1" si="84"/>
        <v>2</v>
      </c>
      <c r="E706" s="752">
        <f t="shared" ca="1" si="85"/>
        <v>1</v>
      </c>
    </row>
    <row r="707" spans="1:5" ht="14.1" customHeight="1" x14ac:dyDescent="0.2">
      <c r="A707" s="751">
        <f ca="1">IF($H707="UNIDADE CONSTRUTIVA",OFFSET(A707,-1,0)+1,LARGE(A$3:A706,1))</f>
        <v>0</v>
      </c>
      <c r="B707" s="751">
        <f t="shared" ca="1" si="82"/>
        <v>4</v>
      </c>
      <c r="C707" s="751">
        <f t="shared" ca="1" si="83"/>
        <v>1</v>
      </c>
      <c r="D707" s="752">
        <f t="shared" ca="1" si="84"/>
        <v>2</v>
      </c>
      <c r="E707" s="752">
        <f t="shared" ca="1" si="85"/>
        <v>1</v>
      </c>
    </row>
    <row r="708" spans="1:5" ht="14.1" customHeight="1" x14ac:dyDescent="0.2">
      <c r="A708" s="751">
        <f ca="1">IF($H708="UNIDADE CONSTRUTIVA",OFFSET(A708,-1,0)+1,LARGE(A$3:A707,1))</f>
        <v>0</v>
      </c>
      <c r="B708" s="751">
        <f t="shared" ca="1" si="82"/>
        <v>4</v>
      </c>
      <c r="C708" s="751">
        <f t="shared" ca="1" si="83"/>
        <v>1</v>
      </c>
      <c r="D708" s="752">
        <f t="shared" ca="1" si="84"/>
        <v>2</v>
      </c>
      <c r="E708" s="752">
        <f t="shared" ca="1" si="85"/>
        <v>1</v>
      </c>
    </row>
  </sheetData>
  <autoFilter ref="G7:P77" xr:uid="{00000000-0009-0000-0000-000001000000}">
    <filterColumn colId="3" showButton="0"/>
  </autoFilter>
  <mergeCells count="1">
    <mergeCell ref="G6:P6"/>
  </mergeCells>
  <conditionalFormatting sqref="G46:H54 O14:P39 N40:P68 G69:P70 G65:M68">
    <cfRule type="expression" dxfId="2058" priority="188">
      <formula>$H14="SUBETAPA"</formula>
    </cfRule>
  </conditionalFormatting>
  <conditionalFormatting sqref="G58:H59 G62:H62 G64:H64 I62:M64">
    <cfRule type="expression" dxfId="2057" priority="425">
      <formula>$H58="SUBETAPA"</formula>
    </cfRule>
  </conditionalFormatting>
  <conditionalFormatting sqref="G58:H59 G62:H62 I62:M64 G64:H64 O14:P39">
    <cfRule type="expression" dxfId="2056" priority="427">
      <formula>$H14="ETAPA"</formula>
    </cfRule>
  </conditionalFormatting>
  <conditionalFormatting sqref="G58:H59 G62:H62 I62:M64 G64:H64">
    <cfRule type="expression" dxfId="2055" priority="426">
      <formula>$H58="CÉLULA CONSTRUTIVA"</formula>
    </cfRule>
  </conditionalFormatting>
  <conditionalFormatting sqref="G63:H63">
    <cfRule type="expression" dxfId="2054" priority="19">
      <formula>$H63="SUBETAPA"</formula>
    </cfRule>
    <cfRule type="expression" dxfId="2053" priority="20">
      <formula>$H63="CÉLULA CONSTRUTIVA"</formula>
    </cfRule>
    <cfRule type="expression" dxfId="2052" priority="21">
      <formula>$H63="ETAPA"</formula>
    </cfRule>
  </conditionalFormatting>
  <conditionalFormatting sqref="G55:I55">
    <cfRule type="expression" dxfId="2051" priority="315">
      <formula>$H55="ETAPA"</formula>
    </cfRule>
  </conditionalFormatting>
  <conditionalFormatting sqref="G55:J55">
    <cfRule type="expression" dxfId="2050" priority="499">
      <formula>$H55="SUBETAPA"</formula>
    </cfRule>
  </conditionalFormatting>
  <conditionalFormatting sqref="G8:M39 I46:M53 G41:M45">
    <cfRule type="expression" dxfId="2049" priority="148">
      <formula>$H8="CÉLULA CONSTRUTIVA"</formula>
    </cfRule>
  </conditionalFormatting>
  <conditionalFormatting sqref="G40:M45">
    <cfRule type="expression" dxfId="2048" priority="9">
      <formula>$H40="SUBETAPA"</formula>
    </cfRule>
  </conditionalFormatting>
  <conditionalFormatting sqref="G41:M53 N41:P68 G54:H54 G8:M39 O8:P13">
    <cfRule type="expression" dxfId="2047" priority="190">
      <formula>$H8="ETAPA"</formula>
    </cfRule>
  </conditionalFormatting>
  <conditionalFormatting sqref="G56:M57">
    <cfRule type="expression" dxfId="2046" priority="430">
      <formula>$H56="ETAPA"</formula>
    </cfRule>
    <cfRule type="expression" dxfId="2045" priority="429">
      <formula>$H56="CÉLULA CONSTRUTIVA"</formula>
    </cfRule>
    <cfRule type="expression" dxfId="2044" priority="428">
      <formula>$H56="SUBETAPA"</formula>
    </cfRule>
  </conditionalFormatting>
  <conditionalFormatting sqref="G60:M61">
    <cfRule type="expression" dxfId="2043" priority="27">
      <formula>$H60="ETAPA"</formula>
    </cfRule>
    <cfRule type="expression" dxfId="2042" priority="25">
      <formula>$H60="SUBETAPA"</formula>
    </cfRule>
    <cfRule type="expression" dxfId="2041" priority="26">
      <formula>$H60="CÉLULA CONSTRUTIVA"</formula>
    </cfRule>
  </conditionalFormatting>
  <conditionalFormatting sqref="G8:N39 I46:M53">
    <cfRule type="expression" dxfId="2040" priority="147">
      <formula>$H8="SUBETAPA"</formula>
    </cfRule>
  </conditionalFormatting>
  <conditionalFormatting sqref="G40:P40 J55 G65:M68 G69:P70 N8:N39">
    <cfRule type="expression" dxfId="2039" priority="501">
      <formula>$H8="ETAPA"</formula>
    </cfRule>
  </conditionalFormatting>
  <conditionalFormatting sqref="H54:M54">
    <cfRule type="expression" dxfId="2038" priority="181">
      <formula>$H54="ETAPA"</formula>
    </cfRule>
    <cfRule type="expression" dxfId="2037" priority="179">
      <formula>$H54="SUBETAPA"</formula>
    </cfRule>
    <cfRule type="expression" dxfId="2036" priority="180">
      <formula>$H54="CÉLULA CONSTRUTIVA"</formula>
    </cfRule>
  </conditionalFormatting>
  <conditionalFormatting sqref="H58:M59 H62 H64">
    <cfRule type="expression" dxfId="2035" priority="421">
      <formula>$H58="ETAPA"</formula>
    </cfRule>
    <cfRule type="expression" dxfId="2034" priority="420">
      <formula>$H58="CÉLULA CONSTRUTIVA"</formula>
    </cfRule>
    <cfRule type="expression" dxfId="2033" priority="419">
      <formula>$H58="SUBETAPA"</formula>
    </cfRule>
  </conditionalFormatting>
  <conditionalFormatting sqref="J55 G40:P40 G65:M68 G69:P70">
    <cfRule type="expression" dxfId="2032" priority="500">
      <formula>$H40="CÉLULA CONSTRUTIVA"</formula>
    </cfRule>
  </conditionalFormatting>
  <conditionalFormatting sqref="K55:M55">
    <cfRule type="expression" dxfId="2031" priority="13">
      <formula>$H55="SUBETAPA"</formula>
    </cfRule>
    <cfRule type="expression" dxfId="2030" priority="15">
      <formula>$H55="ETAPA"</formula>
    </cfRule>
    <cfRule type="expression" dxfId="2029" priority="14">
      <formula>$H55="CÉLULA CONSTRUTIVA"</formula>
    </cfRule>
  </conditionalFormatting>
  <conditionalFormatting sqref="M76">
    <cfRule type="expression" dxfId="2028" priority="40">
      <formula>$H73="SUBETAPA"</formula>
    </cfRule>
    <cfRule type="expression" dxfId="2027" priority="41">
      <formula>$H73="CÉLULA CONSTRUTIVA"</formula>
    </cfRule>
    <cfRule type="expression" dxfId="2026" priority="42">
      <formula>$H73="ETAPA"</formula>
    </cfRule>
  </conditionalFormatting>
  <conditionalFormatting sqref="M72:N76">
    <cfRule type="expression" dxfId="2025" priority="39">
      <formula>$H72="ETAPA"</formula>
    </cfRule>
    <cfRule type="expression" dxfId="2024" priority="38">
      <formula>$H72="CÉLULA CONSTRUTIVA"</formula>
    </cfRule>
    <cfRule type="expression" dxfId="2023" priority="37">
      <formula>$H72="SUBETAPA"</formula>
    </cfRule>
  </conditionalFormatting>
  <conditionalFormatting sqref="N8:P39 G55:I55">
    <cfRule type="expression" dxfId="2022" priority="314">
      <formula>$H8="CÉLULA CONSTRUTIVA"</formula>
    </cfRule>
  </conditionalFormatting>
  <conditionalFormatting sqref="N41:P68 G46:H54">
    <cfRule type="expression" dxfId="2021" priority="189">
      <formula>$H41="CÉLULA CONSTRUTIVA"</formula>
    </cfRule>
  </conditionalFormatting>
  <conditionalFormatting sqref="O8:P13">
    <cfRule type="expression" dxfId="2020" priority="603">
      <formula>$H8="SUBETAPA"</formula>
    </cfRule>
  </conditionalFormatting>
  <conditionalFormatting sqref="P1:P5 P7:P13">
    <cfRule type="containsText" dxfId="2019" priority="613" operator="containsText" text="em andamento">
      <formula>NOT(ISERROR(SEARCH("em andamento",P1)))</formula>
    </cfRule>
    <cfRule type="containsText" dxfId="2018" priority="611" operator="containsText" text="Pendente">
      <formula>NOT(ISERROR(SEARCH("Pendente",P1)))</formula>
    </cfRule>
    <cfRule type="containsText" dxfId="2017" priority="612" operator="containsText" text="Finalizado">
      <formula>NOT(ISERROR(SEARCH("Finalizado",P1)))</formula>
    </cfRule>
  </conditionalFormatting>
  <conditionalFormatting sqref="P7:P13 P1:P5">
    <cfRule type="containsText" dxfId="2016" priority="609" operator="containsText" text="Lançado">
      <formula>NOT(ISERROR(SEARCH("Lançado",P1)))</formula>
    </cfRule>
    <cfRule type="containsText" dxfId="2015" priority="610" operator="containsText" text="N/A">
      <formula>NOT(ISERROR(SEARCH("N/A",P1)))</formula>
    </cfRule>
  </conditionalFormatting>
  <conditionalFormatting sqref="P11:P12">
    <cfRule type="containsText" dxfId="2014" priority="598" operator="containsText" text="Lançado">
      <formula>NOT(ISERROR(SEARCH("Lançado",P11)))</formula>
    </cfRule>
    <cfRule type="containsText" dxfId="2013" priority="600" operator="containsText" text="Pendente">
      <formula>NOT(ISERROR(SEARCH("Pendente",P11)))</formula>
    </cfRule>
    <cfRule type="containsText" dxfId="2012" priority="601" operator="containsText" text="Finalizado">
      <formula>NOT(ISERROR(SEARCH("Finalizado",P11)))</formula>
    </cfRule>
    <cfRule type="containsText" dxfId="2011" priority="602" operator="containsText" text="em andamento">
      <formula>NOT(ISERROR(SEARCH("em andamento",P11)))</formula>
    </cfRule>
    <cfRule type="containsText" dxfId="2010" priority="408" operator="containsText" text="Finalizado">
      <formula>NOT(ISERROR(SEARCH("Finalizado",P11)))</formula>
    </cfRule>
    <cfRule type="containsText" dxfId="2009" priority="409" operator="containsText" text="em andamento">
      <formula>NOT(ISERROR(SEARCH("em andamento",P11)))</formula>
    </cfRule>
    <cfRule type="containsText" dxfId="2008" priority="405" operator="containsText" text="Lançado">
      <formula>NOT(ISERROR(SEARCH("Lançado",P11)))</formula>
    </cfRule>
    <cfRule type="containsText" dxfId="2007" priority="406" operator="containsText" text="N/A">
      <formula>NOT(ISERROR(SEARCH("N/A",P11)))</formula>
    </cfRule>
    <cfRule type="containsText" dxfId="2006" priority="407" operator="containsText" text="Pendente">
      <formula>NOT(ISERROR(SEARCH("Pendente",P11)))</formula>
    </cfRule>
    <cfRule type="containsText" dxfId="2005" priority="599" operator="containsText" text="N/A">
      <formula>NOT(ISERROR(SEARCH("N/A",P11)))</formula>
    </cfRule>
  </conditionalFormatting>
  <conditionalFormatting sqref="P14:P70">
    <cfRule type="containsText" dxfId="2004" priority="98" operator="containsText" text="Lançado">
      <formula>NOT(ISERROR(SEARCH("Lançado",P14)))</formula>
    </cfRule>
    <cfRule type="containsText" dxfId="2003" priority="102" operator="containsText" text="em andamento">
      <formula>NOT(ISERROR(SEARCH("em andamento",P14)))</formula>
    </cfRule>
    <cfRule type="containsText" dxfId="2002" priority="101" operator="containsText" text="Finalizado">
      <formula>NOT(ISERROR(SEARCH("Finalizado",P14)))</formula>
    </cfRule>
    <cfRule type="containsText" dxfId="2001" priority="100" operator="containsText" text="Pendente">
      <formula>NOT(ISERROR(SEARCH("Pendente",P14)))</formula>
    </cfRule>
    <cfRule type="containsText" dxfId="2000" priority="99" operator="containsText" text="N/A">
      <formula>NOT(ISERROR(SEARCH("N/A",P14)))</formula>
    </cfRule>
  </conditionalFormatting>
  <conditionalFormatting sqref="P40">
    <cfRule type="expression" dxfId="1999" priority="6">
      <formula>$H40="SUBETAPA"</formula>
    </cfRule>
    <cfRule type="expression" dxfId="1998" priority="8">
      <formula>$H40="ETAPA"</formula>
    </cfRule>
    <cfRule type="expression" dxfId="1997" priority="7">
      <formula>$H40="CÉLULA CONSTRUTIVA"</formula>
    </cfRule>
  </conditionalFormatting>
  <conditionalFormatting sqref="P42">
    <cfRule type="expression" dxfId="1996" priority="10">
      <formula>$H42="SUBETAPA"</formula>
    </cfRule>
    <cfRule type="expression" dxfId="1995" priority="12">
      <formula>$H42="ETAPA"</formula>
    </cfRule>
    <cfRule type="expression" dxfId="1994" priority="11">
      <formula>$H42="CÉLULA CONSTRUTIVA"</formula>
    </cfRule>
  </conditionalFormatting>
  <conditionalFormatting sqref="P54:P56">
    <cfRule type="expression" dxfId="1993" priority="97">
      <formula>$H54="ETAPA"</formula>
    </cfRule>
    <cfRule type="expression" dxfId="1992" priority="96">
      <formula>$H54="CÉLULA CONSTRUTIVA"</formula>
    </cfRule>
    <cfRule type="expression" dxfId="1991" priority="95">
      <formula>$H54="SUBETAPA"</formula>
    </cfRule>
  </conditionalFormatting>
  <conditionalFormatting sqref="P58:P59">
    <cfRule type="expression" dxfId="1990" priority="5">
      <formula>$H58="ETAPA"</formula>
    </cfRule>
    <cfRule type="expression" dxfId="1989" priority="4">
      <formula>$H58="CÉLULA CONSTRUTIVA"</formula>
    </cfRule>
    <cfRule type="expression" dxfId="1988" priority="3">
      <formula>$H58="ETAPA"</formula>
    </cfRule>
    <cfRule type="expression" dxfId="1987" priority="2">
      <formula>$H58="CÉLULA CONSTRUTIVA"</formula>
    </cfRule>
    <cfRule type="expression" dxfId="1986" priority="1">
      <formula>$H58="SUBETAPA"</formula>
    </cfRule>
  </conditionalFormatting>
  <dataValidations count="3">
    <dataValidation type="list" allowBlank="1" showInputMessage="1" showErrorMessage="1" sqref="P33:P64 P14:P23 P11:P12 P68 P26:P31 P70" xr:uid="{19964B27-802D-41E2-AE12-DA2FEB1278D7}">
      <formula1>"Finalizado, Em Andamento, Pendente, N/A,Lançado ERP"</formula1>
    </dataValidation>
    <dataValidation type="list" allowBlank="1" showInputMessage="1" showErrorMessage="1" sqref="P10 P32 P25 P13" xr:uid="{901A0B3C-4E17-40F5-A969-2FC50EA06784}">
      <formula1>#REF!</formula1>
    </dataValidation>
    <dataValidation type="list" allowBlank="1" showInputMessage="1" showErrorMessage="1" sqref="H8:H70" xr:uid="{827DE97E-897D-41C2-973B-FF46CB23DC1C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9D23-F463-4118-94F3-80E489751233}">
  <sheetPr>
    <tabColor rgb="FF111113"/>
    <outlinePr summaryBelow="0"/>
    <pageSetUpPr fitToPage="1"/>
  </sheetPr>
  <dimension ref="A1:U891"/>
  <sheetViews>
    <sheetView showGridLines="0" topLeftCell="F1" zoomScale="98" zoomScaleNormal="98" zoomScaleSheetLayoutView="100" workbookViewId="0">
      <pane ySplit="7" topLeftCell="A213" activePane="bottomLeft" state="frozen"/>
      <selection activeCell="S114" sqref="S114"/>
      <selection pane="bottomLeft" activeCell="J164" sqref="J164"/>
    </sheetView>
  </sheetViews>
  <sheetFormatPr defaultColWidth="9.140625" defaultRowHeight="14.1" customHeight="1" outlineLevelRow="2" outlineLevelCol="1" x14ac:dyDescent="0.2"/>
  <cols>
    <col min="1" max="5" width="4" style="65" hidden="1" customWidth="1" outlineLevel="1"/>
    <col min="6" max="6" width="3.140625" style="65" customWidth="1" collapsed="1"/>
    <col min="7" max="7" width="7.28515625" style="148" customWidth="1"/>
    <col min="8" max="8" width="20.42578125" style="148" bestFit="1" customWidth="1" outlineLevel="1"/>
    <col min="9" max="9" width="12.28515625" style="148" customWidth="1"/>
    <col min="10" max="10" width="72.28515625" style="65" customWidth="1"/>
    <col min="11" max="11" width="6.85546875" style="146" customWidth="1"/>
    <col min="12" max="12" width="16.28515625" style="973" customWidth="1"/>
    <col min="13" max="13" width="15.140625" style="973" bestFit="1" customWidth="1"/>
    <col min="14" max="14" width="13.85546875" style="975" customWidth="1"/>
    <col min="15" max="15" width="54.85546875" style="976" customWidth="1" outlineLevel="1"/>
    <col min="16" max="16" width="17.5703125" style="147" customWidth="1"/>
    <col min="17" max="19" width="10" style="146" customWidth="1"/>
    <col min="20" max="20" width="10" style="65" customWidth="1"/>
    <col min="21" max="16384" width="9.140625" style="65"/>
  </cols>
  <sheetData>
    <row r="1" spans="1:21" s="48" customFormat="1" ht="6.75" customHeight="1" x14ac:dyDescent="0.2">
      <c r="G1" s="46"/>
      <c r="H1" s="46"/>
      <c r="I1" s="46"/>
      <c r="J1" s="47"/>
      <c r="K1" s="180"/>
      <c r="L1" s="47"/>
      <c r="M1" s="47"/>
      <c r="N1" s="732"/>
      <c r="O1" s="47"/>
      <c r="P1" s="155"/>
      <c r="Q1" s="64"/>
      <c r="R1" s="64"/>
      <c r="S1" s="210"/>
      <c r="T1" s="209"/>
      <c r="U1" s="209"/>
    </row>
    <row r="2" spans="1:21" s="49" customFormat="1" ht="17.45" customHeight="1" x14ac:dyDescent="0.2">
      <c r="G2" s="195"/>
      <c r="H2" s="566"/>
      <c r="I2" s="566"/>
      <c r="J2" s="566"/>
      <c r="K2" s="211"/>
      <c r="L2" s="211"/>
      <c r="M2" s="211"/>
      <c r="N2" s="733"/>
      <c r="O2" s="636"/>
      <c r="P2" s="154"/>
      <c r="Q2" s="179"/>
      <c r="R2" s="179"/>
      <c r="S2" s="210"/>
      <c r="T2" s="209"/>
      <c r="U2" s="209"/>
    </row>
    <row r="3" spans="1:21" s="49" customFormat="1" ht="18" customHeight="1" x14ac:dyDescent="0.2">
      <c r="G3" s="196"/>
      <c r="H3" s="197"/>
      <c r="I3" s="197"/>
      <c r="J3" s="197"/>
      <c r="K3" s="212"/>
      <c r="L3" s="212"/>
      <c r="M3" s="212"/>
      <c r="N3" s="734"/>
      <c r="O3" s="637"/>
      <c r="P3" s="153"/>
      <c r="Q3" s="179"/>
      <c r="R3" s="179"/>
      <c r="S3" s="210"/>
      <c r="T3" s="209"/>
      <c r="U3" s="209"/>
    </row>
    <row r="4" spans="1:21" s="352" customFormat="1" ht="15" customHeight="1" x14ac:dyDescent="0.2">
      <c r="G4" s="687" t="s">
        <v>194</v>
      </c>
      <c r="H4" s="343"/>
      <c r="I4" s="348" t="str">
        <f>'Ger_Tec e Adm'!I4</f>
        <v>Mowe</v>
      </c>
      <c r="J4" s="669"/>
      <c r="N4" s="735"/>
      <c r="O4" s="343" t="s">
        <v>18</v>
      </c>
      <c r="P4" s="688" t="s">
        <v>192</v>
      </c>
      <c r="Q4" s="353"/>
      <c r="R4" s="353"/>
      <c r="S4" s="210"/>
      <c r="T4" s="209"/>
      <c r="U4" s="209"/>
    </row>
    <row r="5" spans="1:21" s="354" customFormat="1" ht="15" customHeight="1" x14ac:dyDescent="0.2">
      <c r="G5" s="738" t="s">
        <v>389</v>
      </c>
      <c r="H5" s="750"/>
      <c r="I5" s="89" t="str">
        <f>'Ger_Tec e Adm'!I5</f>
        <v>MARTINS|FRANCEZ ENGENHARIA</v>
      </c>
      <c r="J5" s="739"/>
      <c r="N5" s="736"/>
      <c r="O5" s="740" t="s">
        <v>874</v>
      </c>
      <c r="P5" s="741"/>
      <c r="Q5" s="353"/>
      <c r="R5" s="353"/>
      <c r="S5" s="210"/>
      <c r="T5" s="209"/>
      <c r="U5" s="209"/>
    </row>
    <row r="6" spans="1:21" s="209" customFormat="1" ht="18" customHeight="1" x14ac:dyDescent="0.2">
      <c r="A6" s="958" t="s">
        <v>467</v>
      </c>
      <c r="B6" s="958" t="s">
        <v>468</v>
      </c>
      <c r="C6" s="958" t="s">
        <v>469</v>
      </c>
      <c r="D6" s="958" t="s">
        <v>470</v>
      </c>
      <c r="E6" s="958" t="s">
        <v>471</v>
      </c>
      <c r="F6" s="354"/>
      <c r="G6" s="1214" t="s">
        <v>379</v>
      </c>
      <c r="H6" s="1214"/>
      <c r="I6" s="1214"/>
      <c r="J6" s="1214"/>
      <c r="K6" s="1214"/>
      <c r="L6" s="1214"/>
      <c r="M6" s="1214"/>
      <c r="N6" s="1214"/>
      <c r="O6" s="1214"/>
      <c r="P6" s="1214"/>
      <c r="Q6" s="210"/>
      <c r="R6" s="210"/>
      <c r="S6" s="210"/>
    </row>
    <row r="7" spans="1:21" s="207" customFormat="1" ht="24" customHeight="1" x14ac:dyDescent="0.2">
      <c r="A7" s="959">
        <v>0</v>
      </c>
      <c r="B7" s="959">
        <v>0</v>
      </c>
      <c r="C7" s="959">
        <v>0</v>
      </c>
      <c r="D7" s="960">
        <v>0</v>
      </c>
      <c r="E7" s="960">
        <v>0</v>
      </c>
      <c r="G7" s="563" t="s">
        <v>197</v>
      </c>
      <c r="H7" s="753" t="s">
        <v>472</v>
      </c>
      <c r="I7" s="564" t="s">
        <v>21</v>
      </c>
      <c r="J7" s="727" t="s">
        <v>0</v>
      </c>
      <c r="K7" s="670" t="s">
        <v>96</v>
      </c>
      <c r="L7" s="961" t="s">
        <v>354</v>
      </c>
      <c r="M7" s="961" t="s">
        <v>461</v>
      </c>
      <c r="N7" s="961" t="s">
        <v>16</v>
      </c>
      <c r="O7" s="962" t="s">
        <v>378</v>
      </c>
      <c r="P7" s="963" t="s">
        <v>288</v>
      </c>
      <c r="Q7" s="208"/>
      <c r="R7" s="208"/>
      <c r="S7" s="1006"/>
      <c r="T7" s="209"/>
      <c r="U7" s="209"/>
    </row>
    <row r="8" spans="1:21" s="209" customFormat="1" ht="13.9" customHeight="1" x14ac:dyDescent="0.2">
      <c r="A8" s="959">
        <f ca="1">IF($H8="UNIDADE CONSTRUTIVA",OFFSET(A8,-1,0)+1,LARGE(A$3:A7,1))</f>
        <v>0</v>
      </c>
      <c r="B8" s="959">
        <f t="shared" ref="B8:B69" ca="1" si="0">IF(H8="UNIDADE CONSTRUTIVA",0,IF(H8="CÉLULA CONSTRUTIVA",OFFSET(B8,-1,0)+1,OFFSET(B8,-1,0)))</f>
        <v>1</v>
      </c>
      <c r="C8" s="959">
        <f t="shared" ref="C8" ca="1" si="1">IF(H8="CÉLULA CONSTRUTIVA",0,IF(H8="ETAPA",OFFSET(C8,-1,0)+1,OFFSET(C8,-1,0)))</f>
        <v>0</v>
      </c>
      <c r="D8" s="960">
        <f t="shared" ref="D8" ca="1" si="2">IF(H8="ETAPA",0,IF(H8="SUBETAPA",OFFSET(D8,-1,0)+1,OFFSET(D8,-1,0)))</f>
        <v>0</v>
      </c>
      <c r="E8" s="960">
        <f t="shared" ref="E8" ca="1" si="3">IF(H8="Subetapa",0,IF(H8="serviço",OFFSET(E8,-1,0)+1,OFFSET(E8,-1,0)))</f>
        <v>0</v>
      </c>
      <c r="F8" s="1132"/>
      <c r="G8" s="754"/>
      <c r="H8" s="755" t="s">
        <v>473</v>
      </c>
      <c r="I8" s="756" t="str">
        <f t="shared" ref="I8:I45" ca="1" si="4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757" t="s">
        <v>371</v>
      </c>
      <c r="K8" s="758"/>
      <c r="L8" s="957"/>
      <c r="M8" s="957"/>
      <c r="N8" s="868">
        <f t="shared" ref="N8:N71" ca="1" si="5">IF(H8="Serviço",M8*L8,IF(H8="CÉLULA CONSTRUTIVA",SUMIFS($N$8:$N$258,$B$8:$B$258,B8,$H$8:$H$258,"Serviço"),IF(H8="ETAPA",SUMIFS($N$8:$N$258,$B$8:$B$258,B8,$C$8:$C$258,C8,$H$8:$H$258,"Serviço"),IF(H8="SUBETAPA",SUMIFS($N$8:$N$258,$B$8:$B$258,B8,$C$8:$C$258,C8,$D$8:$D$258,D8,$H$8:$H$258,"Serviço"),0))))</f>
        <v>113009.79858982813</v>
      </c>
      <c r="O8" s="964">
        <f ca="1">N8/'Obra '!E$9</f>
        <v>342.90074518259593</v>
      </c>
      <c r="P8" s="761"/>
      <c r="Q8" s="965"/>
      <c r="R8" s="965"/>
      <c r="S8" s="210"/>
    </row>
    <row r="9" spans="1:21" s="209" customFormat="1" ht="13.9" customHeight="1" outlineLevel="1" x14ac:dyDescent="0.2">
      <c r="A9" s="959">
        <f ca="1">IF($H9="UNIDADE CONSTRUTIVA",OFFSET(A9,-1,0)+1,LARGE(A$3:A8,1))</f>
        <v>0</v>
      </c>
      <c r="B9" s="959">
        <f t="shared" ca="1" si="0"/>
        <v>1</v>
      </c>
      <c r="C9" s="959">
        <f t="shared" ref="C9:C70" ca="1" si="6">IF(H9="CÉLULA CONSTRUTIVA",0,IF(H9="ETAPA",OFFSET(C9,-1,0)+1,OFFSET(C9,-1,0)))</f>
        <v>1</v>
      </c>
      <c r="D9" s="960">
        <f t="shared" ref="D9:D70" ca="1" si="7">IF(H9="ETAPA",0,IF(H9="SUBETAPA",OFFSET(D9,-1,0)+1,OFFSET(D9,-1,0)))</f>
        <v>0</v>
      </c>
      <c r="E9" s="960">
        <f t="shared" ref="E9:E70" ca="1" si="8">IF(H9="Subetapa",0,IF(H9="serviço",OFFSET(E9,-1,0)+1,OFFSET(E9,-1,0)))</f>
        <v>0</v>
      </c>
      <c r="G9" s="754"/>
      <c r="H9" s="755" t="s">
        <v>474</v>
      </c>
      <c r="I9" s="756" t="str">
        <f t="shared" ca="1" si="4"/>
        <v>01.001</v>
      </c>
      <c r="J9" s="757" t="s">
        <v>1269</v>
      </c>
      <c r="K9" s="758"/>
      <c r="L9" s="957"/>
      <c r="M9" s="957"/>
      <c r="N9" s="868">
        <f t="shared" ca="1" si="5"/>
        <v>10084.167840185286</v>
      </c>
      <c r="O9" s="964">
        <f ca="1">N9/'Obra '!E$9</f>
        <v>30.597954426025687</v>
      </c>
      <c r="P9" s="761"/>
      <c r="Q9" s="210"/>
      <c r="R9" s="210"/>
      <c r="S9" s="210"/>
    </row>
    <row r="10" spans="1:21" s="209" customFormat="1" ht="13.9" customHeight="1" outlineLevel="1" x14ac:dyDescent="0.2">
      <c r="A10" s="959">
        <f ca="1">IF($H10="UNIDADE CONSTRUTIVA",OFFSET(A10,-1,0)+1,LARGE(A$3:A7,1))</f>
        <v>0</v>
      </c>
      <c r="B10" s="959">
        <f t="shared" ref="B10:B11" ca="1" si="9">IF(H10="UNIDADE CONSTRUTIVA",0,IF(H10="CÉLULA CONSTRUTIVA",OFFSET(B10,-1,0)+1,OFFSET(B10,-1,0)))</f>
        <v>1</v>
      </c>
      <c r="C10" s="959">
        <f t="shared" ref="C10:C11" ca="1" si="10">IF(H10="CÉLULA CONSTRUTIVA",0,IF(H10="ETAPA",OFFSET(C10,-1,0)+1,OFFSET(C10,-1,0)))</f>
        <v>1</v>
      </c>
      <c r="D10" s="960">
        <f t="shared" ref="D10:D11" ca="1" si="11">IF(H10="ETAPA",0,IF(H10="SUBETAPA",OFFSET(D10,-1,0)+1,OFFSET(D10,-1,0)))</f>
        <v>1</v>
      </c>
      <c r="E10" s="960">
        <f t="shared" ref="E10:E11" ca="1" si="12">IF(H10="Subetapa",0,IF(H10="serviço",OFFSET(E10,-1,0)+1,OFFSET(E10,-1,0)))</f>
        <v>0</v>
      </c>
      <c r="G10" s="754"/>
      <c r="H10" s="755" t="s">
        <v>475</v>
      </c>
      <c r="I10" s="756" t="str">
        <f t="shared" ref="I10:I11" ca="1" si="13"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>01.001.001</v>
      </c>
      <c r="J10" s="757" t="s">
        <v>2641</v>
      </c>
      <c r="K10" s="758"/>
      <c r="L10" s="966"/>
      <c r="M10" s="966"/>
      <c r="N10" s="868">
        <f t="shared" ca="1" si="5"/>
        <v>2389.0349999999999</v>
      </c>
      <c r="O10" s="964"/>
      <c r="P10" s="761"/>
      <c r="Q10" s="210"/>
      <c r="R10" s="210"/>
      <c r="S10" s="210"/>
    </row>
    <row r="11" spans="1:21" s="209" customFormat="1" ht="13.9" customHeight="1" outlineLevel="2" x14ac:dyDescent="0.2">
      <c r="A11" s="959">
        <f ca="1">IF($H11="UNIDADE CONSTRUTIVA",OFFSET(A11,-1,0)+1,LARGE(A$3:A10,1))</f>
        <v>0</v>
      </c>
      <c r="B11" s="959">
        <f t="shared" ca="1" si="9"/>
        <v>1</v>
      </c>
      <c r="C11" s="959">
        <f t="shared" ca="1" si="10"/>
        <v>1</v>
      </c>
      <c r="D11" s="960">
        <f t="shared" ca="1" si="11"/>
        <v>1</v>
      </c>
      <c r="E11" s="960">
        <f t="shared" ca="1" si="12"/>
        <v>1</v>
      </c>
      <c r="G11" s="754"/>
      <c r="H11" s="755" t="s">
        <v>476</v>
      </c>
      <c r="I11" s="756" t="str">
        <f t="shared" ca="1" si="13"/>
        <v>01.001.001.001</v>
      </c>
      <c r="J11" s="757" t="s">
        <v>840</v>
      </c>
      <c r="K11" s="758" t="s">
        <v>1</v>
      </c>
      <c r="L11" s="957">
        <f>'Obra '!E8</f>
        <v>434.37</v>
      </c>
      <c r="M11" s="957">
        <v>5.5</v>
      </c>
      <c r="N11" s="868">
        <f t="shared" si="5"/>
        <v>2389.0349999999999</v>
      </c>
      <c r="O11" s="964"/>
      <c r="P11" s="761" t="s">
        <v>2630</v>
      </c>
      <c r="Q11" s="210"/>
      <c r="R11" s="210"/>
      <c r="S11" s="210"/>
    </row>
    <row r="12" spans="1:21" s="209" customFormat="1" ht="13.9" customHeight="1" outlineLevel="1" x14ac:dyDescent="0.2">
      <c r="A12" s="959">
        <f ca="1">IF($H12="UNIDADE CONSTRUTIVA",OFFSET(A12,-1,0)+1,LARGE(A$3:A9,1))</f>
        <v>0</v>
      </c>
      <c r="B12" s="959">
        <f t="shared" ca="1" si="0"/>
        <v>1</v>
      </c>
      <c r="C12" s="959">
        <f t="shared" ca="1" si="6"/>
        <v>1</v>
      </c>
      <c r="D12" s="960">
        <f t="shared" ca="1" si="7"/>
        <v>2</v>
      </c>
      <c r="E12" s="960">
        <f t="shared" ca="1" si="8"/>
        <v>0</v>
      </c>
      <c r="G12" s="754"/>
      <c r="H12" s="755" t="s">
        <v>475</v>
      </c>
      <c r="I12" s="756" t="str">
        <f t="shared" ca="1" si="4"/>
        <v>01.001.002</v>
      </c>
      <c r="J12" s="757" t="s">
        <v>369</v>
      </c>
      <c r="K12" s="758"/>
      <c r="L12" s="966"/>
      <c r="M12" s="966"/>
      <c r="N12" s="868">
        <f t="shared" ca="1" si="5"/>
        <v>5955.0561982776881</v>
      </c>
      <c r="O12" s="964"/>
      <c r="P12" s="761"/>
      <c r="Q12" s="210"/>
      <c r="R12" s="210"/>
      <c r="S12" s="210"/>
    </row>
    <row r="13" spans="1:21" s="209" customFormat="1" ht="13.9" customHeight="1" outlineLevel="2" x14ac:dyDescent="0.2">
      <c r="A13" s="959">
        <f ca="1">IF($H13="UNIDADE CONSTRUTIVA",OFFSET(A13,-1,0)+1,LARGE(A$3:A12,1))</f>
        <v>0</v>
      </c>
      <c r="B13" s="959">
        <f t="shared" ca="1" si="0"/>
        <v>1</v>
      </c>
      <c r="C13" s="959">
        <f t="shared" ca="1" si="6"/>
        <v>1</v>
      </c>
      <c r="D13" s="960">
        <f t="shared" ca="1" si="7"/>
        <v>2</v>
      </c>
      <c r="E13" s="960">
        <f t="shared" ca="1" si="8"/>
        <v>1</v>
      </c>
      <c r="G13" s="754"/>
      <c r="H13" s="755" t="s">
        <v>476</v>
      </c>
      <c r="I13" s="756" t="str">
        <f t="shared" ca="1" si="4"/>
        <v>01.001.002.001</v>
      </c>
      <c r="J13" s="757" t="s">
        <v>1427</v>
      </c>
      <c r="K13" s="758" t="s">
        <v>4</v>
      </c>
      <c r="L13" s="957">
        <f>'Fundação Rasa'!G7</f>
        <v>124.1361919508</v>
      </c>
      <c r="M13" s="957">
        <f>_xlfn.XLOOKUP($J13,CPU!$D$1:$D$2521,CPU!$H$1:$H$2521)</f>
        <v>36.36</v>
      </c>
      <c r="N13" s="868">
        <f t="shared" si="5"/>
        <v>4513.5919393310878</v>
      </c>
      <c r="O13" s="964"/>
      <c r="P13" s="761" t="s">
        <v>2630</v>
      </c>
      <c r="Q13" s="210"/>
      <c r="R13" s="210"/>
      <c r="S13" s="210"/>
    </row>
    <row r="14" spans="1:21" s="209" customFormat="1" ht="13.9" customHeight="1" outlineLevel="2" x14ac:dyDescent="0.2">
      <c r="A14" s="959">
        <f ca="1">IF($H14="UNIDADE CONSTRUTIVA",OFFSET(A14,-1,0)+1,LARGE(A$3:A13,1))</f>
        <v>0</v>
      </c>
      <c r="B14" s="959">
        <f t="shared" ca="1" si="0"/>
        <v>1</v>
      </c>
      <c r="C14" s="959">
        <f t="shared" ca="1" si="6"/>
        <v>1</v>
      </c>
      <c r="D14" s="960">
        <f t="shared" ca="1" si="7"/>
        <v>2</v>
      </c>
      <c r="E14" s="960">
        <f t="shared" ca="1" si="8"/>
        <v>2</v>
      </c>
      <c r="G14" s="754"/>
      <c r="H14" s="755" t="s">
        <v>476</v>
      </c>
      <c r="I14" s="756" t="str">
        <f t="shared" ca="1" si="4"/>
        <v>01.001.002.002</v>
      </c>
      <c r="J14" s="757" t="s">
        <v>463</v>
      </c>
      <c r="K14" s="758" t="s">
        <v>4</v>
      </c>
      <c r="L14" s="957">
        <f>'Fundação Rasa'!I7</f>
        <v>99.069708518666673</v>
      </c>
      <c r="M14" s="957">
        <f>_xlfn.XLOOKUP($J14,CPU!$D$1:$D$2521,CPU!$H$1:$H$2521)</f>
        <v>14.55</v>
      </c>
      <c r="N14" s="868">
        <f t="shared" si="5"/>
        <v>1441.4642589466002</v>
      </c>
      <c r="O14" s="964"/>
      <c r="P14" s="761" t="s">
        <v>2630</v>
      </c>
      <c r="Q14" s="210"/>
      <c r="R14" s="210"/>
      <c r="S14" s="210"/>
    </row>
    <row r="15" spans="1:21" s="209" customFormat="1" ht="13.9" customHeight="1" outlineLevel="1" x14ac:dyDescent="0.2">
      <c r="A15" s="959">
        <f ca="1">IF($H15="UNIDADE CONSTRUTIVA",OFFSET(A15,-1,0)+1,LARGE(A$3:A14,1))</f>
        <v>0</v>
      </c>
      <c r="B15" s="959">
        <f t="shared" ca="1" si="0"/>
        <v>1</v>
      </c>
      <c r="C15" s="959">
        <f t="shared" ca="1" si="6"/>
        <v>1</v>
      </c>
      <c r="D15" s="960">
        <f t="shared" ca="1" si="7"/>
        <v>3</v>
      </c>
      <c r="E15" s="960">
        <f t="shared" ca="1" si="8"/>
        <v>0</v>
      </c>
      <c r="G15" s="754"/>
      <c r="H15" s="755" t="s">
        <v>475</v>
      </c>
      <c r="I15" s="756" t="str">
        <f t="shared" ca="1" si="4"/>
        <v>01.001.003</v>
      </c>
      <c r="J15" s="757" t="s">
        <v>1270</v>
      </c>
      <c r="K15" s="758"/>
      <c r="L15" s="966"/>
      <c r="M15" s="957"/>
      <c r="N15" s="868">
        <f t="shared" ca="1" si="5"/>
        <v>259.02346832000001</v>
      </c>
      <c r="O15" s="964"/>
      <c r="P15" s="761"/>
      <c r="Q15" s="210"/>
      <c r="R15" s="210"/>
      <c r="S15" s="210"/>
    </row>
    <row r="16" spans="1:21" s="209" customFormat="1" ht="13.9" customHeight="1" outlineLevel="2" x14ac:dyDescent="0.2">
      <c r="A16" s="959">
        <f ca="1">IF($H16="UNIDADE CONSTRUTIVA",OFFSET(A16,-1,0)+1,LARGE(A$3:A15,1))</f>
        <v>0</v>
      </c>
      <c r="B16" s="959">
        <f t="shared" ca="1" si="0"/>
        <v>1</v>
      </c>
      <c r="C16" s="959">
        <f t="shared" ca="1" si="6"/>
        <v>1</v>
      </c>
      <c r="D16" s="960">
        <f t="shared" ca="1" si="7"/>
        <v>3</v>
      </c>
      <c r="E16" s="960">
        <f t="shared" ca="1" si="8"/>
        <v>1</v>
      </c>
      <c r="G16" s="754"/>
      <c r="H16" s="755" t="s">
        <v>476</v>
      </c>
      <c r="I16" s="756" t="str">
        <f t="shared" ca="1" si="4"/>
        <v>01.001.003.001</v>
      </c>
      <c r="J16" s="757" t="s">
        <v>2558</v>
      </c>
      <c r="K16" s="758" t="s">
        <v>4</v>
      </c>
      <c r="L16" s="957">
        <f>SUM('Fundação Rasa'!L7:L7)</f>
        <v>1.2482000000000002</v>
      </c>
      <c r="M16" s="957">
        <f>_xlfn.XLOOKUP($J16,CPU!$D$1:$D$2521,CPU!$H$1:$H$2521)</f>
        <v>207.51759999999999</v>
      </c>
      <c r="N16" s="868">
        <f t="shared" si="5"/>
        <v>259.02346832000001</v>
      </c>
      <c r="O16" s="964"/>
      <c r="P16" s="761" t="s">
        <v>2630</v>
      </c>
      <c r="Q16" s="210"/>
      <c r="R16" s="210"/>
      <c r="S16" s="210"/>
    </row>
    <row r="17" spans="1:19" s="209" customFormat="1" ht="13.9" customHeight="1" outlineLevel="1" x14ac:dyDescent="0.2">
      <c r="A17" s="959">
        <f ca="1">IF($H17="UNIDADE CONSTRUTIVA",OFFSET(A17,-1,0)+1,LARGE(A$3:A16,1))</f>
        <v>0</v>
      </c>
      <c r="B17" s="959">
        <f t="shared" ca="1" si="0"/>
        <v>1</v>
      </c>
      <c r="C17" s="959">
        <f t="shared" ca="1" si="6"/>
        <v>1</v>
      </c>
      <c r="D17" s="960">
        <f t="shared" ca="1" si="7"/>
        <v>4</v>
      </c>
      <c r="E17" s="960">
        <f t="shared" ca="1" si="8"/>
        <v>0</v>
      </c>
      <c r="G17" s="754"/>
      <c r="H17" s="755" t="s">
        <v>475</v>
      </c>
      <c r="I17" s="756" t="str">
        <f t="shared" ref="I17:I18" ca="1" si="14"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>01.001.004</v>
      </c>
      <c r="J17" s="757" t="s">
        <v>370</v>
      </c>
      <c r="K17" s="758"/>
      <c r="L17" s="966"/>
      <c r="M17" s="957"/>
      <c r="N17" s="868">
        <f t="shared" ca="1" si="5"/>
        <v>1481.0531735875979</v>
      </c>
      <c r="O17" s="964"/>
      <c r="P17" s="761"/>
      <c r="Q17" s="210"/>
      <c r="R17" s="210"/>
      <c r="S17" s="210"/>
    </row>
    <row r="18" spans="1:19" s="209" customFormat="1" ht="13.9" customHeight="1" outlineLevel="2" x14ac:dyDescent="0.2">
      <c r="A18" s="959">
        <f ca="1">IF($H18="UNIDADE CONSTRUTIVA",OFFSET(A18,-1,0)+1,LARGE(A$3:A17,1))</f>
        <v>0</v>
      </c>
      <c r="B18" s="959">
        <f t="shared" ca="1" si="0"/>
        <v>1</v>
      </c>
      <c r="C18" s="959">
        <f t="shared" ca="1" si="6"/>
        <v>1</v>
      </c>
      <c r="D18" s="960">
        <f t="shared" ca="1" si="7"/>
        <v>4</v>
      </c>
      <c r="E18" s="960">
        <f t="shared" ca="1" si="8"/>
        <v>1</v>
      </c>
      <c r="G18" s="754"/>
      <c r="H18" s="755" t="s">
        <v>476</v>
      </c>
      <c r="I18" s="756" t="str">
        <f t="shared" ca="1" si="14"/>
        <v>01.001.004.001</v>
      </c>
      <c r="J18" s="757" t="s">
        <v>1450</v>
      </c>
      <c r="K18" s="758" t="s">
        <v>4</v>
      </c>
      <c r="L18" s="957">
        <f>'Fundação Rasa'!J7</f>
        <v>32.58642846177333</v>
      </c>
      <c r="M18" s="957">
        <f>_xlfn.XLOOKUP($J18,CPU!$D$1:$D$2521,CPU!$H$1:$H$2521)</f>
        <v>45.45</v>
      </c>
      <c r="N18" s="868">
        <f t="shared" si="5"/>
        <v>1481.0531735875979</v>
      </c>
      <c r="O18" s="964"/>
      <c r="P18" s="761" t="s">
        <v>2630</v>
      </c>
      <c r="Q18" s="210"/>
      <c r="R18" s="210"/>
      <c r="S18" s="210"/>
    </row>
    <row r="19" spans="1:19" s="209" customFormat="1" ht="13.9" customHeight="1" outlineLevel="1" x14ac:dyDescent="0.2">
      <c r="A19" s="959">
        <f ca="1">IF($H19="UNIDADE CONSTRUTIVA",OFFSET(A19,-1,0)+1,LARGE(A$3:A18,1))</f>
        <v>0</v>
      </c>
      <c r="B19" s="959">
        <f t="shared" ca="1" si="0"/>
        <v>1</v>
      </c>
      <c r="C19" s="959">
        <f t="shared" ca="1" si="6"/>
        <v>2</v>
      </c>
      <c r="D19" s="960">
        <f t="shared" ca="1" si="7"/>
        <v>0</v>
      </c>
      <c r="E19" s="960">
        <f t="shared" ca="1" si="8"/>
        <v>1</v>
      </c>
      <c r="F19" s="1132"/>
      <c r="G19" s="754"/>
      <c r="H19" s="755" t="s">
        <v>474</v>
      </c>
      <c r="I19" s="756" t="str">
        <f t="shared" ca="1" si="4"/>
        <v>01.002</v>
      </c>
      <c r="J19" s="757" t="s">
        <v>1271</v>
      </c>
      <c r="K19" s="758"/>
      <c r="L19" s="957"/>
      <c r="M19" s="957"/>
      <c r="N19" s="868">
        <f t="shared" ca="1" si="5"/>
        <v>102925.63074964285</v>
      </c>
      <c r="O19" s="964">
        <f ca="1">N19/'Obra '!E$9</f>
        <v>312.30279075657023</v>
      </c>
      <c r="P19" s="761"/>
      <c r="Q19" s="210"/>
      <c r="R19" s="210"/>
      <c r="S19" s="210"/>
    </row>
    <row r="20" spans="1:19" s="209" customFormat="1" ht="13.9" customHeight="1" outlineLevel="1" x14ac:dyDescent="0.2">
      <c r="A20" s="959">
        <f ca="1">IF($H20="UNIDADE CONSTRUTIVA",OFFSET(A20,-1,0)+1,LARGE(A$3:A19,1))</f>
        <v>0</v>
      </c>
      <c r="B20" s="959">
        <f t="shared" ca="1" si="0"/>
        <v>1</v>
      </c>
      <c r="C20" s="959">
        <f t="shared" ca="1" si="6"/>
        <v>2</v>
      </c>
      <c r="D20" s="960">
        <f t="shared" ca="1" si="7"/>
        <v>1</v>
      </c>
      <c r="E20" s="960">
        <f t="shared" ca="1" si="8"/>
        <v>0</v>
      </c>
      <c r="G20" s="754"/>
      <c r="H20" s="755" t="s">
        <v>475</v>
      </c>
      <c r="I20" s="756" t="str">
        <f t="shared" ca="1" si="4"/>
        <v>01.002.001</v>
      </c>
      <c r="J20" s="757" t="s">
        <v>374</v>
      </c>
      <c r="K20" s="758"/>
      <c r="L20" s="957"/>
      <c r="M20" s="957"/>
      <c r="N20" s="868">
        <f t="shared" ca="1" si="5"/>
        <v>21358.770339142859</v>
      </c>
      <c r="O20" s="964">
        <f ca="1">N20/'Obra '!E$9</f>
        <v>64.80799326134921</v>
      </c>
      <c r="P20" s="761"/>
      <c r="Q20" s="210"/>
      <c r="R20" s="210"/>
      <c r="S20" s="210"/>
    </row>
    <row r="21" spans="1:19" s="209" customFormat="1" ht="13.9" customHeight="1" outlineLevel="2" x14ac:dyDescent="0.2">
      <c r="A21" s="959">
        <f ca="1">IF($H21="UNIDADE CONSTRUTIVA",OFFSET(A21,-1,0)+1,LARGE(A$3:A20,1))</f>
        <v>0</v>
      </c>
      <c r="B21" s="959">
        <f t="shared" ca="1" si="0"/>
        <v>1</v>
      </c>
      <c r="C21" s="959">
        <f t="shared" ca="1" si="6"/>
        <v>2</v>
      </c>
      <c r="D21" s="960">
        <f t="shared" ca="1" si="7"/>
        <v>1</v>
      </c>
      <c r="E21" s="960">
        <f t="shared" ca="1" si="8"/>
        <v>1</v>
      </c>
      <c r="G21" s="754"/>
      <c r="H21" s="755" t="s">
        <v>476</v>
      </c>
      <c r="I21" s="756" t="str">
        <f t="shared" ca="1" si="4"/>
        <v>01.002.001.001</v>
      </c>
      <c r="J21" s="757" t="s">
        <v>1509</v>
      </c>
      <c r="K21" s="758" t="s">
        <v>1</v>
      </c>
      <c r="L21" s="957">
        <f>Aço_Infraestrutura!N7+Aço_Infraestrutura!N13+Aço_Infraestrutura!N9</f>
        <v>162.44</v>
      </c>
      <c r="M21" s="957">
        <f>_xlfn.XLOOKUP($J21,CPU!$D$1:$D$2521,CPU!$H$1:$H$2521)</f>
        <v>59.956228571428568</v>
      </c>
      <c r="N21" s="868">
        <f t="shared" si="5"/>
        <v>9739.289769142857</v>
      </c>
      <c r="O21" s="964" t="s">
        <v>2560</v>
      </c>
      <c r="P21" s="761" t="s">
        <v>2630</v>
      </c>
      <c r="Q21" s="210"/>
      <c r="R21" s="210"/>
      <c r="S21" s="210"/>
    </row>
    <row r="22" spans="1:19" s="209" customFormat="1" ht="13.9" customHeight="1" outlineLevel="2" x14ac:dyDescent="0.2">
      <c r="A22" s="959">
        <f ca="1">IF($H22="UNIDADE CONSTRUTIVA",OFFSET(A22,-1,0)+1,LARGE(A$3:A21,1))</f>
        <v>0</v>
      </c>
      <c r="B22" s="959">
        <f t="shared" ca="1" si="0"/>
        <v>1</v>
      </c>
      <c r="C22" s="959">
        <f t="shared" ca="1" si="6"/>
        <v>2</v>
      </c>
      <c r="D22" s="960">
        <f t="shared" ca="1" si="7"/>
        <v>1</v>
      </c>
      <c r="E22" s="960">
        <f t="shared" ca="1" si="8"/>
        <v>2</v>
      </c>
      <c r="G22" s="754"/>
      <c r="H22" s="755" t="s">
        <v>476</v>
      </c>
      <c r="I22" s="756" t="str">
        <f t="shared" ref="I22" ca="1" si="15">IF(H22="Unidade Construtiva",TEXT(A22,"00"),IF(H22="Célula Construtiva",TEXT(B22,"00"),IF(H22="Etapa",CONCATENATE(TEXT(B22,"00"),".",TEXT(C22,"000")),IF(H22="Subetapa",CONCATENATE(TEXT(B22,"00"),".",TEXT(C22,"000"),".",TEXT(D22,"000")),IF(H22="Serviço",CONCATENATE(TEXT(B22,"00"),".",TEXT(C22,"000"),".",TEXT(D22,"000"),".",TEXT(E22,"000")),"")))))</f>
        <v>01.002.001.002</v>
      </c>
      <c r="J22" s="757" t="s">
        <v>2613</v>
      </c>
      <c r="K22" s="758" t="s">
        <v>1</v>
      </c>
      <c r="L22" s="957">
        <f>LAJE_TRELIÇADA!G7</f>
        <v>162.78</v>
      </c>
      <c r="M22" s="957">
        <v>71.381500000000003</v>
      </c>
      <c r="N22" s="868">
        <f t="shared" si="5"/>
        <v>11619.48057</v>
      </c>
      <c r="O22" s="964" t="s">
        <v>2559</v>
      </c>
      <c r="P22" s="761" t="s">
        <v>2630</v>
      </c>
      <c r="Q22" s="210"/>
      <c r="R22" s="210"/>
      <c r="S22" s="210"/>
    </row>
    <row r="23" spans="1:19" s="209" customFormat="1" ht="13.9" customHeight="1" outlineLevel="1" x14ac:dyDescent="0.2">
      <c r="A23" s="959">
        <f ca="1">IF($H23="UNIDADE CONSTRUTIVA",OFFSET(A23,-1,0)+1,LARGE(A$3:A22,1))</f>
        <v>0</v>
      </c>
      <c r="B23" s="959">
        <f t="shared" ca="1" si="0"/>
        <v>1</v>
      </c>
      <c r="C23" s="959">
        <f t="shared" ca="1" si="6"/>
        <v>2</v>
      </c>
      <c r="D23" s="960">
        <f t="shared" ca="1" si="7"/>
        <v>2</v>
      </c>
      <c r="E23" s="960">
        <f t="shared" ca="1" si="8"/>
        <v>0</v>
      </c>
      <c r="G23" s="754"/>
      <c r="H23" s="755" t="s">
        <v>475</v>
      </c>
      <c r="I23" s="756" t="str">
        <f t="shared" ca="1" si="4"/>
        <v>01.002.002</v>
      </c>
      <c r="J23" s="757" t="s">
        <v>372</v>
      </c>
      <c r="K23" s="758"/>
      <c r="L23" s="966"/>
      <c r="M23" s="966"/>
      <c r="N23" s="868">
        <f t="shared" ca="1" si="5"/>
        <v>17928.351710500003</v>
      </c>
      <c r="O23" s="964">
        <f ca="1">N23/'Obra '!E$9</f>
        <v>54.399222351852423</v>
      </c>
      <c r="P23" s="761"/>
      <c r="Q23" s="210"/>
      <c r="R23" s="210"/>
      <c r="S23" s="210"/>
    </row>
    <row r="24" spans="1:19" s="209" customFormat="1" ht="13.9" customHeight="1" outlineLevel="2" x14ac:dyDescent="0.2">
      <c r="A24" s="959">
        <f ca="1">IF($H24="UNIDADE CONSTRUTIVA",OFFSET(A24,-1,0)+1,LARGE(A$3:A23,1))</f>
        <v>0</v>
      </c>
      <c r="B24" s="959">
        <f t="shared" ca="1" si="0"/>
        <v>1</v>
      </c>
      <c r="C24" s="959">
        <f t="shared" ca="1" si="6"/>
        <v>2</v>
      </c>
      <c r="D24" s="960">
        <f t="shared" ca="1" si="7"/>
        <v>2</v>
      </c>
      <c r="E24" s="960">
        <f t="shared" ca="1" si="8"/>
        <v>1</v>
      </c>
      <c r="G24" s="754"/>
      <c r="H24" s="755" t="s">
        <v>476</v>
      </c>
      <c r="I24" s="756" t="str">
        <f t="shared" ca="1" si="4"/>
        <v>01.002.002.001</v>
      </c>
      <c r="J24" s="757" t="s">
        <v>457</v>
      </c>
      <c r="K24" s="758" t="s">
        <v>5</v>
      </c>
      <c r="L24" s="957">
        <f>Aço_Infraestrutura!D16</f>
        <v>245.8</v>
      </c>
      <c r="M24" s="957">
        <f>_xlfn.XLOOKUP($J24,CPU!$D$1:$D$2521,CPU!$H$1:$H$2521)</f>
        <v>6.9381450000000005</v>
      </c>
      <c r="N24" s="868">
        <f t="shared" si="5"/>
        <v>1705.3960410000002</v>
      </c>
      <c r="O24" s="964" t="s">
        <v>877</v>
      </c>
      <c r="P24" s="761" t="s">
        <v>2630</v>
      </c>
      <c r="Q24" s="210"/>
      <c r="R24" s="210"/>
      <c r="S24" s="210"/>
    </row>
    <row r="25" spans="1:19" s="209" customFormat="1" ht="13.9" customHeight="1" outlineLevel="2" x14ac:dyDescent="0.2">
      <c r="A25" s="959">
        <f ca="1">IF($H25="UNIDADE CONSTRUTIVA",OFFSET(A25,-1,0)+1,LARGE(A$3:A24,1))</f>
        <v>0</v>
      </c>
      <c r="B25" s="959">
        <f t="shared" ca="1" si="0"/>
        <v>1</v>
      </c>
      <c r="C25" s="959">
        <f t="shared" ca="1" si="6"/>
        <v>2</v>
      </c>
      <c r="D25" s="960">
        <f t="shared" ca="1" si="7"/>
        <v>2</v>
      </c>
      <c r="E25" s="960">
        <f t="shared" ca="1" si="8"/>
        <v>2</v>
      </c>
      <c r="G25" s="754"/>
      <c r="H25" s="755" t="s">
        <v>476</v>
      </c>
      <c r="I25" s="756" t="str">
        <f t="shared" ca="1" si="4"/>
        <v>01.002.002.002</v>
      </c>
      <c r="J25" s="757" t="s">
        <v>375</v>
      </c>
      <c r="K25" s="758" t="s">
        <v>5</v>
      </c>
      <c r="L25" s="957">
        <f>Aço_Infraestrutura!E16</f>
        <v>285.2</v>
      </c>
      <c r="M25" s="957">
        <f>_xlfn.XLOOKUP($J25,CPU!$D$1:$D$2521,CPU!$H$1:$H$2521)</f>
        <v>6.9381450000000005</v>
      </c>
      <c r="N25" s="868">
        <f t="shared" si="5"/>
        <v>1978.7589540000001</v>
      </c>
      <c r="O25" s="964" t="s">
        <v>877</v>
      </c>
      <c r="P25" s="761" t="s">
        <v>2630</v>
      </c>
      <c r="Q25" s="210"/>
      <c r="R25" s="210"/>
      <c r="S25" s="210"/>
    </row>
    <row r="26" spans="1:19" s="209" customFormat="1" ht="13.9" customHeight="1" outlineLevel="2" x14ac:dyDescent="0.2">
      <c r="A26" s="959">
        <f ca="1">IF($H26="UNIDADE CONSTRUTIVA",OFFSET(A26,-1,0)+1,LARGE(A$3:A25,1))</f>
        <v>0</v>
      </c>
      <c r="B26" s="959">
        <f t="shared" ca="1" si="0"/>
        <v>1</v>
      </c>
      <c r="C26" s="959">
        <f t="shared" ca="1" si="6"/>
        <v>2</v>
      </c>
      <c r="D26" s="960">
        <f t="shared" ca="1" si="7"/>
        <v>2</v>
      </c>
      <c r="E26" s="960">
        <f t="shared" ca="1" si="8"/>
        <v>3</v>
      </c>
      <c r="G26" s="754"/>
      <c r="H26" s="755" t="s">
        <v>476</v>
      </c>
      <c r="I26" s="756" t="str">
        <f t="shared" ca="1" si="4"/>
        <v>01.002.002.003</v>
      </c>
      <c r="J26" s="757" t="s">
        <v>376</v>
      </c>
      <c r="K26" s="758" t="s">
        <v>5</v>
      </c>
      <c r="L26" s="957">
        <f>Aço_Infraestrutura!F16</f>
        <v>303.5</v>
      </c>
      <c r="M26" s="957">
        <f>_xlfn.XLOOKUP($J26,CPU!$D$1:$D$2521,CPU!$H$1:$H$2521)</f>
        <v>6.6301449999999997</v>
      </c>
      <c r="N26" s="868">
        <f t="shared" si="5"/>
        <v>2012.2490074999998</v>
      </c>
      <c r="O26" s="964" t="s">
        <v>877</v>
      </c>
      <c r="P26" s="761" t="s">
        <v>2630</v>
      </c>
      <c r="Q26" s="210"/>
      <c r="R26" s="210"/>
      <c r="S26" s="210"/>
    </row>
    <row r="27" spans="1:19" s="209" customFormat="1" ht="13.9" customHeight="1" outlineLevel="2" x14ac:dyDescent="0.2">
      <c r="A27" s="959">
        <f ca="1">IF($H27="UNIDADE CONSTRUTIVA",OFFSET(A27,-1,0)+1,LARGE(A$3:A26,1))</f>
        <v>0</v>
      </c>
      <c r="B27" s="959">
        <f t="shared" ca="1" si="0"/>
        <v>1</v>
      </c>
      <c r="C27" s="959">
        <f t="shared" ca="1" si="6"/>
        <v>2</v>
      </c>
      <c r="D27" s="960">
        <f t="shared" ca="1" si="7"/>
        <v>2</v>
      </c>
      <c r="E27" s="960">
        <f t="shared" ca="1" si="8"/>
        <v>4</v>
      </c>
      <c r="G27" s="754"/>
      <c r="H27" s="755" t="s">
        <v>476</v>
      </c>
      <c r="I27" s="756" t="str">
        <f t="shared" ca="1" si="4"/>
        <v>01.002.002.004</v>
      </c>
      <c r="J27" s="757" t="s">
        <v>458</v>
      </c>
      <c r="K27" s="758" t="s">
        <v>5</v>
      </c>
      <c r="L27" s="957">
        <f>Aço_Infraestrutura!G16</f>
        <v>260.59999999999997</v>
      </c>
      <c r="M27" s="957">
        <f>_xlfn.XLOOKUP($J27,CPU!$D$1:$D$2521,CPU!$H$1:$H$2521)</f>
        <v>6.4431449999999995</v>
      </c>
      <c r="N27" s="868">
        <f t="shared" si="5"/>
        <v>1679.0835869999996</v>
      </c>
      <c r="O27" s="964" t="s">
        <v>877</v>
      </c>
      <c r="P27" s="761" t="s">
        <v>2630</v>
      </c>
      <c r="Q27" s="210"/>
      <c r="R27" s="210"/>
      <c r="S27" s="210"/>
    </row>
    <row r="28" spans="1:19" s="209" customFormat="1" ht="13.9" customHeight="1" outlineLevel="2" x14ac:dyDescent="0.2">
      <c r="A28" s="959">
        <f ca="1">IF($H28="UNIDADE CONSTRUTIVA",OFFSET(A28,-1,0)+1,LARGE(A$3:A27,1))</f>
        <v>0</v>
      </c>
      <c r="B28" s="959">
        <f t="shared" ca="1" si="0"/>
        <v>1</v>
      </c>
      <c r="C28" s="959">
        <f t="shared" ca="1" si="6"/>
        <v>2</v>
      </c>
      <c r="D28" s="960">
        <f t="shared" ca="1" si="7"/>
        <v>2</v>
      </c>
      <c r="E28" s="960">
        <f t="shared" ca="1" si="8"/>
        <v>5</v>
      </c>
      <c r="G28" s="754"/>
      <c r="H28" s="755" t="s">
        <v>476</v>
      </c>
      <c r="I28" s="756" t="str">
        <f t="shared" ca="1" si="4"/>
        <v>01.002.002.005</v>
      </c>
      <c r="J28" s="757" t="s">
        <v>377</v>
      </c>
      <c r="K28" s="758" t="s">
        <v>5</v>
      </c>
      <c r="L28" s="957">
        <f>Aço_Infraestrutura!H16</f>
        <v>222.2</v>
      </c>
      <c r="M28" s="957">
        <f>_xlfn.XLOOKUP($J28,CPU!$D$1:$D$2521,CPU!$H$1:$H$2521)</f>
        <v>6.4431449999999995</v>
      </c>
      <c r="N28" s="868">
        <f t="shared" si="5"/>
        <v>1431.6668189999998</v>
      </c>
      <c r="O28" s="964" t="s">
        <v>877</v>
      </c>
      <c r="P28" s="761" t="s">
        <v>2630</v>
      </c>
      <c r="Q28" s="210"/>
      <c r="R28" s="210"/>
      <c r="S28" s="210"/>
    </row>
    <row r="29" spans="1:19" s="209" customFormat="1" ht="13.9" customHeight="1" outlineLevel="2" x14ac:dyDescent="0.2">
      <c r="A29" s="959">
        <f ca="1">IF($H29="UNIDADE CONSTRUTIVA",OFFSET(A29,-1,0)+1,LARGE(A$3:A28,1))</f>
        <v>0</v>
      </c>
      <c r="B29" s="959">
        <f t="shared" ca="1" si="0"/>
        <v>1</v>
      </c>
      <c r="C29" s="959">
        <f t="shared" ca="1" si="6"/>
        <v>2</v>
      </c>
      <c r="D29" s="960">
        <f t="shared" ca="1" si="7"/>
        <v>2</v>
      </c>
      <c r="E29" s="960">
        <f t="shared" ca="1" si="8"/>
        <v>6</v>
      </c>
      <c r="G29" s="754"/>
      <c r="H29" s="755" t="s">
        <v>476</v>
      </c>
      <c r="I29" s="756" t="str">
        <f t="shared" ca="1" si="4"/>
        <v>01.002.002.006</v>
      </c>
      <c r="J29" s="757" t="s">
        <v>462</v>
      </c>
      <c r="K29" s="758" t="s">
        <v>5</v>
      </c>
      <c r="L29" s="957">
        <f>Aço_Infraestrutura!K16</f>
        <v>441.6</v>
      </c>
      <c r="M29" s="957">
        <f>_xlfn.XLOOKUP($J29,CPU!$D$1:$D$2521,CPU!$H$1:$H$2521)</f>
        <v>7.4881450000000003</v>
      </c>
      <c r="N29" s="868">
        <f t="shared" si="5"/>
        <v>3306.7648320000003</v>
      </c>
      <c r="O29" s="964" t="s">
        <v>877</v>
      </c>
      <c r="P29" s="761" t="s">
        <v>2630</v>
      </c>
      <c r="Q29" s="210"/>
      <c r="R29" s="210"/>
      <c r="S29" s="210"/>
    </row>
    <row r="30" spans="1:19" s="209" customFormat="1" ht="13.9" customHeight="1" outlineLevel="2" x14ac:dyDescent="0.2">
      <c r="A30" s="959">
        <f ca="1">IF($H30="UNIDADE CONSTRUTIVA",OFFSET(A30,-1,0)+1,LARGE(A$3:A29,1))</f>
        <v>0</v>
      </c>
      <c r="B30" s="959">
        <f t="shared" ca="1" si="0"/>
        <v>1</v>
      </c>
      <c r="C30" s="959">
        <f t="shared" ca="1" si="6"/>
        <v>2</v>
      </c>
      <c r="D30" s="960">
        <f t="shared" ca="1" si="7"/>
        <v>2</v>
      </c>
      <c r="E30" s="960">
        <f t="shared" ca="1" si="8"/>
        <v>7</v>
      </c>
      <c r="G30" s="754"/>
      <c r="H30" s="755" t="s">
        <v>476</v>
      </c>
      <c r="I30" s="756" t="str">
        <f t="shared" ca="1" si="4"/>
        <v>01.002.002.007</v>
      </c>
      <c r="J30" s="757" t="s">
        <v>2561</v>
      </c>
      <c r="K30" s="758" t="s">
        <v>1</v>
      </c>
      <c r="L30" s="957">
        <f>LAJE_TRELIÇADA!J7</f>
        <v>154</v>
      </c>
      <c r="M30" s="957">
        <f>_xlfn.XLOOKUP($J30,CPU!$D$1:$D$2521,CPU!$H$1:$H$2521)</f>
        <v>37.756055000000003</v>
      </c>
      <c r="N30" s="868">
        <f t="shared" si="5"/>
        <v>5814.4324700000006</v>
      </c>
      <c r="O30" s="964" t="s">
        <v>2559</v>
      </c>
      <c r="P30" s="761" t="s">
        <v>2630</v>
      </c>
      <c r="Q30" s="210"/>
      <c r="R30" s="210"/>
      <c r="S30" s="210"/>
    </row>
    <row r="31" spans="1:19" s="209" customFormat="1" ht="13.9" customHeight="1" outlineLevel="1" x14ac:dyDescent="0.2">
      <c r="A31" s="959">
        <f ca="1">IF($H31="UNIDADE CONSTRUTIVA",OFFSET(A31,-1,0)+1,LARGE(A$3:A30,1))</f>
        <v>0</v>
      </c>
      <c r="B31" s="959">
        <f t="shared" ca="1" si="0"/>
        <v>1</v>
      </c>
      <c r="C31" s="959">
        <f t="shared" ca="1" si="6"/>
        <v>2</v>
      </c>
      <c r="D31" s="960">
        <f t="shared" ca="1" si="7"/>
        <v>3</v>
      </c>
      <c r="E31" s="960">
        <f t="shared" ca="1" si="8"/>
        <v>0</v>
      </c>
      <c r="G31" s="754"/>
      <c r="H31" s="755" t="s">
        <v>475</v>
      </c>
      <c r="I31" s="756" t="str">
        <f t="shared" ca="1" si="4"/>
        <v>01.002.003</v>
      </c>
      <c r="J31" s="757" t="s">
        <v>347</v>
      </c>
      <c r="K31" s="758"/>
      <c r="L31" s="966"/>
      <c r="M31" s="966"/>
      <c r="N31" s="868">
        <f t="shared" ca="1" si="5"/>
        <v>16432.308699999998</v>
      </c>
      <c r="O31" s="964">
        <f ca="1">N31/'Obra '!E$9</f>
        <v>49.859843735776913</v>
      </c>
      <c r="P31" s="761"/>
      <c r="Q31" s="210"/>
      <c r="R31" s="210"/>
      <c r="S31" s="210"/>
    </row>
    <row r="32" spans="1:19" s="209" customFormat="1" ht="13.9" customHeight="1" outlineLevel="2" x14ac:dyDescent="0.2">
      <c r="A32" s="959">
        <f ca="1">IF($H32="UNIDADE CONSTRUTIVA",OFFSET(A32,-1,0)+1,LARGE(A$3:A31,1))</f>
        <v>0</v>
      </c>
      <c r="B32" s="959">
        <f t="shared" ca="1" si="0"/>
        <v>1</v>
      </c>
      <c r="C32" s="959">
        <f t="shared" ca="1" si="6"/>
        <v>2</v>
      </c>
      <c r="D32" s="960">
        <f t="shared" ca="1" si="7"/>
        <v>3</v>
      </c>
      <c r="E32" s="960">
        <f t="shared" ca="1" si="8"/>
        <v>1</v>
      </c>
      <c r="G32" s="754"/>
      <c r="H32" s="755" t="s">
        <v>476</v>
      </c>
      <c r="I32" s="756" t="str">
        <f ca="1">IF(H32="Unidade Construtiva",TEXT(A32,"00"),IF(H32="Célula Construtiva",TEXT(B32,"00"),IF(H32="Etapa",CONCATENATE(TEXT(B32,"00"),".",TEXT(C32,"000")),IF(H32="Subetapa",CONCATENATE(TEXT(B32,"00"),".",TEXT(C32,"000"),".",TEXT(D32,"000")),IF(H32="Serviço",CONCATENATE(TEXT(B32,"00"),".",TEXT(C32,"000"),".",TEXT(D32,"000"),".",TEXT(E32,"000")),"")))))</f>
        <v>01.002.003.001</v>
      </c>
      <c r="J32" s="757" t="s">
        <v>1277</v>
      </c>
      <c r="K32" s="758" t="s">
        <v>4</v>
      </c>
      <c r="L32" s="957">
        <f>Aço_Infraestrutura!O7+Aço_Infraestrutura!O9+Aço_Infraestrutura!O11+Aço_Infraestrutura!O13</f>
        <v>28.509999999999998</v>
      </c>
      <c r="M32" s="957">
        <v>576.37</v>
      </c>
      <c r="N32" s="868">
        <f t="shared" si="5"/>
        <v>16432.308699999998</v>
      </c>
      <c r="O32" s="964" t="s">
        <v>877</v>
      </c>
      <c r="P32" s="761" t="s">
        <v>2630</v>
      </c>
      <c r="Q32" s="210"/>
      <c r="R32" s="210"/>
      <c r="S32" s="210"/>
    </row>
    <row r="33" spans="1:19" s="209" customFormat="1" ht="13.9" customHeight="1" outlineLevel="1" x14ac:dyDescent="0.2">
      <c r="A33" s="959">
        <f ca="1">IF($H33="UNIDADE CONSTRUTIVA",OFFSET(A33,-1,0)+1,LARGE(A$3:A32,1))</f>
        <v>0</v>
      </c>
      <c r="B33" s="959">
        <f t="shared" ca="1" si="0"/>
        <v>1</v>
      </c>
      <c r="C33" s="959">
        <f t="shared" ca="1" si="6"/>
        <v>2</v>
      </c>
      <c r="D33" s="960">
        <f t="shared" ca="1" si="7"/>
        <v>4</v>
      </c>
      <c r="E33" s="960">
        <f t="shared" ca="1" si="8"/>
        <v>0</v>
      </c>
      <c r="G33" s="754"/>
      <c r="H33" s="755" t="s">
        <v>475</v>
      </c>
      <c r="I33" s="756" t="str">
        <f t="shared" ca="1" si="4"/>
        <v>01.002.004</v>
      </c>
      <c r="J33" s="757" t="s">
        <v>373</v>
      </c>
      <c r="K33" s="758"/>
      <c r="L33" s="966"/>
      <c r="M33" s="966"/>
      <c r="N33" s="868">
        <f t="shared" ca="1" si="5"/>
        <v>47206.2</v>
      </c>
      <c r="O33" s="964">
        <f ca="1">N33/'Obra '!E$9</f>
        <v>143.23573140759171</v>
      </c>
      <c r="P33" s="761"/>
      <c r="Q33" s="210"/>
      <c r="R33" s="210"/>
      <c r="S33" s="210"/>
    </row>
    <row r="34" spans="1:19" s="209" customFormat="1" ht="13.9" customHeight="1" outlineLevel="2" x14ac:dyDescent="0.2">
      <c r="A34" s="959">
        <f ca="1">IF($H34="UNIDADE CONSTRUTIVA",OFFSET(A34,-1,0)+1,LARGE(A$3:A33,1))</f>
        <v>0</v>
      </c>
      <c r="B34" s="959">
        <f t="shared" ca="1" si="0"/>
        <v>1</v>
      </c>
      <c r="C34" s="959">
        <f t="shared" ca="1" si="6"/>
        <v>2</v>
      </c>
      <c r="D34" s="960">
        <f t="shared" ca="1" si="7"/>
        <v>4</v>
      </c>
      <c r="E34" s="960">
        <f t="shared" ca="1" si="8"/>
        <v>1</v>
      </c>
      <c r="G34" s="754"/>
      <c r="H34" s="755" t="s">
        <v>476</v>
      </c>
      <c r="I34" s="756" t="str">
        <f ca="1">IF(H34="Unidade Construtiva",TEXT(A34,"00"),IF(H34="Célula Construtiva",TEXT(B34,"00"),IF(H34="Etapa",CONCATENATE(TEXT(B34,"00"),".",TEXT(C34,"000")),IF(H34="Subetapa",CONCATENATE(TEXT(B34,"00"),".",TEXT(C34,"000"),".",TEXT(D34,"000")),IF(H34="Serviço",CONCATENATE(TEXT(B34,"00"),".",TEXT(C34,"000"),".",TEXT(D34,"000"),".",TEXT(E34,"000")),"")))))</f>
        <v>01.002.004.001</v>
      </c>
      <c r="J34" s="757" t="s">
        <v>1525</v>
      </c>
      <c r="K34" s="758" t="s">
        <v>1</v>
      </c>
      <c r="L34" s="957">
        <f>'Obra '!E15</f>
        <v>162.78</v>
      </c>
      <c r="M34" s="957">
        <f>_xlfn.XLOOKUP($J34,CPU!$D$1:$D$2521,CPU!$H$1:$H$2521)</f>
        <v>290</v>
      </c>
      <c r="N34" s="868">
        <f t="shared" si="5"/>
        <v>47206.2</v>
      </c>
      <c r="O34" s="964"/>
      <c r="P34" s="761" t="s">
        <v>2630</v>
      </c>
      <c r="Q34" s="210"/>
      <c r="R34" s="210"/>
      <c r="S34" s="210"/>
    </row>
    <row r="35" spans="1:19" s="209" customFormat="1" ht="13.9" customHeight="1" x14ac:dyDescent="0.2">
      <c r="A35" s="959">
        <f ca="1">IF($H35="UNIDADE CONSTRUTIVA",OFFSET(A35,-1,0)+1,LARGE(A$3:A34,1))</f>
        <v>0</v>
      </c>
      <c r="B35" s="959">
        <f t="shared" ca="1" si="0"/>
        <v>2</v>
      </c>
      <c r="C35" s="959">
        <f t="shared" ca="1" si="6"/>
        <v>0</v>
      </c>
      <c r="D35" s="960">
        <f t="shared" ca="1" si="7"/>
        <v>4</v>
      </c>
      <c r="E35" s="960">
        <f t="shared" ca="1" si="8"/>
        <v>1</v>
      </c>
      <c r="F35" s="1132"/>
      <c r="G35" s="754"/>
      <c r="H35" s="755" t="s">
        <v>473</v>
      </c>
      <c r="I35" s="756" t="str">
        <f t="shared" ca="1" si="4"/>
        <v>02</v>
      </c>
      <c r="J35" s="757" t="s">
        <v>397</v>
      </c>
      <c r="K35" s="758"/>
      <c r="L35" s="957"/>
      <c r="M35" s="957"/>
      <c r="N35" s="868">
        <f t="shared" ca="1" si="5"/>
        <v>190194.42273595065</v>
      </c>
      <c r="O35" s="964">
        <f ca="1">N35/'Obra '!E$9</f>
        <v>577.09871267394078</v>
      </c>
      <c r="P35" s="761"/>
      <c r="Q35" s="965"/>
      <c r="R35" s="965"/>
      <c r="S35" s="210"/>
    </row>
    <row r="36" spans="1:19" s="209" customFormat="1" ht="13.9" customHeight="1" outlineLevel="1" x14ac:dyDescent="0.2">
      <c r="A36" s="959">
        <f ca="1">IF($H36="UNIDADE CONSTRUTIVA",OFFSET(A36,-1,0)+1,LARGE(A$3:A35,1))</f>
        <v>0</v>
      </c>
      <c r="B36" s="959">
        <f t="shared" ca="1" si="0"/>
        <v>2</v>
      </c>
      <c r="C36" s="959">
        <f t="shared" ca="1" si="6"/>
        <v>1</v>
      </c>
      <c r="D36" s="960">
        <f t="shared" ca="1" si="7"/>
        <v>0</v>
      </c>
      <c r="E36" s="960">
        <f t="shared" ca="1" si="8"/>
        <v>1</v>
      </c>
      <c r="G36" s="754"/>
      <c r="H36" s="755" t="s">
        <v>474</v>
      </c>
      <c r="I36" s="756" t="str">
        <f t="shared" ca="1" si="4"/>
        <v>02.001</v>
      </c>
      <c r="J36" s="757" t="s">
        <v>397</v>
      </c>
      <c r="K36" s="758"/>
      <c r="L36" s="957"/>
      <c r="M36" s="957"/>
      <c r="N36" s="868">
        <f t="shared" ca="1" si="5"/>
        <v>190194.42273595065</v>
      </c>
      <c r="O36" s="964"/>
      <c r="P36" s="761"/>
      <c r="Q36" s="210"/>
      <c r="R36" s="210"/>
      <c r="S36" s="210"/>
    </row>
    <row r="37" spans="1:19" s="209" customFormat="1" ht="13.9" customHeight="1" outlineLevel="1" x14ac:dyDescent="0.2">
      <c r="A37" s="959">
        <f ca="1">IF($H37="UNIDADE CONSTRUTIVA",OFFSET(A37,-1,0)+1,LARGE(A$3:A36,1))</f>
        <v>0</v>
      </c>
      <c r="B37" s="959">
        <f t="shared" ca="1" si="0"/>
        <v>2</v>
      </c>
      <c r="C37" s="959">
        <f t="shared" ca="1" si="6"/>
        <v>1</v>
      </c>
      <c r="D37" s="960">
        <f t="shared" ca="1" si="7"/>
        <v>1</v>
      </c>
      <c r="E37" s="960">
        <f t="shared" ca="1" si="8"/>
        <v>0</v>
      </c>
      <c r="G37" s="754"/>
      <c r="H37" s="755" t="s">
        <v>475</v>
      </c>
      <c r="I37" s="756" t="str">
        <f t="shared" ca="1" si="4"/>
        <v>02.001.001</v>
      </c>
      <c r="J37" s="757" t="s">
        <v>374</v>
      </c>
      <c r="K37" s="758"/>
      <c r="L37" s="957"/>
      <c r="M37" s="957"/>
      <c r="N37" s="868">
        <f t="shared" ca="1" si="5"/>
        <v>59399.451308250689</v>
      </c>
      <c r="O37" s="964"/>
      <c r="P37" s="761"/>
      <c r="Q37" s="210"/>
      <c r="R37" s="210"/>
      <c r="S37" s="210"/>
    </row>
    <row r="38" spans="1:19" s="209" customFormat="1" ht="13.9" customHeight="1" outlineLevel="2" x14ac:dyDescent="0.2">
      <c r="A38" s="959">
        <f ca="1">IF($H38="UNIDADE CONSTRUTIVA",OFFSET(A38,-1,0)+1,LARGE(A$3:A37,1))</f>
        <v>0</v>
      </c>
      <c r="B38" s="959">
        <f t="shared" ca="1" si="0"/>
        <v>2</v>
      </c>
      <c r="C38" s="959">
        <f t="shared" ca="1" si="6"/>
        <v>1</v>
      </c>
      <c r="D38" s="960">
        <f t="shared" ca="1" si="7"/>
        <v>1</v>
      </c>
      <c r="E38" s="960">
        <f t="shared" ca="1" si="8"/>
        <v>1</v>
      </c>
      <c r="G38" s="754"/>
      <c r="H38" s="755" t="s">
        <v>476</v>
      </c>
      <c r="I38" s="756" t="str">
        <f t="shared" ca="1" si="4"/>
        <v>02.001.001.001</v>
      </c>
      <c r="J38" s="757" t="s">
        <v>1543</v>
      </c>
      <c r="K38" s="758" t="s">
        <v>1</v>
      </c>
      <c r="L38" s="957">
        <f>L42*0.5</f>
        <v>72.635000000000005</v>
      </c>
      <c r="M38" s="957">
        <f>_xlfn.XLOOKUP($J38,CPU!$D$1:$D$2521,CPU!$H$1:$H$2521)</f>
        <v>117.15402760330576</v>
      </c>
      <c r="N38" s="868">
        <f t="shared" si="5"/>
        <v>8509.4827949661139</v>
      </c>
      <c r="O38" s="964" t="s">
        <v>2567</v>
      </c>
      <c r="P38" s="761" t="s">
        <v>2630</v>
      </c>
      <c r="Q38" s="210"/>
      <c r="R38" s="210"/>
      <c r="S38" s="210"/>
    </row>
    <row r="39" spans="1:19" s="209" customFormat="1" ht="13.9" customHeight="1" outlineLevel="2" x14ac:dyDescent="0.2">
      <c r="A39" s="959">
        <f ca="1">IF($H39="UNIDADE CONSTRUTIVA",OFFSET(A39,-1,0)+1,LARGE(A$3:A38,1))</f>
        <v>0</v>
      </c>
      <c r="B39" s="959">
        <f t="shared" ca="1" si="0"/>
        <v>2</v>
      </c>
      <c r="C39" s="959">
        <f t="shared" ca="1" si="6"/>
        <v>1</v>
      </c>
      <c r="D39" s="960">
        <f t="shared" ca="1" si="7"/>
        <v>1</v>
      </c>
      <c r="E39" s="960">
        <f t="shared" ca="1" si="8"/>
        <v>2</v>
      </c>
      <c r="G39" s="754"/>
      <c r="H39" s="755" t="s">
        <v>476</v>
      </c>
      <c r="I39" s="756" t="str">
        <f t="shared" ca="1" si="4"/>
        <v>02.001.001.002</v>
      </c>
      <c r="J39" s="757" t="s">
        <v>1545</v>
      </c>
      <c r="K39" s="758" t="s">
        <v>1</v>
      </c>
      <c r="L39" s="957">
        <f>L43*0.8</f>
        <v>224.904</v>
      </c>
      <c r="M39" s="957">
        <f>_xlfn.XLOOKUP($J39,CPU!$D$1:$D$2521,CPU!$H$1:$H$2521)</f>
        <v>96.647628677685944</v>
      </c>
      <c r="N39" s="868">
        <f t="shared" si="5"/>
        <v>21736.43828012628</v>
      </c>
      <c r="O39" s="964" t="s">
        <v>2567</v>
      </c>
      <c r="P39" s="761" t="s">
        <v>2630</v>
      </c>
      <c r="Q39" s="210"/>
      <c r="R39" s="210"/>
      <c r="S39" s="210"/>
    </row>
    <row r="40" spans="1:19" s="209" customFormat="1" ht="13.9" customHeight="1" outlineLevel="2" x14ac:dyDescent="0.2">
      <c r="A40" s="959">
        <f ca="1">IF($H40="UNIDADE CONSTRUTIVA",OFFSET(A40,-1,0)+1,LARGE(A$3:A39,1))</f>
        <v>0</v>
      </c>
      <c r="B40" s="959">
        <f t="shared" ca="1" si="0"/>
        <v>2</v>
      </c>
      <c r="C40" s="959">
        <f t="shared" ca="1" si="6"/>
        <v>1</v>
      </c>
      <c r="D40" s="960">
        <f t="shared" ca="1" si="7"/>
        <v>1</v>
      </c>
      <c r="E40" s="960">
        <f t="shared" ca="1" si="8"/>
        <v>3</v>
      </c>
      <c r="G40" s="754"/>
      <c r="H40" s="755" t="s">
        <v>476</v>
      </c>
      <c r="I40" s="756" t="str">
        <f t="shared" ca="1" si="4"/>
        <v>02.001.001.003</v>
      </c>
      <c r="J40" s="757" t="s">
        <v>2613</v>
      </c>
      <c r="K40" s="758" t="s">
        <v>1</v>
      </c>
      <c r="L40" s="957">
        <f>LAJE_TRELIÇADA!G12</f>
        <v>365.64000000000004</v>
      </c>
      <c r="M40" s="957">
        <v>71.381500000000003</v>
      </c>
      <c r="N40" s="868">
        <f t="shared" si="5"/>
        <v>26099.931660000006</v>
      </c>
      <c r="O40" s="964" t="s">
        <v>2649</v>
      </c>
      <c r="P40" s="761" t="s">
        <v>2630</v>
      </c>
      <c r="Q40" s="210"/>
      <c r="R40" s="210"/>
      <c r="S40" s="210"/>
    </row>
    <row r="41" spans="1:19" s="209" customFormat="1" ht="13.9" customHeight="1" outlineLevel="2" x14ac:dyDescent="0.2">
      <c r="A41" s="959">
        <f ca="1">IF($H41="UNIDADE CONSTRUTIVA",OFFSET(A41,-1,0)+1,LARGE(A$3:A40,1))</f>
        <v>0</v>
      </c>
      <c r="B41" s="959">
        <f t="shared" ca="1" si="0"/>
        <v>2</v>
      </c>
      <c r="C41" s="959">
        <f t="shared" ca="1" si="6"/>
        <v>1</v>
      </c>
      <c r="D41" s="960">
        <f t="shared" ca="1" si="7"/>
        <v>1</v>
      </c>
      <c r="E41" s="960">
        <f t="shared" ca="1" si="8"/>
        <v>4</v>
      </c>
      <c r="G41" s="754"/>
      <c r="H41" s="755" t="s">
        <v>476</v>
      </c>
      <c r="I41" s="756" t="str">
        <f t="shared" ref="I41" ca="1" si="16">IF(H41="Unidade Construtiva",TEXT(A41,"00"),IF(H41="Célula Construtiva",TEXT(B41,"00"),IF(H41="Etapa",CONCATENATE(TEXT(B41,"00"),".",TEXT(C41,"000")),IF(H41="Subetapa",CONCATENATE(TEXT(B41,"00"),".",TEXT(C41,"000"),".",TEXT(D41,"000")),IF(H41="Serviço",CONCATENATE(TEXT(B41,"00"),".",TEXT(C41,"000"),".",TEXT(D41,"000"),".",TEXT(E41,"000")),"")))))</f>
        <v>02.001.001.004</v>
      </c>
      <c r="J41" s="757" t="s">
        <v>1547</v>
      </c>
      <c r="K41" s="758" t="s">
        <v>1</v>
      </c>
      <c r="L41" s="957">
        <f>L44</f>
        <v>14.1</v>
      </c>
      <c r="M41" s="957">
        <f>_xlfn.XLOOKUP($J41,CPU!$D$1:$D$2521,CPU!$H$1:$H$2521)</f>
        <v>115.05469714285715</v>
      </c>
      <c r="N41" s="868">
        <f t="shared" si="5"/>
        <v>1622.2712297142857</v>
      </c>
      <c r="O41" s="964" t="s">
        <v>2567</v>
      </c>
      <c r="P41" s="761" t="s">
        <v>2630</v>
      </c>
      <c r="Q41" s="210"/>
      <c r="R41" s="210"/>
      <c r="S41" s="210"/>
    </row>
    <row r="42" spans="1:19" s="209" customFormat="1" ht="13.9" customHeight="1" outlineLevel="2" x14ac:dyDescent="0.2">
      <c r="A42" s="959">
        <f ca="1">IF($H42="UNIDADE CONSTRUTIVA",OFFSET(A42,-1,0)+1,LARGE(A$3:A41,1))</f>
        <v>0</v>
      </c>
      <c r="B42" s="959">
        <f t="shared" ca="1" si="0"/>
        <v>2</v>
      </c>
      <c r="C42" s="959">
        <f t="shared" ca="1" si="6"/>
        <v>1</v>
      </c>
      <c r="D42" s="960">
        <f t="shared" ca="1" si="7"/>
        <v>1</v>
      </c>
      <c r="E42" s="960">
        <f t="shared" ca="1" si="8"/>
        <v>5</v>
      </c>
      <c r="G42" s="754"/>
      <c r="H42" s="755" t="s">
        <v>476</v>
      </c>
      <c r="I42" s="756" t="str">
        <f t="shared" ca="1" si="4"/>
        <v>02.001.001.005</v>
      </c>
      <c r="J42" s="757" t="s">
        <v>1554</v>
      </c>
      <c r="K42" s="758" t="s">
        <v>1</v>
      </c>
      <c r="L42" s="957">
        <f>Supraestrutura!B33</f>
        <v>145.27000000000001</v>
      </c>
      <c r="M42" s="957">
        <f>_xlfn.XLOOKUP($J42,CPU!$D$1:$D$2521,CPU!$H$1:$H$2521)</f>
        <v>0.69165999999999994</v>
      </c>
      <c r="N42" s="868">
        <f t="shared" si="5"/>
        <v>100.4774482</v>
      </c>
      <c r="O42" s="964"/>
      <c r="P42" s="761" t="s">
        <v>2630</v>
      </c>
      <c r="Q42" s="210"/>
      <c r="R42" s="210"/>
      <c r="S42" s="210"/>
    </row>
    <row r="43" spans="1:19" s="209" customFormat="1" ht="13.9" customHeight="1" outlineLevel="2" x14ac:dyDescent="0.2">
      <c r="A43" s="959">
        <f ca="1">IF($H43="UNIDADE CONSTRUTIVA",OFFSET(A43,-1,0)+1,LARGE(A$3:A42,1))</f>
        <v>0</v>
      </c>
      <c r="B43" s="959">
        <f t="shared" ca="1" si="0"/>
        <v>2</v>
      </c>
      <c r="C43" s="959">
        <f t="shared" ca="1" si="6"/>
        <v>1</v>
      </c>
      <c r="D43" s="960">
        <f t="shared" ca="1" si="7"/>
        <v>1</v>
      </c>
      <c r="E43" s="960">
        <f t="shared" ca="1" si="8"/>
        <v>6</v>
      </c>
      <c r="G43" s="754"/>
      <c r="H43" s="755" t="s">
        <v>476</v>
      </c>
      <c r="I43" s="756" t="str">
        <f t="shared" ca="1" si="4"/>
        <v>02.001.001.006</v>
      </c>
      <c r="J43" s="757" t="s">
        <v>1555</v>
      </c>
      <c r="K43" s="758" t="s">
        <v>1</v>
      </c>
      <c r="L43" s="957">
        <f>Supraestrutura!B34+Supraestrutura!B37</f>
        <v>281.13</v>
      </c>
      <c r="M43" s="957">
        <f>_xlfn.XLOOKUP($J43,CPU!$D$1:$D$2521,CPU!$H$1:$H$2521)</f>
        <v>4.6844188000000004</v>
      </c>
      <c r="N43" s="868">
        <f t="shared" si="5"/>
        <v>1316.930657244</v>
      </c>
      <c r="O43" s="964" t="s">
        <v>2566</v>
      </c>
      <c r="P43" s="761" t="s">
        <v>2630</v>
      </c>
      <c r="Q43" s="210"/>
      <c r="R43" s="210"/>
      <c r="S43" s="210"/>
    </row>
    <row r="44" spans="1:19" s="209" customFormat="1" ht="13.9" customHeight="1" outlineLevel="2" x14ac:dyDescent="0.2">
      <c r="A44" s="959">
        <f ca="1">IF($H44="UNIDADE CONSTRUTIVA",OFFSET(A44,-1,0)+1,LARGE(A$3:A43,1))</f>
        <v>0</v>
      </c>
      <c r="B44" s="959">
        <f t="shared" ca="1" si="0"/>
        <v>2</v>
      </c>
      <c r="C44" s="959">
        <f t="shared" ca="1" si="6"/>
        <v>1</v>
      </c>
      <c r="D44" s="960">
        <f t="shared" ca="1" si="7"/>
        <v>1</v>
      </c>
      <c r="E44" s="960">
        <f t="shared" ca="1" si="8"/>
        <v>7</v>
      </c>
      <c r="G44" s="754"/>
      <c r="H44" s="755" t="s">
        <v>476</v>
      </c>
      <c r="I44" s="756" t="str">
        <f t="shared" ca="1" si="4"/>
        <v>02.001.001.007</v>
      </c>
      <c r="J44" s="757" t="s">
        <v>1557</v>
      </c>
      <c r="K44" s="758" t="s">
        <v>1</v>
      </c>
      <c r="L44" s="957">
        <f>Supraestrutura!B36</f>
        <v>14.1</v>
      </c>
      <c r="M44" s="957">
        <f>_xlfn.XLOOKUP($J44,CPU!$D$1:$D$2521,CPU!$H$1:$H$2521)</f>
        <v>0.98718000000000006</v>
      </c>
      <c r="N44" s="868">
        <f t="shared" si="5"/>
        <v>13.919238</v>
      </c>
      <c r="O44" s="964"/>
      <c r="P44" s="761" t="s">
        <v>2630</v>
      </c>
      <c r="Q44" s="210"/>
      <c r="R44" s="210"/>
      <c r="S44" s="210"/>
    </row>
    <row r="45" spans="1:19" s="209" customFormat="1" ht="13.9" customHeight="1" outlineLevel="1" x14ac:dyDescent="0.2">
      <c r="A45" s="959">
        <f ca="1">IF($H45="UNIDADE CONSTRUTIVA",OFFSET(A45,-1,0)+1,LARGE(A$3:A44,1))</f>
        <v>0</v>
      </c>
      <c r="B45" s="959">
        <f t="shared" ca="1" si="0"/>
        <v>2</v>
      </c>
      <c r="C45" s="959">
        <f t="shared" ca="1" si="6"/>
        <v>1</v>
      </c>
      <c r="D45" s="960">
        <f t="shared" ca="1" si="7"/>
        <v>2</v>
      </c>
      <c r="E45" s="960">
        <f t="shared" ca="1" si="8"/>
        <v>0</v>
      </c>
      <c r="G45" s="754"/>
      <c r="H45" s="755" t="s">
        <v>475</v>
      </c>
      <c r="I45" s="756" t="str">
        <f t="shared" ca="1" si="4"/>
        <v>02.001.002</v>
      </c>
      <c r="J45" s="757" t="s">
        <v>372</v>
      </c>
      <c r="K45" s="758"/>
      <c r="L45" s="957"/>
      <c r="M45" s="957"/>
      <c r="N45" s="868">
        <f t="shared" ca="1" si="5"/>
        <v>44878.323027699997</v>
      </c>
      <c r="O45" s="964"/>
      <c r="P45" s="761"/>
      <c r="Q45" s="210"/>
      <c r="R45" s="210"/>
      <c r="S45" s="210"/>
    </row>
    <row r="46" spans="1:19" s="209" customFormat="1" ht="13.9" customHeight="1" outlineLevel="2" x14ac:dyDescent="0.2">
      <c r="A46" s="959">
        <f ca="1">IF($H46="UNIDADE CONSTRUTIVA",OFFSET(A46,-1,0)+1,LARGE(A$3:A45,1))</f>
        <v>0</v>
      </c>
      <c r="B46" s="959">
        <f t="shared" ca="1" si="0"/>
        <v>2</v>
      </c>
      <c r="C46" s="959">
        <f t="shared" ca="1" si="6"/>
        <v>1</v>
      </c>
      <c r="D46" s="960">
        <f t="shared" ca="1" si="7"/>
        <v>2</v>
      </c>
      <c r="E46" s="960">
        <f t="shared" ca="1" si="8"/>
        <v>1</v>
      </c>
      <c r="G46" s="754"/>
      <c r="H46" s="755" t="s">
        <v>476</v>
      </c>
      <c r="I46" s="756" t="str">
        <f ca="1"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>02.001.002.001</v>
      </c>
      <c r="J46" s="757" t="s">
        <v>876</v>
      </c>
      <c r="K46" s="758" t="s">
        <v>5</v>
      </c>
      <c r="L46" s="957">
        <f>Supraestrutura!B31</f>
        <v>1053.7</v>
      </c>
      <c r="M46" s="957">
        <f>_xlfn.XLOOKUP($J46,CPU!$D$1:$D$2521,CPU!$H$1:$H$2521)</f>
        <v>7.5500550000000004</v>
      </c>
      <c r="N46" s="868">
        <f t="shared" si="5"/>
        <v>7955.492953500001</v>
      </c>
      <c r="O46" s="964" t="s">
        <v>877</v>
      </c>
      <c r="P46" s="761" t="s">
        <v>2630</v>
      </c>
      <c r="Q46" s="210"/>
      <c r="R46" s="210"/>
      <c r="S46" s="210"/>
    </row>
    <row r="47" spans="1:19" s="209" customFormat="1" ht="13.9" customHeight="1" outlineLevel="2" x14ac:dyDescent="0.2">
      <c r="A47" s="959">
        <f ca="1">IF($H47="UNIDADE CONSTRUTIVA",OFFSET(A47,-1,0)+1,LARGE(A$3:A46,1))</f>
        <v>0</v>
      </c>
      <c r="B47" s="959">
        <f t="shared" ca="1" si="0"/>
        <v>2</v>
      </c>
      <c r="C47" s="959">
        <f t="shared" ca="1" si="6"/>
        <v>1</v>
      </c>
      <c r="D47" s="960">
        <f t="shared" ca="1" si="7"/>
        <v>2</v>
      </c>
      <c r="E47" s="960">
        <f t="shared" ca="1" si="8"/>
        <v>2</v>
      </c>
      <c r="G47" s="754"/>
      <c r="H47" s="755" t="s">
        <v>476</v>
      </c>
      <c r="I47" s="756" t="str">
        <f ca="1"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>02.001.002.002</v>
      </c>
      <c r="J47" s="757" t="s">
        <v>1565</v>
      </c>
      <c r="K47" s="758" t="s">
        <v>5</v>
      </c>
      <c r="L47" s="957">
        <f>Supraestrutura!C31</f>
        <v>596.9</v>
      </c>
      <c r="M47" s="957">
        <f>_xlfn.XLOOKUP($J47,CPU!$D$1:$D$2521,CPU!$H$1:$H$2521)</f>
        <v>7.0000550000000006</v>
      </c>
      <c r="N47" s="868">
        <f t="shared" si="5"/>
        <v>4178.3328295000001</v>
      </c>
      <c r="O47" s="964" t="s">
        <v>877</v>
      </c>
      <c r="P47" s="761" t="s">
        <v>2630</v>
      </c>
      <c r="Q47" s="967"/>
      <c r="R47" s="967"/>
      <c r="S47" s="210"/>
    </row>
    <row r="48" spans="1:19" s="209" customFormat="1" ht="13.9" customHeight="1" outlineLevel="2" x14ac:dyDescent="0.2">
      <c r="A48" s="959">
        <f ca="1">IF($H48="UNIDADE CONSTRUTIVA",OFFSET(A48,-1,0)+1,LARGE(A$3:A47,1))</f>
        <v>0</v>
      </c>
      <c r="B48" s="959">
        <f t="shared" ca="1" si="0"/>
        <v>2</v>
      </c>
      <c r="C48" s="959">
        <f t="shared" ca="1" si="6"/>
        <v>1</v>
      </c>
      <c r="D48" s="960">
        <f t="shared" ca="1" si="7"/>
        <v>2</v>
      </c>
      <c r="E48" s="960">
        <f t="shared" ca="1" si="8"/>
        <v>3</v>
      </c>
      <c r="G48" s="754"/>
      <c r="H48" s="755" t="s">
        <v>476</v>
      </c>
      <c r="I48" s="756" t="str">
        <f t="shared" ref="I48:I75" ca="1" si="17">IF(H48="Unidade Construtiva",TEXT(A48,"00"),IF(H48="Célula Construtiva",TEXT(B48,"00"),IF(H48="Etapa",CONCATENATE(TEXT(B48,"00"),".",TEXT(C48,"000")),IF(H48="Subetapa",CONCATENATE(TEXT(B48,"00"),".",TEXT(C48,"000"),".",TEXT(D48,"000")),IF(H48="Serviço",CONCATENATE(TEXT(B48,"00"),".",TEXT(C48,"000"),".",TEXT(D48,"000"),".",TEXT(E48,"000")),"")))))</f>
        <v>02.001.002.003</v>
      </c>
      <c r="J48" s="757" t="s">
        <v>878</v>
      </c>
      <c r="K48" s="758" t="s">
        <v>5</v>
      </c>
      <c r="L48" s="957">
        <f>Supraestrutura!D31</f>
        <v>941.9</v>
      </c>
      <c r="M48" s="957">
        <f>_xlfn.XLOOKUP($J48,CPU!$D$1:$D$2521,CPU!$H$1:$H$2521)</f>
        <v>7.0000550000000006</v>
      </c>
      <c r="N48" s="868">
        <f t="shared" si="5"/>
        <v>6593.3518045000001</v>
      </c>
      <c r="O48" s="964" t="s">
        <v>877</v>
      </c>
      <c r="P48" s="761" t="s">
        <v>2630</v>
      </c>
      <c r="Q48" s="967"/>
      <c r="R48" s="967"/>
      <c r="S48" s="210"/>
    </row>
    <row r="49" spans="1:19" s="209" customFormat="1" ht="13.9" customHeight="1" outlineLevel="2" x14ac:dyDescent="0.2">
      <c r="A49" s="959">
        <f ca="1">IF($H49="UNIDADE CONSTRUTIVA",OFFSET(A49,-1,0)+1,LARGE(A$3:A48,1))</f>
        <v>0</v>
      </c>
      <c r="B49" s="959">
        <f t="shared" ca="1" si="0"/>
        <v>2</v>
      </c>
      <c r="C49" s="959">
        <f t="shared" ca="1" si="6"/>
        <v>1</v>
      </c>
      <c r="D49" s="960">
        <f t="shared" ca="1" si="7"/>
        <v>2</v>
      </c>
      <c r="E49" s="960">
        <f t="shared" ca="1" si="8"/>
        <v>4</v>
      </c>
      <c r="G49" s="754"/>
      <c r="H49" s="755" t="s">
        <v>476</v>
      </c>
      <c r="I49" s="756" t="str">
        <f t="shared" ca="1" si="17"/>
        <v>02.001.002.004</v>
      </c>
      <c r="J49" s="757" t="s">
        <v>879</v>
      </c>
      <c r="K49" s="758" t="s">
        <v>5</v>
      </c>
      <c r="L49" s="957">
        <f>Supraestrutura!E31</f>
        <v>701.59999999999991</v>
      </c>
      <c r="M49" s="957">
        <f>_xlfn.XLOOKUP($J49,CPU!$D$1:$D$2521,CPU!$H$1:$H$2521)</f>
        <v>6.6920549999999999</v>
      </c>
      <c r="N49" s="868">
        <f t="shared" si="5"/>
        <v>4695.1457879999989</v>
      </c>
      <c r="O49" s="964" t="s">
        <v>877</v>
      </c>
      <c r="P49" s="761" t="s">
        <v>2630</v>
      </c>
      <c r="Q49" s="967"/>
      <c r="R49" s="967"/>
      <c r="S49" s="210"/>
    </row>
    <row r="50" spans="1:19" s="209" customFormat="1" ht="13.9" customHeight="1" outlineLevel="2" x14ac:dyDescent="0.2">
      <c r="A50" s="959">
        <f ca="1">IF($H50="UNIDADE CONSTRUTIVA",OFFSET(A50,-1,0)+1,LARGE(A$3:A49,1))</f>
        <v>0</v>
      </c>
      <c r="B50" s="959">
        <f t="shared" ca="1" si="0"/>
        <v>2</v>
      </c>
      <c r="C50" s="959">
        <f t="shared" ca="1" si="6"/>
        <v>1</v>
      </c>
      <c r="D50" s="960">
        <f t="shared" ca="1" si="7"/>
        <v>2</v>
      </c>
      <c r="E50" s="960">
        <f t="shared" ca="1" si="8"/>
        <v>5</v>
      </c>
      <c r="G50" s="754"/>
      <c r="H50" s="755" t="s">
        <v>476</v>
      </c>
      <c r="I50" s="756" t="str">
        <f t="shared" ca="1" si="17"/>
        <v>02.001.002.005</v>
      </c>
      <c r="J50" s="757" t="s">
        <v>880</v>
      </c>
      <c r="K50" s="758" t="s">
        <v>5</v>
      </c>
      <c r="L50" s="957">
        <f>Supraestrutura!F31</f>
        <v>879.5</v>
      </c>
      <c r="M50" s="957">
        <f>_xlfn.XLOOKUP($J50,CPU!$D$1:$D$2521,CPU!$H$1:$H$2521)</f>
        <v>6.5050549999999996</v>
      </c>
      <c r="N50" s="868">
        <f t="shared" si="5"/>
        <v>5721.1958724999995</v>
      </c>
      <c r="O50" s="964" t="s">
        <v>877</v>
      </c>
      <c r="P50" s="761" t="s">
        <v>2630</v>
      </c>
      <c r="Q50" s="967"/>
      <c r="R50" s="967"/>
      <c r="S50" s="210"/>
    </row>
    <row r="51" spans="1:19" s="209" customFormat="1" ht="13.9" customHeight="1" outlineLevel="2" x14ac:dyDescent="0.2">
      <c r="A51" s="959">
        <f ca="1">IF($H51="UNIDADE CONSTRUTIVA",OFFSET(A51,-1,0)+1,LARGE(A$3:A50,1))</f>
        <v>0</v>
      </c>
      <c r="B51" s="959">
        <f t="shared" ca="1" si="0"/>
        <v>2</v>
      </c>
      <c r="C51" s="959">
        <f t="shared" ca="1" si="6"/>
        <v>1</v>
      </c>
      <c r="D51" s="960">
        <f t="shared" ca="1" si="7"/>
        <v>2</v>
      </c>
      <c r="E51" s="960">
        <f t="shared" ca="1" si="8"/>
        <v>6</v>
      </c>
      <c r="G51" s="754"/>
      <c r="H51" s="755" t="s">
        <v>476</v>
      </c>
      <c r="I51" s="756" t="str">
        <f t="shared" ca="1" si="17"/>
        <v>02.001.002.006</v>
      </c>
      <c r="J51" s="757" t="s">
        <v>881</v>
      </c>
      <c r="K51" s="758" t="s">
        <v>5</v>
      </c>
      <c r="L51" s="957">
        <f>Supraestrutura!G31</f>
        <v>659.40000000000009</v>
      </c>
      <c r="M51" s="957">
        <f>_xlfn.XLOOKUP($J51,CPU!$D$1:$D$2521,CPU!$H$1:$H$2521)</f>
        <v>6.5050549999999996</v>
      </c>
      <c r="N51" s="868">
        <f t="shared" si="5"/>
        <v>4289.4332670000003</v>
      </c>
      <c r="O51" s="964" t="s">
        <v>877</v>
      </c>
      <c r="P51" s="761" t="s">
        <v>2630</v>
      </c>
      <c r="Q51" s="967"/>
      <c r="R51" s="967"/>
      <c r="S51" s="210"/>
    </row>
    <row r="52" spans="1:19" s="209" customFormat="1" ht="13.9" customHeight="1" outlineLevel="2" x14ac:dyDescent="0.2">
      <c r="A52" s="959">
        <f ca="1">IF($H52="UNIDADE CONSTRUTIVA",OFFSET(A52,-1,0)+1,LARGE(A$3:A51,1))</f>
        <v>0</v>
      </c>
      <c r="B52" s="959">
        <f t="shared" ca="1" si="0"/>
        <v>2</v>
      </c>
      <c r="C52" s="959">
        <f t="shared" ca="1" si="6"/>
        <v>1</v>
      </c>
      <c r="D52" s="960">
        <f t="shared" ca="1" si="7"/>
        <v>2</v>
      </c>
      <c r="E52" s="960">
        <f t="shared" ca="1" si="8"/>
        <v>7</v>
      </c>
      <c r="G52" s="754"/>
      <c r="H52" s="755" t="s">
        <v>476</v>
      </c>
      <c r="I52" s="756" t="str">
        <f t="shared" ca="1" si="17"/>
        <v>02.001.002.007</v>
      </c>
      <c r="J52" s="757" t="s">
        <v>2561</v>
      </c>
      <c r="K52" s="758" t="s">
        <v>1</v>
      </c>
      <c r="L52" s="957">
        <f>LAJE_TRELIÇADA!J8+LAJE_TRELIÇADA!J9+LAJE_TRELIÇADA!J10</f>
        <v>303.14000000000004</v>
      </c>
      <c r="M52" s="957">
        <f>_xlfn.XLOOKUP($J52,CPU!$D$1:$D$2521,CPU!$H$1:$H$2521)</f>
        <v>37.756055000000003</v>
      </c>
      <c r="N52" s="868">
        <f t="shared" si="5"/>
        <v>11445.370512700003</v>
      </c>
      <c r="O52" s="964" t="s">
        <v>2559</v>
      </c>
      <c r="P52" s="761" t="s">
        <v>2630</v>
      </c>
      <c r="Q52" s="210"/>
      <c r="R52" s="210"/>
      <c r="S52" s="210"/>
    </row>
    <row r="53" spans="1:19" s="209" customFormat="1" ht="13.9" customHeight="1" outlineLevel="1" x14ac:dyDescent="0.2">
      <c r="A53" s="959">
        <f ca="1">IF($H53="UNIDADE CONSTRUTIVA",OFFSET(A53,-1,0)+1,LARGE(A$3:A52,1))</f>
        <v>0</v>
      </c>
      <c r="B53" s="959">
        <f t="shared" ca="1" si="0"/>
        <v>2</v>
      </c>
      <c r="C53" s="959">
        <f t="shared" ca="1" si="6"/>
        <v>1</v>
      </c>
      <c r="D53" s="960">
        <f t="shared" ca="1" si="7"/>
        <v>3</v>
      </c>
      <c r="E53" s="960">
        <f t="shared" ca="1" si="8"/>
        <v>0</v>
      </c>
      <c r="G53" s="754"/>
      <c r="H53" s="755" t="s">
        <v>475</v>
      </c>
      <c r="I53" s="756" t="str">
        <f t="shared" ca="1" si="17"/>
        <v>02.001.003</v>
      </c>
      <c r="J53" s="757" t="s">
        <v>477</v>
      </c>
      <c r="K53" s="758"/>
      <c r="L53" s="957"/>
      <c r="M53" s="957"/>
      <c r="N53" s="868">
        <f t="shared" ca="1" si="5"/>
        <v>33735.688399999999</v>
      </c>
      <c r="O53" s="964"/>
      <c r="P53" s="761"/>
      <c r="Q53" s="210"/>
      <c r="R53" s="210"/>
      <c r="S53" s="210"/>
    </row>
    <row r="54" spans="1:19" s="209" customFormat="1" ht="13.15" customHeight="1" outlineLevel="2" x14ac:dyDescent="0.2">
      <c r="A54" s="959">
        <f ca="1">IF($H54="UNIDADE CONSTRUTIVA",OFFSET(A54,-1,0)+1,LARGE(A$3:A53,1))</f>
        <v>0</v>
      </c>
      <c r="B54" s="959">
        <f t="shared" ca="1" si="0"/>
        <v>2</v>
      </c>
      <c r="C54" s="959">
        <f t="shared" ca="1" si="6"/>
        <v>1</v>
      </c>
      <c r="D54" s="960">
        <f t="shared" ca="1" si="7"/>
        <v>3</v>
      </c>
      <c r="E54" s="960">
        <f t="shared" ca="1" si="8"/>
        <v>1</v>
      </c>
      <c r="G54" s="754"/>
      <c r="H54" s="755" t="s">
        <v>476</v>
      </c>
      <c r="I54" s="756" t="str">
        <f t="shared" ca="1" si="17"/>
        <v>02.001.003.001</v>
      </c>
      <c r="J54" s="757" t="s">
        <v>1572</v>
      </c>
      <c r="K54" s="758" t="s">
        <v>4</v>
      </c>
      <c r="L54" s="957">
        <f>Supraestrutura!M31</f>
        <v>58.34</v>
      </c>
      <c r="M54" s="957">
        <f>_xlfn.XLOOKUP($J54,CPU!$D$1:$D$2521,CPU!$H$1:$H$2521)</f>
        <v>578.26</v>
      </c>
      <c r="N54" s="868">
        <f t="shared" si="5"/>
        <v>33735.688399999999</v>
      </c>
      <c r="O54" s="964" t="s">
        <v>877</v>
      </c>
      <c r="P54" s="761" t="s">
        <v>2630</v>
      </c>
      <c r="Q54" s="210"/>
      <c r="R54" s="210"/>
      <c r="S54" s="210"/>
    </row>
    <row r="55" spans="1:19" s="209" customFormat="1" ht="13.9" customHeight="1" outlineLevel="1" x14ac:dyDescent="0.2">
      <c r="A55" s="959">
        <f ca="1">IF($H55="UNIDADE CONSTRUTIVA",OFFSET(A55,-1,0)+1,LARGE(A$3:A54,1))</f>
        <v>0</v>
      </c>
      <c r="B55" s="959">
        <f t="shared" ca="1" si="0"/>
        <v>2</v>
      </c>
      <c r="C55" s="959">
        <f t="shared" ca="1" si="6"/>
        <v>1</v>
      </c>
      <c r="D55" s="960">
        <f t="shared" ca="1" si="7"/>
        <v>4</v>
      </c>
      <c r="E55" s="960">
        <f t="shared" ca="1" si="8"/>
        <v>0</v>
      </c>
      <c r="G55" s="754"/>
      <c r="H55" s="755" t="s">
        <v>475</v>
      </c>
      <c r="I55" s="756" t="str">
        <f t="shared" ca="1" si="17"/>
        <v>02.001.004</v>
      </c>
      <c r="J55" s="757" t="s">
        <v>398</v>
      </c>
      <c r="K55" s="758"/>
      <c r="L55" s="957"/>
      <c r="M55" s="957"/>
      <c r="N55" s="868">
        <f t="shared" ca="1" si="5"/>
        <v>14259.960000000001</v>
      </c>
      <c r="O55" s="964"/>
      <c r="P55" s="761"/>
      <c r="Q55" s="210"/>
      <c r="R55" s="210"/>
      <c r="S55" s="210"/>
    </row>
    <row r="56" spans="1:19" s="209" customFormat="1" ht="13.9" customHeight="1" outlineLevel="2" x14ac:dyDescent="0.2">
      <c r="A56" s="959">
        <f ca="1">IF($H56="UNIDADE CONSTRUTIVA",OFFSET(A56,-1,0)+1,LARGE(A$3:A55,1))</f>
        <v>0</v>
      </c>
      <c r="B56" s="959">
        <f t="shared" ca="1" si="0"/>
        <v>2</v>
      </c>
      <c r="C56" s="959">
        <f t="shared" ca="1" si="6"/>
        <v>1</v>
      </c>
      <c r="D56" s="960">
        <f t="shared" ca="1" si="7"/>
        <v>4</v>
      </c>
      <c r="E56" s="960">
        <f t="shared" ca="1" si="8"/>
        <v>1</v>
      </c>
      <c r="G56" s="754"/>
      <c r="H56" s="755" t="s">
        <v>476</v>
      </c>
      <c r="I56" s="756" t="str">
        <f t="shared" ca="1" si="17"/>
        <v>02.001.004.001</v>
      </c>
      <c r="J56" s="757" t="s">
        <v>1601</v>
      </c>
      <c r="K56" s="758" t="s">
        <v>1</v>
      </c>
      <c r="L56" s="957">
        <f>LAJE_TRELIÇADA!K12</f>
        <v>365.64000000000004</v>
      </c>
      <c r="M56" s="957">
        <f>_xlfn.XLOOKUP($J56,CPU!$D$1:$D$2521,CPU!$H$1:$H$2521)</f>
        <v>39</v>
      </c>
      <c r="N56" s="868">
        <f t="shared" si="5"/>
        <v>14259.960000000001</v>
      </c>
      <c r="O56" s="964" t="s">
        <v>2548</v>
      </c>
      <c r="P56" s="761" t="s">
        <v>2630</v>
      </c>
      <c r="Q56" s="210"/>
      <c r="R56" s="210"/>
      <c r="S56" s="210"/>
    </row>
    <row r="57" spans="1:19" s="209" customFormat="1" ht="13.9" customHeight="1" outlineLevel="1" x14ac:dyDescent="0.2">
      <c r="A57" s="959">
        <f ca="1">IF($H57="UNIDADE CONSTRUTIVA",OFFSET(A57,-1,0)+1,LARGE(A$3:A56,1))</f>
        <v>0</v>
      </c>
      <c r="B57" s="959">
        <f t="shared" ca="1" si="0"/>
        <v>2</v>
      </c>
      <c r="C57" s="959">
        <f t="shared" ca="1" si="6"/>
        <v>1</v>
      </c>
      <c r="D57" s="960">
        <f t="shared" ca="1" si="7"/>
        <v>5</v>
      </c>
      <c r="E57" s="960">
        <f t="shared" ca="1" si="8"/>
        <v>0</v>
      </c>
      <c r="G57" s="754"/>
      <c r="H57" s="755" t="s">
        <v>475</v>
      </c>
      <c r="I57" s="756" t="str">
        <f t="shared" ca="1" si="17"/>
        <v>02.001.005</v>
      </c>
      <c r="J57" s="757" t="s">
        <v>401</v>
      </c>
      <c r="K57" s="758"/>
      <c r="L57" s="957"/>
      <c r="M57" s="957"/>
      <c r="N57" s="868">
        <f t="shared" ca="1" si="5"/>
        <v>37921</v>
      </c>
      <c r="O57" s="964"/>
      <c r="P57" s="761"/>
      <c r="Q57" s="210"/>
      <c r="R57" s="210"/>
      <c r="S57" s="210"/>
    </row>
    <row r="58" spans="1:19" s="209" customFormat="1" ht="13.9" customHeight="1" outlineLevel="2" x14ac:dyDescent="0.2">
      <c r="A58" s="959">
        <f ca="1">IF($H58="UNIDADE CONSTRUTIVA",OFFSET(A58,-1,0)+1,LARGE(A$3:A57,1))</f>
        <v>0</v>
      </c>
      <c r="B58" s="959">
        <f t="shared" ca="1" si="0"/>
        <v>2</v>
      </c>
      <c r="C58" s="959">
        <f t="shared" ca="1" si="6"/>
        <v>1</v>
      </c>
      <c r="D58" s="960">
        <f t="shared" ca="1" si="7"/>
        <v>5</v>
      </c>
      <c r="E58" s="960">
        <f t="shared" ca="1" si="8"/>
        <v>1</v>
      </c>
      <c r="G58" s="754"/>
      <c r="H58" s="755" t="s">
        <v>476</v>
      </c>
      <c r="I58" s="756" t="str">
        <f t="shared" ca="1" si="17"/>
        <v>02.001.005.001</v>
      </c>
      <c r="J58" s="757" t="s">
        <v>478</v>
      </c>
      <c r="K58" s="758" t="s">
        <v>4</v>
      </c>
      <c r="L58" s="957">
        <f>L54</f>
        <v>58.34</v>
      </c>
      <c r="M58" s="957">
        <v>650</v>
      </c>
      <c r="N58" s="868">
        <f t="shared" si="5"/>
        <v>37921</v>
      </c>
      <c r="O58" s="964"/>
      <c r="P58" s="761" t="s">
        <v>2630</v>
      </c>
      <c r="Q58" s="210"/>
      <c r="R58" s="210"/>
      <c r="S58" s="210"/>
    </row>
    <row r="59" spans="1:19" s="209" customFormat="1" ht="13.9" customHeight="1" x14ac:dyDescent="0.2">
      <c r="A59" s="959">
        <f ca="1">IF($H59="UNIDADE CONSTRUTIVA",OFFSET(A59,-1,0)+1,LARGE(A$3:A58,1))</f>
        <v>0</v>
      </c>
      <c r="B59" s="959">
        <f t="shared" ca="1" si="0"/>
        <v>3</v>
      </c>
      <c r="C59" s="959">
        <f t="shared" ca="1" si="6"/>
        <v>0</v>
      </c>
      <c r="D59" s="960">
        <f t="shared" ca="1" si="7"/>
        <v>5</v>
      </c>
      <c r="E59" s="960">
        <f t="shared" ca="1" si="8"/>
        <v>1</v>
      </c>
      <c r="F59" s="1132"/>
      <c r="G59" s="754"/>
      <c r="H59" s="755" t="s">
        <v>473</v>
      </c>
      <c r="I59" s="756" t="str">
        <f t="shared" ca="1" si="17"/>
        <v>03</v>
      </c>
      <c r="J59" s="968" t="s">
        <v>1272</v>
      </c>
      <c r="K59" s="758"/>
      <c r="L59" s="957"/>
      <c r="M59" s="957"/>
      <c r="N59" s="868">
        <f t="shared" ca="1" si="5"/>
        <v>60429.042308205993</v>
      </c>
      <c r="O59" s="964">
        <f ca="1">N59/'Obra '!E$9</f>
        <v>183.35723005190397</v>
      </c>
      <c r="P59" s="761"/>
      <c r="Q59" s="965"/>
      <c r="R59" s="965"/>
      <c r="S59" s="210"/>
    </row>
    <row r="60" spans="1:19" s="209" customFormat="1" ht="13.9" customHeight="1" outlineLevel="1" x14ac:dyDescent="0.2">
      <c r="A60" s="959">
        <f ca="1">IF($H60="UNIDADE CONSTRUTIVA",OFFSET(A60,-1,0)+1,LARGE(A$3:A59,1))</f>
        <v>0</v>
      </c>
      <c r="B60" s="959">
        <f t="shared" ca="1" si="0"/>
        <v>3</v>
      </c>
      <c r="C60" s="959">
        <f t="shared" ca="1" si="6"/>
        <v>1</v>
      </c>
      <c r="D60" s="960">
        <f t="shared" ca="1" si="7"/>
        <v>0</v>
      </c>
      <c r="E60" s="960">
        <f t="shared" ca="1" si="8"/>
        <v>1</v>
      </c>
      <c r="G60" s="754"/>
      <c r="H60" s="755" t="s">
        <v>474</v>
      </c>
      <c r="I60" s="756" t="str">
        <f t="shared" ca="1" si="17"/>
        <v>03.001</v>
      </c>
      <c r="J60" s="757" t="s">
        <v>1272</v>
      </c>
      <c r="K60" s="758"/>
      <c r="L60" s="957"/>
      <c r="M60" s="957"/>
      <c r="N60" s="868">
        <f t="shared" ca="1" si="5"/>
        <v>60429.042308205993</v>
      </c>
      <c r="O60" s="964"/>
      <c r="P60" s="761"/>
      <c r="Q60" s="210"/>
      <c r="R60" s="210"/>
      <c r="S60" s="210"/>
    </row>
    <row r="61" spans="1:19" s="209" customFormat="1" ht="13.9" customHeight="1" outlineLevel="1" x14ac:dyDescent="0.2">
      <c r="A61" s="959">
        <f ca="1">IF($H61="UNIDADE CONSTRUTIVA",OFFSET(A61,-1,0)+1,LARGE(A$3:A60,1))</f>
        <v>0</v>
      </c>
      <c r="B61" s="959">
        <f t="shared" ca="1" si="0"/>
        <v>3</v>
      </c>
      <c r="C61" s="959">
        <f t="shared" ca="1" si="6"/>
        <v>1</v>
      </c>
      <c r="D61" s="960">
        <f t="shared" ca="1" si="7"/>
        <v>1</v>
      </c>
      <c r="E61" s="960">
        <f t="shared" ca="1" si="8"/>
        <v>0</v>
      </c>
      <c r="G61" s="754"/>
      <c r="H61" s="755" t="s">
        <v>475</v>
      </c>
      <c r="I61" s="756" t="str">
        <f t="shared" ca="1" si="17"/>
        <v>03.001.001</v>
      </c>
      <c r="J61" s="757" t="s">
        <v>399</v>
      </c>
      <c r="K61" s="758"/>
      <c r="L61" s="957"/>
      <c r="M61" s="957"/>
      <c r="N61" s="868">
        <f t="shared" ca="1" si="5"/>
        <v>26665.198</v>
      </c>
      <c r="O61" s="964"/>
      <c r="P61" s="761"/>
      <c r="Q61" s="210"/>
      <c r="R61" s="210"/>
      <c r="S61" s="210"/>
    </row>
    <row r="62" spans="1:19" s="209" customFormat="1" ht="13.9" customHeight="1" outlineLevel="2" x14ac:dyDescent="0.2">
      <c r="A62" s="959">
        <f ca="1">IF($H62="UNIDADE CONSTRUTIVA",OFFSET(A62,-1,0)+1,LARGE(A$3:A61,1))</f>
        <v>0</v>
      </c>
      <c r="B62" s="959">
        <f t="shared" ca="1" si="0"/>
        <v>3</v>
      </c>
      <c r="C62" s="959">
        <f t="shared" ca="1" si="6"/>
        <v>1</v>
      </c>
      <c r="D62" s="960">
        <f t="shared" ca="1" si="7"/>
        <v>1</v>
      </c>
      <c r="E62" s="960">
        <f t="shared" ca="1" si="8"/>
        <v>1</v>
      </c>
      <c r="G62" s="754"/>
      <c r="H62" s="755" t="s">
        <v>476</v>
      </c>
      <c r="I62" s="756" t="str">
        <f t="shared" ca="1" si="17"/>
        <v>03.001.001.001</v>
      </c>
      <c r="J62" s="757" t="s">
        <v>1610</v>
      </c>
      <c r="K62" s="758" t="s">
        <v>1</v>
      </c>
      <c r="L62" s="957">
        <f>ARQUITETURA!D17+ARQUITETURA!D21</f>
        <v>22.85</v>
      </c>
      <c r="M62" s="957">
        <f>_xlfn.XLOOKUP($J62,CPU!$D$1:$D$2521,CPU!$H$1:$H$2521)</f>
        <v>32.019999999999996</v>
      </c>
      <c r="N62" s="868">
        <f t="shared" si="5"/>
        <v>731.65699999999993</v>
      </c>
      <c r="O62" s="964"/>
      <c r="P62" s="761" t="s">
        <v>2630</v>
      </c>
      <c r="Q62" s="210"/>
      <c r="R62" s="210"/>
      <c r="S62" s="210"/>
    </row>
    <row r="63" spans="1:19" s="209" customFormat="1" ht="13.9" customHeight="1" outlineLevel="2" x14ac:dyDescent="0.2">
      <c r="A63" s="959">
        <f ca="1">IF($H63="UNIDADE CONSTRUTIVA",OFFSET(A63,-1,0)+1,LARGE(A$3:A62,1))</f>
        <v>0</v>
      </c>
      <c r="B63" s="959">
        <f t="shared" ca="1" si="0"/>
        <v>3</v>
      </c>
      <c r="C63" s="959">
        <f t="shared" ca="1" si="6"/>
        <v>1</v>
      </c>
      <c r="D63" s="960">
        <f t="shared" ca="1" si="7"/>
        <v>1</v>
      </c>
      <c r="E63" s="960">
        <f t="shared" ca="1" si="8"/>
        <v>2</v>
      </c>
      <c r="G63" s="754"/>
      <c r="H63" s="755" t="s">
        <v>476</v>
      </c>
      <c r="I63" s="756" t="str">
        <f t="shared" ca="1" si="17"/>
        <v>03.001.001.002</v>
      </c>
      <c r="J63" s="757" t="s">
        <v>1616</v>
      </c>
      <c r="K63" s="758" t="s">
        <v>1</v>
      </c>
      <c r="L63" s="957">
        <f>ARQUITETURA!D14</f>
        <v>4.0599999999999996</v>
      </c>
      <c r="M63" s="957">
        <f>_xlfn.XLOOKUP($J63,CPU!$D$1:$D$2521,CPU!$H$1:$H$2521)</f>
        <v>34.82</v>
      </c>
      <c r="N63" s="868">
        <f t="shared" si="5"/>
        <v>141.36919999999998</v>
      </c>
      <c r="O63" s="964"/>
      <c r="P63" s="761" t="s">
        <v>2630</v>
      </c>
      <c r="Q63" s="210"/>
      <c r="R63" s="210"/>
      <c r="S63" s="210"/>
    </row>
    <row r="64" spans="1:19" s="209" customFormat="1" ht="13.9" customHeight="1" outlineLevel="2" x14ac:dyDescent="0.2">
      <c r="A64" s="959">
        <f ca="1">IF($H64="UNIDADE CONSTRUTIVA",OFFSET(A64,-1,0)+1,LARGE(A$3:A63,1))</f>
        <v>0</v>
      </c>
      <c r="B64" s="959">
        <f t="shared" ca="1" si="0"/>
        <v>3</v>
      </c>
      <c r="C64" s="959">
        <f t="shared" ca="1" si="6"/>
        <v>1</v>
      </c>
      <c r="D64" s="960">
        <f t="shared" ca="1" si="7"/>
        <v>1</v>
      </c>
      <c r="E64" s="960">
        <f t="shared" ca="1" si="8"/>
        <v>3</v>
      </c>
      <c r="G64" s="754"/>
      <c r="H64" s="755" t="s">
        <v>476</v>
      </c>
      <c r="I64" s="756" t="str">
        <f t="shared" ca="1" si="17"/>
        <v>03.001.001.003</v>
      </c>
      <c r="J64" s="757" t="s">
        <v>1617</v>
      </c>
      <c r="K64" s="758" t="s">
        <v>1</v>
      </c>
      <c r="L64" s="957">
        <f>ARQUITETURA!D15+ARQUITETURA!D19+ARQUITETURA!D23</f>
        <v>546.01</v>
      </c>
      <c r="M64" s="957">
        <f>_xlfn.XLOOKUP($J64,CPU!$D$1:$D$2521,CPU!$H$1:$H$2521)</f>
        <v>45.46</v>
      </c>
      <c r="N64" s="868">
        <f t="shared" si="5"/>
        <v>24821.614600000001</v>
      </c>
      <c r="O64" s="964"/>
      <c r="P64" s="761" t="s">
        <v>2630</v>
      </c>
      <c r="Q64" s="210"/>
      <c r="R64" s="210"/>
      <c r="S64" s="210"/>
    </row>
    <row r="65" spans="1:20" s="209" customFormat="1" ht="13.9" customHeight="1" outlineLevel="2" x14ac:dyDescent="0.2">
      <c r="A65" s="959">
        <f ca="1">IF($H65="UNIDADE CONSTRUTIVA",OFFSET(A65,-1,0)+1,LARGE(A$3:A64,1))</f>
        <v>0</v>
      </c>
      <c r="B65" s="959">
        <f t="shared" ca="1" si="0"/>
        <v>3</v>
      </c>
      <c r="C65" s="959">
        <f t="shared" ca="1" si="6"/>
        <v>1</v>
      </c>
      <c r="D65" s="960">
        <f t="shared" ca="1" si="7"/>
        <v>1</v>
      </c>
      <c r="E65" s="960">
        <f t="shared" ca="1" si="8"/>
        <v>4</v>
      </c>
      <c r="G65" s="754"/>
      <c r="H65" s="755" t="s">
        <v>476</v>
      </c>
      <c r="I65" s="756" t="str">
        <f t="shared" ref="I65" ca="1" si="18">IF(H65="Unidade Construtiva",TEXT(A65,"00"),IF(H65="Célula Construtiva",TEXT(B65,"00"),IF(H65="Etapa",CONCATENATE(TEXT(B65,"00"),".",TEXT(C65,"000")),IF(H65="Subetapa",CONCATENATE(TEXT(B65,"00"),".",TEXT(C65,"000"),".",TEXT(D65,"000")),IF(H65="Serviço",CONCATENATE(TEXT(B65,"00"),".",TEXT(C65,"000"),".",TEXT(D65,"000"),".",TEXT(E65,"000")),"")))))</f>
        <v>03.001.001.004</v>
      </c>
      <c r="J65" s="757" t="s">
        <v>1627</v>
      </c>
      <c r="K65" s="758" t="s">
        <v>1</v>
      </c>
      <c r="L65" s="957">
        <f>ARQUITETURA!D16+ARQUITETURA!D20</f>
        <v>18.02</v>
      </c>
      <c r="M65" s="957">
        <f>_xlfn.XLOOKUP($J65,CPU!$D$1:$D$2521,CPU!$H$1:$H$2521)</f>
        <v>53.86</v>
      </c>
      <c r="N65" s="868">
        <f t="shared" si="5"/>
        <v>970.55719999999997</v>
      </c>
      <c r="O65" s="964"/>
      <c r="P65" s="761" t="s">
        <v>2630</v>
      </c>
      <c r="Q65" s="210"/>
      <c r="R65" s="210"/>
      <c r="S65" s="210"/>
    </row>
    <row r="66" spans="1:20" s="209" customFormat="1" ht="13.9" customHeight="1" outlineLevel="1" x14ac:dyDescent="0.2">
      <c r="A66" s="959">
        <f ca="1">IF($H66="UNIDADE CONSTRUTIVA",OFFSET(A66,-1,0)+1,LARGE(A$3:A65,1))</f>
        <v>0</v>
      </c>
      <c r="B66" s="959">
        <f t="shared" ca="1" si="0"/>
        <v>3</v>
      </c>
      <c r="C66" s="959">
        <f t="shared" ca="1" si="6"/>
        <v>1</v>
      </c>
      <c r="D66" s="960">
        <f t="shared" ca="1" si="7"/>
        <v>2</v>
      </c>
      <c r="E66" s="960">
        <f t="shared" ca="1" si="8"/>
        <v>0</v>
      </c>
      <c r="G66" s="754"/>
      <c r="H66" s="755" t="s">
        <v>475</v>
      </c>
      <c r="I66" s="756" t="str">
        <f t="shared" ca="1" si="17"/>
        <v>03.001.002</v>
      </c>
      <c r="J66" s="757" t="s">
        <v>765</v>
      </c>
      <c r="K66" s="758"/>
      <c r="L66" s="957"/>
      <c r="M66" s="957"/>
      <c r="N66" s="868">
        <f t="shared" ca="1" si="5"/>
        <v>962.63836875000015</v>
      </c>
      <c r="O66" s="964"/>
      <c r="P66" s="761"/>
      <c r="Q66" s="210"/>
      <c r="R66" s="210"/>
      <c r="S66" s="210"/>
    </row>
    <row r="67" spans="1:20" s="209" customFormat="1" ht="13.9" customHeight="1" outlineLevel="2" x14ac:dyDescent="0.2">
      <c r="A67" s="959">
        <f ca="1">IF($H67="UNIDADE CONSTRUTIVA",OFFSET(A67,-1,0)+1,LARGE(A$3:A66,1))</f>
        <v>0</v>
      </c>
      <c r="B67" s="959">
        <f t="shared" ca="1" si="0"/>
        <v>3</v>
      </c>
      <c r="C67" s="959">
        <f t="shared" ca="1" si="6"/>
        <v>1</v>
      </c>
      <c r="D67" s="960">
        <f t="shared" ca="1" si="7"/>
        <v>2</v>
      </c>
      <c r="E67" s="960">
        <f t="shared" ca="1" si="8"/>
        <v>1</v>
      </c>
      <c r="G67" s="754"/>
      <c r="H67" s="755" t="s">
        <v>476</v>
      </c>
      <c r="I67" s="756" t="str">
        <f t="shared" ca="1" si="17"/>
        <v>03.001.002.001</v>
      </c>
      <c r="J67" s="757" t="s">
        <v>1285</v>
      </c>
      <c r="K67" s="758" t="s">
        <v>1</v>
      </c>
      <c r="L67" s="957">
        <f>'Tijolos refratários'!J10</f>
        <v>3.9950000000000006</v>
      </c>
      <c r="M67" s="957">
        <f>_xlfn.XLOOKUP($J67,CPU!$D$1:$D$2521,CPU!$H$1:$H$2521)</f>
        <v>226.12625</v>
      </c>
      <c r="N67" s="868">
        <f t="shared" si="5"/>
        <v>903.37436875000014</v>
      </c>
      <c r="O67" s="964"/>
      <c r="P67" s="761" t="s">
        <v>2630</v>
      </c>
      <c r="Q67" s="210"/>
      <c r="R67" s="210"/>
      <c r="S67" s="210"/>
    </row>
    <row r="68" spans="1:20" s="209" customFormat="1" ht="13.9" customHeight="1" outlineLevel="2" x14ac:dyDescent="0.2">
      <c r="A68" s="959">
        <f ca="1">IF($H68="UNIDADE CONSTRUTIVA",OFFSET(A68,-1,0)+1,LARGE(A$3:A67,1))</f>
        <v>0</v>
      </c>
      <c r="B68" s="959">
        <f t="shared" ca="1" si="0"/>
        <v>3</v>
      </c>
      <c r="C68" s="959">
        <f t="shared" ca="1" si="6"/>
        <v>1</v>
      </c>
      <c r="D68" s="960">
        <f t="shared" ca="1" si="7"/>
        <v>2</v>
      </c>
      <c r="E68" s="960">
        <f t="shared" ca="1" si="8"/>
        <v>2</v>
      </c>
      <c r="G68" s="754"/>
      <c r="H68" s="755" t="s">
        <v>476</v>
      </c>
      <c r="I68" s="756" t="str">
        <f t="shared" ca="1" si="17"/>
        <v>03.001.002.002</v>
      </c>
      <c r="J68" s="757" t="s">
        <v>1621</v>
      </c>
      <c r="K68" s="758" t="s">
        <v>1</v>
      </c>
      <c r="L68" s="957">
        <f>ARQUITETURA!D26</f>
        <v>1.28</v>
      </c>
      <c r="M68" s="957">
        <f>_xlfn.XLOOKUP($J68,CPU!$D$1:$D$2521,CPU!$H$1:$H$2521)</f>
        <v>46.300000000000004</v>
      </c>
      <c r="N68" s="868">
        <f t="shared" si="5"/>
        <v>59.26400000000001</v>
      </c>
      <c r="O68" s="964"/>
      <c r="P68" s="761" t="s">
        <v>2630</v>
      </c>
      <c r="Q68" s="210"/>
      <c r="R68" s="210"/>
      <c r="S68" s="210"/>
    </row>
    <row r="69" spans="1:20" s="209" customFormat="1" ht="13.9" customHeight="1" outlineLevel="1" x14ac:dyDescent="0.2">
      <c r="A69" s="959">
        <f ca="1">IF($H69="UNIDADE CONSTRUTIVA",OFFSET(A69,-1,0)+1,LARGE(A$3:A68,1))</f>
        <v>0</v>
      </c>
      <c r="B69" s="959">
        <f t="shared" ca="1" si="0"/>
        <v>3</v>
      </c>
      <c r="C69" s="959">
        <f t="shared" ca="1" si="6"/>
        <v>1</v>
      </c>
      <c r="D69" s="960">
        <f t="shared" ca="1" si="7"/>
        <v>3</v>
      </c>
      <c r="E69" s="960">
        <f t="shared" ca="1" si="8"/>
        <v>0</v>
      </c>
      <c r="G69" s="754"/>
      <c r="H69" s="755" t="s">
        <v>475</v>
      </c>
      <c r="I69" s="756" t="str">
        <f t="shared" ca="1" si="17"/>
        <v>03.001.003</v>
      </c>
      <c r="J69" s="757" t="s">
        <v>400</v>
      </c>
      <c r="K69" s="758"/>
      <c r="L69" s="957"/>
      <c r="M69" s="957"/>
      <c r="N69" s="868">
        <f t="shared" ca="1" si="5"/>
        <v>11873.755939456001</v>
      </c>
      <c r="O69" s="964"/>
      <c r="P69" s="761"/>
      <c r="Q69" s="210"/>
      <c r="R69" s="210"/>
      <c r="S69" s="210"/>
    </row>
    <row r="70" spans="1:20" s="209" customFormat="1" ht="13.9" customHeight="1" outlineLevel="2" x14ac:dyDescent="0.2">
      <c r="A70" s="959">
        <f ca="1">IF($H70="UNIDADE CONSTRUTIVA",OFFSET(A70,-1,0)+1,LARGE(A$3:A69,1))</f>
        <v>0</v>
      </c>
      <c r="B70" s="959">
        <f t="shared" ref="B70:B134" ca="1" si="19">IF(H70="UNIDADE CONSTRUTIVA",0,IF(H70="CÉLULA CONSTRUTIVA",OFFSET(B70,-1,0)+1,OFFSET(B70,-1,0)))</f>
        <v>3</v>
      </c>
      <c r="C70" s="959">
        <f t="shared" ca="1" si="6"/>
        <v>1</v>
      </c>
      <c r="D70" s="960">
        <f t="shared" ca="1" si="7"/>
        <v>3</v>
      </c>
      <c r="E70" s="960">
        <f t="shared" ca="1" si="8"/>
        <v>1</v>
      </c>
      <c r="G70" s="754"/>
      <c r="H70" s="755" t="s">
        <v>476</v>
      </c>
      <c r="I70" s="756" t="str">
        <f t="shared" ca="1" si="17"/>
        <v>03.001.003.001</v>
      </c>
      <c r="J70" s="757" t="s">
        <v>766</v>
      </c>
      <c r="K70" s="758" t="s">
        <v>3</v>
      </c>
      <c r="L70" s="957">
        <f>ARQUITETURA!F275</f>
        <v>195.1</v>
      </c>
      <c r="M70" s="957">
        <f>_xlfn.XLOOKUP($J70,CPU!$D$1:$D$2521,CPU!$H$1:$H$2521)</f>
        <v>14.787500000000001</v>
      </c>
      <c r="N70" s="868">
        <f t="shared" si="5"/>
        <v>2885.0412500000002</v>
      </c>
      <c r="O70" s="964"/>
      <c r="P70" s="761" t="s">
        <v>2630</v>
      </c>
      <c r="Q70" s="210"/>
      <c r="R70" s="210"/>
      <c r="S70" s="210"/>
    </row>
    <row r="71" spans="1:20" s="209" customFormat="1" ht="13.9" customHeight="1" outlineLevel="2" x14ac:dyDescent="0.2">
      <c r="A71" s="959">
        <f ca="1">IF($H71="UNIDADE CONSTRUTIVA",OFFSET(A71,-1,0)+1,LARGE(A$3:A70,1))</f>
        <v>0</v>
      </c>
      <c r="B71" s="959">
        <f t="shared" ca="1" si="19"/>
        <v>3</v>
      </c>
      <c r="C71" s="959">
        <f t="shared" ref="C71:C135" ca="1" si="20">IF(H71="CÉLULA CONSTRUTIVA",0,IF(H71="ETAPA",OFFSET(C71,-1,0)+1,OFFSET(C71,-1,0)))</f>
        <v>1</v>
      </c>
      <c r="D71" s="960">
        <f t="shared" ref="D71:D135" ca="1" si="21">IF(H71="ETAPA",0,IF(H71="SUBETAPA",OFFSET(D71,-1,0)+1,OFFSET(D71,-1,0)))</f>
        <v>3</v>
      </c>
      <c r="E71" s="960">
        <f t="shared" ref="E71:E135" ca="1" si="22">IF(H71="Subetapa",0,IF(H71="serviço",OFFSET(E71,-1,0)+1,OFFSET(E71,-1,0)))</f>
        <v>2</v>
      </c>
      <c r="G71" s="754"/>
      <c r="H71" s="755" t="s">
        <v>476</v>
      </c>
      <c r="I71" s="756" t="str">
        <f t="shared" ca="1" si="17"/>
        <v>03.001.003.002</v>
      </c>
      <c r="J71" s="757" t="s">
        <v>1670</v>
      </c>
      <c r="K71" s="758" t="s">
        <v>2</v>
      </c>
      <c r="L71" s="957">
        <f>ROUNDUP(ARQUITETURA!F276,0)</f>
        <v>297</v>
      </c>
      <c r="M71" s="957">
        <f>_xlfn.XLOOKUP($J71,CPU!$D$1:$D$2521,CPU!$H$1:$H$2521)</f>
        <v>4.1071999999999997</v>
      </c>
      <c r="N71" s="868">
        <f t="shared" si="5"/>
        <v>1219.8383999999999</v>
      </c>
      <c r="O71" s="964"/>
      <c r="P71" s="761" t="s">
        <v>2630</v>
      </c>
      <c r="Q71" s="210"/>
      <c r="R71" s="210"/>
      <c r="S71" s="210"/>
      <c r="T71" s="969"/>
    </row>
    <row r="72" spans="1:20" s="209" customFormat="1" ht="13.9" customHeight="1" outlineLevel="2" x14ac:dyDescent="0.2">
      <c r="A72" s="959">
        <f ca="1">IF($H72="UNIDADE CONSTRUTIVA",OFFSET(A72,-1,0)+1,LARGE(A$3:A71,1))</f>
        <v>0</v>
      </c>
      <c r="B72" s="959">
        <f t="shared" ca="1" si="19"/>
        <v>3</v>
      </c>
      <c r="C72" s="959">
        <f t="shared" ca="1" si="20"/>
        <v>1</v>
      </c>
      <c r="D72" s="960">
        <f t="shared" ca="1" si="21"/>
        <v>3</v>
      </c>
      <c r="E72" s="960">
        <f t="shared" ca="1" si="22"/>
        <v>3</v>
      </c>
      <c r="G72" s="754"/>
      <c r="H72" s="755" t="s">
        <v>476</v>
      </c>
      <c r="I72" s="756" t="str">
        <f t="shared" ca="1" si="17"/>
        <v>03.001.003.003</v>
      </c>
      <c r="J72" s="757" t="s">
        <v>767</v>
      </c>
      <c r="K72" s="758" t="s">
        <v>3</v>
      </c>
      <c r="L72" s="957">
        <f>ARQUITETURA!G277</f>
        <v>96.65</v>
      </c>
      <c r="M72" s="957">
        <f>_xlfn.XLOOKUP($J72,CPU!$D$1:$D$2521,CPU!$H$1:$H$2521)</f>
        <v>80.381544640000001</v>
      </c>
      <c r="N72" s="868">
        <f t="shared" ref="N72:N135" si="23">IF(H72="Serviço",M72*L72,IF(H72="CÉLULA CONSTRUTIVA",SUMIFS($N$8:$N$258,$B$8:$B$258,B72,$H$8:$H$258,"Serviço"),IF(H72="ETAPA",SUMIFS($N$8:$N$258,$B$8:$B$258,B72,$C$8:$C$258,C72,$H$8:$H$258,"Serviço"),IF(H72="SUBETAPA",SUMIFS($N$8:$N$258,$B$8:$B$258,B72,$C$8:$C$258,C72,$D$8:$D$258,D72,$H$8:$H$258,"Serviço"),0))))</f>
        <v>7768.8762894560004</v>
      </c>
      <c r="O72" s="964"/>
      <c r="P72" s="761" t="s">
        <v>2630</v>
      </c>
      <c r="Q72" s="210"/>
      <c r="R72" s="210"/>
      <c r="S72" s="210"/>
      <c r="T72" s="969"/>
    </row>
    <row r="73" spans="1:20" s="209" customFormat="1" ht="13.9" customHeight="1" outlineLevel="1" x14ac:dyDescent="0.2">
      <c r="A73" s="959">
        <f ca="1">IF($H73="UNIDADE CONSTRUTIVA",OFFSET(A73,-1,0)+1,LARGE(A$3:A72,1))</f>
        <v>0</v>
      </c>
      <c r="B73" s="959">
        <f t="shared" ca="1" si="19"/>
        <v>3</v>
      </c>
      <c r="C73" s="959">
        <f t="shared" ca="1" si="20"/>
        <v>1</v>
      </c>
      <c r="D73" s="960">
        <f t="shared" ca="1" si="21"/>
        <v>4</v>
      </c>
      <c r="E73" s="960">
        <f t="shared" ca="1" si="22"/>
        <v>0</v>
      </c>
      <c r="G73" s="754"/>
      <c r="H73" s="755" t="s">
        <v>475</v>
      </c>
      <c r="I73" s="756" t="str">
        <f t="shared" ca="1" si="17"/>
        <v>03.001.004</v>
      </c>
      <c r="J73" s="757" t="s">
        <v>401</v>
      </c>
      <c r="K73" s="758"/>
      <c r="L73" s="957"/>
      <c r="M73" s="957"/>
      <c r="N73" s="868">
        <f t="shared" ca="1" si="23"/>
        <v>20927.449999999997</v>
      </c>
      <c r="O73" s="964"/>
      <c r="P73" s="761"/>
      <c r="Q73" s="210"/>
      <c r="R73" s="210"/>
      <c r="S73" s="210"/>
      <c r="T73" s="969"/>
    </row>
    <row r="74" spans="1:20" s="209" customFormat="1" ht="13.9" customHeight="1" outlineLevel="2" x14ac:dyDescent="0.2">
      <c r="A74" s="959">
        <f ca="1">IF($H74="UNIDADE CONSTRUTIVA",OFFSET(A74,-1,0)+1,LARGE(A$3:A73,1))</f>
        <v>0</v>
      </c>
      <c r="B74" s="959">
        <f t="shared" ca="1" si="19"/>
        <v>3</v>
      </c>
      <c r="C74" s="959">
        <f t="shared" ca="1" si="20"/>
        <v>1</v>
      </c>
      <c r="D74" s="960">
        <f t="shared" ca="1" si="21"/>
        <v>4</v>
      </c>
      <c r="E74" s="960">
        <f t="shared" ca="1" si="22"/>
        <v>1</v>
      </c>
      <c r="G74" s="754"/>
      <c r="H74" s="755" t="s">
        <v>476</v>
      </c>
      <c r="I74" s="756" t="str">
        <f t="shared" ca="1" si="17"/>
        <v>03.001.004.001</v>
      </c>
      <c r="J74" s="757" t="s">
        <v>768</v>
      </c>
      <c r="K74" s="758" t="s">
        <v>1</v>
      </c>
      <c r="L74" s="957">
        <f>SUM(L62:L65)+L68</f>
        <v>592.21999999999991</v>
      </c>
      <c r="M74" s="957">
        <f>_xlfn.XLOOKUP($J74,CPU!$D$1:$D$2521,CPU!$H$1:$H$2521)</f>
        <v>35</v>
      </c>
      <c r="N74" s="868">
        <f t="shared" si="23"/>
        <v>20727.699999999997</v>
      </c>
      <c r="O74" s="964"/>
      <c r="P74" s="761" t="s">
        <v>2630</v>
      </c>
      <c r="Q74" s="210"/>
      <c r="R74" s="210"/>
      <c r="S74" s="210"/>
      <c r="T74" s="969"/>
    </row>
    <row r="75" spans="1:20" s="209" customFormat="1" ht="13.9" customHeight="1" outlineLevel="2" x14ac:dyDescent="0.2">
      <c r="A75" s="959">
        <f ca="1">IF($H75="UNIDADE CONSTRUTIVA",OFFSET(A75,-1,0)+1,LARGE(A$3:A74,1))</f>
        <v>0</v>
      </c>
      <c r="B75" s="959">
        <f t="shared" ca="1" si="19"/>
        <v>3</v>
      </c>
      <c r="C75" s="959">
        <f t="shared" ca="1" si="20"/>
        <v>1</v>
      </c>
      <c r="D75" s="960">
        <f t="shared" ca="1" si="21"/>
        <v>4</v>
      </c>
      <c r="E75" s="960">
        <f t="shared" ca="1" si="22"/>
        <v>2</v>
      </c>
      <c r="G75" s="754"/>
      <c r="H75" s="755" t="s">
        <v>476</v>
      </c>
      <c r="I75" s="756" t="str">
        <f t="shared" ca="1" si="17"/>
        <v>03.001.004.002</v>
      </c>
      <c r="J75" s="757" t="s">
        <v>883</v>
      </c>
      <c r="K75" s="758" t="s">
        <v>1</v>
      </c>
      <c r="L75" s="957">
        <f>L67</f>
        <v>3.9950000000000006</v>
      </c>
      <c r="M75" s="957">
        <f>_xlfn.XLOOKUP($J75,CPU!$D$1:$D$2521,CPU!$H$1:$H$2521)</f>
        <v>50</v>
      </c>
      <c r="N75" s="868">
        <f t="shared" si="23"/>
        <v>199.75000000000003</v>
      </c>
      <c r="O75" s="964"/>
      <c r="P75" s="761" t="s">
        <v>2630</v>
      </c>
      <c r="Q75" s="210"/>
      <c r="R75" s="210"/>
      <c r="S75" s="210"/>
      <c r="T75" s="969"/>
    </row>
    <row r="76" spans="1:20" s="209" customFormat="1" ht="13.9" customHeight="1" x14ac:dyDescent="0.2">
      <c r="A76" s="959">
        <f ca="1">IF($H76="UNIDADE CONSTRUTIVA",OFFSET(A76,-1,0)+1,LARGE(A$3:A75,1))</f>
        <v>0</v>
      </c>
      <c r="B76" s="959">
        <f t="shared" ca="1" si="19"/>
        <v>4</v>
      </c>
      <c r="C76" s="959">
        <f t="shared" ca="1" si="20"/>
        <v>0</v>
      </c>
      <c r="D76" s="960">
        <f t="shared" ca="1" si="21"/>
        <v>4</v>
      </c>
      <c r="E76" s="960">
        <f t="shared" ca="1" si="22"/>
        <v>2</v>
      </c>
      <c r="F76" s="1132"/>
      <c r="G76" s="754"/>
      <c r="H76" s="755" t="s">
        <v>473</v>
      </c>
      <c r="I76" s="756" t="str">
        <f t="shared" ref="I76:I100" ca="1" si="24">IF(H76="Unidade Construtiva",TEXT(A76,"00"),IF(H76="Célula Construtiva",TEXT(B76,"00"),IF(H76="Etapa",CONCATENATE(TEXT(B76,"00"),".",TEXT(C76,"000")),IF(H76="Subetapa",CONCATENATE(TEXT(B76,"00"),".",TEXT(C76,"000"),".",TEXT(D76,"000")),IF(H76="Serviço",CONCATENATE(TEXT(B76,"00"),".",TEXT(C76,"000"),".",TEXT(D76,"000"),".",TEXT(E76,"000")),"")))))</f>
        <v>04</v>
      </c>
      <c r="J76" s="757" t="s">
        <v>446</v>
      </c>
      <c r="K76" s="758"/>
      <c r="L76" s="957"/>
      <c r="M76" s="957"/>
      <c r="N76" s="868">
        <f t="shared" ca="1" si="23"/>
        <v>150074.67760279699</v>
      </c>
      <c r="O76" s="964">
        <f ca="1">N76/'Obra '!E$9</f>
        <v>455.3651048420578</v>
      </c>
      <c r="P76" s="761"/>
      <c r="Q76" s="965"/>
      <c r="R76" s="965"/>
      <c r="S76" s="210"/>
    </row>
    <row r="77" spans="1:20" s="209" customFormat="1" ht="13.9" customHeight="1" outlineLevel="1" x14ac:dyDescent="0.2">
      <c r="A77" s="959">
        <f ca="1">IF($H77="UNIDADE CONSTRUTIVA",OFFSET(A77,-1,0)+1,LARGE(A$3:A76,1))</f>
        <v>0</v>
      </c>
      <c r="B77" s="959">
        <f t="shared" ca="1" si="19"/>
        <v>4</v>
      </c>
      <c r="C77" s="959">
        <f t="shared" ca="1" si="20"/>
        <v>1</v>
      </c>
      <c r="D77" s="960">
        <f t="shared" ca="1" si="21"/>
        <v>0</v>
      </c>
      <c r="E77" s="960">
        <f t="shared" ca="1" si="22"/>
        <v>2</v>
      </c>
      <c r="G77" s="754"/>
      <c r="H77" s="755" t="s">
        <v>474</v>
      </c>
      <c r="I77" s="756" t="str">
        <f t="shared" ca="1" si="24"/>
        <v>04.001</v>
      </c>
      <c r="J77" s="757" t="s">
        <v>446</v>
      </c>
      <c r="K77" s="758"/>
      <c r="L77" s="957"/>
      <c r="M77" s="957"/>
      <c r="N77" s="868">
        <f t="shared" ca="1" si="23"/>
        <v>150074.67760279699</v>
      </c>
      <c r="O77" s="964"/>
      <c r="P77" s="761"/>
      <c r="Q77" s="210"/>
      <c r="R77" s="210"/>
      <c r="S77" s="210"/>
    </row>
    <row r="78" spans="1:20" s="209" customFormat="1" ht="13.9" customHeight="1" outlineLevel="1" x14ac:dyDescent="0.2">
      <c r="A78" s="959">
        <f ca="1">IF($H78="UNIDADE CONSTRUTIVA",OFFSET(A78,-1,0)+1,LARGE(A$3:A77,1))</f>
        <v>0</v>
      </c>
      <c r="B78" s="959">
        <f t="shared" ca="1" si="19"/>
        <v>4</v>
      </c>
      <c r="C78" s="959">
        <f t="shared" ca="1" si="20"/>
        <v>1</v>
      </c>
      <c r="D78" s="960">
        <f t="shared" ca="1" si="21"/>
        <v>1</v>
      </c>
      <c r="E78" s="960">
        <f t="shared" ca="1" si="22"/>
        <v>0</v>
      </c>
      <c r="G78" s="754"/>
      <c r="H78" s="755" t="s">
        <v>475</v>
      </c>
      <c r="I78" s="756" t="str">
        <f t="shared" ca="1" si="24"/>
        <v>04.001.001</v>
      </c>
      <c r="J78" s="757" t="s">
        <v>1288</v>
      </c>
      <c r="K78" s="758"/>
      <c r="L78" s="957"/>
      <c r="M78" s="957"/>
      <c r="N78" s="868">
        <f t="shared" ca="1" si="23"/>
        <v>78583.301602797001</v>
      </c>
      <c r="O78" s="964"/>
      <c r="P78" s="761"/>
      <c r="Q78" s="210"/>
      <c r="R78" s="210"/>
      <c r="S78" s="210"/>
    </row>
    <row r="79" spans="1:20" s="209" customFormat="1" ht="13.9" customHeight="1" outlineLevel="2" x14ac:dyDescent="0.2">
      <c r="A79" s="959">
        <f ca="1">IF($H79="UNIDADE CONSTRUTIVA",OFFSET(A79,-1,0)+1,LARGE(A$3:A78,1))</f>
        <v>0</v>
      </c>
      <c r="B79" s="959">
        <f t="shared" ca="1" si="19"/>
        <v>4</v>
      </c>
      <c r="C79" s="959">
        <f t="shared" ca="1" si="20"/>
        <v>1</v>
      </c>
      <c r="D79" s="960">
        <f t="shared" ca="1" si="21"/>
        <v>1</v>
      </c>
      <c r="E79" s="960">
        <f t="shared" ca="1" si="22"/>
        <v>1</v>
      </c>
      <c r="G79" s="754"/>
      <c r="H79" s="755" t="s">
        <v>476</v>
      </c>
      <c r="I79" s="756" t="str">
        <f t="shared" ca="1" si="24"/>
        <v>04.001.001.001</v>
      </c>
      <c r="J79" s="757" t="s">
        <v>2635</v>
      </c>
      <c r="K79" s="758" t="s">
        <v>419</v>
      </c>
      <c r="L79" s="957">
        <v>1</v>
      </c>
      <c r="M79" s="957">
        <f>INSTALAÇÕES!E28+INSTALAÇÕES!E29+INSTALAÇÕES!E30+INSTALAÇÕES!E31+INSTALAÇÕES!E32</f>
        <v>37021.749533333335</v>
      </c>
      <c r="N79" s="868">
        <f t="shared" si="23"/>
        <v>37021.749533333335</v>
      </c>
      <c r="O79" s="964"/>
      <c r="P79" s="761" t="s">
        <v>2630</v>
      </c>
      <c r="Q79" s="210"/>
      <c r="R79" s="210"/>
      <c r="S79" s="210"/>
    </row>
    <row r="80" spans="1:20" s="209" customFormat="1" ht="13.9" customHeight="1" outlineLevel="2" x14ac:dyDescent="0.2">
      <c r="A80" s="959">
        <f ca="1">IF($H80="UNIDADE CONSTRUTIVA",OFFSET(A80,-1,0)+1,LARGE(A$3:A79,1))</f>
        <v>0</v>
      </c>
      <c r="B80" s="959">
        <f t="shared" ref="B80" ca="1" si="25">IF(H80="UNIDADE CONSTRUTIVA",0,IF(H80="CÉLULA CONSTRUTIVA",OFFSET(B80,-1,0)+1,OFFSET(B80,-1,0)))</f>
        <v>4</v>
      </c>
      <c r="C80" s="959">
        <f t="shared" ref="C80" ca="1" si="26">IF(H80="CÉLULA CONSTRUTIVA",0,IF(H80="ETAPA",OFFSET(C80,-1,0)+1,OFFSET(C80,-1,0)))</f>
        <v>1</v>
      </c>
      <c r="D80" s="960">
        <f t="shared" ref="D80" ca="1" si="27">IF(H80="ETAPA",0,IF(H80="SUBETAPA",OFFSET(D80,-1,0)+1,OFFSET(D80,-1,0)))</f>
        <v>1</v>
      </c>
      <c r="E80" s="960">
        <f t="shared" ref="E80" ca="1" si="28">IF(H80="Subetapa",0,IF(H80="serviço",OFFSET(E80,-1,0)+1,OFFSET(E80,-1,0)))</f>
        <v>2</v>
      </c>
      <c r="G80" s="754"/>
      <c r="H80" s="755" t="s">
        <v>476</v>
      </c>
      <c r="I80" s="756" t="str">
        <f t="shared" ref="I80" ca="1" si="29">IF(H80="Unidade Construtiva",TEXT(A80,"00"),IF(H80="Célula Construtiva",TEXT(B80,"00"),IF(H80="Etapa",CONCATENATE(TEXT(B80,"00"),".",TEXT(C80,"000")),IF(H80="Subetapa",CONCATENATE(TEXT(B80,"00"),".",TEXT(C80,"000"),".",TEXT(D80,"000")),IF(H80="Serviço",CONCATENATE(TEXT(B80,"00"),".",TEXT(C80,"000"),".",TEXT(D80,"000"),".",TEXT(E80,"000")),"")))))</f>
        <v>04.001.001.002</v>
      </c>
      <c r="J80" s="757" t="s">
        <v>756</v>
      </c>
      <c r="K80" s="758" t="s">
        <v>419</v>
      </c>
      <c r="L80" s="957">
        <v>1</v>
      </c>
      <c r="M80" s="957">
        <f>INSTALAÇÕES!E33</f>
        <v>41561.552069463673</v>
      </c>
      <c r="N80" s="868">
        <f t="shared" si="23"/>
        <v>41561.552069463673</v>
      </c>
      <c r="O80" s="964"/>
      <c r="P80" s="761" t="s">
        <v>2630</v>
      </c>
      <c r="Q80" s="210"/>
      <c r="R80" s="210"/>
      <c r="S80" s="210"/>
    </row>
    <row r="81" spans="1:19" s="209" customFormat="1" ht="13.9" customHeight="1" outlineLevel="1" x14ac:dyDescent="0.2">
      <c r="A81" s="959">
        <f ca="1">IF($H81="UNIDADE CONSTRUTIVA",OFFSET(A81,-1,0)+1,LARGE(A$3:A79,1))</f>
        <v>0</v>
      </c>
      <c r="B81" s="959">
        <f t="shared" ca="1" si="19"/>
        <v>4</v>
      </c>
      <c r="C81" s="959">
        <f t="shared" ca="1" si="20"/>
        <v>1</v>
      </c>
      <c r="D81" s="960">
        <f t="shared" ca="1" si="21"/>
        <v>2</v>
      </c>
      <c r="E81" s="960">
        <f t="shared" ca="1" si="22"/>
        <v>0</v>
      </c>
      <c r="G81" s="754"/>
      <c r="H81" s="755" t="s">
        <v>475</v>
      </c>
      <c r="I81" s="756" t="str">
        <f t="shared" ca="1" si="24"/>
        <v>04.001.002</v>
      </c>
      <c r="J81" s="757" t="s">
        <v>1289</v>
      </c>
      <c r="K81" s="758"/>
      <c r="L81" s="957"/>
      <c r="M81" s="957"/>
      <c r="N81" s="868">
        <f t="shared" ca="1" si="23"/>
        <v>68854.816000000006</v>
      </c>
      <c r="O81" s="964"/>
      <c r="P81" s="761"/>
      <c r="Q81" s="210"/>
      <c r="R81" s="210"/>
      <c r="S81" s="210"/>
    </row>
    <row r="82" spans="1:19" s="209" customFormat="1" ht="13.9" customHeight="1" outlineLevel="2" x14ac:dyDescent="0.2">
      <c r="A82" s="959">
        <f ca="1">IF($H82="UNIDADE CONSTRUTIVA",OFFSET(A82,-1,0)+1,LARGE(A$3:A81,1))</f>
        <v>0</v>
      </c>
      <c r="B82" s="959">
        <f t="shared" ca="1" si="19"/>
        <v>4</v>
      </c>
      <c r="C82" s="959">
        <f t="shared" ca="1" si="20"/>
        <v>1</v>
      </c>
      <c r="D82" s="960">
        <f t="shared" ca="1" si="21"/>
        <v>2</v>
      </c>
      <c r="E82" s="960">
        <f t="shared" ca="1" si="22"/>
        <v>1</v>
      </c>
      <c r="G82" s="754"/>
      <c r="H82" s="755" t="s">
        <v>476</v>
      </c>
      <c r="I82" s="756" t="str">
        <f t="shared" ca="1" si="24"/>
        <v>04.001.002.001</v>
      </c>
      <c r="J82" s="757" t="s">
        <v>1289</v>
      </c>
      <c r="K82" s="758" t="s">
        <v>419</v>
      </c>
      <c r="L82" s="957">
        <v>1</v>
      </c>
      <c r="M82" s="957">
        <f>'Louças e metais'!F63</f>
        <v>68854.816000000006</v>
      </c>
      <c r="N82" s="868">
        <f t="shared" si="23"/>
        <v>68854.816000000006</v>
      </c>
      <c r="O82" s="964"/>
      <c r="P82" s="761" t="s">
        <v>2630</v>
      </c>
      <c r="Q82" s="210"/>
      <c r="R82" s="210"/>
      <c r="S82" s="210"/>
    </row>
    <row r="83" spans="1:19" s="209" customFormat="1" ht="13.9" customHeight="1" outlineLevel="1" x14ac:dyDescent="0.2">
      <c r="A83" s="959">
        <f ca="1">IF($H83="UNIDADE CONSTRUTIVA",OFFSET(A83,-1,0)+1,LARGE(A$3:A82,1))</f>
        <v>0</v>
      </c>
      <c r="B83" s="959">
        <f t="shared" ca="1" si="19"/>
        <v>4</v>
      </c>
      <c r="C83" s="959">
        <f t="shared" ca="1" si="20"/>
        <v>1</v>
      </c>
      <c r="D83" s="960">
        <f t="shared" ca="1" si="21"/>
        <v>3</v>
      </c>
      <c r="E83" s="960">
        <f t="shared" ca="1" si="22"/>
        <v>0</v>
      </c>
      <c r="G83" s="754"/>
      <c r="H83" s="755" t="s">
        <v>475</v>
      </c>
      <c r="I83" s="756" t="str">
        <f t="shared" ca="1" si="24"/>
        <v>04.001.003</v>
      </c>
      <c r="J83" s="757" t="s">
        <v>401</v>
      </c>
      <c r="K83" s="758"/>
      <c r="L83" s="957"/>
      <c r="M83" s="957"/>
      <c r="N83" s="868">
        <f t="shared" ca="1" si="23"/>
        <v>2636.56</v>
      </c>
      <c r="O83" s="964"/>
      <c r="P83" s="761"/>
      <c r="Q83" s="210"/>
      <c r="R83" s="210"/>
      <c r="S83" s="210"/>
    </row>
    <row r="84" spans="1:19" s="209" customFormat="1" ht="11.25" outlineLevel="2" x14ac:dyDescent="0.2">
      <c r="A84" s="959">
        <f ca="1">IF($H84="UNIDADE CONSTRUTIVA",OFFSET(A84,-1,0)+1,LARGE(A$3:A83,1))</f>
        <v>0</v>
      </c>
      <c r="B84" s="959">
        <f t="shared" ca="1" si="19"/>
        <v>4</v>
      </c>
      <c r="C84" s="959">
        <f t="shared" ca="1" si="20"/>
        <v>1</v>
      </c>
      <c r="D84" s="960">
        <f t="shared" ca="1" si="21"/>
        <v>3</v>
      </c>
      <c r="E84" s="960">
        <f t="shared" ca="1" si="22"/>
        <v>1</v>
      </c>
      <c r="G84" s="754"/>
      <c r="H84" s="755" t="s">
        <v>476</v>
      </c>
      <c r="I84" s="756" t="str">
        <f t="shared" ca="1" si="24"/>
        <v>04.001.003.001</v>
      </c>
      <c r="J84" s="757" t="s">
        <v>885</v>
      </c>
      <c r="K84" s="758" t="s">
        <v>419</v>
      </c>
      <c r="L84" s="957">
        <v>1</v>
      </c>
      <c r="M84" s="957">
        <f>INSTALAÇÕES!E34</f>
        <v>2636.56</v>
      </c>
      <c r="N84" s="868">
        <f t="shared" si="23"/>
        <v>2636.56</v>
      </c>
      <c r="O84" s="964"/>
      <c r="P84" s="761" t="s">
        <v>2630</v>
      </c>
      <c r="Q84" s="210"/>
      <c r="R84" s="210"/>
      <c r="S84" s="210"/>
    </row>
    <row r="85" spans="1:19" s="209" customFormat="1" ht="13.9" customHeight="1" x14ac:dyDescent="0.2">
      <c r="A85" s="959">
        <f ca="1">IF($H85="UNIDADE CONSTRUTIVA",OFFSET(A85,-1,0)+1,LARGE(A$3:A84,1))</f>
        <v>0</v>
      </c>
      <c r="B85" s="959">
        <f t="shared" ca="1" si="19"/>
        <v>5</v>
      </c>
      <c r="C85" s="959">
        <f t="shared" ca="1" si="20"/>
        <v>0</v>
      </c>
      <c r="D85" s="960">
        <f t="shared" ca="1" si="21"/>
        <v>3</v>
      </c>
      <c r="E85" s="960">
        <f t="shared" ca="1" si="22"/>
        <v>1</v>
      </c>
      <c r="F85" s="1132"/>
      <c r="G85" s="754"/>
      <c r="H85" s="755" t="s">
        <v>473</v>
      </c>
      <c r="I85" s="756" t="str">
        <f t="shared" ca="1" si="24"/>
        <v>05</v>
      </c>
      <c r="J85" s="757" t="s">
        <v>442</v>
      </c>
      <c r="K85" s="758"/>
      <c r="L85" s="957"/>
      <c r="M85" s="957"/>
      <c r="N85" s="868">
        <f t="shared" ca="1" si="23"/>
        <v>48349.003055000001</v>
      </c>
      <c r="O85" s="964">
        <f ca="1">N85/'Obra '!E$9</f>
        <v>146.70328930121067</v>
      </c>
      <c r="P85" s="761"/>
      <c r="Q85" s="965"/>
      <c r="R85" s="965"/>
      <c r="S85" s="210"/>
    </row>
    <row r="86" spans="1:19" s="209" customFormat="1" ht="13.9" customHeight="1" outlineLevel="1" x14ac:dyDescent="0.2">
      <c r="A86" s="959">
        <f ca="1">IF($H86="UNIDADE CONSTRUTIVA",OFFSET(A86,-1,0)+1,LARGE(A$3:A85,1))</f>
        <v>0</v>
      </c>
      <c r="B86" s="959">
        <f t="shared" ca="1" si="19"/>
        <v>5</v>
      </c>
      <c r="C86" s="959">
        <f t="shared" ca="1" si="20"/>
        <v>1</v>
      </c>
      <c r="D86" s="960">
        <f t="shared" ca="1" si="21"/>
        <v>0</v>
      </c>
      <c r="E86" s="960">
        <f t="shared" ca="1" si="22"/>
        <v>1</v>
      </c>
      <c r="G86" s="754"/>
      <c r="H86" s="755" t="s">
        <v>474</v>
      </c>
      <c r="I86" s="756" t="str">
        <f t="shared" ca="1" si="24"/>
        <v>05.001</v>
      </c>
      <c r="J86" s="757" t="s">
        <v>442</v>
      </c>
      <c r="K86" s="758"/>
      <c r="L86" s="957"/>
      <c r="M86" s="957"/>
      <c r="N86" s="868">
        <f t="shared" ca="1" si="23"/>
        <v>48349.003055000001</v>
      </c>
      <c r="O86" s="964"/>
      <c r="P86" s="761"/>
      <c r="Q86" s="210"/>
      <c r="R86" s="210"/>
      <c r="S86" s="210"/>
    </row>
    <row r="87" spans="1:19" s="209" customFormat="1" ht="13.9" customHeight="1" outlineLevel="1" x14ac:dyDescent="0.2">
      <c r="A87" s="959">
        <f ca="1">IF($H87="UNIDADE CONSTRUTIVA",OFFSET(A87,-1,0)+1,LARGE(A$3:A86,1))</f>
        <v>0</v>
      </c>
      <c r="B87" s="959">
        <f t="shared" ca="1" si="19"/>
        <v>5</v>
      </c>
      <c r="C87" s="959">
        <f t="shared" ca="1" si="20"/>
        <v>1</v>
      </c>
      <c r="D87" s="960">
        <f t="shared" ca="1" si="21"/>
        <v>1</v>
      </c>
      <c r="E87" s="960">
        <f t="shared" ca="1" si="22"/>
        <v>0</v>
      </c>
      <c r="G87" s="754"/>
      <c r="H87" s="755" t="s">
        <v>475</v>
      </c>
      <c r="I87" s="756" t="str">
        <f t="shared" ca="1" si="24"/>
        <v>05.001.001</v>
      </c>
      <c r="J87" s="757" t="s">
        <v>447</v>
      </c>
      <c r="K87" s="758"/>
      <c r="L87" s="957"/>
      <c r="M87" s="957"/>
      <c r="N87" s="868">
        <f t="shared" ca="1" si="23"/>
        <v>3555.31</v>
      </c>
      <c r="O87" s="964"/>
      <c r="P87" s="761"/>
      <c r="Q87" s="210"/>
      <c r="R87" s="210"/>
      <c r="S87" s="210"/>
    </row>
    <row r="88" spans="1:19" s="209" customFormat="1" ht="13.9" customHeight="1" outlineLevel="2" x14ac:dyDescent="0.2">
      <c r="A88" s="959">
        <f ca="1">IF($H88="UNIDADE CONSTRUTIVA",OFFSET(A88,-1,0)+1,LARGE(A$3:A87,1))</f>
        <v>0</v>
      </c>
      <c r="B88" s="959">
        <f t="shared" ca="1" si="19"/>
        <v>5</v>
      </c>
      <c r="C88" s="959">
        <f t="shared" ca="1" si="20"/>
        <v>1</v>
      </c>
      <c r="D88" s="960">
        <f t="shared" ca="1" si="21"/>
        <v>1</v>
      </c>
      <c r="E88" s="960">
        <f t="shared" ca="1" si="22"/>
        <v>1</v>
      </c>
      <c r="G88" s="754"/>
      <c r="H88" s="755" t="s">
        <v>476</v>
      </c>
      <c r="I88" s="756" t="str">
        <f t="shared" ca="1" si="24"/>
        <v>05.001.001.001</v>
      </c>
      <c r="J88" s="757" t="s">
        <v>447</v>
      </c>
      <c r="K88" s="758" t="s">
        <v>419</v>
      </c>
      <c r="L88" s="957">
        <v>1</v>
      </c>
      <c r="M88" s="957">
        <f>INSTALAÇÕES!E19</f>
        <v>3555.31</v>
      </c>
      <c r="N88" s="868">
        <f t="shared" si="23"/>
        <v>3555.31</v>
      </c>
      <c r="O88" s="964"/>
      <c r="P88" s="761" t="s">
        <v>2630</v>
      </c>
      <c r="Q88" s="210"/>
      <c r="R88" s="210"/>
      <c r="S88" s="210"/>
    </row>
    <row r="89" spans="1:19" s="209" customFormat="1" ht="13.9" customHeight="1" outlineLevel="1" x14ac:dyDescent="0.2">
      <c r="A89" s="959">
        <f ca="1">IF($H89="UNIDADE CONSTRUTIVA",OFFSET(A89,-1,0)+1,LARGE(A$3:A88,1))</f>
        <v>0</v>
      </c>
      <c r="B89" s="959">
        <f t="shared" ca="1" si="19"/>
        <v>5</v>
      </c>
      <c r="C89" s="959">
        <f t="shared" ca="1" si="20"/>
        <v>1</v>
      </c>
      <c r="D89" s="960">
        <f t="shared" ca="1" si="21"/>
        <v>2</v>
      </c>
      <c r="E89" s="960">
        <f t="shared" ca="1" si="22"/>
        <v>0</v>
      </c>
      <c r="G89" s="754"/>
      <c r="H89" s="755" t="s">
        <v>475</v>
      </c>
      <c r="I89" s="756" t="str">
        <f t="shared" ca="1" si="24"/>
        <v>05.001.002</v>
      </c>
      <c r="J89" s="757" t="s">
        <v>448</v>
      </c>
      <c r="K89" s="758"/>
      <c r="L89" s="957"/>
      <c r="M89" s="957"/>
      <c r="N89" s="868">
        <f t="shared" ca="1" si="23"/>
        <v>6185.58</v>
      </c>
      <c r="O89" s="964"/>
      <c r="P89" s="761"/>
      <c r="Q89" s="210"/>
      <c r="R89" s="210"/>
      <c r="S89" s="210"/>
    </row>
    <row r="90" spans="1:19" s="209" customFormat="1" ht="13.9" customHeight="1" outlineLevel="2" x14ac:dyDescent="0.2">
      <c r="A90" s="959">
        <f ca="1">IF($H90="UNIDADE CONSTRUTIVA",OFFSET(A90,-1,0)+1,LARGE(A$3:A89,1))</f>
        <v>0</v>
      </c>
      <c r="B90" s="959">
        <f t="shared" ca="1" si="19"/>
        <v>5</v>
      </c>
      <c r="C90" s="959">
        <f t="shared" ca="1" si="20"/>
        <v>1</v>
      </c>
      <c r="D90" s="960">
        <f t="shared" ca="1" si="21"/>
        <v>2</v>
      </c>
      <c r="E90" s="960">
        <f t="shared" ca="1" si="22"/>
        <v>1</v>
      </c>
      <c r="G90" s="754"/>
      <c r="H90" s="755" t="s">
        <v>476</v>
      </c>
      <c r="I90" s="756" t="str">
        <f t="shared" ca="1" si="24"/>
        <v>05.001.002.001</v>
      </c>
      <c r="J90" s="757" t="s">
        <v>448</v>
      </c>
      <c r="K90" s="758" t="s">
        <v>419</v>
      </c>
      <c r="L90" s="957">
        <v>1</v>
      </c>
      <c r="M90" s="957">
        <f>INSTALAÇÕES!E20</f>
        <v>6185.58</v>
      </c>
      <c r="N90" s="868">
        <f t="shared" si="23"/>
        <v>6185.58</v>
      </c>
      <c r="O90" s="964"/>
      <c r="P90" s="761" t="s">
        <v>2630</v>
      </c>
      <c r="Q90" s="210"/>
      <c r="R90" s="210"/>
      <c r="S90" s="210"/>
    </row>
    <row r="91" spans="1:19" s="209" customFormat="1" ht="13.9" customHeight="1" outlineLevel="1" x14ac:dyDescent="0.2">
      <c r="A91" s="959">
        <f ca="1">IF($H91="UNIDADE CONSTRUTIVA",OFFSET(A91,-1,0)+1,LARGE(A$3:A90,1))</f>
        <v>0</v>
      </c>
      <c r="B91" s="959">
        <f t="shared" ca="1" si="19"/>
        <v>5</v>
      </c>
      <c r="C91" s="959">
        <f t="shared" ca="1" si="20"/>
        <v>1</v>
      </c>
      <c r="D91" s="960">
        <f t="shared" ca="1" si="21"/>
        <v>3</v>
      </c>
      <c r="E91" s="960">
        <f t="shared" ca="1" si="22"/>
        <v>0</v>
      </c>
      <c r="G91" s="754"/>
      <c r="H91" s="755" t="s">
        <v>475</v>
      </c>
      <c r="I91" s="756" t="str">
        <f t="shared" ca="1" si="24"/>
        <v>05.001.003</v>
      </c>
      <c r="J91" s="757" t="s">
        <v>1290</v>
      </c>
      <c r="K91" s="758"/>
      <c r="L91" s="957"/>
      <c r="M91" s="957"/>
      <c r="N91" s="868">
        <f t="shared" ca="1" si="23"/>
        <v>8407.4350549999999</v>
      </c>
      <c r="O91" s="964"/>
      <c r="P91" s="761"/>
      <c r="Q91" s="210"/>
      <c r="R91" s="210"/>
      <c r="S91" s="210"/>
    </row>
    <row r="92" spans="1:19" s="209" customFormat="1" ht="13.9" customHeight="1" outlineLevel="2" x14ac:dyDescent="0.2">
      <c r="A92" s="959">
        <f ca="1">IF($H92="UNIDADE CONSTRUTIVA",OFFSET(A92,-1,0)+1,LARGE(A$3:A91,1))</f>
        <v>0</v>
      </c>
      <c r="B92" s="959">
        <f t="shared" ca="1" si="19"/>
        <v>5</v>
      </c>
      <c r="C92" s="959">
        <f t="shared" ca="1" si="20"/>
        <v>1</v>
      </c>
      <c r="D92" s="960">
        <f t="shared" ca="1" si="21"/>
        <v>3</v>
      </c>
      <c r="E92" s="960">
        <f t="shared" ca="1" si="22"/>
        <v>1</v>
      </c>
      <c r="G92" s="754"/>
      <c r="H92" s="755" t="s">
        <v>476</v>
      </c>
      <c r="I92" s="756" t="str">
        <f t="shared" ca="1" si="24"/>
        <v>05.001.003.001</v>
      </c>
      <c r="J92" s="757" t="s">
        <v>1290</v>
      </c>
      <c r="K92" s="758" t="s">
        <v>419</v>
      </c>
      <c r="L92" s="957">
        <v>1</v>
      </c>
      <c r="M92" s="957">
        <f>INSTALAÇÕES!E22+INSTALAÇÕES!E21</f>
        <v>8407.4350549999999</v>
      </c>
      <c r="N92" s="868">
        <f t="shared" si="23"/>
        <v>8407.4350549999999</v>
      </c>
      <c r="O92" s="964"/>
      <c r="P92" s="761" t="s">
        <v>2630</v>
      </c>
      <c r="Q92" s="210"/>
      <c r="R92" s="210"/>
      <c r="S92" s="210"/>
    </row>
    <row r="93" spans="1:19" s="209" customFormat="1" ht="13.9" customHeight="1" outlineLevel="1" x14ac:dyDescent="0.2">
      <c r="A93" s="959">
        <f ca="1">IF($H93="UNIDADE CONSTRUTIVA",OFFSET(A93,-1,0)+1,LARGE(A$3:A92,1))</f>
        <v>0</v>
      </c>
      <c r="B93" s="959">
        <f t="shared" ca="1" si="19"/>
        <v>5</v>
      </c>
      <c r="C93" s="959">
        <f t="shared" ca="1" si="20"/>
        <v>1</v>
      </c>
      <c r="D93" s="960">
        <f t="shared" ca="1" si="21"/>
        <v>4</v>
      </c>
      <c r="E93" s="960">
        <f t="shared" ca="1" si="22"/>
        <v>0</v>
      </c>
      <c r="G93" s="754"/>
      <c r="H93" s="755" t="s">
        <v>475</v>
      </c>
      <c r="I93" s="756" t="str">
        <f t="shared" ca="1" si="24"/>
        <v>05.001.004</v>
      </c>
      <c r="J93" s="757" t="s">
        <v>1291</v>
      </c>
      <c r="K93" s="758"/>
      <c r="L93" s="957"/>
      <c r="M93" s="957"/>
      <c r="N93" s="868">
        <f t="shared" ca="1" si="23"/>
        <v>891.01000000000022</v>
      </c>
      <c r="O93" s="964"/>
      <c r="P93" s="761"/>
      <c r="Q93" s="210"/>
      <c r="R93" s="210"/>
      <c r="S93" s="210"/>
    </row>
    <row r="94" spans="1:19" s="209" customFormat="1" ht="13.9" customHeight="1" outlineLevel="2" x14ac:dyDescent="0.2">
      <c r="A94" s="959">
        <f ca="1">IF($H94="UNIDADE CONSTRUTIVA",OFFSET(A94,-1,0)+1,LARGE(A$3:A93,1))</f>
        <v>0</v>
      </c>
      <c r="B94" s="959">
        <f t="shared" ca="1" si="19"/>
        <v>5</v>
      </c>
      <c r="C94" s="959">
        <f t="shared" ca="1" si="20"/>
        <v>1</v>
      </c>
      <c r="D94" s="960">
        <f t="shared" ca="1" si="21"/>
        <v>4</v>
      </c>
      <c r="E94" s="960">
        <f t="shared" ca="1" si="22"/>
        <v>1</v>
      </c>
      <c r="G94" s="754"/>
      <c r="H94" s="755" t="s">
        <v>476</v>
      </c>
      <c r="I94" s="756" t="str">
        <f t="shared" ca="1" si="24"/>
        <v>05.001.004.001</v>
      </c>
      <c r="J94" s="757" t="s">
        <v>1291</v>
      </c>
      <c r="K94" s="758" t="s">
        <v>419</v>
      </c>
      <c r="L94" s="957">
        <v>1</v>
      </c>
      <c r="M94" s="957">
        <f>INSTALAÇÕES!E23</f>
        <v>891.01000000000022</v>
      </c>
      <c r="N94" s="868">
        <f t="shared" si="23"/>
        <v>891.01000000000022</v>
      </c>
      <c r="O94" s="964"/>
      <c r="P94" s="761" t="s">
        <v>2630</v>
      </c>
      <c r="Q94" s="210"/>
      <c r="R94" s="210"/>
      <c r="S94" s="210"/>
    </row>
    <row r="95" spans="1:19" s="209" customFormat="1" ht="13.9" customHeight="1" outlineLevel="1" x14ac:dyDescent="0.2">
      <c r="A95" s="959">
        <f ca="1">IF($H95="UNIDADE CONSTRUTIVA",OFFSET(A95,-1,0)+1,LARGE(A$3:A94,1))</f>
        <v>0</v>
      </c>
      <c r="B95" s="959">
        <f t="shared" ca="1" si="19"/>
        <v>5</v>
      </c>
      <c r="C95" s="959">
        <f t="shared" ca="1" si="20"/>
        <v>1</v>
      </c>
      <c r="D95" s="960">
        <f t="shared" ca="1" si="21"/>
        <v>5</v>
      </c>
      <c r="E95" s="960">
        <f t="shared" ca="1" si="22"/>
        <v>0</v>
      </c>
      <c r="G95" s="754"/>
      <c r="H95" s="755" t="s">
        <v>475</v>
      </c>
      <c r="I95" s="756" t="str">
        <f t="shared" ca="1" si="24"/>
        <v>05.001.005</v>
      </c>
      <c r="J95" s="757" t="s">
        <v>449</v>
      </c>
      <c r="K95" s="758"/>
      <c r="L95" s="957"/>
      <c r="M95" s="957"/>
      <c r="N95" s="868">
        <f t="shared" ca="1" si="23"/>
        <v>15717.41</v>
      </c>
      <c r="O95" s="964"/>
      <c r="P95" s="761"/>
      <c r="Q95" s="210"/>
      <c r="R95" s="210"/>
      <c r="S95" s="210"/>
    </row>
    <row r="96" spans="1:19" s="209" customFormat="1" ht="13.9" customHeight="1" outlineLevel="2" x14ac:dyDescent="0.2">
      <c r="A96" s="959">
        <f ca="1">IF($H96="UNIDADE CONSTRUTIVA",OFFSET(A96,-1,0)+1,LARGE(A$3:A95,1))</f>
        <v>0</v>
      </c>
      <c r="B96" s="959">
        <f t="shared" ca="1" si="19"/>
        <v>5</v>
      </c>
      <c r="C96" s="959">
        <f t="shared" ca="1" si="20"/>
        <v>1</v>
      </c>
      <c r="D96" s="960">
        <f t="shared" ca="1" si="21"/>
        <v>5</v>
      </c>
      <c r="E96" s="960">
        <f t="shared" ca="1" si="22"/>
        <v>1</v>
      </c>
      <c r="G96" s="754"/>
      <c r="H96" s="755" t="s">
        <v>476</v>
      </c>
      <c r="I96" s="756" t="str">
        <f t="shared" ca="1" si="24"/>
        <v>05.001.005.001</v>
      </c>
      <c r="J96" s="757" t="s">
        <v>449</v>
      </c>
      <c r="K96" s="758" t="s">
        <v>419</v>
      </c>
      <c r="L96" s="957">
        <v>1</v>
      </c>
      <c r="M96" s="957">
        <f>INSTALAÇÕES!E24</f>
        <v>15717.41</v>
      </c>
      <c r="N96" s="868">
        <f t="shared" si="23"/>
        <v>15717.41</v>
      </c>
      <c r="O96" s="964"/>
      <c r="P96" s="761" t="s">
        <v>2630</v>
      </c>
      <c r="Q96" s="210"/>
      <c r="R96" s="210"/>
      <c r="S96" s="210"/>
    </row>
    <row r="97" spans="1:19" s="209" customFormat="1" ht="13.9" customHeight="1" outlineLevel="1" x14ac:dyDescent="0.2">
      <c r="A97" s="959">
        <f ca="1">IF($H97="UNIDADE CONSTRUTIVA",OFFSET(A97,-1,0)+1,LARGE(A$3:A96,1))</f>
        <v>0</v>
      </c>
      <c r="B97" s="959">
        <f t="shared" ca="1" si="19"/>
        <v>5</v>
      </c>
      <c r="C97" s="959">
        <f t="shared" ca="1" si="20"/>
        <v>1</v>
      </c>
      <c r="D97" s="960">
        <f t="shared" ca="1" si="21"/>
        <v>6</v>
      </c>
      <c r="E97" s="960">
        <f t="shared" ca="1" si="22"/>
        <v>0</v>
      </c>
      <c r="G97" s="754"/>
      <c r="H97" s="755" t="s">
        <v>475</v>
      </c>
      <c r="I97" s="756" t="str">
        <f t="shared" ca="1" si="24"/>
        <v>05.001.006</v>
      </c>
      <c r="J97" s="757" t="s">
        <v>1292</v>
      </c>
      <c r="K97" s="758"/>
      <c r="L97" s="957"/>
      <c r="M97" s="957"/>
      <c r="N97" s="868">
        <f t="shared" ca="1" si="23"/>
        <v>10955.697999999999</v>
      </c>
      <c r="O97" s="964"/>
      <c r="P97" s="761"/>
      <c r="Q97" s="210"/>
      <c r="R97" s="210"/>
      <c r="S97" s="210"/>
    </row>
    <row r="98" spans="1:19" s="209" customFormat="1" ht="13.9" customHeight="1" outlineLevel="2" x14ac:dyDescent="0.2">
      <c r="A98" s="959">
        <f ca="1">IF($H98="UNIDADE CONSTRUTIVA",OFFSET(A98,-1,0)+1,LARGE(A$3:A97,1))</f>
        <v>0</v>
      </c>
      <c r="B98" s="959">
        <f t="shared" ca="1" si="19"/>
        <v>5</v>
      </c>
      <c r="C98" s="959">
        <f t="shared" ca="1" si="20"/>
        <v>1</v>
      </c>
      <c r="D98" s="960">
        <f t="shared" ca="1" si="21"/>
        <v>6</v>
      </c>
      <c r="E98" s="960">
        <f t="shared" ca="1" si="22"/>
        <v>1</v>
      </c>
      <c r="G98" s="754"/>
      <c r="H98" s="755" t="s">
        <v>476</v>
      </c>
      <c r="I98" s="756" t="str">
        <f t="shared" ca="1" si="24"/>
        <v>05.001.006.001</v>
      </c>
      <c r="J98" s="757" t="s">
        <v>1292</v>
      </c>
      <c r="K98" s="758" t="s">
        <v>419</v>
      </c>
      <c r="L98" s="957">
        <v>1</v>
      </c>
      <c r="M98" s="957">
        <f>INSTALAÇÕES!E25</f>
        <v>10955.697999999999</v>
      </c>
      <c r="N98" s="868">
        <f t="shared" si="23"/>
        <v>10955.697999999999</v>
      </c>
      <c r="O98" s="964"/>
      <c r="P98" s="761" t="s">
        <v>2630</v>
      </c>
      <c r="Q98" s="210"/>
      <c r="R98" s="210"/>
      <c r="S98" s="210"/>
    </row>
    <row r="99" spans="1:19" s="209" customFormat="1" ht="13.9" customHeight="1" outlineLevel="1" x14ac:dyDescent="0.2">
      <c r="A99" s="959">
        <f ca="1">IF($H99="UNIDADE CONSTRUTIVA",OFFSET(A99,-1,0)+1,LARGE(A$3:A98,1))</f>
        <v>0</v>
      </c>
      <c r="B99" s="959">
        <f t="shared" ca="1" si="19"/>
        <v>5</v>
      </c>
      <c r="C99" s="959">
        <f t="shared" ca="1" si="20"/>
        <v>1</v>
      </c>
      <c r="D99" s="960">
        <f t="shared" ca="1" si="21"/>
        <v>7</v>
      </c>
      <c r="E99" s="960">
        <f t="shared" ca="1" si="22"/>
        <v>0</v>
      </c>
      <c r="G99" s="754"/>
      <c r="H99" s="755" t="s">
        <v>475</v>
      </c>
      <c r="I99" s="756" t="str">
        <f t="shared" ca="1" si="24"/>
        <v>05.001.007</v>
      </c>
      <c r="J99" s="757" t="s">
        <v>401</v>
      </c>
      <c r="K99" s="758"/>
      <c r="L99" s="957"/>
      <c r="M99" s="957"/>
      <c r="N99" s="868">
        <f t="shared" ca="1" si="23"/>
        <v>2636.56</v>
      </c>
      <c r="O99" s="964"/>
      <c r="P99" s="761"/>
      <c r="Q99" s="210"/>
      <c r="R99" s="210"/>
      <c r="S99" s="210"/>
    </row>
    <row r="100" spans="1:19" s="209" customFormat="1" ht="13.9" customHeight="1" outlineLevel="2" x14ac:dyDescent="0.2">
      <c r="A100" s="959">
        <f ca="1">IF($H100="UNIDADE CONSTRUTIVA",OFFSET(A100,-1,0)+1,LARGE(A$3:A99,1))</f>
        <v>0</v>
      </c>
      <c r="B100" s="959">
        <f t="shared" ca="1" si="19"/>
        <v>5</v>
      </c>
      <c r="C100" s="959">
        <f t="shared" ca="1" si="20"/>
        <v>1</v>
      </c>
      <c r="D100" s="960">
        <f t="shared" ca="1" si="21"/>
        <v>7</v>
      </c>
      <c r="E100" s="960">
        <f t="shared" ca="1" si="22"/>
        <v>1</v>
      </c>
      <c r="G100" s="754"/>
      <c r="H100" s="755" t="s">
        <v>476</v>
      </c>
      <c r="I100" s="756" t="str">
        <f t="shared" ca="1" si="24"/>
        <v>05.001.007.001</v>
      </c>
      <c r="J100" s="757" t="s">
        <v>742</v>
      </c>
      <c r="K100" s="758" t="s">
        <v>419</v>
      </c>
      <c r="L100" s="957">
        <v>1</v>
      </c>
      <c r="M100" s="957">
        <f>INSTALAÇÕES!E26</f>
        <v>2636.56</v>
      </c>
      <c r="N100" s="868">
        <f t="shared" si="23"/>
        <v>2636.56</v>
      </c>
      <c r="O100" s="964"/>
      <c r="P100" s="761" t="s">
        <v>2630</v>
      </c>
      <c r="Q100" s="210"/>
      <c r="R100" s="210"/>
      <c r="S100" s="210"/>
    </row>
    <row r="101" spans="1:19" s="209" customFormat="1" ht="13.9" customHeight="1" x14ac:dyDescent="0.2">
      <c r="A101" s="959">
        <f ca="1">IF($H101="UNIDADE CONSTRUTIVA",OFFSET(A101,-1,0)+1,LARGE(A$3:A100,1))</f>
        <v>0</v>
      </c>
      <c r="B101" s="959">
        <f t="shared" ca="1" si="19"/>
        <v>6</v>
      </c>
      <c r="C101" s="959">
        <f t="shared" ca="1" si="20"/>
        <v>0</v>
      </c>
      <c r="D101" s="960">
        <f t="shared" ca="1" si="21"/>
        <v>7</v>
      </c>
      <c r="E101" s="960">
        <f t="shared" ca="1" si="22"/>
        <v>1</v>
      </c>
      <c r="F101" s="1132"/>
      <c r="G101" s="754"/>
      <c r="H101" s="755" t="s">
        <v>473</v>
      </c>
      <c r="I101" s="756" t="str">
        <f t="shared" ref="I101:I110" ca="1" si="30"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>06</v>
      </c>
      <c r="J101" s="757" t="s">
        <v>1296</v>
      </c>
      <c r="K101" s="758"/>
      <c r="L101" s="957"/>
      <c r="M101" s="957"/>
      <c r="N101" s="868">
        <f t="shared" ca="1" si="23"/>
        <v>8588.5941999999995</v>
      </c>
      <c r="O101" s="964">
        <f ca="1">N101/'Obra '!E$9</f>
        <v>26.06</v>
      </c>
      <c r="P101" s="761"/>
      <c r="Q101" s="965"/>
      <c r="R101" s="965"/>
      <c r="S101" s="210"/>
    </row>
    <row r="102" spans="1:19" s="209" customFormat="1" ht="13.9" customHeight="1" outlineLevel="1" x14ac:dyDescent="0.2">
      <c r="A102" s="959">
        <f ca="1">IF($H102="UNIDADE CONSTRUTIVA",OFFSET(A102,-1,0)+1,LARGE(A$3:A101,1))</f>
        <v>0</v>
      </c>
      <c r="B102" s="959">
        <f t="shared" ca="1" si="19"/>
        <v>6</v>
      </c>
      <c r="C102" s="959">
        <f t="shared" ca="1" si="20"/>
        <v>1</v>
      </c>
      <c r="D102" s="960">
        <f t="shared" ca="1" si="21"/>
        <v>0</v>
      </c>
      <c r="E102" s="960">
        <f t="shared" ca="1" si="22"/>
        <v>1</v>
      </c>
      <c r="G102" s="754"/>
      <c r="H102" s="755" t="s">
        <v>474</v>
      </c>
      <c r="I102" s="756" t="str">
        <f t="shared" ca="1" si="30"/>
        <v>06.001</v>
      </c>
      <c r="J102" s="757" t="s">
        <v>1296</v>
      </c>
      <c r="K102" s="758"/>
      <c r="L102" s="957"/>
      <c r="M102" s="957"/>
      <c r="N102" s="868">
        <f t="shared" ca="1" si="23"/>
        <v>8588.5941999999995</v>
      </c>
      <c r="O102" s="964"/>
      <c r="P102" s="761"/>
      <c r="Q102" s="210"/>
      <c r="R102" s="210"/>
      <c r="S102" s="210"/>
    </row>
    <row r="103" spans="1:19" s="209" customFormat="1" ht="13.9" customHeight="1" outlineLevel="1" x14ac:dyDescent="0.2">
      <c r="A103" s="959">
        <f ca="1">IF($H103="UNIDADE CONSTRUTIVA",OFFSET(A103,-1,0)+1,LARGE(A$3:A102,1))</f>
        <v>0</v>
      </c>
      <c r="B103" s="959">
        <f t="shared" ca="1" si="19"/>
        <v>6</v>
      </c>
      <c r="C103" s="959">
        <f t="shared" ca="1" si="20"/>
        <v>1</v>
      </c>
      <c r="D103" s="960">
        <f t="shared" ca="1" si="21"/>
        <v>1</v>
      </c>
      <c r="E103" s="960">
        <f t="shared" ca="1" si="22"/>
        <v>0</v>
      </c>
      <c r="G103" s="754"/>
      <c r="H103" s="755" t="s">
        <v>475</v>
      </c>
      <c r="I103" s="756" t="str">
        <f t="shared" ca="1" si="30"/>
        <v>06.001.001</v>
      </c>
      <c r="J103" s="757" t="s">
        <v>886</v>
      </c>
      <c r="K103" s="758"/>
      <c r="L103" s="957"/>
      <c r="M103" s="957"/>
      <c r="N103" s="868">
        <f t="shared" ca="1" si="23"/>
        <v>6940.7441999999992</v>
      </c>
      <c r="O103" s="964"/>
      <c r="P103" s="761"/>
      <c r="Q103" s="210"/>
      <c r="R103" s="210"/>
      <c r="S103" s="210"/>
    </row>
    <row r="104" spans="1:19" s="209" customFormat="1" ht="13.9" customHeight="1" outlineLevel="2" x14ac:dyDescent="0.2">
      <c r="A104" s="959">
        <f ca="1">IF($H104="UNIDADE CONSTRUTIVA",OFFSET(A104,-1,0)+1,LARGE(A$3:A103,1))</f>
        <v>0</v>
      </c>
      <c r="B104" s="959">
        <f t="shared" ca="1" si="19"/>
        <v>6</v>
      </c>
      <c r="C104" s="959">
        <f t="shared" ca="1" si="20"/>
        <v>1</v>
      </c>
      <c r="D104" s="960">
        <f t="shared" ca="1" si="21"/>
        <v>1</v>
      </c>
      <c r="E104" s="960">
        <f t="shared" ca="1" si="22"/>
        <v>1</v>
      </c>
      <c r="G104" s="754"/>
      <c r="H104" s="755" t="s">
        <v>476</v>
      </c>
      <c r="I104" s="756" t="str">
        <f t="shared" ca="1" si="30"/>
        <v>06.001.001.001</v>
      </c>
      <c r="J104" s="757" t="s">
        <v>1356</v>
      </c>
      <c r="K104" s="758" t="s">
        <v>419</v>
      </c>
      <c r="L104" s="957">
        <v>1</v>
      </c>
      <c r="M104" s="957">
        <f>INSTALAÇÕES!E36</f>
        <v>6940.7441999999992</v>
      </c>
      <c r="N104" s="868">
        <f t="shared" si="23"/>
        <v>6940.7441999999992</v>
      </c>
      <c r="O104" s="964"/>
      <c r="P104" s="761" t="s">
        <v>2630</v>
      </c>
      <c r="Q104" s="210"/>
      <c r="R104" s="210"/>
      <c r="S104" s="210"/>
    </row>
    <row r="105" spans="1:19" s="209" customFormat="1" ht="13.9" customHeight="1" outlineLevel="1" x14ac:dyDescent="0.2">
      <c r="A105" s="959">
        <f ca="1">IF($H105="UNIDADE CONSTRUTIVA",OFFSET(A105,-1,0)+1,LARGE(A$3:A104,1))</f>
        <v>0</v>
      </c>
      <c r="B105" s="959">
        <f t="shared" ca="1" si="19"/>
        <v>6</v>
      </c>
      <c r="C105" s="959">
        <f t="shared" ca="1" si="20"/>
        <v>1</v>
      </c>
      <c r="D105" s="960">
        <f t="shared" ca="1" si="21"/>
        <v>2</v>
      </c>
      <c r="E105" s="960">
        <f t="shared" ca="1" si="22"/>
        <v>0</v>
      </c>
      <c r="G105" s="754"/>
      <c r="H105" s="755" t="s">
        <v>475</v>
      </c>
      <c r="I105" s="756" t="str">
        <f t="shared" ca="1" si="30"/>
        <v>06.001.002</v>
      </c>
      <c r="J105" s="757" t="s">
        <v>401</v>
      </c>
      <c r="K105" s="758"/>
      <c r="L105" s="957"/>
      <c r="M105" s="957"/>
      <c r="N105" s="868">
        <f t="shared" ca="1" si="23"/>
        <v>1647.85</v>
      </c>
      <c r="O105" s="964"/>
      <c r="P105" s="761"/>
      <c r="Q105" s="210"/>
      <c r="R105" s="210"/>
      <c r="S105" s="210"/>
    </row>
    <row r="106" spans="1:19" s="209" customFormat="1" ht="13.9" customHeight="1" outlineLevel="2" x14ac:dyDescent="0.2">
      <c r="A106" s="959">
        <f ca="1">IF($H106="UNIDADE CONSTRUTIVA",OFFSET(A106,-1,0)+1,LARGE(A$3:A105,1))</f>
        <v>0</v>
      </c>
      <c r="B106" s="959">
        <f t="shared" ca="1" si="19"/>
        <v>6</v>
      </c>
      <c r="C106" s="959">
        <f t="shared" ca="1" si="20"/>
        <v>1</v>
      </c>
      <c r="D106" s="960">
        <f t="shared" ca="1" si="21"/>
        <v>2</v>
      </c>
      <c r="E106" s="960">
        <f t="shared" ca="1" si="22"/>
        <v>1</v>
      </c>
      <c r="G106" s="754"/>
      <c r="H106" s="755" t="s">
        <v>476</v>
      </c>
      <c r="I106" s="756" t="str">
        <f t="shared" ca="1" si="30"/>
        <v>06.001.002.001</v>
      </c>
      <c r="J106" s="757" t="s">
        <v>887</v>
      </c>
      <c r="K106" s="758" t="s">
        <v>419</v>
      </c>
      <c r="L106" s="957">
        <v>1</v>
      </c>
      <c r="M106" s="957">
        <f>INSTALAÇÕES!E37</f>
        <v>1647.85</v>
      </c>
      <c r="N106" s="868">
        <f t="shared" si="23"/>
        <v>1647.85</v>
      </c>
      <c r="O106" s="964"/>
      <c r="P106" s="761" t="s">
        <v>2630</v>
      </c>
      <c r="Q106" s="210"/>
      <c r="R106" s="210"/>
      <c r="S106" s="210"/>
    </row>
    <row r="107" spans="1:19" s="209" customFormat="1" ht="13.9" customHeight="1" x14ac:dyDescent="0.2">
      <c r="A107" s="959">
        <f ca="1">IF($H107="UNIDADE CONSTRUTIVA",OFFSET(A107,-1,0)+1,LARGE(A$3:A106,1))</f>
        <v>0</v>
      </c>
      <c r="B107" s="959">
        <f t="shared" ca="1" si="19"/>
        <v>7</v>
      </c>
      <c r="C107" s="959">
        <f t="shared" ca="1" si="20"/>
        <v>0</v>
      </c>
      <c r="D107" s="960">
        <f t="shared" ca="1" si="21"/>
        <v>2</v>
      </c>
      <c r="E107" s="960">
        <f t="shared" ca="1" si="22"/>
        <v>1</v>
      </c>
      <c r="F107" s="1132"/>
      <c r="G107" s="754"/>
      <c r="H107" s="755" t="s">
        <v>473</v>
      </c>
      <c r="I107" s="756" t="str">
        <f t="shared" ca="1" si="30"/>
        <v>07</v>
      </c>
      <c r="J107" s="757" t="s">
        <v>451</v>
      </c>
      <c r="K107" s="758"/>
      <c r="L107" s="957"/>
      <c r="M107" s="957"/>
      <c r="N107" s="868">
        <f t="shared" ca="1" si="23"/>
        <v>11221.223</v>
      </c>
      <c r="O107" s="964">
        <f ca="1">N107/'Obra '!E$9</f>
        <v>34.048071729829779</v>
      </c>
      <c r="P107" s="761"/>
      <c r="Q107" s="965"/>
      <c r="R107" s="965"/>
      <c r="S107" s="210"/>
    </row>
    <row r="108" spans="1:19" s="209" customFormat="1" ht="13.9" customHeight="1" outlineLevel="1" x14ac:dyDescent="0.2">
      <c r="A108" s="959">
        <f ca="1">IF($H108="UNIDADE CONSTRUTIVA",OFFSET(A108,-1,0)+1,LARGE(A$3:A107,1))</f>
        <v>0</v>
      </c>
      <c r="B108" s="959">
        <f t="shared" ca="1" si="19"/>
        <v>7</v>
      </c>
      <c r="C108" s="959">
        <f t="shared" ca="1" si="20"/>
        <v>1</v>
      </c>
      <c r="D108" s="960">
        <f t="shared" ca="1" si="21"/>
        <v>0</v>
      </c>
      <c r="E108" s="960">
        <f t="shared" ca="1" si="22"/>
        <v>1</v>
      </c>
      <c r="G108" s="754"/>
      <c r="H108" s="755" t="s">
        <v>474</v>
      </c>
      <c r="I108" s="756" t="str">
        <f t="shared" ca="1" si="30"/>
        <v>07.001</v>
      </c>
      <c r="J108" s="757" t="s">
        <v>451</v>
      </c>
      <c r="K108" s="758"/>
      <c r="L108" s="957"/>
      <c r="M108" s="957"/>
      <c r="N108" s="868">
        <f t="shared" ca="1" si="23"/>
        <v>11221.223</v>
      </c>
      <c r="O108" s="964"/>
      <c r="P108" s="761"/>
      <c r="Q108" s="210"/>
      <c r="R108" s="210"/>
      <c r="S108" s="210"/>
    </row>
    <row r="109" spans="1:19" s="209" customFormat="1" ht="13.9" customHeight="1" outlineLevel="1" x14ac:dyDescent="0.2">
      <c r="A109" s="959">
        <f ca="1">IF($H109="UNIDADE CONSTRUTIVA",OFFSET(A109,-1,0)+1,LARGE(A$3:A108,1))</f>
        <v>0</v>
      </c>
      <c r="B109" s="959">
        <f t="shared" ca="1" si="19"/>
        <v>7</v>
      </c>
      <c r="C109" s="959">
        <f t="shared" ca="1" si="20"/>
        <v>1</v>
      </c>
      <c r="D109" s="960">
        <f t="shared" ca="1" si="21"/>
        <v>1</v>
      </c>
      <c r="E109" s="960">
        <f t="shared" ca="1" si="22"/>
        <v>0</v>
      </c>
      <c r="G109" s="754"/>
      <c r="H109" s="755" t="s">
        <v>475</v>
      </c>
      <c r="I109" s="756" t="str">
        <f t="shared" ca="1" si="30"/>
        <v>07.001.001</v>
      </c>
      <c r="J109" s="757" t="s">
        <v>452</v>
      </c>
      <c r="K109" s="758"/>
      <c r="L109" s="957"/>
      <c r="M109" s="957"/>
      <c r="N109" s="868">
        <f t="shared" ca="1" si="23"/>
        <v>9600</v>
      </c>
      <c r="O109" s="964"/>
      <c r="P109" s="761"/>
      <c r="Q109" s="210"/>
      <c r="R109" s="210"/>
      <c r="S109" s="210"/>
    </row>
    <row r="110" spans="1:19" s="209" customFormat="1" ht="13.9" customHeight="1" outlineLevel="2" x14ac:dyDescent="0.2">
      <c r="A110" s="959">
        <f ca="1">IF($H110="UNIDADE CONSTRUTIVA",OFFSET(A110,-1,0)+1,LARGE(A$3:A109,1))</f>
        <v>0</v>
      </c>
      <c r="B110" s="959">
        <f t="shared" ca="1" si="19"/>
        <v>7</v>
      </c>
      <c r="C110" s="959">
        <f t="shared" ca="1" si="20"/>
        <v>1</v>
      </c>
      <c r="D110" s="960">
        <f t="shared" ca="1" si="21"/>
        <v>1</v>
      </c>
      <c r="E110" s="960">
        <f t="shared" ca="1" si="22"/>
        <v>1</v>
      </c>
      <c r="G110" s="754"/>
      <c r="H110" s="755" t="s">
        <v>476</v>
      </c>
      <c r="I110" s="756" t="str">
        <f t="shared" ca="1" si="30"/>
        <v>07.001.001.001</v>
      </c>
      <c r="J110" s="757" t="s">
        <v>764</v>
      </c>
      <c r="K110" s="758" t="s">
        <v>2</v>
      </c>
      <c r="L110" s="957">
        <f>INSTALAÇÕES!C39</f>
        <v>8</v>
      </c>
      <c r="M110" s="957">
        <f>INSTALAÇÕES!D39</f>
        <v>1200</v>
      </c>
      <c r="N110" s="868">
        <f t="shared" si="23"/>
        <v>9600</v>
      </c>
      <c r="O110" s="964" t="s">
        <v>2548</v>
      </c>
      <c r="P110" s="761" t="s">
        <v>2630</v>
      </c>
      <c r="Q110" s="210"/>
      <c r="R110" s="210"/>
      <c r="S110" s="210"/>
    </row>
    <row r="111" spans="1:19" s="209" customFormat="1" ht="13.9" customHeight="1" outlineLevel="1" x14ac:dyDescent="0.2">
      <c r="A111" s="959">
        <f ca="1">IF($H111="UNIDADE CONSTRUTIVA",OFFSET(A111,-1,0)+1,LARGE(A$3:A110,1))</f>
        <v>0</v>
      </c>
      <c r="B111" s="959">
        <f t="shared" ref="B111:B112" ca="1" si="31">IF(H111="UNIDADE CONSTRUTIVA",0,IF(H111="CÉLULA CONSTRUTIVA",OFFSET(B111,-1,0)+1,OFFSET(B111,-1,0)))</f>
        <v>7</v>
      </c>
      <c r="C111" s="959">
        <f t="shared" ref="C111:C112" ca="1" si="32">IF(H111="CÉLULA CONSTRUTIVA",0,IF(H111="ETAPA",OFFSET(C111,-1,0)+1,OFFSET(C111,-1,0)))</f>
        <v>1</v>
      </c>
      <c r="D111" s="960">
        <f t="shared" ref="D111:D112" ca="1" si="33">IF(H111="ETAPA",0,IF(H111="SUBETAPA",OFFSET(D111,-1,0)+1,OFFSET(D111,-1,0)))</f>
        <v>2</v>
      </c>
      <c r="E111" s="960">
        <f t="shared" ref="E111:E112" ca="1" si="34">IF(H111="Subetapa",0,IF(H111="serviço",OFFSET(E111,-1,0)+1,OFFSET(E111,-1,0)))</f>
        <v>0</v>
      </c>
      <c r="G111" s="754"/>
      <c r="H111" s="755" t="s">
        <v>475</v>
      </c>
      <c r="I111" s="756" t="str">
        <f t="shared" ref="I111:I112" ca="1" si="35"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>07.001.002</v>
      </c>
      <c r="J111" s="757" t="s">
        <v>2631</v>
      </c>
      <c r="K111" s="758"/>
      <c r="L111" s="957"/>
      <c r="M111" s="957"/>
      <c r="N111" s="868">
        <f t="shared" ca="1" si="23"/>
        <v>1621.223</v>
      </c>
      <c r="O111" s="964"/>
      <c r="P111" s="761"/>
      <c r="Q111" s="210"/>
      <c r="R111" s="210"/>
      <c r="S111" s="210"/>
    </row>
    <row r="112" spans="1:19" s="209" customFormat="1" ht="13.9" customHeight="1" outlineLevel="2" x14ac:dyDescent="0.2">
      <c r="A112" s="959">
        <f ca="1">IF($H112="UNIDADE CONSTRUTIVA",OFFSET(A112,-1,0)+1,LARGE(A$3:A111,1))</f>
        <v>0</v>
      </c>
      <c r="B112" s="959">
        <f t="shared" ca="1" si="31"/>
        <v>7</v>
      </c>
      <c r="C112" s="959">
        <f t="shared" ca="1" si="32"/>
        <v>1</v>
      </c>
      <c r="D112" s="960">
        <f t="shared" ca="1" si="33"/>
        <v>2</v>
      </c>
      <c r="E112" s="960">
        <f t="shared" ca="1" si="34"/>
        <v>1</v>
      </c>
      <c r="G112" s="754"/>
      <c r="H112" s="755" t="s">
        <v>476</v>
      </c>
      <c r="I112" s="756" t="str">
        <f t="shared" ca="1" si="35"/>
        <v>07.001.002.001</v>
      </c>
      <c r="J112" s="757" t="s">
        <v>2632</v>
      </c>
      <c r="K112" s="758" t="s">
        <v>2</v>
      </c>
      <c r="L112" s="957">
        <f>INSTALAÇÕES!C40</f>
        <v>1</v>
      </c>
      <c r="M112" s="957">
        <f>INSTALAÇÕES!D40</f>
        <v>1621.223</v>
      </c>
      <c r="N112" s="868">
        <f t="shared" si="23"/>
        <v>1621.223</v>
      </c>
      <c r="O112" s="964" t="s">
        <v>2548</v>
      </c>
      <c r="P112" s="761" t="s">
        <v>2630</v>
      </c>
      <c r="Q112" s="210"/>
      <c r="R112" s="210"/>
      <c r="S112" s="210"/>
    </row>
    <row r="113" spans="1:20" s="209" customFormat="1" ht="13.9" customHeight="1" x14ac:dyDescent="0.2">
      <c r="A113" s="959">
        <f ca="1">IF($H113="UNIDADE CONSTRUTIVA",OFFSET(A113,-1,0)+1,LARGE(A$3:A110,1))</f>
        <v>0</v>
      </c>
      <c r="B113" s="959">
        <f t="shared" ca="1" si="19"/>
        <v>8</v>
      </c>
      <c r="C113" s="959">
        <f t="shared" ca="1" si="20"/>
        <v>0</v>
      </c>
      <c r="D113" s="960">
        <f t="shared" ca="1" si="21"/>
        <v>2</v>
      </c>
      <c r="E113" s="960">
        <f t="shared" ca="1" si="22"/>
        <v>1</v>
      </c>
      <c r="F113" s="1132"/>
      <c r="G113" s="754"/>
      <c r="H113" s="755" t="s">
        <v>473</v>
      </c>
      <c r="I113" s="756" t="str">
        <f t="shared" ref="I113:I118" ca="1" si="36"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>08</v>
      </c>
      <c r="J113" s="757" t="s">
        <v>1293</v>
      </c>
      <c r="K113" s="758"/>
      <c r="L113" s="957"/>
      <c r="M113" s="957"/>
      <c r="N113" s="868">
        <f t="shared" ca="1" si="23"/>
        <v>80151.68611905002</v>
      </c>
      <c r="O113" s="964">
        <f ca="1">N113/'Obra '!E$9</f>
        <v>243.20079533649914</v>
      </c>
      <c r="P113" s="761"/>
      <c r="Q113" s="965"/>
      <c r="R113" s="965"/>
      <c r="S113" s="210"/>
    </row>
    <row r="114" spans="1:20" s="209" customFormat="1" ht="13.9" customHeight="1" outlineLevel="1" x14ac:dyDescent="0.2">
      <c r="A114" s="959">
        <f ca="1">IF($H114="UNIDADE CONSTRUTIVA",OFFSET(A114,-1,0)+1,LARGE(A$3:A113,1))</f>
        <v>0</v>
      </c>
      <c r="B114" s="959">
        <f t="shared" ca="1" si="19"/>
        <v>8</v>
      </c>
      <c r="C114" s="959">
        <f t="shared" ca="1" si="20"/>
        <v>1</v>
      </c>
      <c r="D114" s="960">
        <f t="shared" ca="1" si="21"/>
        <v>0</v>
      </c>
      <c r="E114" s="960">
        <f t="shared" ca="1" si="22"/>
        <v>1</v>
      </c>
      <c r="G114" s="754"/>
      <c r="H114" s="755" t="s">
        <v>474</v>
      </c>
      <c r="I114" s="756" t="str">
        <f t="shared" ca="1" si="36"/>
        <v>08.001</v>
      </c>
      <c r="J114" s="757" t="s">
        <v>1293</v>
      </c>
      <c r="K114" s="758"/>
      <c r="L114" s="957"/>
      <c r="M114" s="957"/>
      <c r="N114" s="868">
        <f t="shared" ca="1" si="23"/>
        <v>80151.68611905002</v>
      </c>
      <c r="O114" s="964"/>
      <c r="P114" s="761"/>
      <c r="Q114" s="210"/>
      <c r="R114" s="210"/>
      <c r="S114" s="210"/>
    </row>
    <row r="115" spans="1:20" s="209" customFormat="1" ht="13.9" customHeight="1" outlineLevel="1" x14ac:dyDescent="0.2">
      <c r="A115" s="959">
        <f ca="1">IF($H115="UNIDADE CONSTRUTIVA",OFFSET(A115,-1,0)+1,LARGE(A$3:A114,1))</f>
        <v>0</v>
      </c>
      <c r="B115" s="959">
        <f t="shared" ca="1" si="19"/>
        <v>8</v>
      </c>
      <c r="C115" s="959">
        <f t="shared" ca="1" si="20"/>
        <v>1</v>
      </c>
      <c r="D115" s="960">
        <f t="shared" ca="1" si="21"/>
        <v>1</v>
      </c>
      <c r="E115" s="960">
        <f t="shared" ca="1" si="22"/>
        <v>0</v>
      </c>
      <c r="G115" s="754"/>
      <c r="H115" s="755" t="s">
        <v>475</v>
      </c>
      <c r="I115" s="756" t="str">
        <f t="shared" ca="1" si="36"/>
        <v>08.001.001</v>
      </c>
      <c r="J115" s="757" t="s">
        <v>1294</v>
      </c>
      <c r="K115" s="758"/>
      <c r="L115" s="957"/>
      <c r="M115" s="957"/>
      <c r="N115" s="868">
        <f t="shared" ca="1" si="23"/>
        <v>13007.114324250002</v>
      </c>
      <c r="O115" s="964"/>
      <c r="P115" s="761"/>
      <c r="Q115" s="210"/>
      <c r="R115" s="210"/>
      <c r="S115" s="210"/>
    </row>
    <row r="116" spans="1:20" s="209" customFormat="1" ht="13.9" customHeight="1" outlineLevel="2" x14ac:dyDescent="0.2">
      <c r="A116" s="959">
        <f ca="1">IF($H116="UNIDADE CONSTRUTIVA",OFFSET(A116,-1,0)+1,LARGE(A$3:A115,1))</f>
        <v>0</v>
      </c>
      <c r="B116" s="959">
        <f t="shared" ca="1" si="19"/>
        <v>8</v>
      </c>
      <c r="C116" s="959">
        <f t="shared" ca="1" si="20"/>
        <v>1</v>
      </c>
      <c r="D116" s="960">
        <f t="shared" ca="1" si="21"/>
        <v>1</v>
      </c>
      <c r="E116" s="960">
        <f t="shared" ca="1" si="22"/>
        <v>1</v>
      </c>
      <c r="G116" s="754"/>
      <c r="H116" s="755" t="s">
        <v>476</v>
      </c>
      <c r="I116" s="756" t="str">
        <f t="shared" ca="1" si="36"/>
        <v>08.001.001.001</v>
      </c>
      <c r="J116" s="971" t="s">
        <v>1763</v>
      </c>
      <c r="K116" s="758" t="s">
        <v>1</v>
      </c>
      <c r="L116" s="957">
        <f>ARQUITETURA!F30</f>
        <v>136.32999999999998</v>
      </c>
      <c r="M116" s="957">
        <v>1.5</v>
      </c>
      <c r="N116" s="868">
        <f t="shared" si="23"/>
        <v>204.49499999999998</v>
      </c>
      <c r="O116" s="964"/>
      <c r="P116" s="761" t="s">
        <v>2630</v>
      </c>
      <c r="Q116" s="880" t="s">
        <v>2605</v>
      </c>
      <c r="R116" s="210"/>
      <c r="S116" s="210"/>
    </row>
    <row r="117" spans="1:20" s="209" customFormat="1" ht="13.9" customHeight="1" outlineLevel="2" x14ac:dyDescent="0.2">
      <c r="A117" s="959">
        <f ca="1">IF($H117="UNIDADE CONSTRUTIVA",OFFSET(A117,-1,0)+1,LARGE(A$3:A116,1))</f>
        <v>0</v>
      </c>
      <c r="B117" s="959">
        <f t="shared" ca="1" si="19"/>
        <v>8</v>
      </c>
      <c r="C117" s="959">
        <f t="shared" ca="1" si="20"/>
        <v>1</v>
      </c>
      <c r="D117" s="960">
        <f t="shared" ca="1" si="21"/>
        <v>1</v>
      </c>
      <c r="E117" s="960">
        <f t="shared" ca="1" si="22"/>
        <v>2</v>
      </c>
      <c r="G117" s="754"/>
      <c r="H117" s="755" t="s">
        <v>476</v>
      </c>
      <c r="I117" s="756" t="str">
        <f t="shared" ca="1" si="36"/>
        <v>08.001.001.002</v>
      </c>
      <c r="J117" s="971" t="s">
        <v>1765</v>
      </c>
      <c r="K117" s="758" t="s">
        <v>1</v>
      </c>
      <c r="L117" s="957">
        <f>ARQUITETURA!F29</f>
        <v>593.66</v>
      </c>
      <c r="M117" s="957">
        <f>_xlfn.XLOOKUP($J117,CPU!$D$1:$D$2521,CPU!$H$1:$H$2521)</f>
        <v>2.016</v>
      </c>
      <c r="N117" s="868">
        <f t="shared" si="23"/>
        <v>1196.8185599999999</v>
      </c>
      <c r="O117" s="964"/>
      <c r="P117" s="761" t="s">
        <v>2630</v>
      </c>
      <c r="Q117" s="880" t="s">
        <v>2605</v>
      </c>
      <c r="R117" s="210"/>
      <c r="S117" s="210"/>
    </row>
    <row r="118" spans="1:20" s="209" customFormat="1" ht="13.9" customHeight="1" outlineLevel="2" x14ac:dyDescent="0.2">
      <c r="A118" s="959">
        <f ca="1">IF($H118="UNIDADE CONSTRUTIVA",OFFSET(A118,-1,0)+1,LARGE(A$3:A117,1))</f>
        <v>0</v>
      </c>
      <c r="B118" s="959">
        <f t="shared" ca="1" si="19"/>
        <v>8</v>
      </c>
      <c r="C118" s="959">
        <f t="shared" ca="1" si="20"/>
        <v>1</v>
      </c>
      <c r="D118" s="960">
        <f t="shared" ca="1" si="21"/>
        <v>1</v>
      </c>
      <c r="E118" s="960">
        <f t="shared" ca="1" si="22"/>
        <v>3</v>
      </c>
      <c r="G118" s="754"/>
      <c r="H118" s="755" t="s">
        <v>476</v>
      </c>
      <c r="I118" s="756" t="str">
        <f t="shared" ca="1" si="36"/>
        <v>08.001.001.003</v>
      </c>
      <c r="J118" s="757" t="s">
        <v>890</v>
      </c>
      <c r="K118" s="758" t="s">
        <v>1</v>
      </c>
      <c r="L118" s="957">
        <f>ARQUITETURA!F39</f>
        <v>729.99</v>
      </c>
      <c r="M118" s="957">
        <f>_xlfn.XLOOKUP($J118,CPU!$D$1:$D$2521,CPU!$H$1:$H$2521)</f>
        <v>15.898575000000001</v>
      </c>
      <c r="N118" s="868">
        <f t="shared" si="23"/>
        <v>11605.800764250002</v>
      </c>
      <c r="O118" s="964"/>
      <c r="P118" s="761" t="s">
        <v>2630</v>
      </c>
      <c r="Q118" s="880" t="s">
        <v>2605</v>
      </c>
      <c r="R118" s="972"/>
      <c r="S118" s="210"/>
    </row>
    <row r="119" spans="1:20" s="209" customFormat="1" ht="13.9" customHeight="1" outlineLevel="1" x14ac:dyDescent="0.2">
      <c r="A119" s="959">
        <f ca="1">IF($H119="UNIDADE CONSTRUTIVA",OFFSET(A119,-1,0)+1,LARGE(A$3:A118,1))</f>
        <v>0</v>
      </c>
      <c r="B119" s="959">
        <f t="shared" ca="1" si="19"/>
        <v>8</v>
      </c>
      <c r="C119" s="959">
        <f t="shared" ca="1" si="20"/>
        <v>1</v>
      </c>
      <c r="D119" s="960">
        <f t="shared" ca="1" si="21"/>
        <v>2</v>
      </c>
      <c r="E119" s="960">
        <f t="shared" ca="1" si="22"/>
        <v>0</v>
      </c>
      <c r="G119" s="754"/>
      <c r="H119" s="755" t="s">
        <v>475</v>
      </c>
      <c r="I119" s="756" t="str">
        <f t="shared" ref="I119" ca="1" si="37"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>08.001.002</v>
      </c>
      <c r="J119" s="757" t="s">
        <v>406</v>
      </c>
      <c r="K119" s="758"/>
      <c r="L119" s="957"/>
      <c r="M119" s="957"/>
      <c r="N119" s="868">
        <f t="shared" ca="1" si="23"/>
        <v>11351.639507800001</v>
      </c>
      <c r="O119" s="964"/>
      <c r="P119" s="761"/>
      <c r="Q119" s="210"/>
      <c r="R119" s="210"/>
      <c r="S119" s="210"/>
    </row>
    <row r="120" spans="1:20" s="209" customFormat="1" ht="13.9" customHeight="1" outlineLevel="2" x14ac:dyDescent="0.2">
      <c r="A120" s="959">
        <f ca="1">IF($H120="UNIDADE CONSTRUTIVA",OFFSET(A120,-1,0)+1,LARGE(A$3:A119,1))</f>
        <v>0</v>
      </c>
      <c r="B120" s="959">
        <f t="shared" ca="1" si="19"/>
        <v>8</v>
      </c>
      <c r="C120" s="959">
        <f t="shared" ca="1" si="20"/>
        <v>1</v>
      </c>
      <c r="D120" s="960">
        <f t="shared" ca="1" si="21"/>
        <v>2</v>
      </c>
      <c r="E120" s="960">
        <f t="shared" ca="1" si="22"/>
        <v>1</v>
      </c>
      <c r="G120" s="754"/>
      <c r="H120" s="755" t="s">
        <v>476</v>
      </c>
      <c r="I120" s="756" t="str">
        <f ca="1">IF(H120="Unidade Construtiva",TEXT(A120,"00"),IF(H120="Célula Construtiva",TEXT(B120,"00"),IF(H120="Etapa",CONCATENATE(TEXT(B120,"00"),".",TEXT(C120,"000")),IF(H120="Subetapa",CONCATENATE(TEXT(B120,"00"),".",TEXT(C120,"000"),".",TEXT(D120,"000")),IF(H120="Serviço",CONCATENATE(TEXT(B120,"00"),".",TEXT(C120,"000"),".",TEXT(D120,"000"),".",TEXT(E120,"000")),"")))))</f>
        <v>08.001.002.001</v>
      </c>
      <c r="J120" s="757" t="s">
        <v>1316</v>
      </c>
      <c r="K120" s="758" t="s">
        <v>1</v>
      </c>
      <c r="L120" s="957">
        <f>ARQUITETURA!F137</f>
        <v>44.839999999999996</v>
      </c>
      <c r="M120" s="957">
        <f>_xlfn.XLOOKUP($J120,CPU!$D$1:$D$2521,CPU!$H$1:$H$2521)</f>
        <v>27.906140000000004</v>
      </c>
      <c r="N120" s="868">
        <f t="shared" si="23"/>
        <v>1251.3113176000002</v>
      </c>
      <c r="O120" s="964"/>
      <c r="P120" s="761" t="s">
        <v>2630</v>
      </c>
      <c r="Q120" s="882" t="s">
        <v>2604</v>
      </c>
      <c r="R120" s="210"/>
      <c r="S120" s="210"/>
    </row>
    <row r="121" spans="1:20" s="209" customFormat="1" ht="13.9" customHeight="1" outlineLevel="2" x14ac:dyDescent="0.2">
      <c r="A121" s="959">
        <f ca="1">IF($H121="UNIDADE CONSTRUTIVA",OFFSET(A121,-1,0)+1,LARGE(A$3:A120,1))</f>
        <v>0</v>
      </c>
      <c r="B121" s="959">
        <f t="shared" ca="1" si="19"/>
        <v>8</v>
      </c>
      <c r="C121" s="959">
        <f t="shared" ca="1" si="20"/>
        <v>1</v>
      </c>
      <c r="D121" s="960">
        <f t="shared" ca="1" si="21"/>
        <v>2</v>
      </c>
      <c r="E121" s="960">
        <f t="shared" ca="1" si="22"/>
        <v>2</v>
      </c>
      <c r="G121" s="754"/>
      <c r="H121" s="755" t="s">
        <v>476</v>
      </c>
      <c r="I121" s="756" t="str">
        <f t="shared" ref="I121" ca="1" si="38">IF(H121="Unidade Construtiva",TEXT(A121,"00"),IF(H121="Célula Construtiva",TEXT(B121,"00"),IF(H121="Etapa",CONCATENATE(TEXT(B121,"00"),".",TEXT(C121,"000")),IF(H121="Subetapa",CONCATENATE(TEXT(B121,"00"),".",TEXT(C121,"000"),".",TEXT(D121,"000")),IF(H121="Serviço",CONCATENATE(TEXT(B121,"00"),".",TEXT(C121,"000"),".",TEXT(D121,"000"),".",TEXT(E121,"000")),"")))))</f>
        <v>08.001.002.002</v>
      </c>
      <c r="J121" s="757" t="s">
        <v>1864</v>
      </c>
      <c r="K121" s="758" t="s">
        <v>1</v>
      </c>
      <c r="L121" s="957">
        <f>ARQUITETURA!F133+ARQUITETURA!F135+ARQUITETURA!F130+ARQUITETURA!F131+ARQUITETURA!F129</f>
        <v>294.19</v>
      </c>
      <c r="M121" s="957">
        <f>_xlfn.XLOOKUP($J121,CPU!$D$1:$D$2521,CPU!$H$1:$H$2521)</f>
        <v>21.932279999999999</v>
      </c>
      <c r="N121" s="868">
        <f t="shared" si="23"/>
        <v>6452.2574531999999</v>
      </c>
      <c r="O121" s="964"/>
      <c r="P121" s="761" t="s">
        <v>2630</v>
      </c>
      <c r="Q121" s="882" t="s">
        <v>2604</v>
      </c>
      <c r="R121" s="210"/>
      <c r="S121" s="210"/>
    </row>
    <row r="122" spans="1:20" s="209" customFormat="1" ht="13.9" customHeight="1" outlineLevel="2" x14ac:dyDescent="0.2">
      <c r="A122" s="959">
        <f ca="1">IF($H122="UNIDADE CONSTRUTIVA",OFFSET(A122,-1,0)+1,LARGE(A$3:A121,1))</f>
        <v>0</v>
      </c>
      <c r="B122" s="959">
        <f t="shared" ca="1" si="19"/>
        <v>8</v>
      </c>
      <c r="C122" s="959">
        <f t="shared" ca="1" si="20"/>
        <v>1</v>
      </c>
      <c r="D122" s="960">
        <f t="shared" ca="1" si="21"/>
        <v>2</v>
      </c>
      <c r="E122" s="960">
        <f t="shared" ca="1" si="22"/>
        <v>3</v>
      </c>
      <c r="G122" s="754"/>
      <c r="H122" s="755" t="s">
        <v>476</v>
      </c>
      <c r="I122" s="756" t="str">
        <f t="shared" ref="I122" ca="1" si="39"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>08.001.002.003</v>
      </c>
      <c r="J122" s="757" t="s">
        <v>1865</v>
      </c>
      <c r="K122" s="758" t="s">
        <v>1</v>
      </c>
      <c r="L122" s="957">
        <f>ARQUITETURA!F136</f>
        <v>134.72999999999999</v>
      </c>
      <c r="M122" s="957">
        <f>_xlfn.XLOOKUP($J122,CPU!$D$1:$D$2521,CPU!$H$1:$H$2521)</f>
        <v>27.076900000000002</v>
      </c>
      <c r="N122" s="868">
        <f t="shared" si="23"/>
        <v>3648.070737</v>
      </c>
      <c r="O122" s="964"/>
      <c r="P122" s="761" t="s">
        <v>2630</v>
      </c>
      <c r="Q122" s="882" t="s">
        <v>2604</v>
      </c>
      <c r="R122" s="210"/>
      <c r="S122" s="210"/>
    </row>
    <row r="123" spans="1:20" s="209" customFormat="1" ht="13.9" customHeight="1" outlineLevel="1" x14ac:dyDescent="0.2">
      <c r="A123" s="959">
        <f ca="1">IF($H123="UNIDADE CONSTRUTIVA",OFFSET(A123,-1,0)+1,LARGE(A$3:A122,1))</f>
        <v>0</v>
      </c>
      <c r="B123" s="959">
        <f t="shared" ca="1" si="19"/>
        <v>8</v>
      </c>
      <c r="C123" s="959">
        <f ca="1">IF(H123="CÉLULA CONSTRUTIVA",0,IF(H123="ETAPA",OFFSET(C123,-1,0)+1,OFFSET(C123,-1,0)))</f>
        <v>1</v>
      </c>
      <c r="D123" s="960">
        <f ca="1">IF(H123="ETAPA",0,IF(H123="SUBETAPA",OFFSET(D123,-1,0)+1,OFFSET(D123,-1,0)))</f>
        <v>3</v>
      </c>
      <c r="E123" s="960">
        <f ca="1">IF(H123="Subetapa",0,IF(H123="serviço",OFFSET(E123,-1,0)+1,OFFSET(E123,-1,0)))</f>
        <v>0</v>
      </c>
      <c r="G123" s="754"/>
      <c r="H123" s="755" t="s">
        <v>475</v>
      </c>
      <c r="I123" s="756" t="str">
        <f ca="1">IF(H123="Unidade Construtiva",TEXT(A123,"00"),IF(H123="Célula Construtiva",TEXT(B123,"00"),IF(H123="Etapa",CONCATENATE(TEXT(B123,"00"),".",TEXT(C123,"000")),IF(H123="Subetapa",CONCATENATE(TEXT(B123,"00"),".",TEXT(C123,"000"),".",TEXT(D123,"000")),IF(H123="Serviço",CONCATENATE(TEXT(B123,"00"),".",TEXT(C123,"000"),".",TEXT(D123,"000"),".",TEXT(E123,"000")),"")))))</f>
        <v>08.001.003</v>
      </c>
      <c r="J123" s="757" t="s">
        <v>1295</v>
      </c>
      <c r="K123" s="758"/>
      <c r="L123" s="957"/>
      <c r="M123" s="957"/>
      <c r="N123" s="868">
        <f t="shared" ca="1" si="23"/>
        <v>8820.2922870000002</v>
      </c>
      <c r="O123" s="964"/>
      <c r="P123" s="761"/>
      <c r="Q123" s="210"/>
      <c r="R123" s="210"/>
      <c r="S123" s="210"/>
    </row>
    <row r="124" spans="1:20" s="209" customFormat="1" ht="13.9" customHeight="1" outlineLevel="2" x14ac:dyDescent="0.2">
      <c r="A124" s="959">
        <f ca="1">IF($H124="UNIDADE CONSTRUTIVA",OFFSET(A124,-1,0)+1,LARGE(A$3:A123,1))</f>
        <v>0</v>
      </c>
      <c r="B124" s="959">
        <f t="shared" ca="1" si="19"/>
        <v>8</v>
      </c>
      <c r="C124" s="959">
        <f ca="1">IF(H124="CÉLULA CONSTRUTIVA",0,IF(H124="ETAPA",OFFSET(C124,-1,0)+1,OFFSET(C124,-1,0)))</f>
        <v>1</v>
      </c>
      <c r="D124" s="960">
        <f ca="1">IF(H124="ETAPA",0,IF(H124="SUBETAPA",OFFSET(D124,-1,0)+1,OFFSET(D124,-1,0)))</f>
        <v>3</v>
      </c>
      <c r="E124" s="960">
        <f ca="1">IF(H124="Subetapa",0,IF(H124="serviço",OFFSET(E124,-1,0)+1,OFFSET(E124,-1,0)))</f>
        <v>1</v>
      </c>
      <c r="G124" s="754"/>
      <c r="H124" s="755" t="s">
        <v>476</v>
      </c>
      <c r="I124" s="756" t="str">
        <f ca="1">IF(H124="Unidade Construtiva",TEXT(A124,"00"),IF(H124="Célula Construtiva",TEXT(B124,"00"),IF(H124="Etapa",CONCATENATE(TEXT(B124,"00"),".",TEXT(C124,"000")),IF(H124="Subetapa",CONCATENATE(TEXT(B124,"00"),".",TEXT(C124,"000"),".",TEXT(D124,"000")),IF(H124="Serviço",CONCATENATE(TEXT(B124,"00"),".",TEXT(C124,"000"),".",TEXT(D124,"000"),".",TEXT(E124,"000")),"")))))</f>
        <v>08.001.003.001</v>
      </c>
      <c r="J124" s="757" t="s">
        <v>1281</v>
      </c>
      <c r="K124" s="758" t="s">
        <v>1</v>
      </c>
      <c r="L124" s="957">
        <f>ARQUITETURA!F259</f>
        <v>81.430000000000007</v>
      </c>
      <c r="M124" s="957">
        <f>_xlfn.XLOOKUP($J124,CPU!$D$1:$D$2521,CPU!$H$1:$H$2521)</f>
        <v>7.0658999999999992</v>
      </c>
      <c r="N124" s="868">
        <f t="shared" si="23"/>
        <v>575.37623699999995</v>
      </c>
      <c r="O124" s="964"/>
      <c r="P124" s="761" t="s">
        <v>2630</v>
      </c>
      <c r="Q124" s="880" t="s">
        <v>632</v>
      </c>
      <c r="S124" s="210"/>
      <c r="T124" s="969"/>
    </row>
    <row r="125" spans="1:20" s="209" customFormat="1" ht="13.9" customHeight="1" outlineLevel="2" x14ac:dyDescent="0.2">
      <c r="A125" s="959">
        <f ca="1">IF($H125="UNIDADE CONSTRUTIVA",OFFSET(A125,-1,0)+1,LARGE(A$3:A124,1))</f>
        <v>0</v>
      </c>
      <c r="B125" s="959">
        <f t="shared" ca="1" si="19"/>
        <v>8</v>
      </c>
      <c r="C125" s="959">
        <f ca="1">IF(H125="CÉLULA CONSTRUTIVA",0,IF(H125="ETAPA",OFFSET(C125,-1,0)+1,OFFSET(C125,-1,0)))</f>
        <v>1</v>
      </c>
      <c r="D125" s="960">
        <f ca="1">IF(H125="ETAPA",0,IF(H125="SUBETAPA",OFFSET(D125,-1,0)+1,OFFSET(D125,-1,0)))</f>
        <v>3</v>
      </c>
      <c r="E125" s="960">
        <f ca="1">IF(H125="Subetapa",0,IF(H125="serviço",OFFSET(E125,-1,0)+1,OFFSET(E125,-1,0)))</f>
        <v>2</v>
      </c>
      <c r="G125" s="754"/>
      <c r="H125" s="755" t="s">
        <v>476</v>
      </c>
      <c r="I125" s="756" t="str">
        <f ca="1">IF(H125="Unidade Construtiva",TEXT(A125,"00"),IF(H125="Célula Construtiva",TEXT(B125,"00"),IF(H125="Etapa",CONCATENATE(TEXT(B125,"00"),".",TEXT(C125,"000")),IF(H125="Subetapa",CONCATENATE(TEXT(B125,"00"),".",TEXT(C125,"000"),".",TEXT(D125,"000")),IF(H125="Serviço",CONCATENATE(TEXT(B125,"00"),".",TEXT(C125,"000"),".",TEXT(D125,"000"),".",TEXT(E125,"000")),"")))))</f>
        <v>08.001.003.002</v>
      </c>
      <c r="J125" s="757" t="s">
        <v>1287</v>
      </c>
      <c r="K125" s="758" t="s">
        <v>1</v>
      </c>
      <c r="L125" s="957">
        <f>ARQUITETURA!F258</f>
        <v>304.5</v>
      </c>
      <c r="M125" s="957">
        <f>M122</f>
        <v>27.076900000000002</v>
      </c>
      <c r="N125" s="868">
        <f t="shared" si="23"/>
        <v>8244.9160499999998</v>
      </c>
      <c r="O125" s="964"/>
      <c r="P125" s="761" t="s">
        <v>2630</v>
      </c>
      <c r="Q125" s="880" t="s">
        <v>632</v>
      </c>
      <c r="S125" s="210"/>
      <c r="T125" s="969"/>
    </row>
    <row r="126" spans="1:20" s="209" customFormat="1" ht="13.9" customHeight="1" outlineLevel="1" x14ac:dyDescent="0.2">
      <c r="A126" s="959">
        <f ca="1">IF($H126="UNIDADE CONSTRUTIVA",OFFSET(A126,-1,0)+1,LARGE(A$3:A125,1))</f>
        <v>0</v>
      </c>
      <c r="B126" s="959">
        <f t="shared" ca="1" si="19"/>
        <v>8</v>
      </c>
      <c r="C126" s="959">
        <f t="shared" ca="1" si="20"/>
        <v>1</v>
      </c>
      <c r="D126" s="960">
        <f t="shared" ca="1" si="21"/>
        <v>4</v>
      </c>
      <c r="E126" s="960">
        <f t="shared" ca="1" si="22"/>
        <v>0</v>
      </c>
      <c r="G126" s="754"/>
      <c r="H126" s="755" t="s">
        <v>475</v>
      </c>
      <c r="I126" s="756" t="str">
        <f t="shared" ref="I126:I128" ca="1" si="40">IF(H126="Unidade Construtiva",TEXT(A126,"00"),IF(H126="Célula Construtiva",TEXT(B126,"00"),IF(H126="Etapa",CONCATENATE(TEXT(B126,"00"),".",TEXT(C126,"000")),IF(H126="Subetapa",CONCATENATE(TEXT(B126,"00"),".",TEXT(C126,"000"),".",TEXT(D126,"000")),IF(H126="Serviço",CONCATENATE(TEXT(B126,"00"),".",TEXT(C126,"000"),".",TEXT(D126,"000"),".",TEXT(E126,"000")),"")))))</f>
        <v>08.001.004</v>
      </c>
      <c r="J126" s="757" t="s">
        <v>401</v>
      </c>
      <c r="K126" s="758"/>
      <c r="L126" s="957"/>
      <c r="M126" s="957"/>
      <c r="N126" s="868">
        <f t="shared" ca="1" si="23"/>
        <v>46972.639999999999</v>
      </c>
      <c r="O126" s="964"/>
      <c r="P126" s="761"/>
      <c r="Q126" s="210"/>
      <c r="R126" s="210"/>
      <c r="S126" s="210"/>
    </row>
    <row r="127" spans="1:20" s="209" customFormat="1" ht="13.9" customHeight="1" outlineLevel="1" x14ac:dyDescent="0.2">
      <c r="A127" s="959">
        <f ca="1">IF($H127="UNIDADE CONSTRUTIVA",OFFSET(A127,-1,0)+1,LARGE(A$3:A126,1))</f>
        <v>0</v>
      </c>
      <c r="B127" s="959">
        <f t="shared" ca="1" si="19"/>
        <v>8</v>
      </c>
      <c r="C127" s="959">
        <f t="shared" ca="1" si="20"/>
        <v>1</v>
      </c>
      <c r="D127" s="960">
        <f t="shared" ca="1" si="21"/>
        <v>4</v>
      </c>
      <c r="E127" s="960">
        <f t="shared" ca="1" si="22"/>
        <v>1</v>
      </c>
      <c r="G127" s="754"/>
      <c r="H127" s="755" t="s">
        <v>476</v>
      </c>
      <c r="I127" s="756" t="str">
        <f t="shared" ref="I127" ca="1" si="41">IF(H127="Unidade Construtiva",TEXT(A127,"00"),IF(H127="Célula Construtiva",TEXT(B127,"00"),IF(H127="Etapa",CONCATENATE(TEXT(B127,"00"),".",TEXT(C127,"000")),IF(H127="Subetapa",CONCATENATE(TEXT(B127,"00"),".",TEXT(C127,"000"),".",TEXT(D127,"000")),IF(H127="Serviço",CONCATENATE(TEXT(B127,"00"),".",TEXT(C127,"000"),".",TEXT(D127,"000"),".",TEXT(E127,"000")),"")))))</f>
        <v>08.001.004.001</v>
      </c>
      <c r="J127" s="757" t="s">
        <v>1822</v>
      </c>
      <c r="K127" s="758" t="s">
        <v>1</v>
      </c>
      <c r="L127" s="957">
        <f>L118</f>
        <v>729.99</v>
      </c>
      <c r="M127" s="957">
        <v>28</v>
      </c>
      <c r="N127" s="868">
        <f t="shared" si="23"/>
        <v>20439.72</v>
      </c>
      <c r="O127" s="964"/>
      <c r="P127" s="761" t="s">
        <v>2630</v>
      </c>
      <c r="Q127" s="880" t="s">
        <v>2605</v>
      </c>
      <c r="R127" s="210"/>
      <c r="S127" s="210"/>
    </row>
    <row r="128" spans="1:20" s="209" customFormat="1" ht="13.9" customHeight="1" outlineLevel="1" x14ac:dyDescent="0.2">
      <c r="A128" s="959">
        <f ca="1">IF($H128="UNIDADE CONSTRUTIVA",OFFSET(A128,-1,0)+1,LARGE(A$3:A127,1))</f>
        <v>0</v>
      </c>
      <c r="B128" s="959">
        <f t="shared" ca="1" si="19"/>
        <v>8</v>
      </c>
      <c r="C128" s="959">
        <f t="shared" ca="1" si="20"/>
        <v>1</v>
      </c>
      <c r="D128" s="960">
        <f t="shared" ca="1" si="21"/>
        <v>4</v>
      </c>
      <c r="E128" s="960">
        <f t="shared" ca="1" si="22"/>
        <v>2</v>
      </c>
      <c r="G128" s="754"/>
      <c r="H128" s="755" t="s">
        <v>476</v>
      </c>
      <c r="I128" s="756" t="str">
        <f t="shared" ca="1" si="40"/>
        <v>08.001.004.002</v>
      </c>
      <c r="J128" s="757" t="s">
        <v>1317</v>
      </c>
      <c r="K128" s="758" t="s">
        <v>1</v>
      </c>
      <c r="L128" s="957">
        <f>L120+L121+L122</f>
        <v>473.76</v>
      </c>
      <c r="M128" s="957">
        <v>32</v>
      </c>
      <c r="N128" s="868">
        <f t="shared" si="23"/>
        <v>15160.32</v>
      </c>
      <c r="O128" s="964"/>
      <c r="P128" s="761" t="s">
        <v>2630</v>
      </c>
      <c r="Q128" s="882" t="s">
        <v>2604</v>
      </c>
      <c r="R128" s="210"/>
      <c r="S128" s="210"/>
    </row>
    <row r="129" spans="1:20" s="209" customFormat="1" ht="13.9" customHeight="1" outlineLevel="1" x14ac:dyDescent="0.2">
      <c r="A129" s="959">
        <f ca="1">IF($H129="UNIDADE CONSTRUTIVA",OFFSET(A129,-1,0)+1,LARGE(A$3:A128,1))</f>
        <v>0</v>
      </c>
      <c r="B129" s="959">
        <f t="shared" ca="1" si="19"/>
        <v>8</v>
      </c>
      <c r="C129" s="959">
        <f ca="1">IF(H129="CÉLULA CONSTRUTIVA",0,IF(H129="ETAPA",OFFSET(C129,-1,0)+1,OFFSET(C129,-1,0)))</f>
        <v>1</v>
      </c>
      <c r="D129" s="960">
        <f ca="1">IF(H129="ETAPA",0,IF(H129="SUBETAPA",OFFSET(D129,-1,0)+1,OFFSET(D129,-1,0)))</f>
        <v>4</v>
      </c>
      <c r="E129" s="960">
        <f ca="1">IF(H129="Subetapa",0,IF(H129="serviço",OFFSET(E129,-1,0)+1,OFFSET(E129,-1,0)))</f>
        <v>3</v>
      </c>
      <c r="G129" s="754"/>
      <c r="H129" s="755" t="s">
        <v>476</v>
      </c>
      <c r="I129" s="756" t="str">
        <f ca="1"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>08.001.004.003</v>
      </c>
      <c r="J129" s="757" t="s">
        <v>1754</v>
      </c>
      <c r="K129" s="758" t="s">
        <v>1</v>
      </c>
      <c r="L129" s="957">
        <f>L124</f>
        <v>81.430000000000007</v>
      </c>
      <c r="M129" s="957">
        <f>_xlfn.XLOOKUP($J129,CPU!$D$1:$D$2521,CPU!$H$1:$H$2521)</f>
        <v>20</v>
      </c>
      <c r="N129" s="868">
        <f t="shared" si="23"/>
        <v>1628.6000000000001</v>
      </c>
      <c r="O129" s="964"/>
      <c r="P129" s="761" t="s">
        <v>2630</v>
      </c>
      <c r="Q129" s="880" t="s">
        <v>632</v>
      </c>
      <c r="R129" s="210"/>
      <c r="S129" s="210"/>
    </row>
    <row r="130" spans="1:20" s="209" customFormat="1" ht="13.9" customHeight="1" outlineLevel="1" x14ac:dyDescent="0.2">
      <c r="A130" s="959">
        <f ca="1">IF($H130="UNIDADE CONSTRUTIVA",OFFSET(A130,-1,0)+1,LARGE(A$3:A129,1))</f>
        <v>0</v>
      </c>
      <c r="B130" s="959">
        <f t="shared" ca="1" si="19"/>
        <v>8</v>
      </c>
      <c r="C130" s="959">
        <f ca="1">IF(H130="CÉLULA CONSTRUTIVA",0,IF(H130="ETAPA",OFFSET(C130,-1,0)+1,OFFSET(C130,-1,0)))</f>
        <v>1</v>
      </c>
      <c r="D130" s="960">
        <f ca="1">IF(H130="ETAPA",0,IF(H130="SUBETAPA",OFFSET(D130,-1,0)+1,OFFSET(D130,-1,0)))</f>
        <v>4</v>
      </c>
      <c r="E130" s="960">
        <f ca="1">IF(H130="Subetapa",0,IF(H130="serviço",OFFSET(E130,-1,0)+1,OFFSET(E130,-1,0)))</f>
        <v>4</v>
      </c>
      <c r="G130" s="754"/>
      <c r="H130" s="755" t="s">
        <v>476</v>
      </c>
      <c r="I130" s="756" t="str">
        <f ca="1"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>08.001.004.004</v>
      </c>
      <c r="J130" s="757" t="s">
        <v>1755</v>
      </c>
      <c r="K130" s="758" t="s">
        <v>1</v>
      </c>
      <c r="L130" s="957">
        <f>L125</f>
        <v>304.5</v>
      </c>
      <c r="M130" s="957">
        <v>32</v>
      </c>
      <c r="N130" s="868">
        <f t="shared" si="23"/>
        <v>9744</v>
      </c>
      <c r="O130" s="964"/>
      <c r="P130" s="761" t="s">
        <v>2630</v>
      </c>
      <c r="Q130" s="880" t="s">
        <v>632</v>
      </c>
      <c r="R130" s="210"/>
      <c r="S130" s="210"/>
    </row>
    <row r="131" spans="1:20" s="209" customFormat="1" ht="13.9" customHeight="1" x14ac:dyDescent="0.2">
      <c r="A131" s="959">
        <f ca="1">IF($H131="UNIDADE CONSTRUTIVA",OFFSET(A131,-1,0)+1,LARGE(A$3:A130,1))</f>
        <v>0</v>
      </c>
      <c r="B131" s="959">
        <f t="shared" ca="1" si="19"/>
        <v>9</v>
      </c>
      <c r="C131" s="959">
        <f t="shared" ca="1" si="20"/>
        <v>0</v>
      </c>
      <c r="D131" s="960">
        <f t="shared" ca="1" si="21"/>
        <v>4</v>
      </c>
      <c r="E131" s="960">
        <f t="shared" ca="1" si="22"/>
        <v>4</v>
      </c>
      <c r="F131" s="1132"/>
      <c r="G131" s="754"/>
      <c r="H131" s="755" t="s">
        <v>473</v>
      </c>
      <c r="I131" s="756" t="str">
        <f ca="1"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>09</v>
      </c>
      <c r="J131" s="757" t="s">
        <v>479</v>
      </c>
      <c r="K131" s="758"/>
      <c r="L131" s="957"/>
      <c r="M131" s="957"/>
      <c r="N131" s="868">
        <f t="shared" ca="1" si="23"/>
        <v>70071.757923655285</v>
      </c>
      <c r="O131" s="964">
        <f ca="1">N131/'Obra '!E$9</f>
        <v>212.61570508133411</v>
      </c>
      <c r="P131" s="761"/>
      <c r="Q131" s="880" t="s">
        <v>632</v>
      </c>
      <c r="R131" s="965"/>
      <c r="S131" s="210"/>
      <c r="T131" s="969"/>
    </row>
    <row r="132" spans="1:20" s="209" customFormat="1" ht="13.9" customHeight="1" outlineLevel="1" x14ac:dyDescent="0.2">
      <c r="A132" s="959">
        <f ca="1">IF($H132="UNIDADE CONSTRUTIVA",OFFSET(A132,-1,0)+1,LARGE(A$3:A131,1))</f>
        <v>0</v>
      </c>
      <c r="B132" s="959">
        <f t="shared" ca="1" si="19"/>
        <v>9</v>
      </c>
      <c r="C132" s="959">
        <f t="shared" ca="1" si="20"/>
        <v>1</v>
      </c>
      <c r="D132" s="960">
        <f t="shared" ca="1" si="21"/>
        <v>0</v>
      </c>
      <c r="E132" s="960">
        <f t="shared" ca="1" si="22"/>
        <v>4</v>
      </c>
      <c r="G132" s="754"/>
      <c r="H132" s="755" t="s">
        <v>474</v>
      </c>
      <c r="I132" s="756" t="str">
        <f t="shared" ref="I132:I155" ca="1" si="42">IF(H132="Unidade Construtiva",TEXT(A132,"00"),IF(H132="Célula Construtiva",TEXT(B132,"00"),IF(H132="Etapa",CONCATENATE(TEXT(B132,"00"),".",TEXT(C132,"000")),IF(H132="Subetapa",CONCATENATE(TEXT(B132,"00"),".",TEXT(C132,"000"),".",TEXT(D132,"000")),IF(H132="Serviço",CONCATENATE(TEXT(B132,"00"),".",TEXT(C132,"000"),".",TEXT(D132,"000"),".",TEXT(E132,"000")),"")))))</f>
        <v>09.001</v>
      </c>
      <c r="J132" s="757" t="s">
        <v>479</v>
      </c>
      <c r="K132" s="758"/>
      <c r="L132" s="957"/>
      <c r="M132" s="957"/>
      <c r="N132" s="868">
        <f t="shared" ca="1" si="23"/>
        <v>70071.757923655285</v>
      </c>
      <c r="O132" s="964"/>
      <c r="P132" s="761"/>
      <c r="S132" s="210"/>
      <c r="T132" s="969"/>
    </row>
    <row r="133" spans="1:20" s="209" customFormat="1" ht="13.9" customHeight="1" outlineLevel="2" x14ac:dyDescent="0.2">
      <c r="A133" s="959">
        <f ca="1">IF($H133="UNIDADE CONSTRUTIVA",OFFSET(A133,-1,0)+1,LARGE(A$3:A132,1))</f>
        <v>0</v>
      </c>
      <c r="B133" s="959">
        <f t="shared" ca="1" si="19"/>
        <v>9</v>
      </c>
      <c r="C133" s="959">
        <f t="shared" ca="1" si="20"/>
        <v>1</v>
      </c>
      <c r="D133" s="960">
        <f t="shared" ca="1" si="21"/>
        <v>1</v>
      </c>
      <c r="E133" s="960">
        <f t="shared" ca="1" si="22"/>
        <v>0</v>
      </c>
      <c r="G133" s="754"/>
      <c r="H133" s="755" t="s">
        <v>475</v>
      </c>
      <c r="I133" s="756" t="str">
        <f t="shared" ca="1" si="42"/>
        <v>09.001.001</v>
      </c>
      <c r="J133" s="757" t="s">
        <v>1278</v>
      </c>
      <c r="K133" s="758"/>
      <c r="L133" s="957"/>
      <c r="M133" s="957"/>
      <c r="N133" s="868">
        <f t="shared" ca="1" si="23"/>
        <v>7726.3732822152806</v>
      </c>
      <c r="O133" s="964"/>
      <c r="P133" s="761"/>
      <c r="S133" s="210"/>
      <c r="T133" s="969"/>
    </row>
    <row r="134" spans="1:20" s="209" customFormat="1" ht="13.9" customHeight="1" outlineLevel="2" x14ac:dyDescent="0.2">
      <c r="A134" s="959">
        <f ca="1">IF($H134="UNIDADE CONSTRUTIVA",OFFSET(A134,-1,0)+1,LARGE(A$3:A133,1))</f>
        <v>0</v>
      </c>
      <c r="B134" s="959">
        <f t="shared" ca="1" si="19"/>
        <v>9</v>
      </c>
      <c r="C134" s="959">
        <f t="shared" ca="1" si="20"/>
        <v>1</v>
      </c>
      <c r="D134" s="960">
        <f t="shared" ca="1" si="21"/>
        <v>1</v>
      </c>
      <c r="E134" s="960">
        <f t="shared" ca="1" si="22"/>
        <v>1</v>
      </c>
      <c r="G134" s="754"/>
      <c r="H134" s="755" t="s">
        <v>476</v>
      </c>
      <c r="I134" s="756" t="str">
        <f t="shared" ca="1" si="42"/>
        <v>09.001.001.001</v>
      </c>
      <c r="J134" s="757" t="s">
        <v>884</v>
      </c>
      <c r="K134" s="758" t="s">
        <v>1</v>
      </c>
      <c r="L134" s="957">
        <f>'Fundação Rasa'!N7</f>
        <v>141.69996297999998</v>
      </c>
      <c r="M134" s="957">
        <f>_xlfn.XLOOKUP($J134,CPU!$D$1:$D$2521,CPU!$H$1:$H$2521)</f>
        <v>12.636000000000001</v>
      </c>
      <c r="N134" s="868">
        <f t="shared" si="23"/>
        <v>1790.5207322152798</v>
      </c>
      <c r="O134" s="964"/>
      <c r="P134" s="761" t="s">
        <v>2630</v>
      </c>
      <c r="S134" s="210"/>
      <c r="T134" s="969"/>
    </row>
    <row r="135" spans="1:20" s="209" customFormat="1" ht="13.9" customHeight="1" outlineLevel="2" x14ac:dyDescent="0.2">
      <c r="A135" s="959">
        <f ca="1">IF($H135="UNIDADE CONSTRUTIVA",OFFSET(A135,-1,0)+1,LARGE(A$3:A134,1))</f>
        <v>0</v>
      </c>
      <c r="B135" s="959">
        <f t="shared" ref="B135:B199" ca="1" si="43">IF(H135="UNIDADE CONSTRUTIVA",0,IF(H135="CÉLULA CONSTRUTIVA",OFFSET(B135,-1,0)+1,OFFSET(B135,-1,0)))</f>
        <v>9</v>
      </c>
      <c r="C135" s="959">
        <f t="shared" ca="1" si="20"/>
        <v>1</v>
      </c>
      <c r="D135" s="960">
        <f t="shared" ca="1" si="21"/>
        <v>1</v>
      </c>
      <c r="E135" s="960">
        <f t="shared" ca="1" si="22"/>
        <v>2</v>
      </c>
      <c r="G135" s="754"/>
      <c r="H135" s="755" t="s">
        <v>476</v>
      </c>
      <c r="I135" s="756" t="str">
        <f t="shared" ca="1" si="42"/>
        <v>09.001.001.002</v>
      </c>
      <c r="J135" s="757" t="s">
        <v>1745</v>
      </c>
      <c r="K135" s="758" t="s">
        <v>1</v>
      </c>
      <c r="L135" s="957">
        <f>ARQUITETURA!G225+ARQUITETURA!G228+ARQUITETURA!G229+ARQUITETURA!G232+ARQUITETURA!G234</f>
        <v>152.48000000000002</v>
      </c>
      <c r="M135" s="957">
        <f>_xlfn.XLOOKUP($J135,CPU!$D$1:$D$2521,CPU!$H$1:$H$2521)</f>
        <v>36.256</v>
      </c>
      <c r="N135" s="868">
        <f t="shared" si="23"/>
        <v>5528.3148800000008</v>
      </c>
      <c r="O135" s="964" t="s">
        <v>2575</v>
      </c>
      <c r="P135" s="761" t="s">
        <v>2630</v>
      </c>
      <c r="S135" s="210"/>
      <c r="T135" s="969"/>
    </row>
    <row r="136" spans="1:20" s="209" customFormat="1" ht="13.9" customHeight="1" outlineLevel="2" x14ac:dyDescent="0.2">
      <c r="A136" s="959">
        <f ca="1">IF($H136="UNIDADE CONSTRUTIVA",OFFSET(A136,-1,0)+1,LARGE(A$3:A135,1))</f>
        <v>0</v>
      </c>
      <c r="B136" s="959">
        <f t="shared" ca="1" si="43"/>
        <v>9</v>
      </c>
      <c r="C136" s="959">
        <f t="shared" ref="C136:C200" ca="1" si="44">IF(H136="CÉLULA CONSTRUTIVA",0,IF(H136="ETAPA",OFFSET(C136,-1,0)+1,OFFSET(C136,-1,0)))</f>
        <v>1</v>
      </c>
      <c r="D136" s="960">
        <f t="shared" ref="D136:D200" ca="1" si="45">IF(H136="ETAPA",0,IF(H136="SUBETAPA",OFFSET(D136,-1,0)+1,OFFSET(D136,-1,0)))</f>
        <v>1</v>
      </c>
      <c r="E136" s="960">
        <f t="shared" ref="E136:E200" ca="1" si="46">IF(H136="Subetapa",0,IF(H136="serviço",OFFSET(E136,-1,0)+1,OFFSET(E136,-1,0)))</f>
        <v>3</v>
      </c>
      <c r="G136" s="754"/>
      <c r="H136" s="755" t="s">
        <v>476</v>
      </c>
      <c r="I136" s="756" t="str">
        <f t="shared" ref="I136" ca="1" si="47">IF(H136="Unidade Construtiva",TEXT(A136,"00"),IF(H136="Célula Construtiva",TEXT(B136,"00"),IF(H136="Etapa",CONCATENATE(TEXT(B136,"00"),".",TEXT(C136,"000")),IF(H136="Subetapa",CONCATENATE(TEXT(B136,"00"),".",TEXT(C136,"000"),".",TEXT(D136,"000")),IF(H136="Serviço",CONCATENATE(TEXT(B136,"00"),".",TEXT(C136,"000"),".",TEXT(D136,"000"),".",TEXT(E136,"000")),"")))))</f>
        <v>09.001.001.003</v>
      </c>
      <c r="J136" s="757" t="s">
        <v>1750</v>
      </c>
      <c r="K136" s="758" t="s">
        <v>1</v>
      </c>
      <c r="L136" s="957">
        <f>ARQUITETURA!D224+ARQUITETURA!D231</f>
        <v>6.22</v>
      </c>
      <c r="M136" s="957">
        <f>_xlfn.XLOOKUP($J136,CPU!$D$1:$D$2521,CPU!$H$1:$H$2521)</f>
        <v>40.17</v>
      </c>
      <c r="N136" s="868">
        <f t="shared" ref="N136:N199" si="48">IF(H136="Serviço",M136*L136,IF(H136="CÉLULA CONSTRUTIVA",SUMIFS($N$8:$N$258,$B$8:$B$258,B136,$H$8:$H$258,"Serviço"),IF(H136="ETAPA",SUMIFS($N$8:$N$258,$B$8:$B$258,B136,$C$8:$C$258,C136,$H$8:$H$258,"Serviço"),IF(H136="SUBETAPA",SUMIFS($N$8:$N$258,$B$8:$B$258,B136,$C$8:$C$258,C136,$D$8:$D$258,D136,$H$8:$H$258,"Serviço"),0))))</f>
        <v>249.85740000000001</v>
      </c>
      <c r="O136" s="964"/>
      <c r="P136" s="761" t="s">
        <v>2630</v>
      </c>
      <c r="S136" s="210"/>
      <c r="T136" s="969"/>
    </row>
    <row r="137" spans="1:20" s="209" customFormat="1" ht="13.9" customHeight="1" outlineLevel="2" x14ac:dyDescent="0.2">
      <c r="A137" s="959">
        <f ca="1">IF($H137="UNIDADE CONSTRUTIVA",OFFSET(A137,-1,0)+1,LARGE(A$3:A136,1))</f>
        <v>0</v>
      </c>
      <c r="B137" s="959">
        <f t="shared" ca="1" si="43"/>
        <v>9</v>
      </c>
      <c r="C137" s="959">
        <f t="shared" ca="1" si="44"/>
        <v>1</v>
      </c>
      <c r="D137" s="960">
        <f t="shared" ca="1" si="45"/>
        <v>1</v>
      </c>
      <c r="E137" s="960">
        <f t="shared" ca="1" si="46"/>
        <v>4</v>
      </c>
      <c r="G137" s="754"/>
      <c r="H137" s="755" t="s">
        <v>476</v>
      </c>
      <c r="I137" s="756" t="str">
        <f t="shared" ref="I137" ca="1" si="49">IF(H137="Unidade Construtiva",TEXT(A137,"00"),IF(H137="Célula Construtiva",TEXT(B137,"00"),IF(H137="Etapa",CONCATENATE(TEXT(B137,"00"),".",TEXT(C137,"000")),IF(H137="Subetapa",CONCATENATE(TEXT(B137,"00"),".",TEXT(C137,"000"),".",TEXT(D137,"000")),IF(H137="Serviço",CONCATENATE(TEXT(B137,"00"),".",TEXT(C137,"000"),".",TEXT(D137,"000"),".",TEXT(E137,"000")),"")))))</f>
        <v>09.001.001.004</v>
      </c>
      <c r="J137" s="757" t="s">
        <v>1752</v>
      </c>
      <c r="K137" s="758" t="s">
        <v>2</v>
      </c>
      <c r="L137" s="957">
        <f>2+2+1+1+1+1+2+2+2+2+1+1</f>
        <v>18</v>
      </c>
      <c r="M137" s="957">
        <f>_xlfn.XLOOKUP($J137,CPU!$D$1:$D$2521,CPU!$H$1:$H$2521)</f>
        <v>8.760015000000001</v>
      </c>
      <c r="N137" s="868">
        <f t="shared" si="48"/>
        <v>157.68027000000001</v>
      </c>
      <c r="O137" s="964" t="s">
        <v>2569</v>
      </c>
      <c r="P137" s="761" t="s">
        <v>2630</v>
      </c>
      <c r="S137" s="210"/>
      <c r="T137" s="969"/>
    </row>
    <row r="138" spans="1:20" s="209" customFormat="1" ht="15" customHeight="1" outlineLevel="2" x14ac:dyDescent="0.2">
      <c r="A138" s="959">
        <f ca="1">IF($H138="UNIDADE CONSTRUTIVA",OFFSET(A138,-1,0)+1,LARGE(A$3:A137,1))</f>
        <v>0</v>
      </c>
      <c r="B138" s="959">
        <f t="shared" ca="1" si="43"/>
        <v>9</v>
      </c>
      <c r="C138" s="959">
        <f t="shared" ca="1" si="44"/>
        <v>1</v>
      </c>
      <c r="D138" s="960">
        <f t="shared" ca="1" si="45"/>
        <v>2</v>
      </c>
      <c r="E138" s="960">
        <f t="shared" ca="1" si="46"/>
        <v>0</v>
      </c>
      <c r="G138" s="754"/>
      <c r="H138" s="755" t="s">
        <v>475</v>
      </c>
      <c r="I138" s="756" t="str">
        <f t="shared" ca="1" si="42"/>
        <v>09.001.002</v>
      </c>
      <c r="J138" s="970" t="s">
        <v>1279</v>
      </c>
      <c r="K138" s="758"/>
      <c r="L138" s="957"/>
      <c r="M138" s="957"/>
      <c r="N138" s="868">
        <f t="shared" ca="1" si="48"/>
        <v>35026.685677999994</v>
      </c>
      <c r="O138" s="964"/>
      <c r="P138" s="761"/>
      <c r="S138" s="210"/>
      <c r="T138" s="969"/>
    </row>
    <row r="139" spans="1:20" s="209" customFormat="1" ht="13.9" customHeight="1" outlineLevel="2" x14ac:dyDescent="0.2">
      <c r="A139" s="959">
        <f ca="1">IF($H139="UNIDADE CONSTRUTIVA",OFFSET(A139,-1,0)+1,LARGE(A$3:A138,1))</f>
        <v>0</v>
      </c>
      <c r="B139" s="959">
        <f t="shared" ca="1" si="43"/>
        <v>9</v>
      </c>
      <c r="C139" s="959">
        <f t="shared" ca="1" si="44"/>
        <v>1</v>
      </c>
      <c r="D139" s="960">
        <f t="shared" ca="1" si="45"/>
        <v>2</v>
      </c>
      <c r="E139" s="960">
        <f t="shared" ca="1" si="46"/>
        <v>1</v>
      </c>
      <c r="G139" s="754"/>
      <c r="H139" s="755" t="s">
        <v>476</v>
      </c>
      <c r="I139" s="756" t="s">
        <v>1280</v>
      </c>
      <c r="J139" s="757" t="s">
        <v>1745</v>
      </c>
      <c r="K139" s="758" t="s">
        <v>1</v>
      </c>
      <c r="L139" s="957">
        <f>ARQUITETURA!H233+ARQUITETURA!H234</f>
        <v>62.78</v>
      </c>
      <c r="M139" s="957">
        <f>_xlfn.XLOOKUP($J139,CPU!$D$1:$D$2521,CPU!$H$1:$H$2521)</f>
        <v>36.256</v>
      </c>
      <c r="N139" s="868">
        <f t="shared" si="48"/>
        <v>2276.1516799999999</v>
      </c>
      <c r="O139" s="964" t="s">
        <v>2573</v>
      </c>
      <c r="P139" s="761" t="s">
        <v>2630</v>
      </c>
      <c r="S139" s="210"/>
      <c r="T139" s="969"/>
    </row>
    <row r="140" spans="1:20" s="209" customFormat="1" ht="13.9" customHeight="1" outlineLevel="2" x14ac:dyDescent="0.2">
      <c r="A140" s="959">
        <f ca="1">IF($H140="UNIDADE CONSTRUTIVA",OFFSET(A140,-1,0)+1,LARGE(A$3:A139,1))</f>
        <v>0</v>
      </c>
      <c r="B140" s="959">
        <f t="shared" ca="1" si="43"/>
        <v>9</v>
      </c>
      <c r="C140" s="959">
        <f t="shared" ca="1" si="44"/>
        <v>1</v>
      </c>
      <c r="D140" s="960">
        <f t="shared" ca="1" si="45"/>
        <v>2</v>
      </c>
      <c r="E140" s="960">
        <f t="shared" ca="1" si="46"/>
        <v>2</v>
      </c>
      <c r="G140" s="754"/>
      <c r="H140" s="755" t="s">
        <v>476</v>
      </c>
      <c r="I140" s="756" t="str">
        <f t="shared" ca="1" si="42"/>
        <v>09.001.002.002</v>
      </c>
      <c r="J140" s="757" t="s">
        <v>1736</v>
      </c>
      <c r="K140" s="758" t="s">
        <v>1</v>
      </c>
      <c r="L140" s="957">
        <f>ARQUITETURA!H226+ARQUITETURA!H227+ARQUITETURA!H230+ARQUITETURA!H231</f>
        <v>175.07000000000002</v>
      </c>
      <c r="M140" s="957">
        <f>_xlfn.XLOOKUP($J140,CPU!$D$1:$D$2521,CPU!$H$1:$H$2521)</f>
        <v>93.237299999999991</v>
      </c>
      <c r="N140" s="868">
        <f t="shared" si="48"/>
        <v>16323.054110999999</v>
      </c>
      <c r="O140" s="964" t="s">
        <v>2574</v>
      </c>
      <c r="P140" s="761" t="s">
        <v>2630</v>
      </c>
      <c r="Q140" s="210"/>
      <c r="R140" s="210"/>
      <c r="S140" s="210"/>
      <c r="T140" s="969"/>
    </row>
    <row r="141" spans="1:20" s="209" customFormat="1" ht="13.9" customHeight="1" outlineLevel="2" x14ac:dyDescent="0.2">
      <c r="A141" s="959">
        <f ca="1">IF($H141="UNIDADE CONSTRUTIVA",OFFSET(A141,-1,0)+1,LARGE(A$3:A140,1))</f>
        <v>0</v>
      </c>
      <c r="B141" s="959">
        <f t="shared" ca="1" si="43"/>
        <v>9</v>
      </c>
      <c r="C141" s="959">
        <f t="shared" ca="1" si="44"/>
        <v>1</v>
      </c>
      <c r="D141" s="960">
        <f t="shared" ca="1" si="45"/>
        <v>2</v>
      </c>
      <c r="E141" s="960">
        <f t="shared" ca="1" si="46"/>
        <v>3</v>
      </c>
      <c r="G141" s="754"/>
      <c r="H141" s="755" t="s">
        <v>476</v>
      </c>
      <c r="I141" s="756" t="str">
        <f t="shared" ca="1" si="42"/>
        <v>09.001.002.003</v>
      </c>
      <c r="J141" s="757" t="s">
        <v>1736</v>
      </c>
      <c r="K141" s="758" t="s">
        <v>1</v>
      </c>
      <c r="L141" s="957">
        <f>ARQUITETURA!I231+ARQUITETURA!I235</f>
        <v>176.19</v>
      </c>
      <c r="M141" s="957">
        <f>_xlfn.XLOOKUP($J141,CPU!$D$1:$D$2521,CPU!$H$1:$H$2521)</f>
        <v>93.237299999999991</v>
      </c>
      <c r="N141" s="868">
        <f t="shared" si="48"/>
        <v>16427.479886999998</v>
      </c>
      <c r="O141" s="964" t="s">
        <v>831</v>
      </c>
      <c r="P141" s="761" t="s">
        <v>2630</v>
      </c>
      <c r="Q141" s="210"/>
      <c r="R141" s="210"/>
      <c r="S141" s="210"/>
    </row>
    <row r="142" spans="1:20" s="209" customFormat="1" ht="13.9" customHeight="1" outlineLevel="2" x14ac:dyDescent="0.2">
      <c r="A142" s="959">
        <f ca="1">IF($H142="UNIDADE CONSTRUTIVA",OFFSET(A142,-1,0)+1,LARGE(A$3:A140,1))</f>
        <v>0</v>
      </c>
      <c r="B142" s="959">
        <f t="shared" ca="1" si="43"/>
        <v>9</v>
      </c>
      <c r="C142" s="959">
        <f t="shared" ca="1" si="44"/>
        <v>1</v>
      </c>
      <c r="D142" s="960">
        <f t="shared" ca="1" si="45"/>
        <v>3</v>
      </c>
      <c r="E142" s="960">
        <f t="shared" ca="1" si="46"/>
        <v>0</v>
      </c>
      <c r="G142" s="754"/>
      <c r="H142" s="755" t="s">
        <v>475</v>
      </c>
      <c r="I142" s="756" t="str">
        <f t="shared" ca="1" si="42"/>
        <v>09.001.003</v>
      </c>
      <c r="J142" s="757" t="s">
        <v>373</v>
      </c>
      <c r="K142" s="758"/>
      <c r="L142" s="957"/>
      <c r="M142" s="957"/>
      <c r="N142" s="868">
        <f t="shared" ca="1" si="48"/>
        <v>27318.698963439998</v>
      </c>
      <c r="O142" s="964"/>
      <c r="P142" s="761"/>
      <c r="Q142" s="210"/>
      <c r="R142" s="210"/>
      <c r="S142" s="210"/>
    </row>
    <row r="143" spans="1:20" s="209" customFormat="1" ht="13.9" customHeight="1" outlineLevel="2" x14ac:dyDescent="0.2">
      <c r="A143" s="959">
        <f ca="1">IF($H143="UNIDADE CONSTRUTIVA",OFFSET(A143,-1,0)+1,LARGE(A$3:A142,1))</f>
        <v>0</v>
      </c>
      <c r="B143" s="959">
        <f t="shared" ca="1" si="43"/>
        <v>9</v>
      </c>
      <c r="C143" s="959">
        <f t="shared" ca="1" si="44"/>
        <v>1</v>
      </c>
      <c r="D143" s="960">
        <f t="shared" ca="1" si="45"/>
        <v>3</v>
      </c>
      <c r="E143" s="960">
        <f t="shared" ca="1" si="46"/>
        <v>1</v>
      </c>
      <c r="G143" s="754"/>
      <c r="H143" s="755" t="s">
        <v>476</v>
      </c>
      <c r="I143" s="756" t="str">
        <f t="shared" ref="I143" ca="1" si="50">IF(H143="Unidade Construtiva",TEXT(A143,"00"),IF(H143="Célula Construtiva",TEXT(B143,"00"),IF(H143="Etapa",CONCATENATE(TEXT(B143,"00"),".",TEXT(C143,"000")),IF(H143="Subetapa",CONCATENATE(TEXT(B143,"00"),".",TEXT(C143,"000"),".",TEXT(D143,"000")),IF(H143="Serviço",CONCATENATE(TEXT(B143,"00"),".",TEXT(C143,"000"),".",TEXT(D143,"000"),".",TEXT(E143,"000")),"")))))</f>
        <v>09.001.003.001</v>
      </c>
      <c r="J143" s="757" t="s">
        <v>1758</v>
      </c>
      <c r="K143" s="758" t="s">
        <v>1</v>
      </c>
      <c r="L143" s="957">
        <f>L134</f>
        <v>141.69996297999998</v>
      </c>
      <c r="M143" s="957">
        <f>_xlfn.XLOOKUP($J143,CPU!$D$1:$D$2521,CPU!$H$1:$H$2521)</f>
        <v>28</v>
      </c>
      <c r="N143" s="868">
        <f t="shared" si="48"/>
        <v>3967.5989634399994</v>
      </c>
      <c r="O143" s="964"/>
      <c r="P143" s="761" t="s">
        <v>2630</v>
      </c>
      <c r="Q143" s="210"/>
      <c r="R143" s="210"/>
      <c r="S143" s="210"/>
    </row>
    <row r="144" spans="1:20" s="209" customFormat="1" ht="13.9" customHeight="1" outlineLevel="2" x14ac:dyDescent="0.2">
      <c r="A144" s="959">
        <f ca="1">IF($H144="UNIDADE CONSTRUTIVA",OFFSET(A144,-1,0)+1,LARGE(A$3:A143,1))</f>
        <v>0</v>
      </c>
      <c r="B144" s="959">
        <f t="shared" ca="1" si="43"/>
        <v>9</v>
      </c>
      <c r="C144" s="959">
        <f t="shared" ca="1" si="44"/>
        <v>1</v>
      </c>
      <c r="D144" s="960">
        <f t="shared" ca="1" si="45"/>
        <v>3</v>
      </c>
      <c r="E144" s="960">
        <f t="shared" ca="1" si="46"/>
        <v>2</v>
      </c>
      <c r="G144" s="754"/>
      <c r="H144" s="755" t="s">
        <v>476</v>
      </c>
      <c r="I144" s="756" t="str">
        <f t="shared" ca="1" si="42"/>
        <v>09.001.003.002</v>
      </c>
      <c r="J144" s="757" t="s">
        <v>403</v>
      </c>
      <c r="K144" s="758" t="s">
        <v>1</v>
      </c>
      <c r="L144" s="957">
        <f>L140+L141</f>
        <v>351.26</v>
      </c>
      <c r="M144" s="957">
        <f>_xlfn.XLOOKUP($J144,CPU!$D$1:$D$2521,CPU!$H$1:$H$2521)</f>
        <v>45</v>
      </c>
      <c r="N144" s="868">
        <f t="shared" si="48"/>
        <v>15806.699999999999</v>
      </c>
      <c r="O144" s="964"/>
      <c r="P144" s="761" t="s">
        <v>2630</v>
      </c>
      <c r="Q144" s="210"/>
      <c r="R144" s="210"/>
      <c r="S144" s="210"/>
    </row>
    <row r="145" spans="1:19" s="209" customFormat="1" ht="13.9" customHeight="1" outlineLevel="2" x14ac:dyDescent="0.2">
      <c r="A145" s="959">
        <f ca="1">IF($H145="UNIDADE CONSTRUTIVA",OFFSET(A145,-1,0)+1,LARGE(A$3:A144,1))</f>
        <v>0</v>
      </c>
      <c r="B145" s="959">
        <f t="shared" ca="1" si="43"/>
        <v>9</v>
      </c>
      <c r="C145" s="959">
        <f t="shared" ca="1" si="44"/>
        <v>1</v>
      </c>
      <c r="D145" s="960">
        <f t="shared" ca="1" si="45"/>
        <v>3</v>
      </c>
      <c r="E145" s="960">
        <f t="shared" ca="1" si="46"/>
        <v>3</v>
      </c>
      <c r="G145" s="754"/>
      <c r="H145" s="755" t="s">
        <v>476</v>
      </c>
      <c r="I145" s="756" t="str">
        <f t="shared" ca="1" si="42"/>
        <v>09.001.003.003</v>
      </c>
      <c r="J145" s="757" t="s">
        <v>1757</v>
      </c>
      <c r="K145" s="758" t="s">
        <v>1</v>
      </c>
      <c r="L145" s="957">
        <f>L139+L135</f>
        <v>215.26000000000002</v>
      </c>
      <c r="M145" s="957">
        <f>_xlfn.XLOOKUP($J145,CPU!$D$1:$D$2521,CPU!$H$1:$H$2521)</f>
        <v>30</v>
      </c>
      <c r="N145" s="868">
        <f t="shared" si="48"/>
        <v>6457.8</v>
      </c>
      <c r="O145" s="964"/>
      <c r="P145" s="761" t="s">
        <v>2630</v>
      </c>
      <c r="Q145" s="210"/>
      <c r="R145" s="210"/>
      <c r="S145" s="210"/>
    </row>
    <row r="146" spans="1:19" s="209" customFormat="1" ht="13.9" customHeight="1" outlineLevel="2" x14ac:dyDescent="0.2">
      <c r="A146" s="959">
        <f ca="1">IF($H146="UNIDADE CONSTRUTIVA",OFFSET(A146,-1,0)+1,LARGE(A$3:A145,1))</f>
        <v>0</v>
      </c>
      <c r="B146" s="959">
        <f t="shared" ca="1" si="43"/>
        <v>9</v>
      </c>
      <c r="C146" s="959">
        <f t="shared" ca="1" si="44"/>
        <v>1</v>
      </c>
      <c r="D146" s="960">
        <f t="shared" ca="1" si="45"/>
        <v>3</v>
      </c>
      <c r="E146" s="960">
        <f t="shared" ca="1" si="46"/>
        <v>4</v>
      </c>
      <c r="G146" s="754"/>
      <c r="H146" s="755" t="s">
        <v>476</v>
      </c>
      <c r="I146" s="756" t="str">
        <f t="shared" ca="1" si="42"/>
        <v>09.001.003.004</v>
      </c>
      <c r="J146" s="757" t="s">
        <v>1759</v>
      </c>
      <c r="K146" s="758" t="s">
        <v>1</v>
      </c>
      <c r="L146" s="957">
        <f>L136</f>
        <v>6.22</v>
      </c>
      <c r="M146" s="957">
        <f>_xlfn.XLOOKUP($J146,CPU!$D$1:$D$2521,CPU!$H$1:$H$2521)</f>
        <v>30</v>
      </c>
      <c r="N146" s="868">
        <f t="shared" si="48"/>
        <v>186.6</v>
      </c>
      <c r="O146" s="964"/>
      <c r="P146" s="761" t="s">
        <v>2630</v>
      </c>
      <c r="Q146" s="210"/>
      <c r="R146" s="210"/>
      <c r="S146" s="210"/>
    </row>
    <row r="147" spans="1:19" s="209" customFormat="1" ht="13.9" customHeight="1" outlineLevel="2" x14ac:dyDescent="0.2">
      <c r="A147" s="959">
        <f ca="1">IF($H147="UNIDADE CONSTRUTIVA",OFFSET(A147,-1,0)+1,LARGE(A$3:A146,1))</f>
        <v>0</v>
      </c>
      <c r="B147" s="959">
        <f t="shared" ca="1" si="43"/>
        <v>9</v>
      </c>
      <c r="C147" s="959">
        <f t="shared" ca="1" si="44"/>
        <v>1</v>
      </c>
      <c r="D147" s="960">
        <f t="shared" ca="1" si="45"/>
        <v>3</v>
      </c>
      <c r="E147" s="960">
        <f t="shared" ca="1" si="46"/>
        <v>5</v>
      </c>
      <c r="G147" s="754"/>
      <c r="H147" s="755" t="s">
        <v>476</v>
      </c>
      <c r="I147" s="756" t="str">
        <f t="shared" ref="I147" ca="1" si="51">IF(H147="Unidade Construtiva",TEXT(A147,"00"),IF(H147="Célula Construtiva",TEXT(B147,"00"),IF(H147="Etapa",CONCATENATE(TEXT(B147,"00"),".",TEXT(C147,"000")),IF(H147="Subetapa",CONCATENATE(TEXT(B147,"00"),".",TEXT(C147,"000"),".",TEXT(D147,"000")),IF(H147="Serviço",CONCATENATE(TEXT(B147,"00"),".",TEXT(C147,"000"),".",TEXT(D147,"000"),".",TEXT(E147,"000")),"")))))</f>
        <v>09.001.003.005</v>
      </c>
      <c r="J147" s="757" t="s">
        <v>1760</v>
      </c>
      <c r="K147" s="758" t="s">
        <v>2</v>
      </c>
      <c r="L147" s="957">
        <f>L137</f>
        <v>18</v>
      </c>
      <c r="M147" s="957">
        <f>_xlfn.XLOOKUP($J147,CPU!$D$1:$D$2521,CPU!$H$1:$H$2521)</f>
        <v>50</v>
      </c>
      <c r="N147" s="868">
        <f t="shared" si="48"/>
        <v>900</v>
      </c>
      <c r="O147" s="964"/>
      <c r="P147" s="761" t="s">
        <v>2630</v>
      </c>
      <c r="Q147" s="210"/>
      <c r="R147" s="210"/>
      <c r="S147" s="210"/>
    </row>
    <row r="148" spans="1:19" s="209" customFormat="1" ht="13.9" customHeight="1" x14ac:dyDescent="0.2">
      <c r="A148" s="959">
        <f ca="1">IF($H148="UNIDADE CONSTRUTIVA",OFFSET(A148,-1,0)+1,LARGE(A$3:A147,1))</f>
        <v>0</v>
      </c>
      <c r="B148" s="959">
        <f t="shared" ca="1" si="43"/>
        <v>10</v>
      </c>
      <c r="C148" s="959">
        <f t="shared" ca="1" si="44"/>
        <v>0</v>
      </c>
      <c r="D148" s="960">
        <f t="shared" ca="1" si="45"/>
        <v>3</v>
      </c>
      <c r="E148" s="960">
        <f t="shared" ca="1" si="46"/>
        <v>5</v>
      </c>
      <c r="F148" s="1132"/>
      <c r="G148" s="754"/>
      <c r="H148" s="755" t="s">
        <v>473</v>
      </c>
      <c r="I148" s="756" t="str">
        <f t="shared" ca="1" si="42"/>
        <v>10</v>
      </c>
      <c r="J148" s="757" t="s">
        <v>1297</v>
      </c>
      <c r="K148" s="758"/>
      <c r="L148" s="957"/>
      <c r="M148" s="957"/>
      <c r="N148" s="868">
        <f t="shared" ca="1" si="48"/>
        <v>150930.29667800004</v>
      </c>
      <c r="O148" s="964">
        <f ca="1">N148/'Obra '!E$9</f>
        <v>457.96127280395683</v>
      </c>
      <c r="P148" s="761"/>
      <c r="Q148" s="965"/>
      <c r="R148" s="965"/>
      <c r="S148" s="210"/>
    </row>
    <row r="149" spans="1:19" s="209" customFormat="1" ht="13.9" customHeight="1" outlineLevel="1" x14ac:dyDescent="0.2">
      <c r="A149" s="959">
        <f ca="1">IF($H149="UNIDADE CONSTRUTIVA",OFFSET(A149,-1,0)+1,LARGE(A$3:A148,1))</f>
        <v>0</v>
      </c>
      <c r="B149" s="959">
        <f t="shared" ca="1" si="43"/>
        <v>10</v>
      </c>
      <c r="C149" s="959">
        <f t="shared" ca="1" si="44"/>
        <v>1</v>
      </c>
      <c r="D149" s="960">
        <f t="shared" ca="1" si="45"/>
        <v>0</v>
      </c>
      <c r="E149" s="960">
        <f t="shared" ca="1" si="46"/>
        <v>5</v>
      </c>
      <c r="G149" s="754"/>
      <c r="H149" s="755" t="s">
        <v>474</v>
      </c>
      <c r="I149" s="756" t="str">
        <f t="shared" ca="1" si="42"/>
        <v>10.001</v>
      </c>
      <c r="J149" s="757" t="s">
        <v>1297</v>
      </c>
      <c r="K149" s="758"/>
      <c r="L149" s="957"/>
      <c r="M149" s="957"/>
      <c r="N149" s="868">
        <f t="shared" ca="1" si="48"/>
        <v>150930.29667800004</v>
      </c>
      <c r="O149" s="964"/>
      <c r="P149" s="761"/>
      <c r="Q149" s="210"/>
      <c r="R149" s="210"/>
      <c r="S149" s="210"/>
    </row>
    <row r="150" spans="1:19" s="209" customFormat="1" ht="13.9" customHeight="1" outlineLevel="1" x14ac:dyDescent="0.2">
      <c r="A150" s="959">
        <f ca="1">IF($H150="UNIDADE CONSTRUTIVA",OFFSET(A150,-1,0)+1,LARGE(A$3:A149,1))</f>
        <v>0</v>
      </c>
      <c r="B150" s="959">
        <f t="shared" ca="1" si="43"/>
        <v>10</v>
      </c>
      <c r="C150" s="959">
        <f t="shared" ca="1" si="44"/>
        <v>1</v>
      </c>
      <c r="D150" s="960">
        <f t="shared" ca="1" si="45"/>
        <v>1</v>
      </c>
      <c r="E150" s="960">
        <f t="shared" ca="1" si="46"/>
        <v>0</v>
      </c>
      <c r="G150" s="754"/>
      <c r="H150" s="755" t="s">
        <v>475</v>
      </c>
      <c r="I150" s="756" t="str">
        <f t="shared" ca="1" si="42"/>
        <v>10.001.001</v>
      </c>
      <c r="J150" s="757" t="s">
        <v>1298</v>
      </c>
      <c r="K150" s="758"/>
      <c r="L150" s="957"/>
      <c r="M150" s="957"/>
      <c r="N150" s="868">
        <f t="shared" ca="1" si="48"/>
        <v>94751.811235000016</v>
      </c>
      <c r="O150" s="964"/>
      <c r="P150" s="761"/>
      <c r="Q150" s="880" t="s">
        <v>500</v>
      </c>
      <c r="R150" s="210"/>
      <c r="S150" s="210"/>
    </row>
    <row r="151" spans="1:19" s="209" customFormat="1" ht="13.9" customHeight="1" outlineLevel="2" x14ac:dyDescent="0.2">
      <c r="A151" s="959">
        <f ca="1">IF($H151="UNIDADE CONSTRUTIVA",OFFSET(A151,-1,0)+1,LARGE(A$3:A150,1))</f>
        <v>0</v>
      </c>
      <c r="B151" s="959">
        <f t="shared" ca="1" si="43"/>
        <v>10</v>
      </c>
      <c r="C151" s="959">
        <f t="shared" ca="1" si="44"/>
        <v>1</v>
      </c>
      <c r="D151" s="960">
        <f t="shared" ca="1" si="45"/>
        <v>1</v>
      </c>
      <c r="E151" s="960">
        <f t="shared" ca="1" si="46"/>
        <v>1</v>
      </c>
      <c r="G151" s="754"/>
      <c r="H151" s="755" t="s">
        <v>476</v>
      </c>
      <c r="I151" s="756" t="str">
        <f t="shared" ca="1" si="42"/>
        <v>10.001.001.001</v>
      </c>
      <c r="J151" s="757" t="s">
        <v>1308</v>
      </c>
      <c r="K151" s="758" t="s">
        <v>1</v>
      </c>
      <c r="L151" s="957">
        <f>ARQUITETURA!F146+ARQUITETURA!F148+ARQUITETURA!F149+ARQUITETURA!F150+ARQUITETURA!F151+ARQUITETURA!E289+ARQUITETURA!E291</f>
        <v>154.86000000000001</v>
      </c>
      <c r="M151" s="957">
        <f>_xlfn.XLOOKUP($J151,CPU!$D$1:$D$2521,CPU!$H$1:$H$2521)</f>
        <v>121.63300000000001</v>
      </c>
      <c r="N151" s="868">
        <f t="shared" si="48"/>
        <v>18836.086380000004</v>
      </c>
      <c r="O151" s="964"/>
      <c r="P151" s="761" t="s">
        <v>2630</v>
      </c>
      <c r="Q151" s="210"/>
      <c r="R151" s="210"/>
      <c r="S151" s="210"/>
    </row>
    <row r="152" spans="1:19" s="209" customFormat="1" ht="13.9" customHeight="1" outlineLevel="2" x14ac:dyDescent="0.2">
      <c r="A152" s="959">
        <f ca="1">IF($H152="UNIDADE CONSTRUTIVA",OFFSET(A152,-1,0)+1,LARGE(A$3:A151,1))</f>
        <v>0</v>
      </c>
      <c r="B152" s="959">
        <f t="shared" ca="1" si="43"/>
        <v>10</v>
      </c>
      <c r="C152" s="959">
        <f t="shared" ca="1" si="44"/>
        <v>1</v>
      </c>
      <c r="D152" s="960">
        <f t="shared" ca="1" si="45"/>
        <v>1</v>
      </c>
      <c r="E152" s="960">
        <f t="shared" ca="1" si="46"/>
        <v>2</v>
      </c>
      <c r="G152" s="754"/>
      <c r="H152" s="755" t="s">
        <v>476</v>
      </c>
      <c r="I152" s="756" t="str">
        <f t="shared" ca="1" si="42"/>
        <v>10.001.001.002</v>
      </c>
      <c r="J152" s="757" t="s">
        <v>1805</v>
      </c>
      <c r="K152" s="758" t="s">
        <v>1</v>
      </c>
      <c r="L152" s="957">
        <f>ARQUITETURA!F152+ARQUITETURA!F146+ARQUITETURA!F63</f>
        <v>63.27</v>
      </c>
      <c r="M152" s="957">
        <f>_xlfn.XLOOKUP($J152,CPU!$D$1:$D$2521,CPU!$H$1:$H$2521)</f>
        <v>291.62850000000003</v>
      </c>
      <c r="N152" s="868">
        <f t="shared" si="48"/>
        <v>18451.335195000003</v>
      </c>
      <c r="O152" s="964" t="s">
        <v>2576</v>
      </c>
      <c r="P152" s="761" t="s">
        <v>2630</v>
      </c>
      <c r="Q152" s="210"/>
      <c r="R152" s="210"/>
      <c r="S152" s="210"/>
    </row>
    <row r="153" spans="1:19" s="209" customFormat="1" ht="13.9" customHeight="1" outlineLevel="2" x14ac:dyDescent="0.2">
      <c r="A153" s="959">
        <f ca="1">IF($H153="UNIDADE CONSTRUTIVA",OFFSET(A153,-1,0)+1,LARGE(A$3:A152,1))</f>
        <v>0</v>
      </c>
      <c r="B153" s="959">
        <f t="shared" ca="1" si="43"/>
        <v>10</v>
      </c>
      <c r="C153" s="959">
        <f t="shared" ca="1" si="44"/>
        <v>1</v>
      </c>
      <c r="D153" s="960">
        <f t="shared" ca="1" si="45"/>
        <v>1</v>
      </c>
      <c r="E153" s="960">
        <f t="shared" ca="1" si="46"/>
        <v>3</v>
      </c>
      <c r="G153" s="754"/>
      <c r="H153" s="755" t="s">
        <v>476</v>
      </c>
      <c r="I153" s="756" t="str">
        <f t="shared" ca="1" si="42"/>
        <v>10.001.001.003</v>
      </c>
      <c r="J153" s="757" t="s">
        <v>1309</v>
      </c>
      <c r="K153" s="758" t="s">
        <v>1</v>
      </c>
      <c r="L153" s="957">
        <f>ARQUITETURA!F147</f>
        <v>114.67999999999999</v>
      </c>
      <c r="M153" s="957">
        <f>_xlfn.XLOOKUP($J153,CPU!$D$1:$D$2521,CPU!$H$1:$H$2521)</f>
        <v>133.41700000000003</v>
      </c>
      <c r="N153" s="868">
        <f t="shared" si="48"/>
        <v>15300.261560000003</v>
      </c>
      <c r="O153" s="964"/>
      <c r="P153" s="761" t="s">
        <v>2630</v>
      </c>
      <c r="Q153" s="210"/>
      <c r="R153" s="210"/>
      <c r="S153" s="210"/>
    </row>
    <row r="154" spans="1:19" s="209" customFormat="1" ht="13.9" customHeight="1" outlineLevel="2" x14ac:dyDescent="0.2">
      <c r="A154" s="959">
        <f ca="1">IF($H154="UNIDADE CONSTRUTIVA",OFFSET(A154,-1,0)+1,LARGE(A$3:A153,1))</f>
        <v>0</v>
      </c>
      <c r="B154" s="959">
        <f t="shared" ca="1" si="43"/>
        <v>10</v>
      </c>
      <c r="C154" s="959">
        <f t="shared" ca="1" si="44"/>
        <v>1</v>
      </c>
      <c r="D154" s="960">
        <f t="shared" ca="1" si="45"/>
        <v>1</v>
      </c>
      <c r="E154" s="960">
        <f t="shared" ca="1" si="46"/>
        <v>4</v>
      </c>
      <c r="G154" s="754"/>
      <c r="H154" s="755" t="s">
        <v>476</v>
      </c>
      <c r="I154" s="756" t="str">
        <f t="shared" ca="1" si="42"/>
        <v>10.001.001.004</v>
      </c>
      <c r="J154" s="757" t="s">
        <v>1312</v>
      </c>
      <c r="K154" s="758" t="s">
        <v>1</v>
      </c>
      <c r="L154" s="957">
        <f>SUM(ARQUITETURA!D162:D164)</f>
        <v>34.94</v>
      </c>
      <c r="M154" s="957">
        <f>_xlfn.XLOOKUP($J154,CPU!$D$1:$D$2521,CPU!$H$1:$H$2521)</f>
        <v>856.61500000000012</v>
      </c>
      <c r="N154" s="868">
        <f t="shared" si="48"/>
        <v>29930.128100000002</v>
      </c>
      <c r="O154" s="964"/>
      <c r="P154" s="761" t="s">
        <v>2630</v>
      </c>
      <c r="Q154" s="210"/>
      <c r="R154" s="210"/>
      <c r="S154" s="210"/>
    </row>
    <row r="155" spans="1:19" s="209" customFormat="1" ht="13.9" customHeight="1" outlineLevel="2" x14ac:dyDescent="0.2">
      <c r="A155" s="959">
        <f ca="1">IF($H155="UNIDADE CONSTRUTIVA",OFFSET(A155,-1,0)+1,LARGE(A$3:A154,1))</f>
        <v>0</v>
      </c>
      <c r="B155" s="959">
        <f t="shared" ca="1" si="43"/>
        <v>10</v>
      </c>
      <c r="C155" s="959">
        <f t="shared" ca="1" si="44"/>
        <v>1</v>
      </c>
      <c r="D155" s="960">
        <f t="shared" ca="1" si="45"/>
        <v>1</v>
      </c>
      <c r="E155" s="960">
        <f t="shared" ca="1" si="46"/>
        <v>5</v>
      </c>
      <c r="G155" s="754"/>
      <c r="H155" s="755" t="s">
        <v>476</v>
      </c>
      <c r="I155" s="756" t="str">
        <f t="shared" ca="1" si="42"/>
        <v>10.001.001.005</v>
      </c>
      <c r="J155" s="757" t="s">
        <v>892</v>
      </c>
      <c r="K155" s="758" t="s">
        <v>1</v>
      </c>
      <c r="L155" s="957">
        <f>ARQUITETURA!D166</f>
        <v>81.56</v>
      </c>
      <c r="M155" s="957">
        <f>_xlfn.XLOOKUP($J155,CPU!$D$1:$D$2521,CPU!$H$1:$H$2521)</f>
        <v>150</v>
      </c>
      <c r="N155" s="868">
        <f t="shared" si="48"/>
        <v>12234</v>
      </c>
      <c r="O155" s="964"/>
      <c r="P155" s="761" t="s">
        <v>2630</v>
      </c>
      <c r="Q155" s="210"/>
      <c r="R155" s="210"/>
      <c r="S155" s="210"/>
    </row>
    <row r="156" spans="1:19" s="209" customFormat="1" ht="13.9" customHeight="1" outlineLevel="1" x14ac:dyDescent="0.2">
      <c r="A156" s="959">
        <f ca="1">IF($H156="UNIDADE CONSTRUTIVA",OFFSET(A156,-1,0)+1,LARGE(A$3:A155,1))</f>
        <v>0</v>
      </c>
      <c r="B156" s="959">
        <f t="shared" ca="1" si="43"/>
        <v>10</v>
      </c>
      <c r="C156" s="959">
        <f t="shared" ca="1" si="44"/>
        <v>1</v>
      </c>
      <c r="D156" s="960">
        <f t="shared" ca="1" si="45"/>
        <v>2</v>
      </c>
      <c r="E156" s="960">
        <f t="shared" ca="1" si="46"/>
        <v>0</v>
      </c>
      <c r="G156" s="754"/>
      <c r="H156" s="755" t="s">
        <v>475</v>
      </c>
      <c r="I156" s="756" t="str">
        <f t="shared" ref="I156:I158" ca="1" si="52">IF(H156="Unidade Construtiva",TEXT(A156,"00"),IF(H156="Célula Construtiva",TEXT(B156,"00"),IF(H156="Etapa",CONCATENATE(TEXT(B156,"00"),".",TEXT(C156,"000")),IF(H156="Subetapa",CONCATENATE(TEXT(B156,"00"),".",TEXT(C156,"000"),".",TEXT(D156,"000")),IF(H156="Serviço",CONCATENATE(TEXT(B156,"00"),".",TEXT(C156,"000"),".",TEXT(D156,"000"),".",TEXT(E156,"000")),"")))))</f>
        <v>10.001.002</v>
      </c>
      <c r="J156" s="757" t="s">
        <v>1299</v>
      </c>
      <c r="K156" s="758"/>
      <c r="L156" s="957"/>
      <c r="M156" s="957"/>
      <c r="N156" s="868">
        <f t="shared" ca="1" si="48"/>
        <v>18801.166290000001</v>
      </c>
      <c r="O156" s="964"/>
      <c r="P156" s="761"/>
      <c r="Q156" s="882" t="s">
        <v>829</v>
      </c>
      <c r="R156" s="210"/>
      <c r="S156" s="210"/>
    </row>
    <row r="157" spans="1:19" s="209" customFormat="1" ht="13.9" customHeight="1" outlineLevel="2" x14ac:dyDescent="0.2">
      <c r="A157" s="959">
        <f ca="1">IF($H157="UNIDADE CONSTRUTIVA",OFFSET(A157,-1,0)+1,LARGE(A$3:A156,1))</f>
        <v>0</v>
      </c>
      <c r="B157" s="959">
        <f t="shared" ca="1" si="43"/>
        <v>10</v>
      </c>
      <c r="C157" s="959">
        <f t="shared" ca="1" si="44"/>
        <v>1</v>
      </c>
      <c r="D157" s="960">
        <f t="shared" ca="1" si="45"/>
        <v>2</v>
      </c>
      <c r="E157" s="960">
        <f t="shared" ca="1" si="46"/>
        <v>1</v>
      </c>
      <c r="G157" s="754"/>
      <c r="H157" s="755" t="s">
        <v>476</v>
      </c>
      <c r="I157" s="756" t="str">
        <f t="shared" ca="1" si="52"/>
        <v>10.001.002.001</v>
      </c>
      <c r="J157" s="757" t="s">
        <v>891</v>
      </c>
      <c r="K157" s="758" t="s">
        <v>1</v>
      </c>
      <c r="L157" s="957">
        <f>ARQUITETURA!D66+ARQUITETURA!D67+ARQUITETURA!D70</f>
        <v>13.23</v>
      </c>
      <c r="M157" s="957">
        <v>350</v>
      </c>
      <c r="N157" s="868">
        <f t="shared" si="48"/>
        <v>4630.5</v>
      </c>
      <c r="O157" s="964" t="s">
        <v>2650</v>
      </c>
      <c r="P157" s="761" t="s">
        <v>2630</v>
      </c>
      <c r="Q157" s="210"/>
      <c r="R157" s="210"/>
      <c r="S157" s="210"/>
    </row>
    <row r="158" spans="1:19" s="209" customFormat="1" ht="13.9" customHeight="1" outlineLevel="2" x14ac:dyDescent="0.2">
      <c r="A158" s="959">
        <f ca="1">IF($H158="UNIDADE CONSTRUTIVA",OFFSET(A158,-1,0)+1,LARGE(A$3:A157,1))</f>
        <v>0</v>
      </c>
      <c r="B158" s="959">
        <f t="shared" ca="1" si="43"/>
        <v>10</v>
      </c>
      <c r="C158" s="959">
        <f t="shared" ca="1" si="44"/>
        <v>1</v>
      </c>
      <c r="D158" s="960">
        <f t="shared" ca="1" si="45"/>
        <v>2</v>
      </c>
      <c r="E158" s="960">
        <f t="shared" ca="1" si="46"/>
        <v>2</v>
      </c>
      <c r="G158" s="754"/>
      <c r="H158" s="755" t="s">
        <v>476</v>
      </c>
      <c r="I158" s="756" t="str">
        <f t="shared" ca="1" si="52"/>
        <v>10.001.002.002</v>
      </c>
      <c r="J158" s="757" t="s">
        <v>1313</v>
      </c>
      <c r="K158" s="758" t="s">
        <v>1</v>
      </c>
      <c r="L158" s="957">
        <f>ARQUITETURA!F66</f>
        <v>133.43</v>
      </c>
      <c r="M158" s="957">
        <f>_xlfn.XLOOKUP($J158,CPU!$D$1:$D$2521,CPU!$H$1:$H$2521)</f>
        <v>106.203</v>
      </c>
      <c r="N158" s="868">
        <f t="shared" si="48"/>
        <v>14170.666290000001</v>
      </c>
      <c r="O158" s="964"/>
      <c r="P158" s="761" t="s">
        <v>2630</v>
      </c>
      <c r="Q158" s="210"/>
      <c r="R158" s="210"/>
      <c r="S158" s="210"/>
    </row>
    <row r="159" spans="1:19" s="209" customFormat="1" ht="13.9" customHeight="1" outlineLevel="1" x14ac:dyDescent="0.2">
      <c r="A159" s="959">
        <f ca="1">IF($H159="UNIDADE CONSTRUTIVA",OFFSET(A159,-1,0)+1,LARGE(A$3:A158,1))</f>
        <v>0</v>
      </c>
      <c r="B159" s="959">
        <f t="shared" ca="1" si="43"/>
        <v>10</v>
      </c>
      <c r="C159" s="959">
        <f t="shared" ca="1" si="44"/>
        <v>1</v>
      </c>
      <c r="D159" s="960">
        <f t="shared" ca="1" si="45"/>
        <v>3</v>
      </c>
      <c r="E159" s="960">
        <f t="shared" ca="1" si="46"/>
        <v>0</v>
      </c>
      <c r="G159" s="754"/>
      <c r="H159" s="755" t="s">
        <v>475</v>
      </c>
      <c r="I159" s="756" t="str">
        <f t="shared" ref="I159:I160" ca="1" si="53">IF(H159="Unidade Construtiva",TEXT(A159,"00"),IF(H159="Célula Construtiva",TEXT(B159,"00"),IF(H159="Etapa",CONCATENATE(TEXT(B159,"00"),".",TEXT(C159,"000")),IF(H159="Subetapa",CONCATENATE(TEXT(B159,"00"),".",TEXT(C159,"000"),".",TEXT(D159,"000")),IF(H159="Serviço",CONCATENATE(TEXT(B159,"00"),".",TEXT(C159,"000"),".",TEXT(D159,"000"),".",TEXT(E159,"000")),"")))))</f>
        <v>10.001.003</v>
      </c>
      <c r="J159" s="757" t="s">
        <v>1300</v>
      </c>
      <c r="K159" s="758"/>
      <c r="L159" s="957"/>
      <c r="M159" s="957"/>
      <c r="N159" s="868">
        <f t="shared" ca="1" si="48"/>
        <v>2656.2421890000005</v>
      </c>
      <c r="O159" s="964"/>
      <c r="P159" s="761"/>
      <c r="Q159" s="880" t="s">
        <v>500</v>
      </c>
      <c r="R159" s="210"/>
      <c r="S159" s="210"/>
    </row>
    <row r="160" spans="1:19" s="209" customFormat="1" ht="12.75" customHeight="1" outlineLevel="2" x14ac:dyDescent="0.2">
      <c r="A160" s="959">
        <f ca="1">IF($H160="UNIDADE CONSTRUTIVA",OFFSET(A160,-1,0)+1,LARGE(A$3:A159,1))</f>
        <v>0</v>
      </c>
      <c r="B160" s="959">
        <f t="shared" ca="1" si="43"/>
        <v>10</v>
      </c>
      <c r="C160" s="959">
        <f t="shared" ca="1" si="44"/>
        <v>1</v>
      </c>
      <c r="D160" s="960">
        <f t="shared" ca="1" si="45"/>
        <v>3</v>
      </c>
      <c r="E160" s="960">
        <f t="shared" ca="1" si="46"/>
        <v>1</v>
      </c>
      <c r="G160" s="754"/>
      <c r="H160" s="755" t="s">
        <v>476</v>
      </c>
      <c r="I160" s="756" t="str">
        <f t="shared" ca="1" si="53"/>
        <v>10.001.003.001</v>
      </c>
      <c r="J160" s="757" t="s">
        <v>2577</v>
      </c>
      <c r="K160" s="758" t="s">
        <v>1</v>
      </c>
      <c r="L160" s="957">
        <f>ARQUITETURA!F132</f>
        <v>26.37</v>
      </c>
      <c r="M160" s="957">
        <f>_xlfn.XLOOKUP($J160,CPU!$D$1:$D$2521,CPU!$H$1:$H$2521)</f>
        <v>100.72970000000001</v>
      </c>
      <c r="N160" s="868">
        <f t="shared" si="48"/>
        <v>2656.2421890000005</v>
      </c>
      <c r="O160" s="964"/>
      <c r="P160" s="761" t="s">
        <v>2630</v>
      </c>
      <c r="Q160" s="210"/>
      <c r="R160" s="210"/>
      <c r="S160" s="210"/>
    </row>
    <row r="161" spans="1:19" s="209" customFormat="1" ht="13.9" customHeight="1" outlineLevel="1" x14ac:dyDescent="0.2">
      <c r="A161" s="959">
        <f ca="1">IF($H161="UNIDADE CONSTRUTIVA",OFFSET(A161,-1,0)+1,LARGE(A$3:A160,1))</f>
        <v>0</v>
      </c>
      <c r="B161" s="959">
        <f t="shared" ca="1" si="43"/>
        <v>10</v>
      </c>
      <c r="C161" s="959">
        <f t="shared" ca="1" si="44"/>
        <v>1</v>
      </c>
      <c r="D161" s="960">
        <f t="shared" ca="1" si="45"/>
        <v>4</v>
      </c>
      <c r="E161" s="960">
        <f t="shared" ca="1" si="46"/>
        <v>0</v>
      </c>
      <c r="G161" s="754"/>
      <c r="H161" s="755" t="s">
        <v>475</v>
      </c>
      <c r="I161" s="756" t="str">
        <f t="shared" ref="I161:I164" ca="1" si="54">IF(H161="Unidade Construtiva",TEXT(A161,"00"),IF(H161="Célula Construtiva",TEXT(B161,"00"),IF(H161="Etapa",CONCATENATE(TEXT(B161,"00"),".",TEXT(C161,"000")),IF(H161="Subetapa",CONCATENATE(TEXT(B161,"00"),".",TEXT(C161,"000"),".",TEXT(D161,"000")),IF(H161="Serviço",CONCATENATE(TEXT(B161,"00"),".",TEXT(C161,"000"),".",TEXT(D161,"000"),".",TEXT(E161,"000")),"")))))</f>
        <v>10.001.004</v>
      </c>
      <c r="J161" s="757" t="s">
        <v>408</v>
      </c>
      <c r="K161" s="758"/>
      <c r="L161" s="957"/>
      <c r="M161" s="957"/>
      <c r="N161" s="868">
        <f t="shared" ca="1" si="48"/>
        <v>2019.4605640000002</v>
      </c>
      <c r="O161" s="964"/>
      <c r="P161" s="761"/>
      <c r="Q161" s="882" t="s">
        <v>829</v>
      </c>
      <c r="R161" s="210"/>
      <c r="S161" s="210"/>
    </row>
    <row r="162" spans="1:19" s="209" customFormat="1" ht="12.75" customHeight="1" outlineLevel="2" x14ac:dyDescent="0.2">
      <c r="A162" s="959">
        <f ca="1">IF($H162="UNIDADE CONSTRUTIVA",OFFSET(A162,-1,0)+1,LARGE(A$3:A161,1))</f>
        <v>0</v>
      </c>
      <c r="B162" s="959">
        <f t="shared" ca="1" si="43"/>
        <v>10</v>
      </c>
      <c r="C162" s="959">
        <f t="shared" ca="1" si="44"/>
        <v>1</v>
      </c>
      <c r="D162" s="960">
        <f t="shared" ca="1" si="45"/>
        <v>4</v>
      </c>
      <c r="E162" s="960">
        <f t="shared" ca="1" si="46"/>
        <v>1</v>
      </c>
      <c r="G162" s="754"/>
      <c r="H162" s="755" t="s">
        <v>476</v>
      </c>
      <c r="I162" s="756" t="str">
        <f t="shared" ca="1" si="54"/>
        <v>10.001.004.001</v>
      </c>
      <c r="J162" s="757" t="s">
        <v>1314</v>
      </c>
      <c r="K162" s="758" t="s">
        <v>3</v>
      </c>
      <c r="L162" s="957">
        <f>SUM(ARQUITETURA!D270:D272)</f>
        <v>59.62</v>
      </c>
      <c r="M162" s="957">
        <f>_xlfn.XLOOKUP($J162,CPU!$D$1:$D$2521,CPU!$H$1:$H$2521)</f>
        <v>33.872200000000007</v>
      </c>
      <c r="N162" s="868">
        <f t="shared" si="48"/>
        <v>2019.4605640000002</v>
      </c>
      <c r="O162" s="964"/>
      <c r="P162" s="761" t="s">
        <v>2630</v>
      </c>
      <c r="Q162" s="210"/>
      <c r="R162" s="210"/>
      <c r="S162" s="210"/>
    </row>
    <row r="163" spans="1:19" s="209" customFormat="1" ht="13.9" customHeight="1" outlineLevel="1" x14ac:dyDescent="0.2">
      <c r="A163" s="959">
        <f ca="1">IF($H163="UNIDADE CONSTRUTIVA",OFFSET(A163,-1,0)+1,LARGE(A$3:A162,1))</f>
        <v>0</v>
      </c>
      <c r="B163" s="959">
        <f t="shared" ca="1" si="43"/>
        <v>10</v>
      </c>
      <c r="C163" s="959">
        <f t="shared" ca="1" si="44"/>
        <v>1</v>
      </c>
      <c r="D163" s="960">
        <f t="shared" ca="1" si="45"/>
        <v>5</v>
      </c>
      <c r="E163" s="960">
        <f t="shared" ca="1" si="46"/>
        <v>0</v>
      </c>
      <c r="G163" s="754"/>
      <c r="H163" s="755" t="s">
        <v>475</v>
      </c>
      <c r="I163" s="756" t="str">
        <f t="shared" ca="1" si="54"/>
        <v>10.001.005</v>
      </c>
      <c r="J163" s="757" t="s">
        <v>1301</v>
      </c>
      <c r="K163" s="758"/>
      <c r="L163" s="957"/>
      <c r="M163" s="957"/>
      <c r="N163" s="868">
        <f t="shared" ca="1" si="48"/>
        <v>8482.8263999999999</v>
      </c>
      <c r="O163" s="964"/>
      <c r="P163" s="761"/>
      <c r="Q163" s="880" t="s">
        <v>500</v>
      </c>
      <c r="R163" s="210"/>
      <c r="S163" s="210"/>
    </row>
    <row r="164" spans="1:19" s="209" customFormat="1" ht="12.75" customHeight="1" outlineLevel="2" x14ac:dyDescent="0.2">
      <c r="A164" s="959">
        <f ca="1">IF($H164="UNIDADE CONSTRUTIVA",OFFSET(A164,-1,0)+1,LARGE(A$3:A163,1))</f>
        <v>0</v>
      </c>
      <c r="B164" s="959">
        <f t="shared" ca="1" si="43"/>
        <v>10</v>
      </c>
      <c r="C164" s="959">
        <f t="shared" ca="1" si="44"/>
        <v>1</v>
      </c>
      <c r="D164" s="960">
        <f t="shared" ca="1" si="45"/>
        <v>5</v>
      </c>
      <c r="E164" s="960">
        <f t="shared" ca="1" si="46"/>
        <v>1</v>
      </c>
      <c r="G164" s="754"/>
      <c r="H164" s="755" t="s">
        <v>476</v>
      </c>
      <c r="I164" s="756" t="str">
        <f t="shared" ca="1" si="54"/>
        <v>10.001.005.001</v>
      </c>
      <c r="J164" s="757" t="s">
        <v>1315</v>
      </c>
      <c r="K164" s="758" t="s">
        <v>1</v>
      </c>
      <c r="L164" s="957">
        <f>ARQUITETURA!F249</f>
        <v>10.48</v>
      </c>
      <c r="M164" s="957">
        <f>_xlfn.XLOOKUP($J164,CPU!$D$1:$D$2521,CPU!$H$1:$H$2521)</f>
        <v>809.43</v>
      </c>
      <c r="N164" s="868">
        <f t="shared" si="48"/>
        <v>8482.8263999999999</v>
      </c>
      <c r="O164" s="964"/>
      <c r="P164" s="761" t="s">
        <v>2630</v>
      </c>
      <c r="Q164" s="210"/>
      <c r="R164" s="210"/>
      <c r="S164" s="210"/>
    </row>
    <row r="165" spans="1:19" s="209" customFormat="1" ht="13.9" customHeight="1" outlineLevel="1" x14ac:dyDescent="0.2">
      <c r="A165" s="959">
        <f ca="1">IF($H165="UNIDADE CONSTRUTIVA",OFFSET(A165,-1,0)+1,LARGE(A$3:A164,1))</f>
        <v>0</v>
      </c>
      <c r="B165" s="959">
        <f t="shared" ca="1" si="43"/>
        <v>10</v>
      </c>
      <c r="C165" s="959">
        <f t="shared" ca="1" si="44"/>
        <v>1</v>
      </c>
      <c r="D165" s="960">
        <f t="shared" ca="1" si="45"/>
        <v>6</v>
      </c>
      <c r="E165" s="960">
        <f t="shared" ca="1" si="46"/>
        <v>0</v>
      </c>
      <c r="G165" s="754"/>
      <c r="H165" s="755" t="s">
        <v>475</v>
      </c>
      <c r="I165" s="756" t="str">
        <f t="shared" ref="I165:I186" ca="1" si="55">IF(H165="Unidade Construtiva",TEXT(A165,"00"),IF(H165="Célula Construtiva",TEXT(B165,"00"),IF(H165="Etapa",CONCATENATE(TEXT(B165,"00"),".",TEXT(C165,"000")),IF(H165="Subetapa",CONCATENATE(TEXT(B165,"00"),".",TEXT(C165,"000"),".",TEXT(D165,"000")),IF(H165="Serviço",CONCATENATE(TEXT(B165,"00"),".",TEXT(C165,"000"),".",TEXT(D165,"000"),".",TEXT(E165,"000")),"")))))</f>
        <v>10.001.006</v>
      </c>
      <c r="J165" s="757" t="s">
        <v>401</v>
      </c>
      <c r="K165" s="758"/>
      <c r="L165" s="957"/>
      <c r="M165" s="957"/>
      <c r="N165" s="868">
        <f t="shared" ca="1" si="48"/>
        <v>24218.79</v>
      </c>
      <c r="O165" s="964"/>
      <c r="P165" s="761"/>
      <c r="Q165" s="210"/>
      <c r="R165" s="210"/>
      <c r="S165" s="210"/>
    </row>
    <row r="166" spans="1:19" s="209" customFormat="1" ht="12.75" customHeight="1" outlineLevel="2" x14ac:dyDescent="0.2">
      <c r="A166" s="959">
        <f ca="1">IF($H166="UNIDADE CONSTRUTIVA",OFFSET(A166,-1,0)+1,LARGE(A$3:A165,1))</f>
        <v>0</v>
      </c>
      <c r="B166" s="959">
        <f t="shared" ca="1" si="43"/>
        <v>10</v>
      </c>
      <c r="C166" s="959">
        <f t="shared" ca="1" si="44"/>
        <v>1</v>
      </c>
      <c r="D166" s="960">
        <f t="shared" ca="1" si="45"/>
        <v>6</v>
      </c>
      <c r="E166" s="960">
        <f t="shared" ca="1" si="46"/>
        <v>1</v>
      </c>
      <c r="G166" s="754"/>
      <c r="H166" s="755" t="s">
        <v>476</v>
      </c>
      <c r="I166" s="756" t="str">
        <f t="shared" ref="I166" ca="1" si="56">IF(H166="Unidade Construtiva",TEXT(A166,"00"),IF(H166="Célula Construtiva",TEXT(B166,"00"),IF(H166="Etapa",CONCATENATE(TEXT(B166,"00"),".",TEXT(C166,"000")),IF(H166="Subetapa",CONCATENATE(TEXT(B166,"00"),".",TEXT(C166,"000"),".",TEXT(D166,"000")),IF(H166="Serviço",CONCATENATE(TEXT(B166,"00"),".",TEXT(C166,"000"),".",TEXT(D166,"000"),".",TEXT(E166,"000")),"")))))</f>
        <v>10.001.006.001</v>
      </c>
      <c r="J166" s="757" t="s">
        <v>2029</v>
      </c>
      <c r="K166" s="758" t="s">
        <v>1</v>
      </c>
      <c r="L166" s="957">
        <f>L151+L153</f>
        <v>269.54000000000002</v>
      </c>
      <c r="M166" s="957">
        <f>_xlfn.XLOOKUP($J166,CPU!$D$1:$D$2521,CPU!$H$1:$H$2521)</f>
        <v>40</v>
      </c>
      <c r="N166" s="868">
        <f t="shared" si="48"/>
        <v>10781.6</v>
      </c>
      <c r="O166" s="964"/>
      <c r="P166" s="761" t="s">
        <v>2630</v>
      </c>
      <c r="Q166" s="880" t="s">
        <v>500</v>
      </c>
      <c r="R166" s="210"/>
      <c r="S166" s="210"/>
    </row>
    <row r="167" spans="1:19" s="209" customFormat="1" ht="12.75" customHeight="1" outlineLevel="2" x14ac:dyDescent="0.2">
      <c r="A167" s="959">
        <f ca="1">IF($H167="UNIDADE CONSTRUTIVA",OFFSET(A167,-1,0)+1,LARGE(A$3:A166,1))</f>
        <v>0</v>
      </c>
      <c r="B167" s="959">
        <f t="shared" ca="1" si="43"/>
        <v>10</v>
      </c>
      <c r="C167" s="959">
        <f t="shared" ca="1" si="44"/>
        <v>1</v>
      </c>
      <c r="D167" s="960">
        <f t="shared" ca="1" si="45"/>
        <v>6</v>
      </c>
      <c r="E167" s="960">
        <f t="shared" ca="1" si="46"/>
        <v>2</v>
      </c>
      <c r="G167" s="754"/>
      <c r="H167" s="755" t="s">
        <v>476</v>
      </c>
      <c r="I167" s="756" t="str">
        <f t="shared" ca="1" si="55"/>
        <v>10.001.006.002</v>
      </c>
      <c r="J167" s="757" t="s">
        <v>1824</v>
      </c>
      <c r="K167" s="758" t="s">
        <v>1</v>
      </c>
      <c r="L167" s="957">
        <f>L152</f>
        <v>63.27</v>
      </c>
      <c r="M167" s="957">
        <v>55</v>
      </c>
      <c r="N167" s="868">
        <f t="shared" si="48"/>
        <v>3479.8500000000004</v>
      </c>
      <c r="O167" s="964"/>
      <c r="P167" s="761" t="s">
        <v>2630</v>
      </c>
      <c r="Q167" s="880" t="s">
        <v>500</v>
      </c>
      <c r="R167" s="210"/>
      <c r="S167" s="210"/>
    </row>
    <row r="168" spans="1:19" s="209" customFormat="1" ht="12.75" customHeight="1" outlineLevel="2" x14ac:dyDescent="0.2">
      <c r="A168" s="959">
        <f ca="1">IF($H168="UNIDADE CONSTRUTIVA",OFFSET(A168,-1,0)+1,LARGE(A$3:A167,1))</f>
        <v>0</v>
      </c>
      <c r="B168" s="959">
        <f t="shared" ca="1" si="43"/>
        <v>10</v>
      </c>
      <c r="C168" s="959">
        <f t="shared" ca="1" si="44"/>
        <v>1</v>
      </c>
      <c r="D168" s="960">
        <f t="shared" ca="1" si="45"/>
        <v>6</v>
      </c>
      <c r="E168" s="960">
        <f t="shared" ca="1" si="46"/>
        <v>3</v>
      </c>
      <c r="G168" s="754"/>
      <c r="H168" s="755" t="s">
        <v>476</v>
      </c>
      <c r="I168" s="756" t="str">
        <f t="shared" ref="I168" ca="1" si="57">IF(H168="Unidade Construtiva",TEXT(A168,"00"),IF(H168="Célula Construtiva",TEXT(B168,"00"),IF(H168="Etapa",CONCATENATE(TEXT(B168,"00"),".",TEXT(C168,"000")),IF(H168="Subetapa",CONCATENATE(TEXT(B168,"00"),".",TEXT(C168,"000"),".",TEXT(D168,"000")),IF(H168="Serviço",CONCATENATE(TEXT(B168,"00"),".",TEXT(C168,"000"),".",TEXT(D168,"000"),".",TEXT(E168,"000")),"")))))</f>
        <v>10.001.006.003</v>
      </c>
      <c r="J168" s="757" t="s">
        <v>2609</v>
      </c>
      <c r="K168" s="758" t="s">
        <v>1</v>
      </c>
      <c r="L168" s="957">
        <f>L154</f>
        <v>34.94</v>
      </c>
      <c r="M168" s="957">
        <f>_xlfn.XLOOKUP($J168,CPU!$D$1:$D$2521,CPU!$H$1:$H$2521)</f>
        <v>40</v>
      </c>
      <c r="N168" s="868">
        <f t="shared" si="48"/>
        <v>1397.6</v>
      </c>
      <c r="O168" s="964"/>
      <c r="P168" s="761" t="s">
        <v>2630</v>
      </c>
      <c r="Q168" s="880" t="s">
        <v>500</v>
      </c>
      <c r="R168" s="210"/>
      <c r="S168" s="210"/>
    </row>
    <row r="169" spans="1:19" s="209" customFormat="1" ht="12.75" customHeight="1" outlineLevel="2" x14ac:dyDescent="0.2">
      <c r="A169" s="959">
        <f ca="1">IF($H169="UNIDADE CONSTRUTIVA",OFFSET(A169,-1,0)+1,LARGE(A$3:A168,1))</f>
        <v>0</v>
      </c>
      <c r="B169" s="959">
        <f t="shared" ca="1" si="43"/>
        <v>10</v>
      </c>
      <c r="C169" s="959">
        <f t="shared" ca="1" si="44"/>
        <v>1</v>
      </c>
      <c r="D169" s="960">
        <f t="shared" ca="1" si="45"/>
        <v>6</v>
      </c>
      <c r="E169" s="960">
        <f t="shared" ca="1" si="46"/>
        <v>4</v>
      </c>
      <c r="G169" s="754"/>
      <c r="H169" s="755" t="s">
        <v>476</v>
      </c>
      <c r="I169" s="756" t="str">
        <f t="shared" ca="1" si="55"/>
        <v>10.001.006.004</v>
      </c>
      <c r="J169" s="757" t="s">
        <v>1826</v>
      </c>
      <c r="K169" s="758" t="s">
        <v>1</v>
      </c>
      <c r="L169" s="957">
        <f>L158</f>
        <v>133.43</v>
      </c>
      <c r="M169" s="957">
        <v>40</v>
      </c>
      <c r="N169" s="868">
        <f t="shared" si="48"/>
        <v>5337.2000000000007</v>
      </c>
      <c r="O169" s="964"/>
      <c r="P169" s="761" t="s">
        <v>2630</v>
      </c>
      <c r="Q169" s="882" t="s">
        <v>829</v>
      </c>
      <c r="R169" s="210"/>
      <c r="S169" s="210"/>
    </row>
    <row r="170" spans="1:19" s="209" customFormat="1" ht="12.75" customHeight="1" outlineLevel="2" x14ac:dyDescent="0.2">
      <c r="A170" s="959">
        <f ca="1">IF($H170="UNIDADE CONSTRUTIVA",OFFSET(A170,-1,0)+1,LARGE(A$3:A169,1))</f>
        <v>0</v>
      </c>
      <c r="B170" s="959">
        <f t="shared" ca="1" si="43"/>
        <v>10</v>
      </c>
      <c r="C170" s="959">
        <f t="shared" ca="1" si="44"/>
        <v>1</v>
      </c>
      <c r="D170" s="960">
        <f t="shared" ca="1" si="45"/>
        <v>6</v>
      </c>
      <c r="E170" s="960">
        <f t="shared" ca="1" si="46"/>
        <v>5</v>
      </c>
      <c r="G170" s="754"/>
      <c r="H170" s="755" t="s">
        <v>476</v>
      </c>
      <c r="I170" s="756" t="str">
        <f t="shared" ca="1" si="55"/>
        <v>10.001.006.005</v>
      </c>
      <c r="J170" s="757" t="s">
        <v>1825</v>
      </c>
      <c r="K170" s="758" t="s">
        <v>1</v>
      </c>
      <c r="L170" s="957">
        <f>L157</f>
        <v>13.23</v>
      </c>
      <c r="M170" s="957">
        <f>_xlfn.XLOOKUP($J170,CPU!$D$1:$D$2521,CPU!$H$1:$H$2521)</f>
        <v>55</v>
      </c>
      <c r="N170" s="868">
        <f t="shared" si="48"/>
        <v>727.65</v>
      </c>
      <c r="O170" s="964"/>
      <c r="P170" s="761" t="s">
        <v>2630</v>
      </c>
      <c r="Q170" s="882" t="s">
        <v>829</v>
      </c>
      <c r="R170" s="210"/>
      <c r="S170" s="210"/>
    </row>
    <row r="171" spans="1:19" s="209" customFormat="1" ht="12.75" customHeight="1" outlineLevel="2" x14ac:dyDescent="0.2">
      <c r="A171" s="959">
        <f ca="1">IF($H171="UNIDADE CONSTRUTIVA",OFFSET(A171,-1,0)+1,LARGE(A$3:A170,1))</f>
        <v>0</v>
      </c>
      <c r="B171" s="959">
        <f t="shared" ca="1" si="43"/>
        <v>10</v>
      </c>
      <c r="C171" s="959">
        <f t="shared" ca="1" si="44"/>
        <v>1</v>
      </c>
      <c r="D171" s="960">
        <f t="shared" ca="1" si="45"/>
        <v>6</v>
      </c>
      <c r="E171" s="960">
        <f t="shared" ca="1" si="46"/>
        <v>6</v>
      </c>
      <c r="G171" s="754"/>
      <c r="H171" s="755" t="s">
        <v>476</v>
      </c>
      <c r="I171" s="756" t="str">
        <f t="shared" ca="1" si="55"/>
        <v>10.001.006.006</v>
      </c>
      <c r="J171" s="757" t="s">
        <v>2580</v>
      </c>
      <c r="K171" s="758" t="s">
        <v>1</v>
      </c>
      <c r="L171" s="957">
        <f>L160</f>
        <v>26.37</v>
      </c>
      <c r="M171" s="957">
        <v>25</v>
      </c>
      <c r="N171" s="868">
        <f t="shared" si="48"/>
        <v>659.25</v>
      </c>
      <c r="O171" s="964"/>
      <c r="P171" s="761" t="s">
        <v>2630</v>
      </c>
      <c r="Q171" s="880" t="s">
        <v>500</v>
      </c>
      <c r="R171" s="210"/>
      <c r="S171" s="210"/>
    </row>
    <row r="172" spans="1:19" s="209" customFormat="1" ht="12.75" customHeight="1" outlineLevel="2" x14ac:dyDescent="0.2">
      <c r="A172" s="959">
        <f ca="1">IF($H172="UNIDADE CONSTRUTIVA",OFFSET(A172,-1,0)+1,LARGE(A$3:A171,1))</f>
        <v>0</v>
      </c>
      <c r="B172" s="959">
        <f t="shared" ca="1" si="43"/>
        <v>10</v>
      </c>
      <c r="C172" s="959">
        <f t="shared" ca="1" si="44"/>
        <v>1</v>
      </c>
      <c r="D172" s="960">
        <f t="shared" ca="1" si="45"/>
        <v>6</v>
      </c>
      <c r="E172" s="960">
        <f t="shared" ca="1" si="46"/>
        <v>7</v>
      </c>
      <c r="G172" s="754"/>
      <c r="H172" s="755" t="s">
        <v>476</v>
      </c>
      <c r="I172" s="756" t="str">
        <f t="shared" ref="I172" ca="1" si="58">IF(H172="Unidade Construtiva",TEXT(A172,"00"),IF(H172="Célula Construtiva",TEXT(B172,"00"),IF(H172="Etapa",CONCATENATE(TEXT(B172,"00"),".",TEXT(C172,"000")),IF(H172="Subetapa",CONCATENATE(TEXT(B172,"00"),".",TEXT(C172,"000"),".",TEXT(D172,"000")),IF(H172="Serviço",CONCATENATE(TEXT(B172,"00"),".",TEXT(C172,"000"),".",TEXT(D172,"000"),".",TEXT(E172,"000")),"")))))</f>
        <v>10.001.006.007</v>
      </c>
      <c r="J172" s="757" t="s">
        <v>2033</v>
      </c>
      <c r="K172" s="758" t="s">
        <v>3</v>
      </c>
      <c r="L172" s="957">
        <f>L162</f>
        <v>59.62</v>
      </c>
      <c r="M172" s="957">
        <f>_xlfn.XLOOKUP($J172,CPU!$D$1:$D$2521,CPU!$H$1:$H$2521)</f>
        <v>22</v>
      </c>
      <c r="N172" s="868">
        <f t="shared" si="48"/>
        <v>1311.6399999999999</v>
      </c>
      <c r="O172" s="964"/>
      <c r="P172" s="761" t="s">
        <v>2630</v>
      </c>
      <c r="Q172" s="882" t="s">
        <v>829</v>
      </c>
      <c r="R172" s="210"/>
      <c r="S172" s="210"/>
    </row>
    <row r="173" spans="1:19" s="209" customFormat="1" ht="12.75" customHeight="1" outlineLevel="2" x14ac:dyDescent="0.2">
      <c r="A173" s="959">
        <f ca="1">IF($H173="UNIDADE CONSTRUTIVA",OFFSET(A173,-1,0)+1,LARGE(A$3:A172,1))</f>
        <v>0</v>
      </c>
      <c r="B173" s="959">
        <f t="shared" ca="1" si="43"/>
        <v>10</v>
      </c>
      <c r="C173" s="959">
        <f t="shared" ca="1" si="44"/>
        <v>1</v>
      </c>
      <c r="D173" s="960">
        <f t="shared" ca="1" si="45"/>
        <v>6</v>
      </c>
      <c r="E173" s="960">
        <f t="shared" ca="1" si="46"/>
        <v>8</v>
      </c>
      <c r="G173" s="754"/>
      <c r="H173" s="755" t="s">
        <v>476</v>
      </c>
      <c r="I173" s="756" t="str">
        <f t="shared" ca="1" si="55"/>
        <v>10.001.006.008</v>
      </c>
      <c r="J173" s="757" t="s">
        <v>1320</v>
      </c>
      <c r="K173" s="758" t="s">
        <v>1</v>
      </c>
      <c r="L173" s="957">
        <f>L164</f>
        <v>10.48</v>
      </c>
      <c r="M173" s="957">
        <f>_xlfn.XLOOKUP($J173,CPU!$D$1:$D$2521,CPU!$H$1:$H$2521)</f>
        <v>50</v>
      </c>
      <c r="N173" s="868">
        <f t="shared" si="48"/>
        <v>524</v>
      </c>
      <c r="O173" s="964"/>
      <c r="P173" s="761" t="s">
        <v>2630</v>
      </c>
      <c r="Q173" s="880" t="s">
        <v>500</v>
      </c>
      <c r="R173" s="210"/>
      <c r="S173" s="210"/>
    </row>
    <row r="174" spans="1:19" s="209" customFormat="1" ht="13.9" customHeight="1" x14ac:dyDescent="0.2">
      <c r="A174" s="959">
        <f ca="1">IF($H174="UNIDADE CONSTRUTIVA",OFFSET(A174,-1,0)+1,LARGE(A$3:A173,1))</f>
        <v>0</v>
      </c>
      <c r="B174" s="959">
        <f t="shared" ca="1" si="43"/>
        <v>11</v>
      </c>
      <c r="C174" s="959">
        <f t="shared" ca="1" si="44"/>
        <v>0</v>
      </c>
      <c r="D174" s="960">
        <f t="shared" ca="1" si="45"/>
        <v>6</v>
      </c>
      <c r="E174" s="960">
        <f t="shared" ca="1" si="46"/>
        <v>8</v>
      </c>
      <c r="F174" s="1132"/>
      <c r="G174" s="754"/>
      <c r="H174" s="755" t="s">
        <v>473</v>
      </c>
      <c r="I174" s="756" t="str">
        <f t="shared" ca="1" si="55"/>
        <v>11</v>
      </c>
      <c r="J174" s="757" t="s">
        <v>1302</v>
      </c>
      <c r="K174" s="758"/>
      <c r="L174" s="957"/>
      <c r="M174" s="957"/>
      <c r="N174" s="868">
        <f t="shared" ca="1" si="48"/>
        <v>50473.2022</v>
      </c>
      <c r="O174" s="964">
        <f ca="1">N174/'Obra '!E$9</f>
        <v>153.14865491397882</v>
      </c>
      <c r="P174" s="761"/>
      <c r="Q174" s="965"/>
      <c r="R174" s="965"/>
      <c r="S174" s="210"/>
    </row>
    <row r="175" spans="1:19" s="209" customFormat="1" ht="13.9" customHeight="1" outlineLevel="1" x14ac:dyDescent="0.2">
      <c r="A175" s="959">
        <f ca="1">IF($H175="UNIDADE CONSTRUTIVA",OFFSET(A175,-1,0)+1,LARGE(A$3:A174,1))</f>
        <v>0</v>
      </c>
      <c r="B175" s="959">
        <f t="shared" ca="1" si="43"/>
        <v>11</v>
      </c>
      <c r="C175" s="959">
        <f t="shared" ca="1" si="44"/>
        <v>1</v>
      </c>
      <c r="D175" s="960">
        <f t="shared" ca="1" si="45"/>
        <v>0</v>
      </c>
      <c r="E175" s="960">
        <f t="shared" ca="1" si="46"/>
        <v>8</v>
      </c>
      <c r="G175" s="754"/>
      <c r="H175" s="755" t="s">
        <v>474</v>
      </c>
      <c r="I175" s="756" t="str">
        <f t="shared" ca="1" si="55"/>
        <v>11.001</v>
      </c>
      <c r="J175" s="757" t="s">
        <v>1302</v>
      </c>
      <c r="K175" s="758"/>
      <c r="L175" s="957"/>
      <c r="M175" s="957"/>
      <c r="N175" s="868">
        <f t="shared" ca="1" si="48"/>
        <v>50473.2022</v>
      </c>
      <c r="O175" s="964"/>
      <c r="P175" s="761"/>
      <c r="Q175" s="210"/>
      <c r="R175" s="210"/>
      <c r="S175" s="210"/>
    </row>
    <row r="176" spans="1:19" s="209" customFormat="1" ht="13.9" customHeight="1" outlineLevel="1" x14ac:dyDescent="0.2">
      <c r="A176" s="959">
        <f ca="1">IF($H176="UNIDADE CONSTRUTIVA",OFFSET(A176,-1,0)+1,LARGE(A$3:A175,1))</f>
        <v>0</v>
      </c>
      <c r="B176" s="959">
        <f t="shared" ca="1" si="43"/>
        <v>11</v>
      </c>
      <c r="C176" s="959">
        <f t="shared" ca="1" si="44"/>
        <v>1</v>
      </c>
      <c r="D176" s="960">
        <f t="shared" ca="1" si="45"/>
        <v>1</v>
      </c>
      <c r="E176" s="960">
        <f t="shared" ca="1" si="46"/>
        <v>0</v>
      </c>
      <c r="G176" s="754"/>
      <c r="H176" s="755" t="s">
        <v>475</v>
      </c>
      <c r="I176" s="756" t="str">
        <f t="shared" ref="I176:I177" ca="1" si="59">IF(H176="Unidade Construtiva",TEXT(A176,"00"),IF(H176="Célula Construtiva",TEXT(B176,"00"),IF(H176="Etapa",CONCATENATE(TEXT(B176,"00"),".",TEXT(C176,"000")),IF(H176="Subetapa",CONCATENATE(TEXT(B176,"00"),".",TEXT(C176,"000"),".",TEXT(D176,"000")),IF(H176="Serviço",CONCATENATE(TEXT(B176,"00"),".",TEXT(C176,"000"),".",TEXT(D176,"000"),".",TEXT(E176,"000")),"")))))</f>
        <v>11.001.001</v>
      </c>
      <c r="J176" s="757" t="s">
        <v>1161</v>
      </c>
      <c r="K176" s="758"/>
      <c r="L176" s="957"/>
      <c r="M176" s="957"/>
      <c r="N176" s="868">
        <f t="shared" ca="1" si="48"/>
        <v>117.9222</v>
      </c>
      <c r="O176" s="964"/>
      <c r="P176" s="761"/>
      <c r="Q176" s="882" t="s">
        <v>864</v>
      </c>
      <c r="R176" s="210"/>
      <c r="S176" s="210"/>
    </row>
    <row r="177" spans="1:19" s="209" customFormat="1" ht="12.75" customHeight="1" outlineLevel="2" x14ac:dyDescent="0.2">
      <c r="A177" s="959">
        <f ca="1">IF($H177="UNIDADE CONSTRUTIVA",OFFSET(A177,-1,0)+1,LARGE(A$3:A176,1))</f>
        <v>0</v>
      </c>
      <c r="B177" s="959">
        <f t="shared" ca="1" si="43"/>
        <v>11</v>
      </c>
      <c r="C177" s="959">
        <f t="shared" ca="1" si="44"/>
        <v>1</v>
      </c>
      <c r="D177" s="960">
        <f t="shared" ca="1" si="45"/>
        <v>1</v>
      </c>
      <c r="E177" s="960">
        <f t="shared" ca="1" si="46"/>
        <v>1</v>
      </c>
      <c r="G177" s="754"/>
      <c r="H177" s="755" t="s">
        <v>476</v>
      </c>
      <c r="I177" s="756" t="str">
        <f t="shared" ca="1" si="59"/>
        <v>11.001.001.001</v>
      </c>
      <c r="J177" s="757" t="s">
        <v>2588</v>
      </c>
      <c r="K177" s="758"/>
      <c r="L177" s="957">
        <f>ARQUITETURA!D108</f>
        <v>10.51</v>
      </c>
      <c r="M177" s="957">
        <f>_xlfn.XLOOKUP($J177,CPU!$D$1:$D$2521,CPU!$H$1:$H$2521)</f>
        <v>11.22</v>
      </c>
      <c r="N177" s="868">
        <f t="shared" si="48"/>
        <v>117.9222</v>
      </c>
      <c r="O177" s="964"/>
      <c r="P177" s="761" t="s">
        <v>2630</v>
      </c>
      <c r="Q177" s="210"/>
      <c r="R177" s="210"/>
      <c r="S177" s="210"/>
    </row>
    <row r="178" spans="1:19" s="209" customFormat="1" ht="13.9" customHeight="1" outlineLevel="1" x14ac:dyDescent="0.2">
      <c r="A178" s="959">
        <f ca="1">IF($H178="UNIDADE CONSTRUTIVA",OFFSET(A178,-1,0)+1,LARGE(A$3:A177,1))</f>
        <v>0</v>
      </c>
      <c r="B178" s="959">
        <f t="shared" ca="1" si="43"/>
        <v>11</v>
      </c>
      <c r="C178" s="959">
        <f t="shared" ca="1" si="44"/>
        <v>1</v>
      </c>
      <c r="D178" s="960">
        <f t="shared" ca="1" si="45"/>
        <v>2</v>
      </c>
      <c r="E178" s="960">
        <f t="shared" ca="1" si="46"/>
        <v>0</v>
      </c>
      <c r="G178" s="754"/>
      <c r="H178" s="755" t="s">
        <v>475</v>
      </c>
      <c r="I178" s="756" t="str">
        <f t="shared" ca="1" si="55"/>
        <v>11.001.002</v>
      </c>
      <c r="J178" s="757" t="s">
        <v>405</v>
      </c>
      <c r="K178" s="758"/>
      <c r="L178" s="957"/>
      <c r="M178" s="957"/>
      <c r="N178" s="868">
        <f t="shared" ca="1" si="48"/>
        <v>36816.300000000003</v>
      </c>
      <c r="O178" s="964"/>
      <c r="P178" s="761"/>
      <c r="Q178" s="882" t="s">
        <v>501</v>
      </c>
      <c r="R178" s="210"/>
      <c r="S178" s="210"/>
    </row>
    <row r="179" spans="1:19" s="209" customFormat="1" ht="12.75" customHeight="1" outlineLevel="2" x14ac:dyDescent="0.2">
      <c r="A179" s="959">
        <f ca="1">IF($H179="UNIDADE CONSTRUTIVA",OFFSET(A179,-1,0)+1,LARGE(A$3:A178,1))</f>
        <v>0</v>
      </c>
      <c r="B179" s="959">
        <f t="shared" ca="1" si="43"/>
        <v>11</v>
      </c>
      <c r="C179" s="959">
        <f t="shared" ca="1" si="44"/>
        <v>1</v>
      </c>
      <c r="D179" s="960">
        <f t="shared" ca="1" si="45"/>
        <v>2</v>
      </c>
      <c r="E179" s="960">
        <f t="shared" ca="1" si="46"/>
        <v>1</v>
      </c>
      <c r="G179" s="754"/>
      <c r="H179" s="755" t="s">
        <v>476</v>
      </c>
      <c r="I179" s="756" t="str">
        <f t="shared" ca="1" si="55"/>
        <v>11.001.002.001</v>
      </c>
      <c r="J179" s="757" t="s">
        <v>1321</v>
      </c>
      <c r="K179" s="758"/>
      <c r="L179" s="957">
        <f>ARQUITETURA!F101</f>
        <v>169.79000000000002</v>
      </c>
      <c r="M179" s="957">
        <f>_xlfn.XLOOKUP($J179,CPU!$D$1:$D$2521,CPU!$H$1:$H$2521)</f>
        <v>120</v>
      </c>
      <c r="N179" s="868">
        <f t="shared" si="48"/>
        <v>20374.800000000003</v>
      </c>
      <c r="O179" s="964"/>
      <c r="P179" s="761" t="s">
        <v>2630</v>
      </c>
      <c r="Q179" s="210"/>
      <c r="R179" s="210"/>
      <c r="S179" s="210"/>
    </row>
    <row r="180" spans="1:19" s="209" customFormat="1" ht="12.75" customHeight="1" outlineLevel="2" x14ac:dyDescent="0.2">
      <c r="A180" s="959">
        <f ca="1">IF($H180="UNIDADE CONSTRUTIVA",OFFSET(A180,-1,0)+1,LARGE(A$3:A179,1))</f>
        <v>0</v>
      </c>
      <c r="B180" s="959">
        <f t="shared" ca="1" si="43"/>
        <v>11</v>
      </c>
      <c r="C180" s="959">
        <f t="shared" ca="1" si="44"/>
        <v>1</v>
      </c>
      <c r="D180" s="960">
        <f t="shared" ca="1" si="45"/>
        <v>2</v>
      </c>
      <c r="E180" s="960">
        <f t="shared" ca="1" si="46"/>
        <v>2</v>
      </c>
      <c r="G180" s="754"/>
      <c r="H180" s="755" t="s">
        <v>476</v>
      </c>
      <c r="I180" s="756" t="str">
        <f t="shared" ca="1" si="55"/>
        <v>11.001.002.002</v>
      </c>
      <c r="J180" s="757" t="s">
        <v>1322</v>
      </c>
      <c r="K180" s="758"/>
      <c r="L180" s="957">
        <f>ARQUITETURA!F102</f>
        <v>109.61</v>
      </c>
      <c r="M180" s="957">
        <f>_xlfn.XLOOKUP($J180,CPU!$D$1:$D$2521,CPU!$H$1:$H$2521)</f>
        <v>150</v>
      </c>
      <c r="N180" s="868">
        <f t="shared" si="48"/>
        <v>16441.5</v>
      </c>
      <c r="O180" s="964"/>
      <c r="P180" s="761" t="s">
        <v>2630</v>
      </c>
      <c r="Q180" s="210"/>
      <c r="R180" s="210"/>
      <c r="S180" s="210"/>
    </row>
    <row r="181" spans="1:19" s="209" customFormat="1" ht="13.9" customHeight="1" outlineLevel="1" x14ac:dyDescent="0.2">
      <c r="A181" s="959">
        <f ca="1">IF($H181="UNIDADE CONSTRUTIVA",OFFSET(A181,-1,0)+1,LARGE(A$3:A180,1))</f>
        <v>0</v>
      </c>
      <c r="B181" s="959">
        <f t="shared" ca="1" si="43"/>
        <v>11</v>
      </c>
      <c r="C181" s="959">
        <f t="shared" ca="1" si="44"/>
        <v>1</v>
      </c>
      <c r="D181" s="960">
        <f t="shared" ca="1" si="45"/>
        <v>3</v>
      </c>
      <c r="E181" s="960">
        <f t="shared" ca="1" si="46"/>
        <v>0</v>
      </c>
      <c r="G181" s="754"/>
      <c r="H181" s="755" t="s">
        <v>475</v>
      </c>
      <c r="I181" s="756" t="str">
        <f t="shared" ref="I181:I184" ca="1" si="60">IF(H181="Unidade Construtiva",TEXT(A181,"00"),IF(H181="Célula Construtiva",TEXT(B181,"00"),IF(H181="Etapa",CONCATENATE(TEXT(B181,"00"),".",TEXT(C181,"000")),IF(H181="Subetapa",CONCATENATE(TEXT(B181,"00"),".",TEXT(C181,"000"),".",TEXT(D181,"000")),IF(H181="Serviço",CONCATENATE(TEXT(B181,"00"),".",TEXT(C181,"000"),".",TEXT(D181,"000"),".",TEXT(E181,"000")),"")))))</f>
        <v>11.001.003</v>
      </c>
      <c r="J181" s="757" t="s">
        <v>2592</v>
      </c>
      <c r="K181" s="758"/>
      <c r="L181" s="957"/>
      <c r="M181" s="957"/>
      <c r="N181" s="868">
        <f t="shared" ca="1" si="48"/>
        <v>13276.23</v>
      </c>
      <c r="O181" s="964"/>
      <c r="P181" s="761"/>
      <c r="Q181" s="882" t="s">
        <v>501</v>
      </c>
      <c r="R181" s="210"/>
      <c r="S181" s="210"/>
    </row>
    <row r="182" spans="1:19" s="209" customFormat="1" ht="12.75" customHeight="1" outlineLevel="2" x14ac:dyDescent="0.2">
      <c r="A182" s="959">
        <f ca="1">IF($H182="UNIDADE CONSTRUTIVA",OFFSET(A182,-1,0)+1,LARGE(A$3:A181,1))</f>
        <v>0</v>
      </c>
      <c r="B182" s="959">
        <f t="shared" ca="1" si="43"/>
        <v>11</v>
      </c>
      <c r="C182" s="959">
        <f t="shared" ca="1" si="44"/>
        <v>1</v>
      </c>
      <c r="D182" s="960">
        <f t="shared" ca="1" si="45"/>
        <v>3</v>
      </c>
      <c r="E182" s="960">
        <f t="shared" ca="1" si="46"/>
        <v>1</v>
      </c>
      <c r="G182" s="754"/>
      <c r="H182" s="755" t="s">
        <v>476</v>
      </c>
      <c r="I182" s="756" t="str">
        <f t="shared" ca="1" si="60"/>
        <v>11.001.003.001</v>
      </c>
      <c r="J182" s="757" t="s">
        <v>1848</v>
      </c>
      <c r="K182" s="758"/>
      <c r="L182" s="957">
        <f>ARQUITETURA!D111</f>
        <v>31.97</v>
      </c>
      <c r="M182" s="957">
        <f>_xlfn.XLOOKUP($J182,CPU!$D$1:$D$2521,CPU!$H$1:$H$2521)</f>
        <v>249</v>
      </c>
      <c r="N182" s="868">
        <f t="shared" si="48"/>
        <v>7960.53</v>
      </c>
      <c r="O182" s="964"/>
      <c r="P182" s="761" t="s">
        <v>2630</v>
      </c>
      <c r="Q182" s="210"/>
      <c r="R182" s="210"/>
      <c r="S182" s="210"/>
    </row>
    <row r="183" spans="1:19" s="209" customFormat="1" ht="12.75" customHeight="1" outlineLevel="2" x14ac:dyDescent="0.2">
      <c r="A183" s="959">
        <f ca="1">IF($H183="UNIDADE CONSTRUTIVA",OFFSET(A183,-1,0)+1,LARGE(A$3:A182,1))</f>
        <v>0</v>
      </c>
      <c r="B183" s="959">
        <f t="shared" ca="1" si="43"/>
        <v>11</v>
      </c>
      <c r="C183" s="959">
        <f t="shared" ca="1" si="44"/>
        <v>1</v>
      </c>
      <c r="D183" s="960">
        <f t="shared" ca="1" si="45"/>
        <v>3</v>
      </c>
      <c r="E183" s="960">
        <f t="shared" ca="1" si="46"/>
        <v>2</v>
      </c>
      <c r="G183" s="754"/>
      <c r="H183" s="755" t="s">
        <v>476</v>
      </c>
      <c r="I183" s="756" t="str">
        <f t="shared" ref="I183" ca="1" si="61">IF(H183="Unidade Construtiva",TEXT(A183,"00"),IF(H183="Célula Construtiva",TEXT(B183,"00"),IF(H183="Etapa",CONCATENATE(TEXT(B183,"00"),".",TEXT(C183,"000")),IF(H183="Subetapa",CONCATENATE(TEXT(B183,"00"),".",TEXT(C183,"000"),".",TEXT(D183,"000")),IF(H183="Serviço",CONCATENATE(TEXT(B183,"00"),".",TEXT(C183,"000"),".",TEXT(D183,"000"),".",TEXT(E183,"000")),"")))))</f>
        <v>11.001.003.002</v>
      </c>
      <c r="J183" s="757" t="s">
        <v>2593</v>
      </c>
      <c r="K183" s="758"/>
      <c r="L183" s="957">
        <f>ARQUITETURA!D113</f>
        <v>1.17</v>
      </c>
      <c r="M183" s="957">
        <f>_xlfn.XLOOKUP($J183,CPU!$D$1:$D$2521,CPU!$H$1:$H$2521)</f>
        <v>560</v>
      </c>
      <c r="N183" s="868">
        <f t="shared" si="48"/>
        <v>655.19999999999993</v>
      </c>
      <c r="O183" s="964"/>
      <c r="P183" s="761" t="s">
        <v>2630</v>
      </c>
      <c r="Q183" s="210"/>
      <c r="R183" s="210"/>
      <c r="S183" s="210"/>
    </row>
    <row r="184" spans="1:19" s="209" customFormat="1" ht="12.75" customHeight="1" outlineLevel="2" x14ac:dyDescent="0.2">
      <c r="A184" s="959">
        <f ca="1">IF($H184="UNIDADE CONSTRUTIVA",OFFSET(A184,-1,0)+1,LARGE(A$3:A183,1))</f>
        <v>0</v>
      </c>
      <c r="B184" s="959">
        <f t="shared" ca="1" si="43"/>
        <v>11</v>
      </c>
      <c r="C184" s="959">
        <f t="shared" ca="1" si="44"/>
        <v>1</v>
      </c>
      <c r="D184" s="960">
        <f t="shared" ca="1" si="45"/>
        <v>3</v>
      </c>
      <c r="E184" s="960">
        <f t="shared" ca="1" si="46"/>
        <v>3</v>
      </c>
      <c r="G184" s="754"/>
      <c r="H184" s="755" t="s">
        <v>476</v>
      </c>
      <c r="I184" s="756" t="str">
        <f t="shared" ca="1" si="60"/>
        <v>11.001.003.003</v>
      </c>
      <c r="J184" s="757" t="s">
        <v>2594</v>
      </c>
      <c r="K184" s="758"/>
      <c r="L184" s="957">
        <f>ARQUITETURA!D114</f>
        <v>31.07</v>
      </c>
      <c r="M184" s="957">
        <v>150</v>
      </c>
      <c r="N184" s="868">
        <f t="shared" si="48"/>
        <v>4660.5</v>
      </c>
      <c r="O184" s="964"/>
      <c r="P184" s="761" t="s">
        <v>2630</v>
      </c>
      <c r="Q184" s="210"/>
      <c r="R184" s="210"/>
      <c r="S184" s="210"/>
    </row>
    <row r="185" spans="1:19" s="209" customFormat="1" ht="13.9" customHeight="1" outlineLevel="1" x14ac:dyDescent="0.2">
      <c r="A185" s="959">
        <f ca="1">IF($H185="UNIDADE CONSTRUTIVA",OFFSET(A185,-1,0)+1,LARGE(A$3:A184,1))</f>
        <v>0</v>
      </c>
      <c r="B185" s="959">
        <f t="shared" ca="1" si="43"/>
        <v>11</v>
      </c>
      <c r="C185" s="959">
        <f t="shared" ca="1" si="44"/>
        <v>1</v>
      </c>
      <c r="D185" s="960">
        <f t="shared" ca="1" si="45"/>
        <v>4</v>
      </c>
      <c r="E185" s="960">
        <f t="shared" ca="1" si="46"/>
        <v>0</v>
      </c>
      <c r="G185" s="754"/>
      <c r="H185" s="755" t="s">
        <v>475</v>
      </c>
      <c r="I185" s="756" t="str">
        <f t="shared" ca="1" si="55"/>
        <v>11.001.004</v>
      </c>
      <c r="J185" s="757" t="s">
        <v>401</v>
      </c>
      <c r="K185" s="758"/>
      <c r="L185" s="957"/>
      <c r="M185" s="957"/>
      <c r="N185" s="868">
        <f t="shared" ca="1" si="48"/>
        <v>262.75</v>
      </c>
      <c r="O185" s="964"/>
      <c r="P185" s="761"/>
      <c r="Q185" s="882" t="s">
        <v>864</v>
      </c>
      <c r="R185" s="210"/>
      <c r="S185" s="210"/>
    </row>
    <row r="186" spans="1:19" s="209" customFormat="1" ht="12.75" customHeight="1" outlineLevel="2" x14ac:dyDescent="0.2">
      <c r="A186" s="959">
        <f ca="1">IF($H186="UNIDADE CONSTRUTIVA",OFFSET(A186,-1,0)+1,LARGE(A$3:A185,1))</f>
        <v>0</v>
      </c>
      <c r="B186" s="959">
        <f t="shared" ca="1" si="43"/>
        <v>11</v>
      </c>
      <c r="C186" s="959">
        <f t="shared" ca="1" si="44"/>
        <v>1</v>
      </c>
      <c r="D186" s="960">
        <f t="shared" ca="1" si="45"/>
        <v>4</v>
      </c>
      <c r="E186" s="960">
        <f t="shared" ca="1" si="46"/>
        <v>1</v>
      </c>
      <c r="G186" s="754"/>
      <c r="H186" s="755" t="s">
        <v>476</v>
      </c>
      <c r="I186" s="756" t="str">
        <f t="shared" ca="1" si="55"/>
        <v>11.001.004.001</v>
      </c>
      <c r="J186" s="757" t="s">
        <v>2589</v>
      </c>
      <c r="K186" s="758"/>
      <c r="L186" s="957">
        <f>L177</f>
        <v>10.51</v>
      </c>
      <c r="M186" s="957">
        <f>_xlfn.XLOOKUP($J186,CPU!$D$1:$D$2521,CPU!$H$1:$H$2521)</f>
        <v>25</v>
      </c>
      <c r="N186" s="868">
        <f t="shared" si="48"/>
        <v>262.75</v>
      </c>
      <c r="O186" s="964"/>
      <c r="P186" s="761" t="s">
        <v>2630</v>
      </c>
      <c r="Q186" s="210"/>
      <c r="R186" s="210"/>
      <c r="S186" s="210"/>
    </row>
    <row r="187" spans="1:19" s="209" customFormat="1" ht="13.9" customHeight="1" x14ac:dyDescent="0.2">
      <c r="A187" s="959">
        <f ca="1">IF($H187="UNIDADE CONSTRUTIVA",OFFSET(A187,-1,0)+1,LARGE(A$3:A186,1))</f>
        <v>0</v>
      </c>
      <c r="B187" s="959">
        <f t="shared" ca="1" si="43"/>
        <v>12</v>
      </c>
      <c r="C187" s="959">
        <f t="shared" ca="1" si="44"/>
        <v>0</v>
      </c>
      <c r="D187" s="960">
        <f t="shared" ca="1" si="45"/>
        <v>4</v>
      </c>
      <c r="E187" s="960">
        <f t="shared" ca="1" si="46"/>
        <v>1</v>
      </c>
      <c r="F187" s="1132"/>
      <c r="G187" s="754"/>
      <c r="H187" s="755" t="s">
        <v>473</v>
      </c>
      <c r="I187" s="756" t="str">
        <f t="shared" ref="I187:I191" ca="1" si="62">IF(H187="Unidade Construtiva",TEXT(A187,"00"),IF(H187="Célula Construtiva",TEXT(B187,"00"),IF(H187="Etapa",CONCATENATE(TEXT(B187,"00"),".",TEXT(C187,"000")),IF(H187="Subetapa",CONCATENATE(TEXT(B187,"00"),".",TEXT(C187,"000"),".",TEXT(D187,"000")),IF(H187="Serviço",CONCATENATE(TEXT(B187,"00"),".",TEXT(C187,"000"),".",TEXT(D187,"000"),".",TEXT(E187,"000")),"")))))</f>
        <v>12</v>
      </c>
      <c r="J187" s="757" t="s">
        <v>409</v>
      </c>
      <c r="K187" s="758"/>
      <c r="L187" s="957"/>
      <c r="M187" s="957"/>
      <c r="N187" s="868">
        <f t="shared" ca="1" si="48"/>
        <v>41028.63363603333</v>
      </c>
      <c r="O187" s="964">
        <f ca="1">N187/'Obra '!E$9</f>
        <v>124.4914089147475</v>
      </c>
      <c r="P187" s="761"/>
      <c r="Q187" s="880" t="s">
        <v>410</v>
      </c>
      <c r="R187" s="965"/>
      <c r="S187" s="210"/>
    </row>
    <row r="188" spans="1:19" s="209" customFormat="1" ht="13.9" customHeight="1" outlineLevel="1" x14ac:dyDescent="0.2">
      <c r="A188" s="959">
        <f ca="1">IF($H188="UNIDADE CONSTRUTIVA",OFFSET(A188,-1,0)+1,LARGE(A$3:A187,1))</f>
        <v>0</v>
      </c>
      <c r="B188" s="959">
        <f t="shared" ca="1" si="43"/>
        <v>12</v>
      </c>
      <c r="C188" s="959">
        <f t="shared" ca="1" si="44"/>
        <v>1</v>
      </c>
      <c r="D188" s="960">
        <f t="shared" ca="1" si="45"/>
        <v>0</v>
      </c>
      <c r="E188" s="960">
        <f t="shared" ca="1" si="46"/>
        <v>1</v>
      </c>
      <c r="G188" s="754"/>
      <c r="H188" s="755" t="s">
        <v>474</v>
      </c>
      <c r="I188" s="756" t="str">
        <f t="shared" ca="1" si="62"/>
        <v>12.001</v>
      </c>
      <c r="J188" s="757" t="s">
        <v>410</v>
      </c>
      <c r="K188" s="758"/>
      <c r="L188" s="957"/>
      <c r="M188" s="957"/>
      <c r="N188" s="868">
        <f t="shared" ca="1" si="48"/>
        <v>41028.63363603333</v>
      </c>
      <c r="O188" s="964"/>
      <c r="P188" s="761"/>
      <c r="Q188" s="210"/>
      <c r="R188" s="210"/>
      <c r="S188" s="210"/>
    </row>
    <row r="189" spans="1:19" s="209" customFormat="1" ht="13.9" customHeight="1" outlineLevel="1" x14ac:dyDescent="0.2">
      <c r="A189" s="959">
        <f ca="1">IF($H189="UNIDADE CONSTRUTIVA",OFFSET(A189,-1,0)+1,LARGE(A$3:A188,1))</f>
        <v>0</v>
      </c>
      <c r="B189" s="959">
        <f t="shared" ca="1" si="43"/>
        <v>12</v>
      </c>
      <c r="C189" s="959">
        <f t="shared" ca="1" si="44"/>
        <v>1</v>
      </c>
      <c r="D189" s="960">
        <f t="shared" ca="1" si="45"/>
        <v>1</v>
      </c>
      <c r="E189" s="960">
        <f t="shared" ca="1" si="46"/>
        <v>0</v>
      </c>
      <c r="G189" s="754"/>
      <c r="H189" s="755" t="s">
        <v>475</v>
      </c>
      <c r="I189" s="756" t="str">
        <f t="shared" ca="1" si="62"/>
        <v>12.001.001</v>
      </c>
      <c r="J189" s="757" t="s">
        <v>1303</v>
      </c>
      <c r="K189" s="758"/>
      <c r="L189" s="957"/>
      <c r="M189" s="957"/>
      <c r="N189" s="868">
        <f t="shared" ca="1" si="48"/>
        <v>14094.553636033332</v>
      </c>
      <c r="O189" s="964"/>
      <c r="P189" s="761"/>
      <c r="Q189" s="210"/>
      <c r="R189" s="210"/>
      <c r="S189" s="210"/>
    </row>
    <row r="190" spans="1:19" s="209" customFormat="1" ht="12.75" customHeight="1" outlineLevel="2" x14ac:dyDescent="0.2">
      <c r="A190" s="959">
        <f ca="1">IF($H190="UNIDADE CONSTRUTIVA",OFFSET(A190,-1,0)+1,LARGE(A$3:A189,1))</f>
        <v>0</v>
      </c>
      <c r="B190" s="959">
        <f t="shared" ca="1" si="43"/>
        <v>12</v>
      </c>
      <c r="C190" s="959">
        <f t="shared" ca="1" si="44"/>
        <v>1</v>
      </c>
      <c r="D190" s="960">
        <f t="shared" ca="1" si="45"/>
        <v>1</v>
      </c>
      <c r="E190" s="960">
        <f t="shared" ca="1" si="46"/>
        <v>1</v>
      </c>
      <c r="G190" s="754"/>
      <c r="H190" s="755" t="s">
        <v>476</v>
      </c>
      <c r="I190" s="756" t="str">
        <f t="shared" ca="1" si="62"/>
        <v>12.001.001.001</v>
      </c>
      <c r="J190" s="757" t="s">
        <v>2071</v>
      </c>
      <c r="K190" s="758" t="s">
        <v>1</v>
      </c>
      <c r="L190" s="957">
        <f>ARQUITETURA!F74</f>
        <v>80.92</v>
      </c>
      <c r="M190" s="957">
        <f>_xlfn.XLOOKUP($J190,CPU!$D$1:$D$2521,CPU!$H$1:$H$2521)</f>
        <v>10.212902</v>
      </c>
      <c r="N190" s="868">
        <f t="shared" si="48"/>
        <v>826.42802984000002</v>
      </c>
      <c r="O190" s="964"/>
      <c r="P190" s="761" t="s">
        <v>2630</v>
      </c>
      <c r="Q190" s="210"/>
      <c r="R190" s="210"/>
      <c r="S190" s="210"/>
    </row>
    <row r="191" spans="1:19" s="209" customFormat="1" ht="12.75" customHeight="1" outlineLevel="2" x14ac:dyDescent="0.2">
      <c r="A191" s="959">
        <f ca="1">IF($H191="UNIDADE CONSTRUTIVA",OFFSET(A191,-1,0)+1,LARGE(A$3:A190,1))</f>
        <v>0</v>
      </c>
      <c r="B191" s="959">
        <f t="shared" ca="1" si="43"/>
        <v>12</v>
      </c>
      <c r="C191" s="959">
        <f t="shared" ca="1" si="44"/>
        <v>1</v>
      </c>
      <c r="D191" s="960">
        <f t="shared" ca="1" si="45"/>
        <v>1</v>
      </c>
      <c r="E191" s="960">
        <f t="shared" ca="1" si="46"/>
        <v>2</v>
      </c>
      <c r="G191" s="754"/>
      <c r="H191" s="755" t="s">
        <v>476</v>
      </c>
      <c r="I191" s="756" t="str">
        <f t="shared" ca="1" si="62"/>
        <v>12.001.001.002</v>
      </c>
      <c r="J191" s="757" t="s">
        <v>2075</v>
      </c>
      <c r="K191" s="758" t="s">
        <v>1</v>
      </c>
      <c r="L191" s="957">
        <f>ARQUITETURA!F75</f>
        <v>470.86</v>
      </c>
      <c r="M191" s="957">
        <f>_xlfn.XLOOKUP($J191,CPU!$D$1:$D$2521,CPU!$H$1:$H$2521)</f>
        <v>19.001950999999998</v>
      </c>
      <c r="N191" s="868">
        <f t="shared" si="48"/>
        <v>8947.2586478599987</v>
      </c>
      <c r="O191" s="964"/>
      <c r="P191" s="761" t="s">
        <v>2630</v>
      </c>
      <c r="Q191" s="210"/>
      <c r="R191" s="210"/>
      <c r="S191" s="210"/>
    </row>
    <row r="192" spans="1:19" s="209" customFormat="1" ht="12.75" customHeight="1" outlineLevel="2" x14ac:dyDescent="0.2">
      <c r="A192" s="959">
        <f ca="1">IF($H192="UNIDADE CONSTRUTIVA",OFFSET(A192,-1,0)+1,LARGE(A$3:A191,1))</f>
        <v>0</v>
      </c>
      <c r="B192" s="959">
        <f t="shared" ca="1" si="43"/>
        <v>12</v>
      </c>
      <c r="C192" s="959">
        <f t="shared" ca="1" si="44"/>
        <v>1</v>
      </c>
      <c r="D192" s="960">
        <f t="shared" ca="1" si="45"/>
        <v>1</v>
      </c>
      <c r="E192" s="960">
        <f t="shared" ca="1" si="46"/>
        <v>3</v>
      </c>
      <c r="G192" s="754"/>
      <c r="H192" s="755" t="s">
        <v>476</v>
      </c>
      <c r="I192" s="756" t="str">
        <f t="shared" ref="I192" ca="1" si="63">IF(H192="Unidade Construtiva",TEXT(A192,"00"),IF(H192="Célula Construtiva",TEXT(B192,"00"),IF(H192="Etapa",CONCATENATE(TEXT(B192,"00"),".",TEXT(C192,"000")),IF(H192="Subetapa",CONCATENATE(TEXT(B192,"00"),".",TEXT(C192,"000"),".",TEXT(D192,"000")),IF(H192="Serviço",CONCATENATE(TEXT(B192,"00"),".",TEXT(C192,"000"),".",TEXT(D192,"000"),".",TEXT(E192,"000")),"")))))</f>
        <v>12.001.001.003</v>
      </c>
      <c r="J192" s="757" t="s">
        <v>2069</v>
      </c>
      <c r="K192" s="758" t="s">
        <v>1</v>
      </c>
      <c r="L192" s="957">
        <f>ARQUITETURA!D122+ARQUITETURA!D124+ARQUITETURA!D126</f>
        <v>289.90999999999997</v>
      </c>
      <c r="M192" s="957">
        <f>_xlfn.XLOOKUP($J192,CPU!$D$1:$D$2521,CPU!$H$1:$H$2521)</f>
        <v>14.904166666666667</v>
      </c>
      <c r="N192" s="868">
        <f t="shared" si="48"/>
        <v>4320.8669583333331</v>
      </c>
      <c r="O192" s="964"/>
      <c r="P192" s="761" t="s">
        <v>2630</v>
      </c>
      <c r="Q192" s="210"/>
      <c r="R192" s="210"/>
      <c r="S192" s="210"/>
    </row>
    <row r="193" spans="1:19" s="209" customFormat="1" ht="13.9" customHeight="1" outlineLevel="1" x14ac:dyDescent="0.2">
      <c r="A193" s="959">
        <f ca="1">IF($H193="UNIDADE CONSTRUTIVA",OFFSET(A193,-1,0)+1,LARGE(A$3:A192,1))</f>
        <v>0</v>
      </c>
      <c r="B193" s="959">
        <f t="shared" ca="1" si="43"/>
        <v>12</v>
      </c>
      <c r="C193" s="959">
        <f t="shared" ca="1" si="44"/>
        <v>1</v>
      </c>
      <c r="D193" s="960">
        <f t="shared" ca="1" si="45"/>
        <v>2</v>
      </c>
      <c r="E193" s="960">
        <f t="shared" ca="1" si="46"/>
        <v>0</v>
      </c>
      <c r="G193" s="754"/>
      <c r="H193" s="755" t="s">
        <v>475</v>
      </c>
      <c r="I193" s="756" t="str">
        <f t="shared" ref="I193:I214" ca="1" si="64">IF(H193="Unidade Construtiva",TEXT(A193,"00"),IF(H193="Célula Construtiva",TEXT(B193,"00"),IF(H193="Etapa",CONCATENATE(TEXT(B193,"00"),".",TEXT(C193,"000")),IF(H193="Subetapa",CONCATENATE(TEXT(B193,"00"),".",TEXT(C193,"000"),".",TEXT(D193,"000")),IF(H193="Serviço",CONCATENATE(TEXT(B193,"00"),".",TEXT(C193,"000"),".",TEXT(D193,"000"),".",TEXT(E193,"000")),"")))))</f>
        <v>12.001.002</v>
      </c>
      <c r="J193" s="757" t="s">
        <v>1304</v>
      </c>
      <c r="K193" s="758"/>
      <c r="L193" s="957"/>
      <c r="M193" s="957"/>
      <c r="N193" s="868">
        <f t="shared" ca="1" si="48"/>
        <v>26934.079999999998</v>
      </c>
      <c r="O193" s="964"/>
      <c r="P193" s="761"/>
      <c r="Q193" s="210"/>
      <c r="R193" s="210"/>
      <c r="S193" s="210"/>
    </row>
    <row r="194" spans="1:19" s="209" customFormat="1" ht="12.75" customHeight="1" outlineLevel="2" x14ac:dyDescent="0.2">
      <c r="A194" s="959">
        <f ca="1">IF($H194="UNIDADE CONSTRUTIVA",OFFSET(A194,-1,0)+1,LARGE(A$3:A193,1))</f>
        <v>0</v>
      </c>
      <c r="B194" s="959">
        <f t="shared" ca="1" si="43"/>
        <v>12</v>
      </c>
      <c r="C194" s="959">
        <f t="shared" ca="1" si="44"/>
        <v>1</v>
      </c>
      <c r="D194" s="960">
        <f t="shared" ca="1" si="45"/>
        <v>2</v>
      </c>
      <c r="E194" s="960">
        <f t="shared" ca="1" si="46"/>
        <v>1</v>
      </c>
      <c r="G194" s="754"/>
      <c r="H194" s="755" t="s">
        <v>476</v>
      </c>
      <c r="I194" s="756" t="str">
        <f t="shared" ca="1" si="64"/>
        <v>12.001.002.001</v>
      </c>
      <c r="J194" s="757" t="s">
        <v>1310</v>
      </c>
      <c r="K194" s="758" t="s">
        <v>1</v>
      </c>
      <c r="L194" s="957">
        <f>L190</f>
        <v>80.92</v>
      </c>
      <c r="M194" s="957">
        <v>32</v>
      </c>
      <c r="N194" s="868">
        <f t="shared" si="48"/>
        <v>2589.44</v>
      </c>
      <c r="O194" s="868"/>
      <c r="P194" s="761" t="s">
        <v>2630</v>
      </c>
      <c r="Q194" s="210"/>
      <c r="R194" s="210"/>
      <c r="S194" s="210"/>
    </row>
    <row r="195" spans="1:19" s="209" customFormat="1" ht="12.75" customHeight="1" outlineLevel="2" x14ac:dyDescent="0.2">
      <c r="A195" s="959">
        <f ca="1">IF($H195="UNIDADE CONSTRUTIVA",OFFSET(A195,-1,0)+1,LARGE(A$3:A194,1))</f>
        <v>0</v>
      </c>
      <c r="B195" s="959">
        <f t="shared" ca="1" si="43"/>
        <v>12</v>
      </c>
      <c r="C195" s="959">
        <f t="shared" ca="1" si="44"/>
        <v>1</v>
      </c>
      <c r="D195" s="960">
        <f t="shared" ca="1" si="45"/>
        <v>2</v>
      </c>
      <c r="E195" s="960">
        <f t="shared" ca="1" si="46"/>
        <v>2</v>
      </c>
      <c r="G195" s="754"/>
      <c r="H195" s="755" t="s">
        <v>476</v>
      </c>
      <c r="I195" s="756" t="str">
        <f t="shared" ca="1" si="64"/>
        <v>12.001.002.002</v>
      </c>
      <c r="J195" s="757" t="s">
        <v>1311</v>
      </c>
      <c r="K195" s="758" t="s">
        <v>1</v>
      </c>
      <c r="L195" s="957">
        <f>L191</f>
        <v>470.86</v>
      </c>
      <c r="M195" s="957">
        <v>32</v>
      </c>
      <c r="N195" s="868">
        <f t="shared" si="48"/>
        <v>15067.52</v>
      </c>
      <c r="O195" s="964"/>
      <c r="P195" s="761" t="s">
        <v>2630</v>
      </c>
      <c r="Q195" s="210"/>
      <c r="R195" s="210"/>
      <c r="S195" s="210"/>
    </row>
    <row r="196" spans="1:19" s="209" customFormat="1" ht="12.75" customHeight="1" outlineLevel="2" x14ac:dyDescent="0.2">
      <c r="A196" s="959">
        <f ca="1">IF($H196="UNIDADE CONSTRUTIVA",OFFSET(A196,-1,0)+1,LARGE(A$3:A195,1))</f>
        <v>0</v>
      </c>
      <c r="B196" s="959">
        <f t="shared" ca="1" si="43"/>
        <v>12</v>
      </c>
      <c r="C196" s="959">
        <f t="shared" ca="1" si="44"/>
        <v>1</v>
      </c>
      <c r="D196" s="960">
        <f t="shared" ca="1" si="45"/>
        <v>2</v>
      </c>
      <c r="E196" s="960">
        <f t="shared" ca="1" si="46"/>
        <v>3</v>
      </c>
      <c r="G196" s="754"/>
      <c r="H196" s="755" t="s">
        <v>476</v>
      </c>
      <c r="I196" s="756" t="str">
        <f t="shared" ref="I196" ca="1" si="65">IF(H196="Unidade Construtiva",TEXT(A196,"00"),IF(H196="Célula Construtiva",TEXT(B196,"00"),IF(H196="Etapa",CONCATENATE(TEXT(B196,"00"),".",TEXT(C196,"000")),IF(H196="Subetapa",CONCATENATE(TEXT(B196,"00"),".",TEXT(C196,"000"),".",TEXT(D196,"000")),IF(H196="Serviço",CONCATENATE(TEXT(B196,"00"),".",TEXT(C196,"000"),".",TEXT(D196,"000"),".",TEXT(E196,"000")),"")))))</f>
        <v>12.001.002.003</v>
      </c>
      <c r="J196" s="757" t="s">
        <v>2085</v>
      </c>
      <c r="K196" s="758" t="s">
        <v>1</v>
      </c>
      <c r="L196" s="957">
        <f>L192</f>
        <v>289.90999999999997</v>
      </c>
      <c r="M196" s="957">
        <v>32</v>
      </c>
      <c r="N196" s="868">
        <f t="shared" si="48"/>
        <v>9277.119999999999</v>
      </c>
      <c r="O196" s="964"/>
      <c r="P196" s="761" t="s">
        <v>2630</v>
      </c>
      <c r="Q196" s="210"/>
      <c r="R196" s="210"/>
      <c r="S196" s="210"/>
    </row>
    <row r="197" spans="1:19" s="209" customFormat="1" ht="13.9" customHeight="1" x14ac:dyDescent="0.2">
      <c r="A197" s="959">
        <f ca="1">IF($H197="UNIDADE CONSTRUTIVA",OFFSET(A197,-1,0)+1,LARGE(A$3:A196,1))</f>
        <v>0</v>
      </c>
      <c r="B197" s="959">
        <f t="shared" ca="1" si="43"/>
        <v>13</v>
      </c>
      <c r="C197" s="959">
        <f t="shared" ca="1" si="44"/>
        <v>0</v>
      </c>
      <c r="D197" s="960">
        <f t="shared" ca="1" si="45"/>
        <v>2</v>
      </c>
      <c r="E197" s="960">
        <f t="shared" ca="1" si="46"/>
        <v>3</v>
      </c>
      <c r="F197" s="1132"/>
      <c r="G197" s="754"/>
      <c r="H197" s="755" t="s">
        <v>473</v>
      </c>
      <c r="I197" s="756" t="str">
        <f t="shared" ca="1" si="64"/>
        <v>13</v>
      </c>
      <c r="J197" s="757" t="s">
        <v>414</v>
      </c>
      <c r="K197" s="758"/>
      <c r="L197" s="957"/>
      <c r="M197" s="957"/>
      <c r="N197" s="868">
        <f t="shared" ca="1" si="48"/>
        <v>137257.00257303804</v>
      </c>
      <c r="O197" s="964">
        <f ca="1">N197/'Obra '!E$9</f>
        <v>416.47298775082089</v>
      </c>
      <c r="P197" s="761"/>
      <c r="Q197" s="880" t="s">
        <v>414</v>
      </c>
      <c r="R197" s="965"/>
      <c r="S197" s="210"/>
    </row>
    <row r="198" spans="1:19" s="209" customFormat="1" ht="13.9" customHeight="1" outlineLevel="1" x14ac:dyDescent="0.2">
      <c r="A198" s="959">
        <f ca="1">IF($H198="UNIDADE CONSTRUTIVA",OFFSET(A198,-1,0)+1,LARGE(A$3:A197,1))</f>
        <v>0</v>
      </c>
      <c r="B198" s="959">
        <f t="shared" ca="1" si="43"/>
        <v>13</v>
      </c>
      <c r="C198" s="959">
        <f t="shared" ca="1" si="44"/>
        <v>1</v>
      </c>
      <c r="D198" s="960">
        <f t="shared" ca="1" si="45"/>
        <v>0</v>
      </c>
      <c r="E198" s="960">
        <f t="shared" ca="1" si="46"/>
        <v>3</v>
      </c>
      <c r="G198" s="754"/>
      <c r="H198" s="755" t="s">
        <v>474</v>
      </c>
      <c r="I198" s="756" t="str">
        <f t="shared" ca="1" si="64"/>
        <v>13.001</v>
      </c>
      <c r="J198" s="757" t="s">
        <v>203</v>
      </c>
      <c r="K198" s="758"/>
      <c r="L198" s="957"/>
      <c r="M198" s="957"/>
      <c r="N198" s="868">
        <f t="shared" ca="1" si="48"/>
        <v>111525.97497999997</v>
      </c>
      <c r="O198" s="964">
        <f ca="1">N198/'Obra '!E$9</f>
        <v>338.39844336559753</v>
      </c>
      <c r="P198" s="761"/>
      <c r="Q198" s="210"/>
      <c r="R198" s="210"/>
      <c r="S198" s="210"/>
    </row>
    <row r="199" spans="1:19" s="209" customFormat="1" ht="13.9" customHeight="1" outlineLevel="1" x14ac:dyDescent="0.2">
      <c r="A199" s="959">
        <f ca="1">IF($H199="UNIDADE CONSTRUTIVA",OFFSET(A199,-1,0)+1,LARGE(A$3:A198,1))</f>
        <v>0</v>
      </c>
      <c r="B199" s="959">
        <f t="shared" ca="1" si="43"/>
        <v>13</v>
      </c>
      <c r="C199" s="959">
        <f t="shared" ca="1" si="44"/>
        <v>1</v>
      </c>
      <c r="D199" s="960">
        <f t="shared" ca="1" si="45"/>
        <v>1</v>
      </c>
      <c r="E199" s="960">
        <f t="shared" ca="1" si="46"/>
        <v>0</v>
      </c>
      <c r="G199" s="754"/>
      <c r="H199" s="755" t="s">
        <v>475</v>
      </c>
      <c r="I199" s="756" t="str">
        <f t="shared" ca="1" si="64"/>
        <v>13.001.001</v>
      </c>
      <c r="J199" s="757" t="s">
        <v>415</v>
      </c>
      <c r="K199" s="758"/>
      <c r="L199" s="957"/>
      <c r="M199" s="957"/>
      <c r="N199" s="868">
        <f t="shared" ca="1" si="48"/>
        <v>95935.262399999978</v>
      </c>
      <c r="O199" s="964"/>
      <c r="P199" s="761"/>
      <c r="Q199" s="210"/>
      <c r="R199" s="210"/>
      <c r="S199" s="210"/>
    </row>
    <row r="200" spans="1:19" s="209" customFormat="1" ht="12.75" customHeight="1" outlineLevel="2" x14ac:dyDescent="0.2">
      <c r="A200" s="959">
        <f ca="1">IF($H200="UNIDADE CONSTRUTIVA",OFFSET(A200,-1,0)+1,LARGE(A$3:A199,1))</f>
        <v>0</v>
      </c>
      <c r="B200" s="959">
        <f t="shared" ref="B200:B253" ca="1" si="66">IF(H200="UNIDADE CONSTRUTIVA",0,IF(H200="CÉLULA CONSTRUTIVA",OFFSET(B200,-1,0)+1,OFFSET(B200,-1,0)))</f>
        <v>13</v>
      </c>
      <c r="C200" s="959">
        <f t="shared" ca="1" si="44"/>
        <v>1</v>
      </c>
      <c r="D200" s="960">
        <f t="shared" ca="1" si="45"/>
        <v>1</v>
      </c>
      <c r="E200" s="960">
        <f t="shared" ca="1" si="46"/>
        <v>1</v>
      </c>
      <c r="G200" s="754"/>
      <c r="H200" s="755" t="s">
        <v>476</v>
      </c>
      <c r="I200" s="756" t="str">
        <f t="shared" ca="1" si="64"/>
        <v>13.001.001.001</v>
      </c>
      <c r="J200" s="757" t="s">
        <v>1323</v>
      </c>
      <c r="K200" s="758" t="s">
        <v>1</v>
      </c>
      <c r="L200" s="957">
        <f>SUM(ARQUITETURA!F185:F200)</f>
        <v>70.409999999999982</v>
      </c>
      <c r="M200" s="957">
        <f>_xlfn.XLOOKUP($J200,CPU!$D$1:$D$2521,CPU!$H$1:$H$2521)</f>
        <v>1350</v>
      </c>
      <c r="N200" s="868">
        <f t="shared" ref="N200:N263" si="67">IF(H200="Serviço",M200*L200,IF(H200="CÉLULA CONSTRUTIVA",SUMIFS($N$8:$N$258,$B$8:$B$258,B200,$H$8:$H$258,"Serviço"),IF(H200="ETAPA",SUMIFS($N$8:$N$258,$B$8:$B$258,B200,$C$8:$C$258,C200,$H$8:$H$258,"Serviço"),IF(H200="SUBETAPA",SUMIFS($N$8:$N$258,$B$8:$B$258,B200,$C$8:$C$258,C200,$D$8:$D$258,D200,$H$8:$H$258,"Serviço"),0))))</f>
        <v>95053.499999999971</v>
      </c>
      <c r="O200" s="964"/>
      <c r="P200" s="761" t="s">
        <v>2630</v>
      </c>
      <c r="Q200" s="210"/>
      <c r="R200" s="210"/>
      <c r="S200" s="210"/>
    </row>
    <row r="201" spans="1:19" s="209" customFormat="1" ht="12.75" customHeight="1" outlineLevel="2" x14ac:dyDescent="0.2">
      <c r="A201" s="959">
        <f ca="1">IF($H201="UNIDADE CONSTRUTIVA",OFFSET(A201,-1,0)+1,LARGE(A$3:A200,1))</f>
        <v>0</v>
      </c>
      <c r="B201" s="959">
        <f t="shared" ca="1" si="66"/>
        <v>13</v>
      </c>
      <c r="C201" s="959">
        <f t="shared" ref="C201:C252" ca="1" si="68">IF(H201="CÉLULA CONSTRUTIVA",0,IF(H201="ETAPA",OFFSET(C201,-1,0)+1,OFFSET(C201,-1,0)))</f>
        <v>1</v>
      </c>
      <c r="D201" s="960">
        <f t="shared" ref="D201:D252" ca="1" si="69">IF(H201="ETAPA",0,IF(H201="SUBETAPA",OFFSET(D201,-1,0)+1,OFFSET(D201,-1,0)))</f>
        <v>1</v>
      </c>
      <c r="E201" s="960">
        <f t="shared" ref="E201:E252" ca="1" si="70">IF(H201="Subetapa",0,IF(H201="serviço",OFFSET(E201,-1,0)+1,OFFSET(E201,-1,0)))</f>
        <v>2</v>
      </c>
      <c r="G201" s="754"/>
      <c r="H201" s="755" t="s">
        <v>476</v>
      </c>
      <c r="I201" s="756" t="str">
        <f t="shared" ca="1" si="64"/>
        <v>13.001.001.002</v>
      </c>
      <c r="J201" s="757" t="s">
        <v>1325</v>
      </c>
      <c r="K201" s="758" t="s">
        <v>3</v>
      </c>
      <c r="L201" s="957">
        <f>SUM(ARQUITETURA!F169:F183)</f>
        <v>107.01</v>
      </c>
      <c r="M201" s="957">
        <f>_xlfn.XLOOKUP($J201,CPU!$D$1:$D$2521,CPU!$H$1:$H$2521)</f>
        <v>8.24</v>
      </c>
      <c r="N201" s="868">
        <f t="shared" si="67"/>
        <v>881.76240000000007</v>
      </c>
      <c r="O201" s="964"/>
      <c r="P201" s="761" t="s">
        <v>2630</v>
      </c>
      <c r="Q201" s="210"/>
      <c r="R201" s="210"/>
      <c r="S201" s="210"/>
    </row>
    <row r="202" spans="1:19" s="209" customFormat="1" ht="13.9" customHeight="1" outlineLevel="1" x14ac:dyDescent="0.2">
      <c r="A202" s="959">
        <f ca="1">IF($H202="UNIDADE CONSTRUTIVA",OFFSET(A202,-1,0)+1,LARGE(A$3:A201,1))</f>
        <v>0</v>
      </c>
      <c r="B202" s="959">
        <f t="shared" ca="1" si="66"/>
        <v>13</v>
      </c>
      <c r="C202" s="959">
        <f t="shared" ca="1" si="68"/>
        <v>1</v>
      </c>
      <c r="D202" s="960">
        <f t="shared" ca="1" si="69"/>
        <v>2</v>
      </c>
      <c r="E202" s="960">
        <f t="shared" ca="1" si="70"/>
        <v>0</v>
      </c>
      <c r="G202" s="754"/>
      <c r="H202" s="755" t="s">
        <v>475</v>
      </c>
      <c r="I202" s="756" t="str">
        <f t="shared" ref="I202:I203" ca="1" si="71">IF(H202="Unidade Construtiva",TEXT(A202,"00"),IF(H202="Célula Construtiva",TEXT(B202,"00"),IF(H202="Etapa",CONCATENATE(TEXT(B202,"00"),".",TEXT(C202,"000")),IF(H202="Subetapa",CONCATENATE(TEXT(B202,"00"),".",TEXT(C202,"000"),".",TEXT(D202,"000")),IF(H202="Serviço",CONCATENATE(TEXT(B202,"00"),".",TEXT(C202,"000"),".",TEXT(D202,"000"),".",TEXT(E202,"000")),"")))))</f>
        <v>13.001.002</v>
      </c>
      <c r="J202" s="757" t="s">
        <v>1305</v>
      </c>
      <c r="K202" s="758"/>
      <c r="L202" s="957"/>
      <c r="M202" s="957"/>
      <c r="N202" s="868">
        <f t="shared" ca="1" si="67"/>
        <v>13985.562580000002</v>
      </c>
      <c r="O202" s="964"/>
      <c r="P202" s="761"/>
      <c r="Q202" s="210"/>
      <c r="R202" s="210"/>
      <c r="S202" s="210"/>
    </row>
    <row r="203" spans="1:19" s="209" customFormat="1" ht="12.75" customHeight="1" outlineLevel="2" x14ac:dyDescent="0.2">
      <c r="A203" s="959">
        <f ca="1">IF($H203="UNIDADE CONSTRUTIVA",OFFSET(A203,-1,0)+1,LARGE(A$3:A202,1))</f>
        <v>0</v>
      </c>
      <c r="B203" s="959">
        <f t="shared" ca="1" si="66"/>
        <v>13</v>
      </c>
      <c r="C203" s="959">
        <f t="shared" ca="1" si="68"/>
        <v>1</v>
      </c>
      <c r="D203" s="960">
        <f t="shared" ca="1" si="69"/>
        <v>2</v>
      </c>
      <c r="E203" s="960">
        <f t="shared" ca="1" si="70"/>
        <v>1</v>
      </c>
      <c r="G203" s="754"/>
      <c r="H203" s="755" t="s">
        <v>476</v>
      </c>
      <c r="I203" s="756" t="str">
        <f t="shared" ca="1" si="71"/>
        <v>13.001.002.001</v>
      </c>
      <c r="J203" s="757" t="s">
        <v>1324</v>
      </c>
      <c r="K203" s="758" t="s">
        <v>1</v>
      </c>
      <c r="L203" s="957">
        <f>(ARQUITETURA!F206*1.1)+(ARQUITETURA!F207*0.5)</f>
        <v>14.942000000000002</v>
      </c>
      <c r="M203" s="957">
        <f>_xlfn.XLOOKUP($J203,CPU!$D$1:$D$2521,CPU!$H$1:$H$2521)</f>
        <v>935.99</v>
      </c>
      <c r="N203" s="868">
        <f t="shared" si="67"/>
        <v>13985.562580000002</v>
      </c>
      <c r="O203" s="964"/>
      <c r="P203" s="761" t="s">
        <v>2630</v>
      </c>
      <c r="Q203" s="210"/>
      <c r="R203" s="210"/>
      <c r="S203" s="210"/>
    </row>
    <row r="204" spans="1:19" s="209" customFormat="1" ht="13.9" customHeight="1" outlineLevel="1" x14ac:dyDescent="0.2">
      <c r="A204" s="959">
        <f ca="1">IF($H204="UNIDADE CONSTRUTIVA",OFFSET(A204,-1,0)+1,LARGE(A$3:A203,1))</f>
        <v>0</v>
      </c>
      <c r="B204" s="959">
        <f t="shared" ca="1" si="66"/>
        <v>13</v>
      </c>
      <c r="C204" s="959">
        <f t="shared" ca="1" si="68"/>
        <v>1</v>
      </c>
      <c r="D204" s="960">
        <f t="shared" ca="1" si="69"/>
        <v>3</v>
      </c>
      <c r="E204" s="960">
        <f t="shared" ca="1" si="70"/>
        <v>0</v>
      </c>
      <c r="G204" s="754"/>
      <c r="H204" s="755" t="s">
        <v>475</v>
      </c>
      <c r="I204" s="756" t="str">
        <f t="shared" ref="I204" ca="1" si="72">IF(H204="Unidade Construtiva",TEXT(A204,"00"),IF(H204="Célula Construtiva",TEXT(B204,"00"),IF(H204="Etapa",CONCATENATE(TEXT(B204,"00"),".",TEXT(C204,"000")),IF(H204="Subetapa",CONCATENATE(TEXT(B204,"00"),".",TEXT(C204,"000"),".",TEXT(D204,"000")),IF(H204="Serviço",CONCATENATE(TEXT(B204,"00"),".",TEXT(C204,"000"),".",TEXT(D204,"000"),".",TEXT(E204,"000")),"")))))</f>
        <v>13.001.003</v>
      </c>
      <c r="J204" s="757" t="s">
        <v>401</v>
      </c>
      <c r="K204" s="758"/>
      <c r="L204" s="957"/>
      <c r="M204" s="957"/>
      <c r="N204" s="868">
        <f t="shared" ca="1" si="67"/>
        <v>1605.15</v>
      </c>
      <c r="O204" s="964"/>
      <c r="P204" s="761"/>
      <c r="Q204" s="210"/>
      <c r="R204" s="210"/>
      <c r="S204" s="210"/>
    </row>
    <row r="205" spans="1:19" s="209" customFormat="1" ht="12.75" customHeight="1" outlineLevel="2" x14ac:dyDescent="0.2">
      <c r="A205" s="959">
        <f ca="1">IF($H205="UNIDADE CONSTRUTIVA",OFFSET(A205,-1,0)+1,LARGE(A$3:A204,1))</f>
        <v>0</v>
      </c>
      <c r="B205" s="959">
        <f t="shared" ca="1" si="66"/>
        <v>13</v>
      </c>
      <c r="C205" s="959">
        <f t="shared" ca="1" si="68"/>
        <v>1</v>
      </c>
      <c r="D205" s="960">
        <f t="shared" ca="1" si="69"/>
        <v>3</v>
      </c>
      <c r="E205" s="960">
        <f t="shared" ca="1" si="70"/>
        <v>1</v>
      </c>
      <c r="G205" s="754"/>
      <c r="H205" s="755" t="s">
        <v>476</v>
      </c>
      <c r="I205" s="756" t="str">
        <f t="shared" ca="1" si="64"/>
        <v>13.001.003.001</v>
      </c>
      <c r="J205" s="757" t="s">
        <v>2581</v>
      </c>
      <c r="K205" s="758" t="s">
        <v>3</v>
      </c>
      <c r="L205" s="957">
        <f>L201</f>
        <v>107.01</v>
      </c>
      <c r="M205" s="957">
        <f>_xlfn.XLOOKUP($J205,CPU!$D$1:$D$2521,CPU!$H$1:$H$2521)</f>
        <v>15</v>
      </c>
      <c r="N205" s="868">
        <f t="shared" si="67"/>
        <v>1605.15</v>
      </c>
      <c r="O205" s="964"/>
      <c r="P205" s="761" t="s">
        <v>2630</v>
      </c>
      <c r="Q205" s="210"/>
      <c r="R205" s="210"/>
      <c r="S205" s="210"/>
    </row>
    <row r="206" spans="1:19" s="209" customFormat="1" ht="13.9" customHeight="1" outlineLevel="1" x14ac:dyDescent="0.2">
      <c r="A206" s="959">
        <f ca="1">IF($H206="UNIDADE CONSTRUTIVA",OFFSET(A206,-1,0)+1,LARGE(A$3:A205,1))</f>
        <v>0</v>
      </c>
      <c r="B206" s="959">
        <f t="shared" ca="1" si="66"/>
        <v>13</v>
      </c>
      <c r="C206" s="959">
        <f t="shared" ca="1" si="68"/>
        <v>2</v>
      </c>
      <c r="D206" s="960">
        <f t="shared" ca="1" si="69"/>
        <v>0</v>
      </c>
      <c r="E206" s="960">
        <f t="shared" ca="1" si="70"/>
        <v>1</v>
      </c>
      <c r="G206" s="754"/>
      <c r="H206" s="755" t="s">
        <v>474</v>
      </c>
      <c r="I206" s="756" t="str">
        <f t="shared" ref="I206:I207" ca="1" si="73">IF(H206="Unidade Construtiva",TEXT(A206,"00"),IF(H206="Célula Construtiva",TEXT(B206,"00"),IF(H206="Etapa",CONCATENATE(TEXT(B206,"00"),".",TEXT(C206,"000")),IF(H206="Subetapa",CONCATENATE(TEXT(B206,"00"),".",TEXT(C206,"000"),".",TEXT(D206,"000")),IF(H206="Serviço",CONCATENATE(TEXT(B206,"00"),".",TEXT(C206,"000"),".",TEXT(D206,"000"),".",TEXT(E206,"000")),"")))))</f>
        <v>13.002</v>
      </c>
      <c r="J206" s="757" t="s">
        <v>6</v>
      </c>
      <c r="K206" s="758"/>
      <c r="L206" s="957"/>
      <c r="M206" s="957"/>
      <c r="N206" s="868">
        <f t="shared" ca="1" si="67"/>
        <v>24585.027593038063</v>
      </c>
      <c r="O206" s="964">
        <f ca="1">N206/'Obra '!E$9</f>
        <v>74.597286139630626</v>
      </c>
      <c r="P206" s="761"/>
      <c r="Q206" s="210"/>
      <c r="R206" s="210"/>
      <c r="S206" s="210"/>
    </row>
    <row r="207" spans="1:19" s="209" customFormat="1" ht="13.9" customHeight="1" outlineLevel="1" x14ac:dyDescent="0.2">
      <c r="A207" s="959">
        <f ca="1">IF($H207="UNIDADE CONSTRUTIVA",OFFSET(A207,-1,0)+1,LARGE(A$3:A206,1))</f>
        <v>0</v>
      </c>
      <c r="B207" s="959">
        <f t="shared" ca="1" si="66"/>
        <v>13</v>
      </c>
      <c r="C207" s="959">
        <f t="shared" ca="1" si="68"/>
        <v>2</v>
      </c>
      <c r="D207" s="960">
        <f t="shared" ca="1" si="69"/>
        <v>1</v>
      </c>
      <c r="E207" s="960">
        <f t="shared" ca="1" si="70"/>
        <v>0</v>
      </c>
      <c r="G207" s="754"/>
      <c r="H207" s="755" t="s">
        <v>475</v>
      </c>
      <c r="I207" s="756" t="str">
        <f t="shared" ca="1" si="73"/>
        <v>13.002.001</v>
      </c>
      <c r="J207" s="757" t="s">
        <v>416</v>
      </c>
      <c r="K207" s="758"/>
      <c r="L207" s="957"/>
      <c r="M207" s="957"/>
      <c r="N207" s="868">
        <f t="shared" ca="1" si="67"/>
        <v>20385.027593038063</v>
      </c>
      <c r="O207" s="964"/>
      <c r="P207" s="761"/>
      <c r="Q207" s="210"/>
      <c r="R207" s="210"/>
      <c r="S207" s="210"/>
    </row>
    <row r="208" spans="1:19" s="209" customFormat="1" ht="12.75" customHeight="1" outlineLevel="2" x14ac:dyDescent="0.2">
      <c r="A208" s="959">
        <f ca="1">IF($H208="UNIDADE CONSTRUTIVA",OFFSET(A208,-1,0)+1,LARGE(A$3:A207,1))</f>
        <v>0</v>
      </c>
      <c r="B208" s="959">
        <f t="shared" ca="1" si="66"/>
        <v>13</v>
      </c>
      <c r="C208" s="959">
        <f t="shared" ca="1" si="68"/>
        <v>2</v>
      </c>
      <c r="D208" s="960">
        <f t="shared" ca="1" si="69"/>
        <v>1</v>
      </c>
      <c r="E208" s="960">
        <f t="shared" ca="1" si="70"/>
        <v>1</v>
      </c>
      <c r="G208" s="754"/>
      <c r="H208" s="755" t="s">
        <v>476</v>
      </c>
      <c r="I208" s="756" t="str">
        <f t="shared" ca="1" si="64"/>
        <v>13.002.001.001</v>
      </c>
      <c r="J208" s="757" t="s">
        <v>1326</v>
      </c>
      <c r="K208" s="758" t="s">
        <v>2</v>
      </c>
      <c r="L208" s="957">
        <f>ARQUITETURA!F214</f>
        <v>7</v>
      </c>
      <c r="M208" s="957">
        <f>_xlfn.XLOOKUP($J208,CPU!$D$1:$D$2521,CPU!$H$1:$H$2521)</f>
        <v>1355</v>
      </c>
      <c r="N208" s="868">
        <f t="shared" si="67"/>
        <v>9485</v>
      </c>
      <c r="O208" s="964"/>
      <c r="P208" s="761" t="s">
        <v>2630</v>
      </c>
      <c r="Q208" s="210"/>
      <c r="R208" s="210"/>
      <c r="S208" s="210"/>
    </row>
    <row r="209" spans="1:19" s="209" customFormat="1" ht="12.75" customHeight="1" outlineLevel="2" x14ac:dyDescent="0.2">
      <c r="A209" s="959">
        <f ca="1">IF($H209="UNIDADE CONSTRUTIVA",OFFSET(A209,-1,0)+1,LARGE(A$3:A208,1))</f>
        <v>0</v>
      </c>
      <c r="B209" s="959">
        <f t="shared" ca="1" si="66"/>
        <v>13</v>
      </c>
      <c r="C209" s="959">
        <f t="shared" ca="1" si="68"/>
        <v>2</v>
      </c>
      <c r="D209" s="960">
        <f t="shared" ca="1" si="69"/>
        <v>1</v>
      </c>
      <c r="E209" s="960">
        <f t="shared" ca="1" si="70"/>
        <v>2</v>
      </c>
      <c r="G209" s="754"/>
      <c r="H209" s="755" t="s">
        <v>476</v>
      </c>
      <c r="I209" s="756" t="str">
        <f t="shared" ca="1" si="64"/>
        <v>13.002.001.002</v>
      </c>
      <c r="J209" s="757" t="s">
        <v>1327</v>
      </c>
      <c r="K209" s="758" t="s">
        <v>2</v>
      </c>
      <c r="L209" s="957">
        <f>ARQUITETURA!F215</f>
        <v>6</v>
      </c>
      <c r="M209" s="957">
        <f>_xlfn.XLOOKUP($J209,CPU!$D$1:$D$2521,CPU!$H$1:$H$2521)</f>
        <v>1355</v>
      </c>
      <c r="N209" s="868">
        <f t="shared" si="67"/>
        <v>8130</v>
      </c>
      <c r="O209" s="964"/>
      <c r="P209" s="761" t="s">
        <v>2630</v>
      </c>
      <c r="Q209" s="210"/>
      <c r="R209" s="210"/>
      <c r="S209" s="210"/>
    </row>
    <row r="210" spans="1:19" s="209" customFormat="1" ht="12.75" customHeight="1" outlineLevel="2" x14ac:dyDescent="0.2">
      <c r="A210" s="959">
        <f ca="1">IF($H210="UNIDADE CONSTRUTIVA",OFFSET(A210,-1,0)+1,LARGE(A$3:A209,1))</f>
        <v>0</v>
      </c>
      <c r="B210" s="959">
        <f t="shared" ca="1" si="66"/>
        <v>13</v>
      </c>
      <c r="C210" s="959">
        <f t="shared" ca="1" si="68"/>
        <v>2</v>
      </c>
      <c r="D210" s="960">
        <f t="shared" ca="1" si="69"/>
        <v>1</v>
      </c>
      <c r="E210" s="960">
        <f t="shared" ca="1" si="70"/>
        <v>3</v>
      </c>
      <c r="G210" s="754"/>
      <c r="H210" s="755" t="s">
        <v>476</v>
      </c>
      <c r="I210" s="756" t="str">
        <f t="shared" ca="1" si="64"/>
        <v>13.002.001.003</v>
      </c>
      <c r="J210" s="757" t="s">
        <v>2585</v>
      </c>
      <c r="K210" s="758" t="s">
        <v>2</v>
      </c>
      <c r="L210" s="957">
        <f>ARQUITETURA!F216</f>
        <v>1</v>
      </c>
      <c r="M210" s="957">
        <f>_xlfn.XLOOKUP($J210,CPU!$D$1:$D$2521,CPU!$H$1:$H$2521)</f>
        <v>2770.027593038064</v>
      </c>
      <c r="N210" s="868">
        <f t="shared" si="67"/>
        <v>2770.027593038064</v>
      </c>
      <c r="O210" s="964"/>
      <c r="P210" s="761" t="s">
        <v>2630</v>
      </c>
      <c r="Q210" s="210"/>
      <c r="R210" s="210"/>
      <c r="S210" s="210"/>
    </row>
    <row r="211" spans="1:19" s="209" customFormat="1" ht="13.9" customHeight="1" outlineLevel="1" x14ac:dyDescent="0.2">
      <c r="A211" s="959">
        <f ca="1">IF($H211="UNIDADE CONSTRUTIVA",OFFSET(A211,-1,0)+1,LARGE(A$3:A210,1))</f>
        <v>0</v>
      </c>
      <c r="B211" s="959">
        <f t="shared" ca="1" si="66"/>
        <v>13</v>
      </c>
      <c r="C211" s="959">
        <f t="shared" ca="1" si="68"/>
        <v>2</v>
      </c>
      <c r="D211" s="960">
        <f t="shared" ca="1" si="69"/>
        <v>2</v>
      </c>
      <c r="E211" s="960">
        <f t="shared" ca="1" si="70"/>
        <v>0</v>
      </c>
      <c r="G211" s="754"/>
      <c r="H211" s="755" t="s">
        <v>475</v>
      </c>
      <c r="I211" s="756" t="str">
        <f t="shared" ca="1" si="64"/>
        <v>13.002.002</v>
      </c>
      <c r="J211" s="757" t="s">
        <v>401</v>
      </c>
      <c r="K211" s="758"/>
      <c r="L211" s="957"/>
      <c r="M211" s="957"/>
      <c r="N211" s="868">
        <f t="shared" ca="1" si="67"/>
        <v>4200</v>
      </c>
      <c r="O211" s="964"/>
      <c r="P211" s="761"/>
      <c r="Q211" s="210"/>
      <c r="R211" s="210"/>
      <c r="S211" s="210"/>
    </row>
    <row r="212" spans="1:19" s="209" customFormat="1" ht="12.75" customHeight="1" outlineLevel="2" x14ac:dyDescent="0.2">
      <c r="A212" s="959">
        <f ca="1">IF($H212="UNIDADE CONSTRUTIVA",OFFSET(A212,-1,0)+1,LARGE(A$3:A211,1))</f>
        <v>0</v>
      </c>
      <c r="B212" s="959">
        <f t="shared" ca="1" si="66"/>
        <v>13</v>
      </c>
      <c r="C212" s="959">
        <f t="shared" ca="1" si="68"/>
        <v>2</v>
      </c>
      <c r="D212" s="960">
        <f t="shared" ca="1" si="69"/>
        <v>2</v>
      </c>
      <c r="E212" s="960">
        <f t="shared" ca="1" si="70"/>
        <v>1</v>
      </c>
      <c r="G212" s="754"/>
      <c r="H212" s="755" t="s">
        <v>476</v>
      </c>
      <c r="I212" s="756" t="str">
        <f t="shared" ca="1" si="64"/>
        <v>13.002.002.001</v>
      </c>
      <c r="J212" s="757" t="s">
        <v>1329</v>
      </c>
      <c r="K212" s="758" t="s">
        <v>2</v>
      </c>
      <c r="L212" s="957">
        <f>L208+L209+L210</f>
        <v>14</v>
      </c>
      <c r="M212" s="957">
        <f>_xlfn.XLOOKUP($J212,CPU!$D$1:$D$2521,CPU!$H$1:$H$2521)</f>
        <v>300</v>
      </c>
      <c r="N212" s="868">
        <f t="shared" si="67"/>
        <v>4200</v>
      </c>
      <c r="O212" s="964"/>
      <c r="P212" s="761" t="s">
        <v>2630</v>
      </c>
      <c r="Q212" s="210"/>
      <c r="R212" s="210"/>
      <c r="S212" s="210"/>
    </row>
    <row r="213" spans="1:19" s="209" customFormat="1" ht="13.9" customHeight="1" outlineLevel="1" x14ac:dyDescent="0.2">
      <c r="A213" s="959">
        <f ca="1">IF($H213="UNIDADE CONSTRUTIVA",OFFSET(A213,-1,0)+1,LARGE(A$3:A212,1))</f>
        <v>0</v>
      </c>
      <c r="B213" s="959">
        <f t="shared" ca="1" si="66"/>
        <v>13</v>
      </c>
      <c r="C213" s="959">
        <f t="shared" ca="1" si="68"/>
        <v>3</v>
      </c>
      <c r="D213" s="960">
        <f t="shared" ca="1" si="69"/>
        <v>0</v>
      </c>
      <c r="E213" s="960">
        <f t="shared" ca="1" si="70"/>
        <v>1</v>
      </c>
      <c r="G213" s="754"/>
      <c r="H213" s="755" t="s">
        <v>474</v>
      </c>
      <c r="I213" s="756" t="str">
        <f t="shared" ca="1" si="64"/>
        <v>13.003</v>
      </c>
      <c r="J213" s="757" t="s">
        <v>1306</v>
      </c>
      <c r="K213" s="758"/>
      <c r="L213" s="957"/>
      <c r="M213" s="957"/>
      <c r="N213" s="868">
        <f t="shared" ca="1" si="67"/>
        <v>1146</v>
      </c>
      <c r="O213" s="964">
        <f ca="1">N213/'Obra '!E$9</f>
        <v>3.4772582455927421</v>
      </c>
      <c r="P213" s="761"/>
      <c r="Q213" s="210"/>
      <c r="R213" s="210"/>
      <c r="S213" s="210"/>
    </row>
    <row r="214" spans="1:19" s="209" customFormat="1" ht="13.9" customHeight="1" outlineLevel="1" x14ac:dyDescent="0.2">
      <c r="A214" s="959">
        <f ca="1">IF($H214="UNIDADE CONSTRUTIVA",OFFSET(A214,-1,0)+1,LARGE(A$3:A213,1))</f>
        <v>0</v>
      </c>
      <c r="B214" s="959">
        <f t="shared" ca="1" si="66"/>
        <v>13</v>
      </c>
      <c r="C214" s="959">
        <f t="shared" ca="1" si="68"/>
        <v>3</v>
      </c>
      <c r="D214" s="960">
        <f t="shared" ca="1" si="69"/>
        <v>1</v>
      </c>
      <c r="E214" s="960">
        <f t="shared" ca="1" si="70"/>
        <v>0</v>
      </c>
      <c r="G214" s="754"/>
      <c r="H214" s="755" t="s">
        <v>475</v>
      </c>
      <c r="I214" s="756" t="str">
        <f t="shared" ca="1" si="64"/>
        <v>13.003.001</v>
      </c>
      <c r="J214" s="757" t="s">
        <v>417</v>
      </c>
      <c r="K214" s="758"/>
      <c r="L214" s="957"/>
      <c r="M214" s="957"/>
      <c r="N214" s="868">
        <f t="shared" ca="1" si="67"/>
        <v>1146</v>
      </c>
      <c r="O214" s="964"/>
      <c r="P214" s="761"/>
      <c r="Q214" s="210"/>
      <c r="R214" s="210"/>
      <c r="S214" s="210"/>
    </row>
    <row r="215" spans="1:19" s="209" customFormat="1" ht="12.75" customHeight="1" outlineLevel="2" x14ac:dyDescent="0.2">
      <c r="A215" s="959">
        <f ca="1">IF($H215="UNIDADE CONSTRUTIVA",OFFSET(A215,-1,0)+1,LARGE(A$3:A214,1))</f>
        <v>0</v>
      </c>
      <c r="B215" s="959">
        <f t="shared" ca="1" si="66"/>
        <v>13</v>
      </c>
      <c r="C215" s="959">
        <f t="shared" ca="1" si="68"/>
        <v>3</v>
      </c>
      <c r="D215" s="960">
        <f t="shared" ca="1" si="69"/>
        <v>1</v>
      </c>
      <c r="E215" s="960">
        <f t="shared" ca="1" si="70"/>
        <v>1</v>
      </c>
      <c r="G215" s="754"/>
      <c r="H215" s="755" t="s">
        <v>476</v>
      </c>
      <c r="I215" s="756" t="str">
        <f t="shared" ref="I215" ca="1" si="74">IF(H215="Unidade Construtiva",TEXT(A215,"00"),IF(H215="Célula Construtiva",TEXT(B215,"00"),IF(H215="Etapa",CONCATENATE(TEXT(B215,"00"),".",TEXT(C215,"000")),IF(H215="Subetapa",CONCATENATE(TEXT(B215,"00"),".",TEXT(C215,"000"),".",TEXT(D215,"000")),IF(H215="Serviço",CONCATENATE(TEXT(B215,"00"),".",TEXT(C215,"000"),".",TEXT(D215,"000"),".",TEXT(E215,"000")),"")))))</f>
        <v>13.003.001.001</v>
      </c>
      <c r="J215" s="757" t="s">
        <v>2586</v>
      </c>
      <c r="K215" s="758" t="s">
        <v>2</v>
      </c>
      <c r="L215" s="957">
        <v>3</v>
      </c>
      <c r="M215" s="957">
        <f>_xlfn.XLOOKUP($J215,CPU!$D$1:$D$2521,CPU!$H$1:$H$2521)</f>
        <v>382</v>
      </c>
      <c r="N215" s="868">
        <f t="shared" si="67"/>
        <v>1146</v>
      </c>
      <c r="O215" s="964"/>
      <c r="P215" s="761" t="s">
        <v>2630</v>
      </c>
      <c r="Q215" s="210"/>
      <c r="R215" s="210"/>
      <c r="S215" s="210"/>
    </row>
    <row r="216" spans="1:19" s="209" customFormat="1" ht="13.9" customHeight="1" x14ac:dyDescent="0.2">
      <c r="A216" s="959">
        <f ca="1">IF($H216="UNIDADE CONSTRUTIVA",OFFSET(A216,-1,0)+1,LARGE(A$3:A215,1))</f>
        <v>0</v>
      </c>
      <c r="B216" s="959">
        <f t="shared" ca="1" si="66"/>
        <v>14</v>
      </c>
      <c r="C216" s="959">
        <f t="shared" ca="1" si="68"/>
        <v>0</v>
      </c>
      <c r="D216" s="960">
        <f t="shared" ca="1" si="69"/>
        <v>1</v>
      </c>
      <c r="E216" s="960">
        <f t="shared" ca="1" si="70"/>
        <v>1</v>
      </c>
      <c r="F216" s="1132"/>
      <c r="G216" s="754"/>
      <c r="H216" s="755" t="s">
        <v>473</v>
      </c>
      <c r="I216" s="756" t="str">
        <f t="shared" ref="I216:I237" ca="1" si="75">IF(H216="Unidade Construtiva",TEXT(A216,"00"),IF(H216="Célula Construtiva",TEXT(B216,"00"),IF(H216="Etapa",CONCATENATE(TEXT(B216,"00"),".",TEXT(C216,"000")),IF(H216="Subetapa",CONCATENATE(TEXT(B216,"00"),".",TEXT(C216,"000"),".",TEXT(D216,"000")),IF(H216="Serviço",CONCATENATE(TEXT(B216,"00"),".",TEXT(C216,"000"),".",TEXT(D216,"000"),".",TEXT(E216,"000")),"")))))</f>
        <v>14</v>
      </c>
      <c r="J216" s="757" t="s">
        <v>426</v>
      </c>
      <c r="K216" s="758"/>
      <c r="L216" s="957"/>
      <c r="M216" s="957"/>
      <c r="N216" s="868">
        <f t="shared" ca="1" si="67"/>
        <v>184438.30568505928</v>
      </c>
      <c r="O216" s="964">
        <f ca="1">N216/'Obra '!E$9</f>
        <v>559.63317560778978</v>
      </c>
      <c r="P216" s="761"/>
      <c r="Q216" s="965"/>
      <c r="R216" s="965"/>
      <c r="S216" s="210"/>
    </row>
    <row r="217" spans="1:19" s="209" customFormat="1" ht="13.9" customHeight="1" outlineLevel="1" x14ac:dyDescent="0.2">
      <c r="A217" s="959">
        <f ca="1">IF($H217="UNIDADE CONSTRUTIVA",OFFSET(A217,-1,0)+1,LARGE(A$3:A216,1))</f>
        <v>0</v>
      </c>
      <c r="B217" s="959">
        <f t="shared" ca="1" si="66"/>
        <v>14</v>
      </c>
      <c r="C217" s="959">
        <f t="shared" ca="1" si="68"/>
        <v>1</v>
      </c>
      <c r="D217" s="960">
        <f t="shared" ca="1" si="69"/>
        <v>0</v>
      </c>
      <c r="E217" s="960">
        <f t="shared" ca="1" si="70"/>
        <v>1</v>
      </c>
      <c r="G217" s="754"/>
      <c r="H217" s="755" t="s">
        <v>474</v>
      </c>
      <c r="I217" s="756" t="str">
        <f t="shared" ca="1" si="75"/>
        <v>14.001</v>
      </c>
      <c r="J217" s="757" t="s">
        <v>426</v>
      </c>
      <c r="K217" s="758"/>
      <c r="L217" s="957"/>
      <c r="M217" s="957"/>
      <c r="N217" s="868">
        <f t="shared" ca="1" si="67"/>
        <v>184438.30568505928</v>
      </c>
      <c r="O217" s="964"/>
      <c r="P217" s="761"/>
      <c r="Q217" s="210"/>
      <c r="R217" s="210"/>
      <c r="S217" s="210"/>
    </row>
    <row r="218" spans="1:19" s="209" customFormat="1" ht="13.9" customHeight="1" outlineLevel="1" x14ac:dyDescent="0.2">
      <c r="A218" s="959">
        <f ca="1">IF($H218="UNIDADE CONSTRUTIVA",OFFSET(A218,-1,0)+1,LARGE(A$3:A217,1))</f>
        <v>0</v>
      </c>
      <c r="B218" s="959">
        <f t="shared" ca="1" si="66"/>
        <v>14</v>
      </c>
      <c r="C218" s="959">
        <f t="shared" ca="1" si="68"/>
        <v>1</v>
      </c>
      <c r="D218" s="960">
        <f t="shared" ca="1" si="69"/>
        <v>1</v>
      </c>
      <c r="E218" s="960">
        <f t="shared" ca="1" si="70"/>
        <v>0</v>
      </c>
      <c r="G218" s="754"/>
      <c r="H218" s="755" t="s">
        <v>475</v>
      </c>
      <c r="I218" s="756" t="str">
        <f t="shared" ca="1" si="75"/>
        <v>14.001.001</v>
      </c>
      <c r="J218" s="757" t="s">
        <v>427</v>
      </c>
      <c r="K218" s="758"/>
      <c r="L218" s="957"/>
      <c r="M218" s="957"/>
      <c r="N218" s="868">
        <f t="shared" ca="1" si="67"/>
        <v>18311.291874559996</v>
      </c>
      <c r="O218" s="964"/>
      <c r="P218" s="761"/>
      <c r="Q218" s="880" t="s">
        <v>2607</v>
      </c>
      <c r="R218" s="210"/>
      <c r="S218" s="210"/>
    </row>
    <row r="219" spans="1:19" s="209" customFormat="1" ht="13.9" customHeight="1" outlineLevel="2" x14ac:dyDescent="0.2">
      <c r="A219" s="959">
        <f ca="1">IF($H219="UNIDADE CONSTRUTIVA",OFFSET(A219,-1,0)+1,LARGE(A$3:A218,1))</f>
        <v>0</v>
      </c>
      <c r="B219" s="959">
        <f t="shared" ca="1" si="66"/>
        <v>14</v>
      </c>
      <c r="C219" s="959">
        <f t="shared" ca="1" si="68"/>
        <v>1</v>
      </c>
      <c r="D219" s="960">
        <f t="shared" ca="1" si="69"/>
        <v>1</v>
      </c>
      <c r="E219" s="960">
        <f t="shared" ca="1" si="70"/>
        <v>1</v>
      </c>
      <c r="G219" s="754"/>
      <c r="H219" s="755" t="s">
        <v>476</v>
      </c>
      <c r="I219" s="756" t="str">
        <f t="shared" ca="1" si="75"/>
        <v>14.001.001.001</v>
      </c>
      <c r="J219" s="757" t="s">
        <v>1330</v>
      </c>
      <c r="K219" s="758" t="s">
        <v>1</v>
      </c>
      <c r="L219" s="957">
        <f>ARQUITETURA!F46+ARQUITETURA!F250</f>
        <v>529.34</v>
      </c>
      <c r="M219" s="957">
        <f>_xlfn.XLOOKUP($J219,CPU!$D$1:$D$2521,CPU!$H$1:$H$2521)</f>
        <v>2.6597339999999998</v>
      </c>
      <c r="N219" s="868">
        <f t="shared" si="67"/>
        <v>1407.90359556</v>
      </c>
      <c r="O219" s="964" t="s">
        <v>2579</v>
      </c>
      <c r="P219" s="761" t="s">
        <v>2630</v>
      </c>
      <c r="Q219" s="210"/>
      <c r="R219" s="210"/>
      <c r="S219" s="210"/>
    </row>
    <row r="220" spans="1:19" s="209" customFormat="1" ht="13.9" customHeight="1" outlineLevel="2" x14ac:dyDescent="0.2">
      <c r="A220" s="959">
        <f ca="1">IF($H220="UNIDADE CONSTRUTIVA",OFFSET(A220,-1,0)+1,LARGE(A$3:A219,1))</f>
        <v>0</v>
      </c>
      <c r="B220" s="959">
        <f t="shared" ca="1" si="66"/>
        <v>14</v>
      </c>
      <c r="C220" s="959">
        <f t="shared" ca="1" si="68"/>
        <v>1</v>
      </c>
      <c r="D220" s="960">
        <f t="shared" ca="1" si="69"/>
        <v>1</v>
      </c>
      <c r="E220" s="960">
        <f t="shared" ca="1" si="70"/>
        <v>2</v>
      </c>
      <c r="G220" s="754"/>
      <c r="H220" s="755" t="s">
        <v>476</v>
      </c>
      <c r="I220" s="756" t="str">
        <f t="shared" ca="1" si="75"/>
        <v>14.001.001.002</v>
      </c>
      <c r="J220" s="757" t="s">
        <v>893</v>
      </c>
      <c r="K220" s="758" t="s">
        <v>1</v>
      </c>
      <c r="L220" s="957">
        <f>ARQUITETURA!F47</f>
        <v>139.5</v>
      </c>
      <c r="M220" s="957">
        <f>_xlfn.XLOOKUP($J220,CPU!$D$1:$D$2521,CPU!$H$1:$H$2521)</f>
        <v>19.535849999999996</v>
      </c>
      <c r="N220" s="868">
        <f t="shared" si="67"/>
        <v>2725.2510749999997</v>
      </c>
      <c r="O220" s="964"/>
      <c r="P220" s="761" t="s">
        <v>2630</v>
      </c>
      <c r="Q220" s="210"/>
      <c r="R220" s="210"/>
      <c r="S220" s="210"/>
    </row>
    <row r="221" spans="1:19" s="209" customFormat="1" ht="13.9" customHeight="1" outlineLevel="2" x14ac:dyDescent="0.2">
      <c r="A221" s="959">
        <f ca="1">IF($H221="UNIDADE CONSTRUTIVA",OFFSET(A221,-1,0)+1,LARGE(A$3:A220,1))</f>
        <v>0</v>
      </c>
      <c r="B221" s="959">
        <f t="shared" ca="1" si="66"/>
        <v>14</v>
      </c>
      <c r="C221" s="959">
        <f t="shared" ca="1" si="68"/>
        <v>1</v>
      </c>
      <c r="D221" s="960">
        <f t="shared" ca="1" si="69"/>
        <v>1</v>
      </c>
      <c r="E221" s="960">
        <f t="shared" ca="1" si="70"/>
        <v>3</v>
      </c>
      <c r="G221" s="754"/>
      <c r="H221" s="755" t="s">
        <v>476</v>
      </c>
      <c r="I221" s="756" t="str">
        <f t="shared" ca="1" si="75"/>
        <v>14.001.001.003</v>
      </c>
      <c r="J221" s="757" t="s">
        <v>894</v>
      </c>
      <c r="K221" s="758" t="s">
        <v>1</v>
      </c>
      <c r="L221" s="957">
        <f>ARQUITETURA!F56+ARQUITETURA!F250</f>
        <v>668.83999999999992</v>
      </c>
      <c r="M221" s="957">
        <f>_xlfn.XLOOKUP($J221,CPU!$D$1:$D$2521,CPU!$H$1:$H$2521)</f>
        <v>21.1981</v>
      </c>
      <c r="N221" s="868">
        <f t="shared" si="67"/>
        <v>14178.137203999999</v>
      </c>
      <c r="O221" s="964" t="s">
        <v>2579</v>
      </c>
      <c r="P221" s="761" t="s">
        <v>2630</v>
      </c>
      <c r="Q221" s="210"/>
      <c r="R221" s="210"/>
      <c r="S221" s="210"/>
    </row>
    <row r="222" spans="1:19" s="209" customFormat="1" ht="13.9" customHeight="1" outlineLevel="1" x14ac:dyDescent="0.2">
      <c r="A222" s="959">
        <f ca="1">IF($H222="UNIDADE CONSTRUTIVA",OFFSET(A222,-1,0)+1,LARGE(A$3:A221,1))</f>
        <v>0</v>
      </c>
      <c r="B222" s="959">
        <f t="shared" ca="1" si="66"/>
        <v>14</v>
      </c>
      <c r="C222" s="959">
        <f t="shared" ca="1" si="68"/>
        <v>1</v>
      </c>
      <c r="D222" s="960">
        <f t="shared" ca="1" si="69"/>
        <v>2</v>
      </c>
      <c r="E222" s="960">
        <f t="shared" ca="1" si="70"/>
        <v>0</v>
      </c>
      <c r="G222" s="754"/>
      <c r="H222" s="755" t="s">
        <v>475</v>
      </c>
      <c r="I222" s="756" t="str">
        <f t="shared" ca="1" si="75"/>
        <v>14.001.002</v>
      </c>
      <c r="J222" s="757" t="s">
        <v>428</v>
      </c>
      <c r="K222" s="758"/>
      <c r="L222" s="957"/>
      <c r="M222" s="957"/>
      <c r="N222" s="868">
        <f t="shared" ca="1" si="67"/>
        <v>16471.061903885457</v>
      </c>
      <c r="O222" s="964"/>
      <c r="P222" s="761"/>
      <c r="Q222" s="882" t="s">
        <v>2606</v>
      </c>
      <c r="R222" s="210"/>
      <c r="S222" s="210"/>
    </row>
    <row r="223" spans="1:19" s="209" customFormat="1" ht="13.9" customHeight="1" outlineLevel="2" x14ac:dyDescent="0.2">
      <c r="A223" s="959">
        <f ca="1">IF($H223="UNIDADE CONSTRUTIVA",OFFSET(A223,-1,0)+1,LARGE(A$3:A222,1))</f>
        <v>0</v>
      </c>
      <c r="B223" s="959">
        <f t="shared" ca="1" si="66"/>
        <v>14</v>
      </c>
      <c r="C223" s="959">
        <f t="shared" ca="1" si="68"/>
        <v>1</v>
      </c>
      <c r="D223" s="960">
        <f t="shared" ca="1" si="69"/>
        <v>2</v>
      </c>
      <c r="E223" s="960">
        <f t="shared" ca="1" si="70"/>
        <v>1</v>
      </c>
      <c r="G223" s="754"/>
      <c r="H223" s="755" t="s">
        <v>476</v>
      </c>
      <c r="I223" s="756" t="str">
        <f t="shared" ca="1" si="75"/>
        <v>14.001.002.001</v>
      </c>
      <c r="J223" s="757" t="s">
        <v>2600</v>
      </c>
      <c r="K223" s="758" t="s">
        <v>1</v>
      </c>
      <c r="L223" s="957">
        <f>ARQUITETURA!F83+ARQUITETURA!F84+ARQUITETURA!F86+ARQUITETURA!F89+ARQUITETURA!F90+ARQUITETURA!D117+ARQUITETURA!D119</f>
        <v>395.17000000000007</v>
      </c>
      <c r="M223" s="957">
        <f>_xlfn.XLOOKUP($J223,CPU!$D$1:$D$2521,CPU!$H$1:$H$2521)</f>
        <v>32.48717827272727</v>
      </c>
      <c r="N223" s="868">
        <f t="shared" si="67"/>
        <v>12837.958238033638</v>
      </c>
      <c r="O223" s="964"/>
      <c r="P223" s="761" t="s">
        <v>2630</v>
      </c>
      <c r="Q223" s="210"/>
      <c r="R223" s="210"/>
      <c r="S223" s="210"/>
    </row>
    <row r="224" spans="1:19" s="209" customFormat="1" ht="13.9" customHeight="1" outlineLevel="2" x14ac:dyDescent="0.2">
      <c r="A224" s="959">
        <f ca="1">IF($H224="UNIDADE CONSTRUTIVA",OFFSET(A224,-1,0)+1,LARGE(A$3:A223,1))</f>
        <v>0</v>
      </c>
      <c r="B224" s="959">
        <f t="shared" ca="1" si="66"/>
        <v>14</v>
      </c>
      <c r="C224" s="959">
        <f t="shared" ca="1" si="68"/>
        <v>1</v>
      </c>
      <c r="D224" s="960">
        <f t="shared" ca="1" si="69"/>
        <v>2</v>
      </c>
      <c r="E224" s="960">
        <f t="shared" ca="1" si="70"/>
        <v>2</v>
      </c>
      <c r="G224" s="754"/>
      <c r="H224" s="755" t="s">
        <v>476</v>
      </c>
      <c r="I224" s="756" t="str">
        <f t="shared" ref="I224" ca="1" si="76">IF(H224="Unidade Construtiva",TEXT(A224,"00"),IF(H224="Célula Construtiva",TEXT(B224,"00"),IF(H224="Etapa",CONCATENATE(TEXT(B224,"00"),".",TEXT(C224,"000")),IF(H224="Subetapa",CONCATENATE(TEXT(B224,"00"),".",TEXT(C224,"000"),".",TEXT(D224,"000")),IF(H224="Serviço",CONCATENATE(TEXT(B224,"00"),".",TEXT(C224,"000"),".",TEXT(D224,"000"),".",TEXT(E224,"000")),"")))))</f>
        <v>14.001.002.002</v>
      </c>
      <c r="J224" s="757" t="s">
        <v>2601</v>
      </c>
      <c r="K224" s="758" t="s">
        <v>1</v>
      </c>
      <c r="L224" s="957">
        <f>ARQUITETURA!F82</f>
        <v>4.05</v>
      </c>
      <c r="M224" s="957">
        <f>_xlfn.XLOOKUP($J224,CPU!$D$1:$D$2521,CPU!$H$1:$H$2521)</f>
        <v>20.691016656565655</v>
      </c>
      <c r="N224" s="868">
        <f t="shared" si="67"/>
        <v>83.798617459090892</v>
      </c>
      <c r="O224" s="964"/>
      <c r="P224" s="761" t="s">
        <v>2630</v>
      </c>
      <c r="Q224" s="210"/>
      <c r="R224" s="210"/>
      <c r="S224" s="210"/>
    </row>
    <row r="225" spans="1:19" s="209" customFormat="1" ht="13.9" customHeight="1" outlineLevel="2" x14ac:dyDescent="0.2">
      <c r="A225" s="959">
        <f ca="1">IF($H225="UNIDADE CONSTRUTIVA",OFFSET(A225,-1,0)+1,LARGE(A$3:A224,1))</f>
        <v>0</v>
      </c>
      <c r="B225" s="959">
        <f t="shared" ca="1" si="66"/>
        <v>14</v>
      </c>
      <c r="C225" s="959">
        <f t="shared" ca="1" si="68"/>
        <v>1</v>
      </c>
      <c r="D225" s="960">
        <f t="shared" ca="1" si="69"/>
        <v>2</v>
      </c>
      <c r="E225" s="960">
        <f t="shared" ca="1" si="70"/>
        <v>3</v>
      </c>
      <c r="G225" s="754"/>
      <c r="H225" s="755" t="s">
        <v>476</v>
      </c>
      <c r="I225" s="756" t="str">
        <f t="shared" ca="1" si="75"/>
        <v>14.001.002.003</v>
      </c>
      <c r="J225" s="757" t="s">
        <v>2602</v>
      </c>
      <c r="K225" s="758" t="s">
        <v>1</v>
      </c>
      <c r="L225" s="957">
        <f>ARQUITETURA!F85+ARQUITETURA!F87+ARQUITETURA!F88</f>
        <v>28.56</v>
      </c>
      <c r="M225" s="957">
        <f>_xlfn.XLOOKUP($J225,CPU!$D$1:$D$2521,CPU!$H$1:$H$2521)</f>
        <v>124.27538684848483</v>
      </c>
      <c r="N225" s="868">
        <f t="shared" si="67"/>
        <v>3549.3050483927263</v>
      </c>
      <c r="O225" s="964"/>
      <c r="P225" s="761" t="s">
        <v>2630</v>
      </c>
      <c r="Q225" s="210"/>
      <c r="R225" s="210"/>
      <c r="S225" s="210"/>
    </row>
    <row r="226" spans="1:19" s="209" customFormat="1" ht="13.9" customHeight="1" outlineLevel="1" x14ac:dyDescent="0.2">
      <c r="A226" s="959">
        <f ca="1">IF($H226="UNIDADE CONSTRUTIVA",OFFSET(A226,-1,0)+1,LARGE(A$3:A225,1))</f>
        <v>0</v>
      </c>
      <c r="B226" s="959">
        <f t="shared" ca="1" si="66"/>
        <v>14</v>
      </c>
      <c r="C226" s="959">
        <f t="shared" ca="1" si="68"/>
        <v>1</v>
      </c>
      <c r="D226" s="960">
        <f t="shared" ca="1" si="69"/>
        <v>3</v>
      </c>
      <c r="E226" s="960">
        <f t="shared" ca="1" si="70"/>
        <v>0</v>
      </c>
      <c r="G226" s="754"/>
      <c r="H226" s="755" t="s">
        <v>475</v>
      </c>
      <c r="I226" s="756" t="str">
        <f t="shared" ca="1" si="75"/>
        <v>14.001.003</v>
      </c>
      <c r="J226" s="757" t="s">
        <v>429</v>
      </c>
      <c r="K226" s="758"/>
      <c r="L226" s="957"/>
      <c r="M226" s="957"/>
      <c r="N226" s="868">
        <f t="shared" ca="1" si="67"/>
        <v>100308.05190661384</v>
      </c>
      <c r="O226" s="964"/>
      <c r="P226" s="761"/>
      <c r="Q226" s="882" t="s">
        <v>2608</v>
      </c>
      <c r="R226" s="210"/>
      <c r="S226" s="210"/>
    </row>
    <row r="227" spans="1:19" s="209" customFormat="1" ht="13.9" customHeight="1" outlineLevel="2" x14ac:dyDescent="0.2">
      <c r="A227" s="959">
        <f ca="1">IF($H227="UNIDADE CONSTRUTIVA",OFFSET(A227,-1,0)+1,LARGE(A$3:A226,1))</f>
        <v>0</v>
      </c>
      <c r="B227" s="959">
        <f t="shared" ca="1" si="66"/>
        <v>14</v>
      </c>
      <c r="C227" s="959">
        <f t="shared" ca="1" si="68"/>
        <v>1</v>
      </c>
      <c r="D227" s="960">
        <f t="shared" ca="1" si="69"/>
        <v>3</v>
      </c>
      <c r="E227" s="960">
        <f t="shared" ca="1" si="70"/>
        <v>1</v>
      </c>
      <c r="G227" s="754"/>
      <c r="H227" s="755" t="s">
        <v>476</v>
      </c>
      <c r="I227" s="756" t="str">
        <f t="shared" ca="1" si="75"/>
        <v>14.001.003.001</v>
      </c>
      <c r="J227" s="757" t="s">
        <v>2587</v>
      </c>
      <c r="K227" s="758" t="s">
        <v>1</v>
      </c>
      <c r="L227" s="957">
        <f>ARQUITETURA!D159</f>
        <v>3.44</v>
      </c>
      <c r="M227" s="957">
        <f>_xlfn.XLOOKUP($J227,CPU!$D$1:$D$2521,CPU!$H$1:$H$2521)</f>
        <v>550</v>
      </c>
      <c r="N227" s="868">
        <f t="shared" si="67"/>
        <v>1892</v>
      </c>
      <c r="O227" s="964"/>
      <c r="P227" s="761" t="s">
        <v>2630</v>
      </c>
      <c r="Q227" s="210"/>
      <c r="R227" s="210"/>
      <c r="S227" s="210"/>
    </row>
    <row r="228" spans="1:19" s="209" customFormat="1" ht="13.9" customHeight="1" outlineLevel="2" x14ac:dyDescent="0.2">
      <c r="A228" s="959">
        <f ca="1">IF($H228="UNIDADE CONSTRUTIVA",OFFSET(A228,-1,0)+1,LARGE(A$3:A227,1))</f>
        <v>0</v>
      </c>
      <c r="B228" s="959">
        <f t="shared" ca="1" si="66"/>
        <v>14</v>
      </c>
      <c r="C228" s="959">
        <f t="shared" ca="1" si="68"/>
        <v>1</v>
      </c>
      <c r="D228" s="960">
        <f t="shared" ca="1" si="69"/>
        <v>3</v>
      </c>
      <c r="E228" s="960">
        <f t="shared" ca="1" si="70"/>
        <v>2</v>
      </c>
      <c r="G228" s="754"/>
      <c r="H228" s="755" t="s">
        <v>476</v>
      </c>
      <c r="I228" s="756" t="str">
        <f ca="1">IF(H228="Unidade Construtiva",TEXT(A228,"00"),IF(H228="Célula Construtiva",TEXT(B228,"00"),IF(H228="Etapa",CONCATENATE(TEXT(B228,"00"),".",TEXT(C228,"000")),IF(H228="Subetapa",CONCATENATE(TEXT(B228,"00"),".",TEXT(C228,"000"),".",TEXT(D228,"000")),IF(H228="Serviço",CONCATENATE(TEXT(B228,"00"),".",TEXT(C228,"000"),".",TEXT(D228,"000"),".",TEXT(E228,"000")),"")))))</f>
        <v>14.001.003.002</v>
      </c>
      <c r="J228" s="757" t="s">
        <v>2597</v>
      </c>
      <c r="K228" s="758" t="s">
        <v>1</v>
      </c>
      <c r="L228" s="957">
        <f>ARQUITETURA!F68+ARQUITETURA!F67</f>
        <v>29.14</v>
      </c>
      <c r="M228" s="957">
        <f>_xlfn.XLOOKUP($J228,CPU!$D$1:$D$2521,CPU!$H$1:$H$2521)</f>
        <v>491.95799999999997</v>
      </c>
      <c r="N228" s="868">
        <f t="shared" si="67"/>
        <v>14335.65612</v>
      </c>
      <c r="O228" s="964"/>
      <c r="P228" s="761" t="s">
        <v>2630</v>
      </c>
      <c r="Q228" s="210"/>
      <c r="R228" s="210"/>
      <c r="S228" s="210"/>
    </row>
    <row r="229" spans="1:19" s="209" customFormat="1" ht="12.75" customHeight="1" outlineLevel="2" x14ac:dyDescent="0.2">
      <c r="A229" s="959">
        <f ca="1">IF($H229="UNIDADE CONSTRUTIVA",OFFSET(A229,-1,0)+1,LARGE(A$3:A228,1))</f>
        <v>0</v>
      </c>
      <c r="B229" s="959">
        <f t="shared" ca="1" si="66"/>
        <v>14</v>
      </c>
      <c r="C229" s="959">
        <f t="shared" ca="1" si="68"/>
        <v>1</v>
      </c>
      <c r="D229" s="960">
        <f t="shared" ca="1" si="69"/>
        <v>3</v>
      </c>
      <c r="E229" s="960">
        <f t="shared" ca="1" si="70"/>
        <v>3</v>
      </c>
      <c r="G229" s="754"/>
      <c r="H229" s="755" t="s">
        <v>476</v>
      </c>
      <c r="I229" s="756" t="str">
        <f t="shared" ref="I229" ca="1" si="77">IF(H229="Unidade Construtiva",TEXT(A229,"00"),IF(H229="Célula Construtiva",TEXT(B229,"00"),IF(H229="Etapa",CONCATENATE(TEXT(B229,"00"),".",TEXT(C229,"000")),IF(H229="Subetapa",CONCATENATE(TEXT(B229,"00"),".",TEXT(C229,"000"),".",TEXT(D229,"000")),IF(H229="Serviço",CONCATENATE(TEXT(B229,"00"),".",TEXT(C229,"000"),".",TEXT(D229,"000"),".",TEXT(E229,"000")),"")))))</f>
        <v>14.001.003.003</v>
      </c>
      <c r="J229" s="757" t="s">
        <v>1328</v>
      </c>
      <c r="K229" s="758" t="s">
        <v>1</v>
      </c>
      <c r="L229" s="957">
        <f>(ARQUITETURA!F203*2.7)+(ARQUITETURA!F204*3.05)</f>
        <v>52.052499999999995</v>
      </c>
      <c r="M229" s="957">
        <f>_xlfn.XLOOKUP($J229,CPU!$D$1:$D$2521,CPU!$H$1:$H$2521)</f>
        <v>1415.0275930380642</v>
      </c>
      <c r="N229" s="868">
        <f t="shared" si="67"/>
        <v>73655.723786613831</v>
      </c>
      <c r="O229" s="964"/>
      <c r="P229" s="761" t="s">
        <v>2630</v>
      </c>
      <c r="Q229" s="210"/>
      <c r="R229" s="210"/>
      <c r="S229" s="210"/>
    </row>
    <row r="230" spans="1:19" s="209" customFormat="1" ht="12.75" customHeight="1" outlineLevel="2" x14ac:dyDescent="0.2">
      <c r="A230" s="959">
        <f ca="1">IF($H230="UNIDADE CONSTRUTIVA",OFFSET(A230,-1,0)+1,LARGE(A$3:A229,1))</f>
        <v>0</v>
      </c>
      <c r="B230" s="959">
        <f t="shared" ca="1" si="66"/>
        <v>14</v>
      </c>
      <c r="C230" s="959">
        <f t="shared" ca="1" si="68"/>
        <v>1</v>
      </c>
      <c r="D230" s="960">
        <f t="shared" ca="1" si="69"/>
        <v>3</v>
      </c>
      <c r="E230" s="960">
        <f t="shared" ca="1" si="70"/>
        <v>4</v>
      </c>
      <c r="G230" s="754"/>
      <c r="H230" s="755" t="s">
        <v>476</v>
      </c>
      <c r="I230" s="756" t="str">
        <f ca="1">IF(H230="Unidade Construtiva",TEXT(A230,"00"),IF(H230="Célula Construtiva",TEXT(B230,"00"),IF(H230="Etapa",CONCATENATE(TEXT(B230,"00"),".",TEXT(C230,"000")),IF(H230="Subetapa",CONCATENATE(TEXT(B230,"00"),".",TEXT(C230,"000"),".",TEXT(D230,"000")),IF(H230="Serviço",CONCATENATE(TEXT(B230,"00"),".",TEXT(C230,"000"),".",TEXT(D230,"000"),".",TEXT(E230,"000")),"")))))</f>
        <v>14.001.003.004</v>
      </c>
      <c r="J230" s="757" t="s">
        <v>2173</v>
      </c>
      <c r="K230" s="758" t="s">
        <v>1</v>
      </c>
      <c r="L230" s="957">
        <f>ARQUITETURA!D213</f>
        <v>7.6651999999999996</v>
      </c>
      <c r="M230" s="957">
        <f>_xlfn.XLOOKUP($J230,CPU!$D$1:$D$2521,CPU!$H$1:$H$2521)</f>
        <v>1360</v>
      </c>
      <c r="N230" s="868">
        <f t="shared" si="67"/>
        <v>10424.671999999999</v>
      </c>
      <c r="O230" s="964"/>
      <c r="P230" s="761" t="s">
        <v>2630</v>
      </c>
      <c r="Q230" s="210"/>
      <c r="R230" s="210"/>
      <c r="S230" s="210"/>
    </row>
    <row r="231" spans="1:19" s="209" customFormat="1" ht="13.9" customHeight="1" outlineLevel="1" x14ac:dyDescent="0.2">
      <c r="A231" s="959">
        <f ca="1">IF($H231="UNIDADE CONSTRUTIVA",OFFSET(A231,-1,0)+1,LARGE(A$3:A230,1))</f>
        <v>0</v>
      </c>
      <c r="B231" s="959">
        <f t="shared" ca="1" si="66"/>
        <v>14</v>
      </c>
      <c r="C231" s="959">
        <f t="shared" ca="1" si="68"/>
        <v>1</v>
      </c>
      <c r="D231" s="960">
        <f t="shared" ca="1" si="69"/>
        <v>4</v>
      </c>
      <c r="E231" s="960">
        <f t="shared" ca="1" si="70"/>
        <v>0</v>
      </c>
      <c r="G231" s="754"/>
      <c r="H231" s="755" t="s">
        <v>475</v>
      </c>
      <c r="I231" s="756" t="str">
        <f t="shared" ca="1" si="75"/>
        <v>14.001.004</v>
      </c>
      <c r="J231" s="757" t="s">
        <v>401</v>
      </c>
      <c r="K231" s="758"/>
      <c r="L231" s="957"/>
      <c r="M231" s="957"/>
      <c r="N231" s="868">
        <f t="shared" ca="1" si="67"/>
        <v>49347.899999999994</v>
      </c>
      <c r="O231" s="964"/>
      <c r="P231" s="761"/>
      <c r="Q231" s="210"/>
      <c r="R231" s="210"/>
      <c r="S231" s="210"/>
    </row>
    <row r="232" spans="1:19" s="209" customFormat="1" ht="13.9" customHeight="1" outlineLevel="2" x14ac:dyDescent="0.2">
      <c r="A232" s="959">
        <f ca="1">IF($H232="UNIDADE CONSTRUTIVA",OFFSET(A232,-1,0)+1,LARGE(A$3:A231,1))</f>
        <v>0</v>
      </c>
      <c r="B232" s="959">
        <f t="shared" ca="1" si="66"/>
        <v>14</v>
      </c>
      <c r="C232" s="959">
        <f t="shared" ca="1" si="68"/>
        <v>1</v>
      </c>
      <c r="D232" s="960">
        <f t="shared" ca="1" si="69"/>
        <v>4</v>
      </c>
      <c r="E232" s="960">
        <f t="shared" ca="1" si="70"/>
        <v>1</v>
      </c>
      <c r="G232" s="754"/>
      <c r="H232" s="755" t="s">
        <v>476</v>
      </c>
      <c r="I232" s="756" t="str">
        <f t="shared" ca="1" si="75"/>
        <v>14.001.004.001</v>
      </c>
      <c r="J232" s="757" t="s">
        <v>430</v>
      </c>
      <c r="K232" s="758" t="s">
        <v>1</v>
      </c>
      <c r="L232" s="957">
        <f>L221</f>
        <v>668.83999999999992</v>
      </c>
      <c r="M232" s="957">
        <v>45</v>
      </c>
      <c r="N232" s="868">
        <f t="shared" si="67"/>
        <v>30097.799999999996</v>
      </c>
      <c r="O232" s="964"/>
      <c r="P232" s="761" t="s">
        <v>2630</v>
      </c>
      <c r="Q232" s="880" t="s">
        <v>2607</v>
      </c>
      <c r="R232" s="210"/>
      <c r="S232" s="210"/>
    </row>
    <row r="233" spans="1:19" s="209" customFormat="1" ht="13.9" customHeight="1" outlineLevel="2" x14ac:dyDescent="0.2">
      <c r="A233" s="959">
        <f ca="1">IF($H233="UNIDADE CONSTRUTIVA",OFFSET(A233,-1,0)+1,LARGE(A$3:A232,1))</f>
        <v>0</v>
      </c>
      <c r="B233" s="959">
        <f t="shared" ca="1" si="66"/>
        <v>14</v>
      </c>
      <c r="C233" s="959">
        <f t="shared" ca="1" si="68"/>
        <v>1</v>
      </c>
      <c r="D233" s="960">
        <f t="shared" ca="1" si="69"/>
        <v>4</v>
      </c>
      <c r="E233" s="960">
        <f t="shared" ca="1" si="70"/>
        <v>2</v>
      </c>
      <c r="G233" s="754"/>
      <c r="H233" s="755" t="s">
        <v>476</v>
      </c>
      <c r="I233" s="756" t="str">
        <f t="shared" ca="1" si="75"/>
        <v>14.001.004.002</v>
      </c>
      <c r="J233" s="757" t="s">
        <v>1331</v>
      </c>
      <c r="K233" s="758" t="s">
        <v>1</v>
      </c>
      <c r="L233" s="957">
        <f>L223+L224+L225</f>
        <v>427.78000000000009</v>
      </c>
      <c r="M233" s="957">
        <v>45</v>
      </c>
      <c r="N233" s="868">
        <f t="shared" si="67"/>
        <v>19250.100000000002</v>
      </c>
      <c r="O233" s="964"/>
      <c r="P233" s="761" t="s">
        <v>2630</v>
      </c>
      <c r="Q233" s="882" t="s">
        <v>2606</v>
      </c>
      <c r="R233" s="210"/>
      <c r="S233" s="210"/>
    </row>
    <row r="234" spans="1:19" s="209" customFormat="1" ht="13.9" customHeight="1" x14ac:dyDescent="0.2">
      <c r="A234" s="959">
        <f ca="1">IF($H234="UNIDADE CONSTRUTIVA",OFFSET(A234,-1,0)+1,LARGE(A$3:A233,1))</f>
        <v>0</v>
      </c>
      <c r="B234" s="959">
        <f t="shared" ca="1" si="66"/>
        <v>15</v>
      </c>
      <c r="C234" s="959">
        <f t="shared" ca="1" si="68"/>
        <v>0</v>
      </c>
      <c r="D234" s="960">
        <f t="shared" ca="1" si="69"/>
        <v>4</v>
      </c>
      <c r="E234" s="960">
        <f t="shared" ca="1" si="70"/>
        <v>2</v>
      </c>
      <c r="F234" s="1132"/>
      <c r="G234" s="754"/>
      <c r="H234" s="755" t="s">
        <v>473</v>
      </c>
      <c r="I234" s="756" t="str">
        <f t="shared" ca="1" si="75"/>
        <v>15</v>
      </c>
      <c r="J234" s="757" t="s">
        <v>431</v>
      </c>
      <c r="K234" s="758"/>
      <c r="L234" s="957"/>
      <c r="M234" s="957"/>
      <c r="N234" s="868">
        <f t="shared" ca="1" si="67"/>
        <v>36475.844044765749</v>
      </c>
      <c r="O234" s="964">
        <f ca="1">N234/'Obra '!E$9</f>
        <v>110.677076326018</v>
      </c>
      <c r="P234" s="761"/>
      <c r="Q234" s="965"/>
      <c r="R234" s="965"/>
      <c r="S234" s="210"/>
    </row>
    <row r="235" spans="1:19" s="209" customFormat="1" ht="13.9" customHeight="1" outlineLevel="1" x14ac:dyDescent="0.2">
      <c r="A235" s="959">
        <f ca="1">IF($H235="UNIDADE CONSTRUTIVA",OFFSET(A235,-1,0)+1,LARGE(A$3:A234,1))</f>
        <v>0</v>
      </c>
      <c r="B235" s="959">
        <f t="shared" ca="1" si="66"/>
        <v>15</v>
      </c>
      <c r="C235" s="959">
        <f t="shared" ca="1" si="68"/>
        <v>1</v>
      </c>
      <c r="D235" s="960">
        <f t="shared" ca="1" si="69"/>
        <v>0</v>
      </c>
      <c r="E235" s="960">
        <f t="shared" ca="1" si="70"/>
        <v>2</v>
      </c>
      <c r="G235" s="754"/>
      <c r="H235" s="755" t="s">
        <v>474</v>
      </c>
      <c r="I235" s="756" t="str">
        <f t="shared" ca="1" si="75"/>
        <v>15.001</v>
      </c>
      <c r="J235" s="757" t="s">
        <v>432</v>
      </c>
      <c r="K235" s="758"/>
      <c r="L235" s="957"/>
      <c r="M235" s="957"/>
      <c r="N235" s="868">
        <f t="shared" ca="1" si="67"/>
        <v>22963.474044765753</v>
      </c>
      <c r="O235" s="964"/>
      <c r="P235" s="761"/>
      <c r="Q235" s="210"/>
      <c r="R235" s="210"/>
      <c r="S235" s="210"/>
    </row>
    <row r="236" spans="1:19" s="209" customFormat="1" ht="13.9" customHeight="1" outlineLevel="1" x14ac:dyDescent="0.2">
      <c r="A236" s="959">
        <f ca="1">IF($H236="UNIDADE CONSTRUTIVA",OFFSET(A236,-1,0)+1,LARGE(A$3:A235,1))</f>
        <v>0</v>
      </c>
      <c r="B236" s="959">
        <f t="shared" ca="1" si="66"/>
        <v>15</v>
      </c>
      <c r="C236" s="959">
        <f t="shared" ca="1" si="68"/>
        <v>1</v>
      </c>
      <c r="D236" s="960">
        <f t="shared" ca="1" si="69"/>
        <v>1</v>
      </c>
      <c r="E236" s="960">
        <f t="shared" ca="1" si="70"/>
        <v>0</v>
      </c>
      <c r="G236" s="754"/>
      <c r="H236" s="755" t="s">
        <v>475</v>
      </c>
      <c r="I236" s="756" t="str">
        <f t="shared" ca="1" si="75"/>
        <v>15.001.001</v>
      </c>
      <c r="J236" s="757" t="s">
        <v>433</v>
      </c>
      <c r="K236" s="758"/>
      <c r="L236" s="957"/>
      <c r="M236" s="957"/>
      <c r="N236" s="868">
        <f t="shared" ca="1" si="67"/>
        <v>9608.8216079800004</v>
      </c>
      <c r="O236" s="964"/>
      <c r="P236" s="761"/>
      <c r="Q236" s="210"/>
      <c r="R236" s="210"/>
      <c r="S236" s="210"/>
    </row>
    <row r="237" spans="1:19" s="209" customFormat="1" ht="13.9" customHeight="1" outlineLevel="2" x14ac:dyDescent="0.2">
      <c r="A237" s="959">
        <f ca="1">IF($H237="UNIDADE CONSTRUTIVA",OFFSET(A237,-1,0)+1,LARGE(A$3:A236,1))</f>
        <v>0</v>
      </c>
      <c r="B237" s="959">
        <f t="shared" ca="1" si="66"/>
        <v>15</v>
      </c>
      <c r="C237" s="959">
        <f t="shared" ca="1" si="68"/>
        <v>1</v>
      </c>
      <c r="D237" s="960">
        <f t="shared" ca="1" si="69"/>
        <v>1</v>
      </c>
      <c r="E237" s="960">
        <f t="shared" ca="1" si="70"/>
        <v>1</v>
      </c>
      <c r="G237" s="754"/>
      <c r="H237" s="755" t="s">
        <v>476</v>
      </c>
      <c r="I237" s="756" t="str">
        <f t="shared" ca="1" si="75"/>
        <v>15.001.001.001</v>
      </c>
      <c r="J237" s="757" t="s">
        <v>1907</v>
      </c>
      <c r="K237" s="758" t="s">
        <v>1</v>
      </c>
      <c r="L237" s="957">
        <f>ARQUITETURA!F134</f>
        <v>81.87</v>
      </c>
      <c r="M237" s="957">
        <f>_xlfn.XLOOKUP($J237,CPU!$D$1:$D$2521,CPU!$H$1:$H$2521)</f>
        <v>77.366820666666669</v>
      </c>
      <c r="N237" s="868">
        <f t="shared" si="67"/>
        <v>6334.0216079800002</v>
      </c>
      <c r="O237" s="964"/>
      <c r="P237" s="761" t="s">
        <v>2630</v>
      </c>
      <c r="Q237" s="210"/>
      <c r="R237" s="210"/>
      <c r="S237" s="210"/>
    </row>
    <row r="238" spans="1:19" s="209" customFormat="1" ht="13.9" customHeight="1" outlineLevel="2" x14ac:dyDescent="0.2">
      <c r="A238" s="959">
        <f ca="1">IF($H238="UNIDADE CONSTRUTIVA",OFFSET(A238,-1,0)+1,LARGE(A$3:A237,1))</f>
        <v>0</v>
      </c>
      <c r="B238" s="959">
        <f t="shared" ca="1" si="66"/>
        <v>15</v>
      </c>
      <c r="C238" s="959">
        <f t="shared" ca="1" si="68"/>
        <v>1</v>
      </c>
      <c r="D238" s="960">
        <f t="shared" ca="1" si="69"/>
        <v>1</v>
      </c>
      <c r="E238" s="960">
        <f t="shared" ca="1" si="70"/>
        <v>2</v>
      </c>
      <c r="G238" s="754"/>
      <c r="H238" s="755" t="s">
        <v>476</v>
      </c>
      <c r="I238" s="756" t="str">
        <f t="shared" ref="I238" ca="1" si="78">IF(H238="Unidade Construtiva",TEXT(A238,"00"),IF(H238="Célula Construtiva",TEXT(B238,"00"),IF(H238="Etapa",CONCATENATE(TEXT(B238,"00"),".",TEXT(C238,"000")),IF(H238="Subetapa",CONCATENATE(TEXT(B238,"00"),".",TEXT(C238,"000"),".",TEXT(D238,"000")),IF(H238="Serviço",CONCATENATE(TEXT(B238,"00"),".",TEXT(C238,"000"),".",TEXT(D238,"000"),".",TEXT(E238,"000")),"")))))</f>
        <v>15.001.001.002</v>
      </c>
      <c r="J238" s="757" t="s">
        <v>2388</v>
      </c>
      <c r="K238" s="758" t="s">
        <v>1</v>
      </c>
      <c r="L238" s="957">
        <f>L237</f>
        <v>81.87</v>
      </c>
      <c r="M238" s="957">
        <f>_xlfn.XLOOKUP($J238,CPU!$D$1:$D$2521,CPU!$H$1:$H$2521)</f>
        <v>40</v>
      </c>
      <c r="N238" s="868">
        <f t="shared" si="67"/>
        <v>3274.8</v>
      </c>
      <c r="O238" s="964"/>
      <c r="P238" s="761" t="s">
        <v>2630</v>
      </c>
      <c r="Q238" s="210"/>
      <c r="R238" s="210"/>
      <c r="S238" s="210"/>
    </row>
    <row r="239" spans="1:19" s="209" customFormat="1" ht="13.9" customHeight="1" outlineLevel="1" x14ac:dyDescent="0.2">
      <c r="A239" s="959">
        <f ca="1">IF($H239="UNIDADE CONSTRUTIVA",OFFSET(A239,-1,0)+1,LARGE(A$3:A238,1))</f>
        <v>0</v>
      </c>
      <c r="B239" s="959">
        <f t="shared" ca="1" si="66"/>
        <v>15</v>
      </c>
      <c r="C239" s="959">
        <f t="shared" ca="1" si="68"/>
        <v>1</v>
      </c>
      <c r="D239" s="960">
        <f t="shared" ca="1" si="69"/>
        <v>2</v>
      </c>
      <c r="E239" s="960">
        <f t="shared" ca="1" si="70"/>
        <v>0</v>
      </c>
      <c r="G239" s="754"/>
      <c r="H239" s="755" t="s">
        <v>475</v>
      </c>
      <c r="I239" s="756" t="str">
        <f t="shared" ref="I239:I241" ca="1" si="79">IF(H239="Unidade Construtiva",TEXT(A239,"00"),IF(H239="Célula Construtiva",TEXT(B239,"00"),IF(H239="Etapa",CONCATENATE(TEXT(B239,"00"),".",TEXT(C239,"000")),IF(H239="Subetapa",CONCATENATE(TEXT(B239,"00"),".",TEXT(C239,"000"),".",TEXT(D239,"000")),IF(H239="Serviço",CONCATENATE(TEXT(B239,"00"),".",TEXT(C239,"000"),".",TEXT(D239,"000"),".",TEXT(E239,"000")),"")))))</f>
        <v>15.001.002</v>
      </c>
      <c r="J239" s="757" t="s">
        <v>1307</v>
      </c>
      <c r="K239" s="758"/>
      <c r="L239" s="957"/>
      <c r="M239" s="957"/>
      <c r="N239" s="868">
        <f t="shared" ca="1" si="67"/>
        <v>13354.652436785755</v>
      </c>
      <c r="O239" s="964"/>
      <c r="P239" s="761"/>
      <c r="Q239" s="882" t="s">
        <v>2606</v>
      </c>
      <c r="R239" s="210"/>
      <c r="S239" s="210"/>
    </row>
    <row r="240" spans="1:19" s="209" customFormat="1" ht="13.9" customHeight="1" outlineLevel="2" x14ac:dyDescent="0.2">
      <c r="A240" s="959">
        <f ca="1">IF($H240="UNIDADE CONSTRUTIVA",OFFSET(A240,-1,0)+1,LARGE(A$3:A239,1))</f>
        <v>0</v>
      </c>
      <c r="B240" s="959">
        <f t="shared" ca="1" si="66"/>
        <v>15</v>
      </c>
      <c r="C240" s="959">
        <f t="shared" ca="1" si="68"/>
        <v>1</v>
      </c>
      <c r="D240" s="960">
        <f t="shared" ca="1" si="69"/>
        <v>2</v>
      </c>
      <c r="E240" s="960">
        <f t="shared" ca="1" si="70"/>
        <v>1</v>
      </c>
      <c r="G240" s="754"/>
      <c r="H240" s="755" t="s">
        <v>476</v>
      </c>
      <c r="I240" s="756" t="str">
        <f t="shared" ca="1" si="79"/>
        <v>15.001.002.001</v>
      </c>
      <c r="J240" s="757" t="s">
        <v>2601</v>
      </c>
      <c r="K240" s="758" t="s">
        <v>1</v>
      </c>
      <c r="L240" s="957">
        <f>SUM(ARQUITETURA!F91:F93)</f>
        <v>169.70999999999998</v>
      </c>
      <c r="M240" s="957">
        <f>_xlfn.XLOOKUP($J240,CPU!$D$1:$D$2521,CPU!$H$1:$H$2521)</f>
        <v>20.691016656565655</v>
      </c>
      <c r="N240" s="868">
        <f t="shared" si="67"/>
        <v>3511.4724367857566</v>
      </c>
      <c r="O240" s="964"/>
      <c r="P240" s="761" t="s">
        <v>2630</v>
      </c>
      <c r="Q240" s="210"/>
      <c r="R240" s="210"/>
      <c r="S240" s="210"/>
    </row>
    <row r="241" spans="1:21" s="209" customFormat="1" ht="13.9" customHeight="1" outlineLevel="2" x14ac:dyDescent="0.2">
      <c r="A241" s="959">
        <f ca="1">IF($H241="UNIDADE CONSTRUTIVA",OFFSET(A241,-1,0)+1,LARGE(A$3:A240,1))</f>
        <v>0</v>
      </c>
      <c r="B241" s="959">
        <f t="shared" ca="1" si="66"/>
        <v>15</v>
      </c>
      <c r="C241" s="959">
        <f t="shared" ca="1" si="68"/>
        <v>1</v>
      </c>
      <c r="D241" s="960">
        <f t="shared" ca="1" si="69"/>
        <v>2</v>
      </c>
      <c r="E241" s="960">
        <f t="shared" ca="1" si="70"/>
        <v>2</v>
      </c>
      <c r="G241" s="754"/>
      <c r="H241" s="755" t="s">
        <v>476</v>
      </c>
      <c r="I241" s="756" t="str">
        <f t="shared" ca="1" si="79"/>
        <v>15.001.002.002</v>
      </c>
      <c r="J241" s="757" t="s">
        <v>1331</v>
      </c>
      <c r="K241" s="758" t="s">
        <v>1</v>
      </c>
      <c r="L241" s="957">
        <f>L240</f>
        <v>169.70999999999998</v>
      </c>
      <c r="M241" s="957">
        <f>_xlfn.XLOOKUP($J241,CPU!$D$1:$D$2521,CPU!$H$1:$H$2521)</f>
        <v>58</v>
      </c>
      <c r="N241" s="868">
        <f t="shared" si="67"/>
        <v>9843.1799999999985</v>
      </c>
      <c r="O241" s="964"/>
      <c r="P241" s="761" t="s">
        <v>2630</v>
      </c>
      <c r="Q241" s="210"/>
      <c r="R241" s="210"/>
      <c r="S241" s="210"/>
    </row>
    <row r="242" spans="1:21" s="209" customFormat="1" ht="13.9" customHeight="1" outlineLevel="1" x14ac:dyDescent="0.2">
      <c r="A242" s="959">
        <f ca="1">IF($H242="UNIDADE CONSTRUTIVA",OFFSET(A242,-1,0)+1,LARGE(A$3:A241,1))</f>
        <v>0</v>
      </c>
      <c r="B242" s="959">
        <f t="shared" ca="1" si="66"/>
        <v>15</v>
      </c>
      <c r="C242" s="959">
        <f t="shared" ca="1" si="68"/>
        <v>2</v>
      </c>
      <c r="D242" s="960">
        <f t="shared" ca="1" si="69"/>
        <v>0</v>
      </c>
      <c r="E242" s="960">
        <f t="shared" ca="1" si="70"/>
        <v>2</v>
      </c>
      <c r="G242" s="754"/>
      <c r="H242" s="755" t="s">
        <v>474</v>
      </c>
      <c r="I242" s="756" t="str">
        <f t="shared" ref="I242:I253" ca="1" si="80">IF(H242="Unidade Construtiva",TEXT(A242,"00"),IF(H242="Célula Construtiva",TEXT(B242,"00"),IF(H242="Etapa",CONCATENATE(TEXT(B242,"00"),".",TEXT(C242,"000")),IF(H242="Subetapa",CONCATENATE(TEXT(B242,"00"),".",TEXT(C242,"000"),".",TEXT(D242,"000")),IF(H242="Serviço",CONCATENATE(TEXT(B242,"00"),".",TEXT(C242,"000"),".",TEXT(D242,"000"),".",TEXT(E242,"000")),"")))))</f>
        <v>15.002</v>
      </c>
      <c r="J242" s="757" t="s">
        <v>431</v>
      </c>
      <c r="K242" s="758"/>
      <c r="L242" s="957"/>
      <c r="M242" s="957"/>
      <c r="N242" s="868">
        <f t="shared" ca="1" si="67"/>
        <v>13512.37</v>
      </c>
      <c r="O242" s="964"/>
      <c r="P242" s="761"/>
      <c r="Q242" s="210"/>
      <c r="R242" s="210"/>
      <c r="S242" s="210"/>
    </row>
    <row r="243" spans="1:21" s="209" customFormat="1" ht="13.9" customHeight="1" outlineLevel="1" x14ac:dyDescent="0.2">
      <c r="A243" s="959">
        <f ca="1">IF($H243="UNIDADE CONSTRUTIVA",OFFSET(A243,-1,0)+1,LARGE(A$3:A242,1))</f>
        <v>0</v>
      </c>
      <c r="B243" s="959">
        <f t="shared" ca="1" si="66"/>
        <v>15</v>
      </c>
      <c r="C243" s="959">
        <f t="shared" ca="1" si="68"/>
        <v>2</v>
      </c>
      <c r="D243" s="960">
        <f t="shared" ca="1" si="69"/>
        <v>1</v>
      </c>
      <c r="E243" s="960">
        <f t="shared" ca="1" si="70"/>
        <v>0</v>
      </c>
      <c r="G243" s="754"/>
      <c r="H243" s="755" t="s">
        <v>475</v>
      </c>
      <c r="I243" s="756" t="str">
        <f t="shared" ca="1" si="80"/>
        <v>15.002.001</v>
      </c>
      <c r="J243" s="757" t="s">
        <v>434</v>
      </c>
      <c r="K243" s="758"/>
      <c r="L243" s="957"/>
      <c r="M243" s="957"/>
      <c r="N243" s="868">
        <f t="shared" ca="1" si="67"/>
        <v>3954.84</v>
      </c>
      <c r="O243" s="964"/>
      <c r="P243" s="761"/>
      <c r="Q243" s="210"/>
      <c r="R243" s="210"/>
      <c r="S243" s="210"/>
    </row>
    <row r="244" spans="1:21" s="209" customFormat="1" ht="13.9" customHeight="1" outlineLevel="2" x14ac:dyDescent="0.2">
      <c r="A244" s="959">
        <f ca="1">IF($H244="UNIDADE CONSTRUTIVA",OFFSET(A244,-1,0)+1,LARGE(A$3:A243,1))</f>
        <v>0</v>
      </c>
      <c r="B244" s="959">
        <f t="shared" ca="1" si="66"/>
        <v>15</v>
      </c>
      <c r="C244" s="959">
        <f t="shared" ca="1" si="68"/>
        <v>2</v>
      </c>
      <c r="D244" s="960">
        <f t="shared" ca="1" si="69"/>
        <v>1</v>
      </c>
      <c r="E244" s="960">
        <f t="shared" ca="1" si="70"/>
        <v>1</v>
      </c>
      <c r="G244" s="754"/>
      <c r="H244" s="755" t="s">
        <v>476</v>
      </c>
      <c r="I244" s="756" t="str">
        <f t="shared" ca="1" si="80"/>
        <v>15.002.001.001</v>
      </c>
      <c r="J244" s="757" t="s">
        <v>434</v>
      </c>
      <c r="K244" s="758" t="s">
        <v>419</v>
      </c>
      <c r="L244" s="957">
        <v>1</v>
      </c>
      <c r="M244" s="957">
        <f>12*'Obra '!E$9</f>
        <v>3954.84</v>
      </c>
      <c r="N244" s="868">
        <f t="shared" si="67"/>
        <v>3954.84</v>
      </c>
      <c r="O244" s="964"/>
      <c r="P244" s="761" t="s">
        <v>2630</v>
      </c>
      <c r="Q244" s="210"/>
      <c r="R244" s="210"/>
      <c r="S244" s="210"/>
    </row>
    <row r="245" spans="1:21" s="209" customFormat="1" ht="13.9" customHeight="1" outlineLevel="1" x14ac:dyDescent="0.2">
      <c r="A245" s="959">
        <f ca="1">IF($H245="UNIDADE CONSTRUTIVA",OFFSET(A245,-1,0)+1,LARGE(A$3:A244,1))</f>
        <v>0</v>
      </c>
      <c r="B245" s="959">
        <f t="shared" ca="1" si="66"/>
        <v>15</v>
      </c>
      <c r="C245" s="959">
        <f t="shared" ca="1" si="68"/>
        <v>2</v>
      </c>
      <c r="D245" s="960">
        <f t="shared" ca="1" si="69"/>
        <v>2</v>
      </c>
      <c r="E245" s="960">
        <f t="shared" ca="1" si="70"/>
        <v>0</v>
      </c>
      <c r="G245" s="754"/>
      <c r="H245" s="755" t="s">
        <v>475</v>
      </c>
      <c r="I245" s="756" t="str">
        <f t="shared" ca="1" si="80"/>
        <v>15.002.002</v>
      </c>
      <c r="J245" s="757" t="s">
        <v>435</v>
      </c>
      <c r="K245" s="758"/>
      <c r="L245" s="957"/>
      <c r="M245" s="957"/>
      <c r="N245" s="868">
        <f t="shared" ca="1" si="67"/>
        <v>8239.25</v>
      </c>
      <c r="O245" s="964"/>
      <c r="P245" s="761"/>
      <c r="Q245" s="210"/>
      <c r="R245" s="210"/>
      <c r="S245" s="210"/>
    </row>
    <row r="246" spans="1:21" s="209" customFormat="1" ht="13.9" customHeight="1" outlineLevel="2" x14ac:dyDescent="0.2">
      <c r="A246" s="959">
        <f ca="1">IF($H246="UNIDADE CONSTRUTIVA",OFFSET(A246,-1,0)+1,LARGE(A$3:A245,1))</f>
        <v>0</v>
      </c>
      <c r="B246" s="959">
        <f t="shared" ca="1" si="66"/>
        <v>15</v>
      </c>
      <c r="C246" s="959">
        <f t="shared" ca="1" si="68"/>
        <v>2</v>
      </c>
      <c r="D246" s="960">
        <f t="shared" ca="1" si="69"/>
        <v>2</v>
      </c>
      <c r="E246" s="960">
        <f t="shared" ca="1" si="70"/>
        <v>1</v>
      </c>
      <c r="G246" s="754"/>
      <c r="H246" s="755" t="s">
        <v>476</v>
      </c>
      <c r="I246" s="756" t="str">
        <f t="shared" ca="1" si="80"/>
        <v>15.002.002.001</v>
      </c>
      <c r="J246" s="757" t="s">
        <v>436</v>
      </c>
      <c r="K246" s="758" t="s">
        <v>419</v>
      </c>
      <c r="L246" s="957">
        <v>1</v>
      </c>
      <c r="M246" s="957">
        <f>15*'Obra '!E$9</f>
        <v>4943.55</v>
      </c>
      <c r="N246" s="868">
        <f t="shared" si="67"/>
        <v>4943.55</v>
      </c>
      <c r="O246" s="964"/>
      <c r="P246" s="761" t="s">
        <v>2630</v>
      </c>
      <c r="Q246" s="210"/>
      <c r="R246" s="210"/>
      <c r="S246" s="210"/>
    </row>
    <row r="247" spans="1:21" s="209" customFormat="1" ht="13.9" customHeight="1" outlineLevel="2" x14ac:dyDescent="0.2">
      <c r="A247" s="959">
        <f ca="1">IF($H247="UNIDADE CONSTRUTIVA",OFFSET(A247,-1,0)+1,LARGE(A$3:A246,1))</f>
        <v>0</v>
      </c>
      <c r="B247" s="959">
        <f t="shared" ca="1" si="66"/>
        <v>15</v>
      </c>
      <c r="C247" s="959">
        <f t="shared" ca="1" si="68"/>
        <v>2</v>
      </c>
      <c r="D247" s="960">
        <f t="shared" ca="1" si="69"/>
        <v>2</v>
      </c>
      <c r="E247" s="960">
        <f t="shared" ca="1" si="70"/>
        <v>2</v>
      </c>
      <c r="G247" s="754"/>
      <c r="H247" s="755" t="s">
        <v>476</v>
      </c>
      <c r="I247" s="756" t="str">
        <f t="shared" ca="1" si="80"/>
        <v>15.002.002.002</v>
      </c>
      <c r="J247" s="757" t="s">
        <v>895</v>
      </c>
      <c r="K247" s="758" t="s">
        <v>419</v>
      </c>
      <c r="L247" s="957">
        <v>1</v>
      </c>
      <c r="M247" s="957">
        <f>10*'Obra '!E$9</f>
        <v>3295.7</v>
      </c>
      <c r="N247" s="868">
        <f t="shared" si="67"/>
        <v>3295.7</v>
      </c>
      <c r="O247" s="964"/>
      <c r="P247" s="761" t="s">
        <v>2630</v>
      </c>
      <c r="Q247" s="210"/>
      <c r="R247" s="210"/>
      <c r="S247" s="146"/>
      <c r="T247" s="65"/>
      <c r="U247" s="65"/>
    </row>
    <row r="248" spans="1:21" s="209" customFormat="1" ht="13.9" customHeight="1" outlineLevel="1" x14ac:dyDescent="0.2">
      <c r="A248" s="959">
        <f ca="1">IF($H248="UNIDADE CONSTRUTIVA",OFFSET(A248,-1,0)+1,LARGE(A$3:A247,1))</f>
        <v>0</v>
      </c>
      <c r="B248" s="959">
        <f t="shared" ca="1" si="66"/>
        <v>15</v>
      </c>
      <c r="C248" s="959">
        <f t="shared" ca="1" si="68"/>
        <v>2</v>
      </c>
      <c r="D248" s="960">
        <f t="shared" ca="1" si="69"/>
        <v>3</v>
      </c>
      <c r="E248" s="960">
        <f t="shared" ca="1" si="70"/>
        <v>0</v>
      </c>
      <c r="G248" s="754"/>
      <c r="H248" s="755" t="s">
        <v>475</v>
      </c>
      <c r="I248" s="756" t="str">
        <f t="shared" ca="1" si="80"/>
        <v>15.002.003</v>
      </c>
      <c r="J248" s="757" t="s">
        <v>437</v>
      </c>
      <c r="K248" s="758"/>
      <c r="L248" s="957"/>
      <c r="M248" s="957"/>
      <c r="N248" s="868">
        <f t="shared" ca="1" si="67"/>
        <v>1318.28</v>
      </c>
      <c r="O248" s="964"/>
      <c r="P248" s="761"/>
      <c r="Q248" s="210"/>
      <c r="R248" s="210"/>
      <c r="S248" s="146"/>
      <c r="T248" s="65"/>
      <c r="U248" s="65"/>
    </row>
    <row r="249" spans="1:21" s="209" customFormat="1" ht="13.9" customHeight="1" outlineLevel="2" x14ac:dyDescent="0.2">
      <c r="A249" s="959">
        <f ca="1">IF($H249="UNIDADE CONSTRUTIVA",OFFSET(A249,-1,0)+1,LARGE(A$3:A248,1))</f>
        <v>0</v>
      </c>
      <c r="B249" s="959">
        <f t="shared" ca="1" si="66"/>
        <v>15</v>
      </c>
      <c r="C249" s="959">
        <f t="shared" ca="1" si="68"/>
        <v>2</v>
      </c>
      <c r="D249" s="960">
        <f t="shared" ca="1" si="69"/>
        <v>3</v>
      </c>
      <c r="E249" s="960">
        <f t="shared" ca="1" si="70"/>
        <v>1</v>
      </c>
      <c r="G249" s="754"/>
      <c r="H249" s="755" t="s">
        <v>476</v>
      </c>
      <c r="I249" s="756" t="str">
        <f t="shared" ca="1" si="80"/>
        <v>15.002.003.001</v>
      </c>
      <c r="J249" s="757" t="s">
        <v>437</v>
      </c>
      <c r="K249" s="758" t="s">
        <v>419</v>
      </c>
      <c r="L249" s="957">
        <v>1</v>
      </c>
      <c r="M249" s="957">
        <f>4*'Obra '!E$9</f>
        <v>1318.28</v>
      </c>
      <c r="N249" s="868">
        <f t="shared" si="67"/>
        <v>1318.28</v>
      </c>
      <c r="O249" s="964"/>
      <c r="P249" s="761" t="s">
        <v>2630</v>
      </c>
      <c r="Q249" s="210"/>
      <c r="R249" s="210"/>
      <c r="S249" s="146"/>
      <c r="T249" s="65"/>
      <c r="U249" s="65"/>
    </row>
    <row r="250" spans="1:21" s="209" customFormat="1" ht="13.9" customHeight="1" x14ac:dyDescent="0.2">
      <c r="A250" s="959">
        <f ca="1">IF($H250="UNIDADE CONSTRUTIVA",OFFSET(A250,-1,0)+1,LARGE(A$3:A249,1))</f>
        <v>0</v>
      </c>
      <c r="B250" s="959">
        <f t="shared" ca="1" si="66"/>
        <v>16</v>
      </c>
      <c r="C250" s="959">
        <f t="shared" ca="1" si="68"/>
        <v>0</v>
      </c>
      <c r="D250" s="960">
        <f t="shared" ca="1" si="69"/>
        <v>3</v>
      </c>
      <c r="E250" s="960">
        <f t="shared" ca="1" si="70"/>
        <v>1</v>
      </c>
      <c r="F250" s="1132"/>
      <c r="G250" s="754"/>
      <c r="H250" s="755" t="s">
        <v>473</v>
      </c>
      <c r="I250" s="756" t="str">
        <f t="shared" ca="1" si="80"/>
        <v>16</v>
      </c>
      <c r="J250" s="757" t="s">
        <v>438</v>
      </c>
      <c r="K250" s="758"/>
      <c r="L250" s="957"/>
      <c r="M250" s="957"/>
      <c r="N250" s="868">
        <f t="shared" ca="1" si="67"/>
        <v>26653.869807027662</v>
      </c>
      <c r="O250" s="964">
        <f ca="1">N250/'Obra '!E$9</f>
        <v>80.874684610333659</v>
      </c>
      <c r="P250" s="761"/>
      <c r="Q250" s="965"/>
      <c r="R250" s="965"/>
      <c r="S250" s="146"/>
      <c r="T250" s="65"/>
      <c r="U250" s="65"/>
    </row>
    <row r="251" spans="1:21" s="209" customFormat="1" ht="13.9" customHeight="1" outlineLevel="1" x14ac:dyDescent="0.2">
      <c r="A251" s="959">
        <f ca="1">IF($H251="UNIDADE CONSTRUTIVA",OFFSET(A251,-1,0)+1,LARGE(A$3:A250,1))</f>
        <v>0</v>
      </c>
      <c r="B251" s="959">
        <f t="shared" ca="1" si="66"/>
        <v>16</v>
      </c>
      <c r="C251" s="959">
        <f t="shared" ca="1" si="68"/>
        <v>1</v>
      </c>
      <c r="D251" s="960">
        <f t="shared" ca="1" si="69"/>
        <v>0</v>
      </c>
      <c r="E251" s="960">
        <f t="shared" ca="1" si="70"/>
        <v>1</v>
      </c>
      <c r="G251" s="754"/>
      <c r="H251" s="755" t="s">
        <v>474</v>
      </c>
      <c r="I251" s="756" t="str">
        <f t="shared" ca="1" si="80"/>
        <v>16.001</v>
      </c>
      <c r="J251" s="757" t="s">
        <v>438</v>
      </c>
      <c r="K251" s="758"/>
      <c r="L251" s="957"/>
      <c r="M251" s="957"/>
      <c r="N251" s="868">
        <f t="shared" ca="1" si="67"/>
        <v>26653.869807027662</v>
      </c>
      <c r="O251" s="964"/>
      <c r="P251" s="761"/>
      <c r="Q251" s="210"/>
      <c r="R251" s="210"/>
      <c r="S251" s="146"/>
      <c r="T251" s="65"/>
      <c r="U251" s="65"/>
    </row>
    <row r="252" spans="1:21" s="209" customFormat="1" ht="13.9" customHeight="1" outlineLevel="1" x14ac:dyDescent="0.2">
      <c r="A252" s="959">
        <f ca="1">IF($H252="UNIDADE CONSTRUTIVA",OFFSET(A252,-1,0)+1,LARGE(A$3:A251,1))</f>
        <v>0</v>
      </c>
      <c r="B252" s="959">
        <f t="shared" ca="1" si="66"/>
        <v>16</v>
      </c>
      <c r="C252" s="959">
        <f t="shared" ca="1" si="68"/>
        <v>1</v>
      </c>
      <c r="D252" s="960">
        <f t="shared" ca="1" si="69"/>
        <v>1</v>
      </c>
      <c r="E252" s="960">
        <f t="shared" ca="1" si="70"/>
        <v>0</v>
      </c>
      <c r="G252" s="754"/>
      <c r="H252" s="755" t="s">
        <v>475</v>
      </c>
      <c r="I252" s="756" t="str">
        <f t="shared" ca="1" si="80"/>
        <v>16.001.001</v>
      </c>
      <c r="J252" s="757" t="s">
        <v>439</v>
      </c>
      <c r="K252" s="758"/>
      <c r="L252" s="957"/>
      <c r="M252" s="957"/>
      <c r="N252" s="868">
        <f t="shared" ca="1" si="67"/>
        <v>26653.869807027662</v>
      </c>
      <c r="O252" s="964"/>
      <c r="P252" s="761"/>
      <c r="Q252" s="210"/>
      <c r="R252" s="210"/>
      <c r="S252" s="146"/>
      <c r="T252" s="65"/>
      <c r="U252" s="65"/>
    </row>
    <row r="253" spans="1:21" s="209" customFormat="1" ht="11.25" outlineLevel="2" x14ac:dyDescent="0.2">
      <c r="A253" s="959">
        <f ca="1">IF($H253="UNIDADE CONSTRUTIVA",OFFSET(A253,-1,0)+1,LARGE(A$3:A252,1))</f>
        <v>0</v>
      </c>
      <c r="B253" s="959">
        <f t="shared" ca="1" si="66"/>
        <v>16</v>
      </c>
      <c r="C253" s="959">
        <f t="shared" ref="C253:C264" ca="1" si="81">IF(H253="CÉLULA CONSTRUTIVA",0,IF(H253="ETAPA",OFFSET(C253,-1,0)+1,OFFSET(C253,-1,0)))</f>
        <v>1</v>
      </c>
      <c r="D253" s="960">
        <f t="shared" ref="D253:D264" ca="1" si="82">IF(H253="ETAPA",0,IF(H253="SUBETAPA",OFFSET(D253,-1,0)+1,OFFSET(D253,-1,0)))</f>
        <v>1</v>
      </c>
      <c r="E253" s="960">
        <f t="shared" ref="E253:E264" ca="1" si="83">IF(H253="Subetapa",0,IF(H253="serviço",OFFSET(E253,-1,0)+1,OFFSET(E253,-1,0)))</f>
        <v>1</v>
      </c>
      <c r="G253" s="754"/>
      <c r="H253" s="755" t="s">
        <v>476</v>
      </c>
      <c r="I253" s="756" t="str">
        <f t="shared" ca="1" si="80"/>
        <v>16.001.001.001</v>
      </c>
      <c r="J253" s="757" t="s">
        <v>439</v>
      </c>
      <c r="K253" s="758" t="s">
        <v>419</v>
      </c>
      <c r="L253" s="957">
        <v>1</v>
      </c>
      <c r="M253" s="957">
        <f>SUMIFS(N7:N249,H7:H249,"serviço")*0.02</f>
        <v>26653.869807027662</v>
      </c>
      <c r="N253" s="868">
        <f t="shared" si="67"/>
        <v>26653.869807027662</v>
      </c>
      <c r="O253" s="964"/>
      <c r="P253" s="761" t="s">
        <v>2630</v>
      </c>
      <c r="Q253" s="210"/>
      <c r="R253" s="210"/>
      <c r="S253" s="146"/>
      <c r="T253" s="65"/>
      <c r="U253" s="65"/>
    </row>
    <row r="254" spans="1:21" ht="11.25" x14ac:dyDescent="0.2">
      <c r="A254" s="959">
        <f ca="1">IF($H254="UNIDADE CONSTRUTIVA",OFFSET(A254,-1,0)+1,LARGE(A$3:A253,1))</f>
        <v>0</v>
      </c>
      <c r="B254" s="959">
        <f t="shared" ref="B254:B317" ca="1" si="84">IF(H254="UNIDADE CONSTRUTIVA",0,IF(H254="CÉLULA CONSTRUTIVA",OFFSET(B254,-1,0)+1,OFFSET(B254,-1,0)))</f>
        <v>16</v>
      </c>
      <c r="C254" s="959">
        <f t="shared" ca="1" si="81"/>
        <v>1</v>
      </c>
      <c r="D254" s="960">
        <f t="shared" ca="1" si="82"/>
        <v>1</v>
      </c>
      <c r="E254" s="960">
        <f t="shared" ca="1" si="83"/>
        <v>1</v>
      </c>
      <c r="F254" s="209"/>
      <c r="M254" s="974">
        <f ca="1">SUMIFS($N$7:$N$253,$H$7:$H$253,N254)</f>
        <v>1359347.3601584111</v>
      </c>
      <c r="N254" s="870" t="s">
        <v>473</v>
      </c>
    </row>
    <row r="255" spans="1:21" ht="11.25" x14ac:dyDescent="0.2">
      <c r="A255" s="959">
        <f ca="1">IF($H255="UNIDADE CONSTRUTIVA",OFFSET(A255,-1,0)+1,LARGE(A$3:A254,1))</f>
        <v>0</v>
      </c>
      <c r="B255" s="959">
        <f t="shared" ca="1" si="84"/>
        <v>16</v>
      </c>
      <c r="C255" s="959">
        <f t="shared" ca="1" si="81"/>
        <v>1</v>
      </c>
      <c r="D255" s="960">
        <f t="shared" ca="1" si="82"/>
        <v>1</v>
      </c>
      <c r="E255" s="960">
        <f t="shared" ca="1" si="83"/>
        <v>1</v>
      </c>
      <c r="F255" s="209"/>
      <c r="M255" s="974">
        <f ca="1">SUMIFS($N$7:$N$253,$H$7:$H$253,N255)</f>
        <v>1359347.3601584113</v>
      </c>
      <c r="N255" s="870" t="s">
        <v>474</v>
      </c>
    </row>
    <row r="256" spans="1:21" ht="11.25" x14ac:dyDescent="0.2">
      <c r="A256" s="959">
        <f ca="1">IF($H256="UNIDADE CONSTRUTIVA",OFFSET(A256,-1,0)+1,LARGE(A$3:A255,1))</f>
        <v>0</v>
      </c>
      <c r="B256" s="959">
        <f t="shared" ca="1" si="84"/>
        <v>16</v>
      </c>
      <c r="C256" s="959">
        <f t="shared" ca="1" si="81"/>
        <v>1</v>
      </c>
      <c r="D256" s="960">
        <f t="shared" ca="1" si="82"/>
        <v>1</v>
      </c>
      <c r="E256" s="960">
        <f t="shared" ca="1" si="83"/>
        <v>1</v>
      </c>
      <c r="F256" s="209"/>
      <c r="M256" s="974">
        <f ca="1">SUMIFS($N$7:$N$253,$H$7:$H$253,N256)</f>
        <v>1359347.3601584113</v>
      </c>
      <c r="N256" s="870" t="s">
        <v>475</v>
      </c>
    </row>
    <row r="257" spans="1:14" ht="11.25" x14ac:dyDescent="0.2">
      <c r="A257" s="959">
        <f ca="1">IF($H257="UNIDADE CONSTRUTIVA",OFFSET(A257,-1,0)+1,LARGE(A$3:A256,1))</f>
        <v>0</v>
      </c>
      <c r="B257" s="959">
        <f t="shared" ca="1" si="84"/>
        <v>16</v>
      </c>
      <c r="C257" s="959">
        <f t="shared" ca="1" si="81"/>
        <v>1</v>
      </c>
      <c r="D257" s="960">
        <f t="shared" ca="1" si="82"/>
        <v>1</v>
      </c>
      <c r="E257" s="960">
        <f t="shared" ca="1" si="83"/>
        <v>1</v>
      </c>
      <c r="F257" s="209"/>
      <c r="M257" s="974">
        <f>SUMIFS($N$7:$N$253,$H$7:$H$253,N257)</f>
        <v>1359347.3601584109</v>
      </c>
      <c r="N257" s="870" t="s">
        <v>476</v>
      </c>
    </row>
    <row r="258" spans="1:14" ht="11.25" x14ac:dyDescent="0.2">
      <c r="A258" s="959">
        <f ca="1">IF($H258="UNIDADE CONSTRUTIVA",OFFSET(A258,-1,0)+1,LARGE(A$3:A257,1))</f>
        <v>0</v>
      </c>
      <c r="B258" s="959">
        <f t="shared" ca="1" si="84"/>
        <v>16</v>
      </c>
      <c r="C258" s="959">
        <f t="shared" ca="1" si="81"/>
        <v>1</v>
      </c>
      <c r="D258" s="960">
        <f t="shared" ca="1" si="82"/>
        <v>1</v>
      </c>
      <c r="E258" s="960">
        <f t="shared" ca="1" si="83"/>
        <v>1</v>
      </c>
      <c r="F258" s="209"/>
      <c r="M258" s="974">
        <f ca="1">SUM('Obra '!$C$33:$C$46)</f>
        <v>1359347.3601584111</v>
      </c>
      <c r="N258" s="870" t="s">
        <v>858</v>
      </c>
    </row>
    <row r="259" spans="1:14" ht="11.25" x14ac:dyDescent="0.2">
      <c r="A259" s="959">
        <f ca="1">IF($H259="UNIDADE CONSTRUTIVA",OFFSET(A259,-1,0)+1,LARGE(A$3:A258,1))</f>
        <v>0</v>
      </c>
      <c r="B259" s="959">
        <f t="shared" ca="1" si="84"/>
        <v>16</v>
      </c>
      <c r="C259" s="959">
        <f t="shared" ca="1" si="81"/>
        <v>1</v>
      </c>
      <c r="D259" s="960">
        <f t="shared" ca="1" si="82"/>
        <v>1</v>
      </c>
      <c r="E259" s="960">
        <f t="shared" ca="1" si="83"/>
        <v>1</v>
      </c>
      <c r="F259" s="209"/>
    </row>
    <row r="260" spans="1:14" ht="14.1" customHeight="1" x14ac:dyDescent="0.2">
      <c r="A260" s="959">
        <f ca="1">IF($H260="UNIDADE CONSTRUTIVA",OFFSET(A260,-1,0)+1,LARGE(A$3:A259,1))</f>
        <v>0</v>
      </c>
      <c r="B260" s="959">
        <f t="shared" ca="1" si="84"/>
        <v>16</v>
      </c>
      <c r="C260" s="959">
        <f t="shared" ca="1" si="81"/>
        <v>1</v>
      </c>
      <c r="D260" s="960">
        <f t="shared" ca="1" si="82"/>
        <v>1</v>
      </c>
      <c r="E260" s="960">
        <f t="shared" ca="1" si="83"/>
        <v>1</v>
      </c>
      <c r="F260" s="209"/>
    </row>
    <row r="261" spans="1:14" ht="14.1" customHeight="1" x14ac:dyDescent="0.2">
      <c r="A261" s="959">
        <f ca="1">IF($H261="UNIDADE CONSTRUTIVA",OFFSET(A261,-1,0)+1,LARGE(A$3:A260,1))</f>
        <v>0</v>
      </c>
      <c r="B261" s="959">
        <f t="shared" ca="1" si="84"/>
        <v>16</v>
      </c>
      <c r="C261" s="959">
        <f t="shared" ca="1" si="81"/>
        <v>1</v>
      </c>
      <c r="D261" s="960">
        <f t="shared" ca="1" si="82"/>
        <v>1</v>
      </c>
      <c r="E261" s="960">
        <f t="shared" ca="1" si="83"/>
        <v>1</v>
      </c>
      <c r="F261" s="209"/>
    </row>
    <row r="262" spans="1:14" ht="14.1" customHeight="1" x14ac:dyDescent="0.2">
      <c r="A262" s="959">
        <f ca="1">IF($H262="UNIDADE CONSTRUTIVA",OFFSET(A262,-1,0)+1,LARGE(A$3:A261,1))</f>
        <v>0</v>
      </c>
      <c r="B262" s="959">
        <f t="shared" ca="1" si="84"/>
        <v>16</v>
      </c>
      <c r="C262" s="959">
        <f t="shared" ca="1" si="81"/>
        <v>1</v>
      </c>
      <c r="D262" s="960">
        <f t="shared" ca="1" si="82"/>
        <v>1</v>
      </c>
      <c r="E262" s="960">
        <f t="shared" ca="1" si="83"/>
        <v>1</v>
      </c>
      <c r="F262" s="209"/>
    </row>
    <row r="263" spans="1:14" ht="14.1" customHeight="1" x14ac:dyDescent="0.2">
      <c r="A263" s="959">
        <f ca="1">IF($H263="UNIDADE CONSTRUTIVA",OFFSET(A263,-1,0)+1,LARGE(A$3:A262,1))</f>
        <v>0</v>
      </c>
      <c r="B263" s="959">
        <f t="shared" ca="1" si="84"/>
        <v>16</v>
      </c>
      <c r="C263" s="959">
        <f t="shared" ca="1" si="81"/>
        <v>1</v>
      </c>
      <c r="D263" s="960">
        <f t="shared" ca="1" si="82"/>
        <v>1</v>
      </c>
      <c r="E263" s="960">
        <f t="shared" ca="1" si="83"/>
        <v>1</v>
      </c>
      <c r="F263" s="209"/>
    </row>
    <row r="264" spans="1:14" ht="14.1" customHeight="1" x14ac:dyDescent="0.2">
      <c r="A264" s="959">
        <f ca="1">IF($H264="UNIDADE CONSTRUTIVA",OFFSET(A264,-1,0)+1,LARGE(A$3:A263,1))</f>
        <v>0</v>
      </c>
      <c r="B264" s="959">
        <f t="shared" ca="1" si="84"/>
        <v>16</v>
      </c>
      <c r="C264" s="959">
        <f t="shared" ca="1" si="81"/>
        <v>1</v>
      </c>
      <c r="D264" s="960">
        <f t="shared" ca="1" si="82"/>
        <v>1</v>
      </c>
      <c r="E264" s="960">
        <f t="shared" ca="1" si="83"/>
        <v>1</v>
      </c>
      <c r="F264" s="209"/>
    </row>
    <row r="265" spans="1:14" ht="14.1" customHeight="1" x14ac:dyDescent="0.2">
      <c r="A265" s="959">
        <f ca="1">IF($H265="UNIDADE CONSTRUTIVA",OFFSET(A265,-1,0)+1,LARGE(A$3:A264,1))</f>
        <v>0</v>
      </c>
      <c r="B265" s="959">
        <f t="shared" ca="1" si="84"/>
        <v>16</v>
      </c>
      <c r="C265" s="959">
        <f t="shared" ref="C265:C267" ca="1" si="85">IF(H265="CÉLULA CONSTRUTIVA",0,IF(H265="ETAPA",OFFSET(C265,-1,0)+1,OFFSET(C265,-1,0)))</f>
        <v>1</v>
      </c>
      <c r="D265" s="960">
        <f t="shared" ref="D265:D267" ca="1" si="86">IF(H265="ETAPA",0,IF(H265="SUBETAPA",OFFSET(D265,-1,0)+1,OFFSET(D265,-1,0)))</f>
        <v>1</v>
      </c>
      <c r="E265" s="960">
        <f t="shared" ref="E265:E267" ca="1" si="87">IF(H265="Subetapa",0,IF(H265="serviço",OFFSET(E265,-1,0)+1,OFFSET(E265,-1,0)))</f>
        <v>1</v>
      </c>
      <c r="F265" s="209"/>
    </row>
    <row r="266" spans="1:14" ht="14.1" customHeight="1" x14ac:dyDescent="0.2">
      <c r="A266" s="959">
        <f ca="1">IF($H266="UNIDADE CONSTRUTIVA",OFFSET(A266,-1,0)+1,LARGE(A$3:A265,1))</f>
        <v>0</v>
      </c>
      <c r="B266" s="959">
        <f t="shared" ca="1" si="84"/>
        <v>16</v>
      </c>
      <c r="C266" s="959">
        <f t="shared" ca="1" si="85"/>
        <v>1</v>
      </c>
      <c r="D266" s="960">
        <f t="shared" ca="1" si="86"/>
        <v>1</v>
      </c>
      <c r="E266" s="960">
        <f t="shared" ca="1" si="87"/>
        <v>1</v>
      </c>
      <c r="F266" s="209"/>
    </row>
    <row r="267" spans="1:14" ht="14.1" customHeight="1" x14ac:dyDescent="0.2">
      <c r="A267" s="959">
        <f ca="1">IF($H267="UNIDADE CONSTRUTIVA",OFFSET(A267,-1,0)+1,LARGE(A$3:A266,1))</f>
        <v>0</v>
      </c>
      <c r="B267" s="959">
        <f t="shared" ca="1" si="84"/>
        <v>16</v>
      </c>
      <c r="C267" s="959">
        <f t="shared" ca="1" si="85"/>
        <v>1</v>
      </c>
      <c r="D267" s="960">
        <f t="shared" ca="1" si="86"/>
        <v>1</v>
      </c>
      <c r="E267" s="960">
        <f t="shared" ca="1" si="87"/>
        <v>1</v>
      </c>
      <c r="F267" s="209"/>
    </row>
    <row r="268" spans="1:14" ht="14.1" customHeight="1" x14ac:dyDescent="0.2">
      <c r="A268" s="959">
        <f ca="1">IF($H268="UNIDADE CONSTRUTIVA",OFFSET(A268,-1,0)+1,LARGE(A$3:A267,1))</f>
        <v>0</v>
      </c>
      <c r="B268" s="959">
        <f t="shared" ca="1" si="84"/>
        <v>16</v>
      </c>
      <c r="C268" s="959">
        <f t="shared" ref="C268:C331" ca="1" si="88">IF(H268="CÉLULA CONSTRUTIVA",0,IF(H268="ETAPA",OFFSET(C268,-1,0)+1,OFFSET(C268,-1,0)))</f>
        <v>1</v>
      </c>
      <c r="D268" s="960">
        <f t="shared" ref="D268:D331" ca="1" si="89">IF(H268="ETAPA",0,IF(H268="SUBETAPA",OFFSET(D268,-1,0)+1,OFFSET(D268,-1,0)))</f>
        <v>1</v>
      </c>
      <c r="E268" s="960">
        <f t="shared" ref="E268:E331" ca="1" si="90">IF(H268="Subetapa",0,IF(H268="serviço",OFFSET(E268,-1,0)+1,OFFSET(E268,-1,0)))</f>
        <v>1</v>
      </c>
      <c r="F268" s="209"/>
    </row>
    <row r="269" spans="1:14" ht="14.1" customHeight="1" x14ac:dyDescent="0.2">
      <c r="A269" s="959">
        <f ca="1">IF($H269="UNIDADE CONSTRUTIVA",OFFSET(A269,-1,0)+1,LARGE(A$3:A268,1))</f>
        <v>0</v>
      </c>
      <c r="B269" s="959">
        <f t="shared" ca="1" si="84"/>
        <v>16</v>
      </c>
      <c r="C269" s="959">
        <f t="shared" ca="1" si="88"/>
        <v>1</v>
      </c>
      <c r="D269" s="960">
        <f t="shared" ca="1" si="89"/>
        <v>1</v>
      </c>
      <c r="E269" s="960">
        <f t="shared" ca="1" si="90"/>
        <v>1</v>
      </c>
      <c r="F269" s="209"/>
    </row>
    <row r="270" spans="1:14" ht="14.1" customHeight="1" x14ac:dyDescent="0.2">
      <c r="A270" s="959">
        <f ca="1">IF($H270="UNIDADE CONSTRUTIVA",OFFSET(A270,-1,0)+1,LARGE(A$3:A269,1))</f>
        <v>0</v>
      </c>
      <c r="B270" s="959">
        <f t="shared" ca="1" si="84"/>
        <v>16</v>
      </c>
      <c r="C270" s="959">
        <f t="shared" ca="1" si="88"/>
        <v>1</v>
      </c>
      <c r="D270" s="960">
        <f t="shared" ca="1" si="89"/>
        <v>1</v>
      </c>
      <c r="E270" s="960">
        <f t="shared" ca="1" si="90"/>
        <v>1</v>
      </c>
      <c r="F270" s="209"/>
    </row>
    <row r="271" spans="1:14" ht="14.1" customHeight="1" x14ac:dyDescent="0.2">
      <c r="A271" s="959">
        <f ca="1">IF($H271="UNIDADE CONSTRUTIVA",OFFSET(A271,-1,0)+1,LARGE(A$3:A270,1))</f>
        <v>0</v>
      </c>
      <c r="B271" s="959">
        <f t="shared" ca="1" si="84"/>
        <v>16</v>
      </c>
      <c r="C271" s="959">
        <f t="shared" ca="1" si="88"/>
        <v>1</v>
      </c>
      <c r="D271" s="960">
        <f t="shared" ca="1" si="89"/>
        <v>1</v>
      </c>
      <c r="E271" s="960">
        <f t="shared" ca="1" si="90"/>
        <v>1</v>
      </c>
      <c r="F271" s="209"/>
    </row>
    <row r="272" spans="1:14" ht="14.1" customHeight="1" x14ac:dyDescent="0.2">
      <c r="A272" s="959">
        <f ca="1">IF($H272="UNIDADE CONSTRUTIVA",OFFSET(A272,-1,0)+1,LARGE(A$3:A271,1))</f>
        <v>0</v>
      </c>
      <c r="B272" s="959">
        <f t="shared" ca="1" si="84"/>
        <v>16</v>
      </c>
      <c r="C272" s="959">
        <f t="shared" ca="1" si="88"/>
        <v>1</v>
      </c>
      <c r="D272" s="960">
        <f t="shared" ca="1" si="89"/>
        <v>1</v>
      </c>
      <c r="E272" s="960">
        <f t="shared" ca="1" si="90"/>
        <v>1</v>
      </c>
      <c r="F272" s="209"/>
    </row>
    <row r="273" spans="1:6" ht="14.1" customHeight="1" x14ac:dyDescent="0.2">
      <c r="A273" s="959">
        <f ca="1">IF($H273="UNIDADE CONSTRUTIVA",OFFSET(A273,-1,0)+1,LARGE(A$3:A272,1))</f>
        <v>0</v>
      </c>
      <c r="B273" s="959">
        <f t="shared" ca="1" si="84"/>
        <v>16</v>
      </c>
      <c r="C273" s="959">
        <f t="shared" ca="1" si="88"/>
        <v>1</v>
      </c>
      <c r="D273" s="960">
        <f t="shared" ca="1" si="89"/>
        <v>1</v>
      </c>
      <c r="E273" s="960">
        <f t="shared" ca="1" si="90"/>
        <v>1</v>
      </c>
      <c r="F273" s="209"/>
    </row>
    <row r="274" spans="1:6" ht="14.1" customHeight="1" x14ac:dyDescent="0.2">
      <c r="A274" s="959">
        <f ca="1">IF($H274="UNIDADE CONSTRUTIVA",OFFSET(A274,-1,0)+1,LARGE(A$3:A273,1))</f>
        <v>0</v>
      </c>
      <c r="B274" s="959">
        <f t="shared" ca="1" si="84"/>
        <v>16</v>
      </c>
      <c r="C274" s="959">
        <f t="shared" ca="1" si="88"/>
        <v>1</v>
      </c>
      <c r="D274" s="960">
        <f t="shared" ca="1" si="89"/>
        <v>1</v>
      </c>
      <c r="E274" s="960">
        <f t="shared" ca="1" si="90"/>
        <v>1</v>
      </c>
      <c r="F274" s="209"/>
    </row>
    <row r="275" spans="1:6" ht="14.1" customHeight="1" x14ac:dyDescent="0.2">
      <c r="A275" s="959">
        <f ca="1">IF($H275="UNIDADE CONSTRUTIVA",OFFSET(A275,-1,0)+1,LARGE(A$3:A274,1))</f>
        <v>0</v>
      </c>
      <c r="B275" s="959">
        <f t="shared" ca="1" si="84"/>
        <v>16</v>
      </c>
      <c r="C275" s="959">
        <f t="shared" ca="1" si="88"/>
        <v>1</v>
      </c>
      <c r="D275" s="960">
        <f t="shared" ca="1" si="89"/>
        <v>1</v>
      </c>
      <c r="E275" s="960">
        <f t="shared" ca="1" si="90"/>
        <v>1</v>
      </c>
      <c r="F275" s="209"/>
    </row>
    <row r="276" spans="1:6" ht="14.1" customHeight="1" x14ac:dyDescent="0.2">
      <c r="A276" s="959">
        <f ca="1">IF($H276="UNIDADE CONSTRUTIVA",OFFSET(A276,-1,0)+1,LARGE(A$3:A275,1))</f>
        <v>0</v>
      </c>
      <c r="B276" s="959">
        <f t="shared" ca="1" si="84"/>
        <v>16</v>
      </c>
      <c r="C276" s="959">
        <f t="shared" ca="1" si="88"/>
        <v>1</v>
      </c>
      <c r="D276" s="960">
        <f t="shared" ca="1" si="89"/>
        <v>1</v>
      </c>
      <c r="E276" s="960">
        <f t="shared" ca="1" si="90"/>
        <v>1</v>
      </c>
      <c r="F276" s="209"/>
    </row>
    <row r="277" spans="1:6" ht="14.1" customHeight="1" x14ac:dyDescent="0.2">
      <c r="A277" s="959">
        <f ca="1">IF($H277="UNIDADE CONSTRUTIVA",OFFSET(A277,-1,0)+1,LARGE(A$3:A276,1))</f>
        <v>0</v>
      </c>
      <c r="B277" s="959">
        <f t="shared" ca="1" si="84"/>
        <v>16</v>
      </c>
      <c r="C277" s="959">
        <f t="shared" ca="1" si="88"/>
        <v>1</v>
      </c>
      <c r="D277" s="960">
        <f t="shared" ca="1" si="89"/>
        <v>1</v>
      </c>
      <c r="E277" s="960">
        <f t="shared" ca="1" si="90"/>
        <v>1</v>
      </c>
      <c r="F277" s="209"/>
    </row>
    <row r="278" spans="1:6" ht="14.1" customHeight="1" x14ac:dyDescent="0.2">
      <c r="A278" s="959">
        <f ca="1">IF($H278="UNIDADE CONSTRUTIVA",OFFSET(A278,-1,0)+1,LARGE(A$3:A277,1))</f>
        <v>0</v>
      </c>
      <c r="B278" s="959">
        <f t="shared" ca="1" si="84"/>
        <v>16</v>
      </c>
      <c r="C278" s="959">
        <f t="shared" ca="1" si="88"/>
        <v>1</v>
      </c>
      <c r="D278" s="960">
        <f t="shared" ca="1" si="89"/>
        <v>1</v>
      </c>
      <c r="E278" s="960">
        <f t="shared" ca="1" si="90"/>
        <v>1</v>
      </c>
      <c r="F278" s="209"/>
    </row>
    <row r="279" spans="1:6" ht="14.1" customHeight="1" x14ac:dyDescent="0.2">
      <c r="A279" s="959">
        <f ca="1">IF($H279="UNIDADE CONSTRUTIVA",OFFSET(A279,-1,0)+1,LARGE(A$3:A278,1))</f>
        <v>0</v>
      </c>
      <c r="B279" s="959">
        <f t="shared" ca="1" si="84"/>
        <v>16</v>
      </c>
      <c r="C279" s="959">
        <f t="shared" ca="1" si="88"/>
        <v>1</v>
      </c>
      <c r="D279" s="960">
        <f t="shared" ca="1" si="89"/>
        <v>1</v>
      </c>
      <c r="E279" s="960">
        <f t="shared" ca="1" si="90"/>
        <v>1</v>
      </c>
      <c r="F279" s="209"/>
    </row>
    <row r="280" spans="1:6" ht="14.1" customHeight="1" x14ac:dyDescent="0.2">
      <c r="A280" s="959">
        <f ca="1">IF($H280="UNIDADE CONSTRUTIVA",OFFSET(A280,-1,0)+1,LARGE(A$3:A279,1))</f>
        <v>0</v>
      </c>
      <c r="B280" s="959">
        <f t="shared" ca="1" si="84"/>
        <v>16</v>
      </c>
      <c r="C280" s="959">
        <f t="shared" ca="1" si="88"/>
        <v>1</v>
      </c>
      <c r="D280" s="960">
        <f t="shared" ca="1" si="89"/>
        <v>1</v>
      </c>
      <c r="E280" s="960">
        <f t="shared" ca="1" si="90"/>
        <v>1</v>
      </c>
      <c r="F280" s="209"/>
    </row>
    <row r="281" spans="1:6" ht="14.1" customHeight="1" x14ac:dyDescent="0.2">
      <c r="A281" s="959">
        <f ca="1">IF($H281="UNIDADE CONSTRUTIVA",OFFSET(A281,-1,0)+1,LARGE(A$3:A280,1))</f>
        <v>0</v>
      </c>
      <c r="B281" s="959">
        <f t="shared" ca="1" si="84"/>
        <v>16</v>
      </c>
      <c r="C281" s="959">
        <f t="shared" ca="1" si="88"/>
        <v>1</v>
      </c>
      <c r="D281" s="960">
        <f t="shared" ca="1" si="89"/>
        <v>1</v>
      </c>
      <c r="E281" s="960">
        <f t="shared" ca="1" si="90"/>
        <v>1</v>
      </c>
      <c r="F281" s="209"/>
    </row>
    <row r="282" spans="1:6" ht="14.1" customHeight="1" x14ac:dyDescent="0.2">
      <c r="A282" s="959">
        <f ca="1">IF($H282="UNIDADE CONSTRUTIVA",OFFSET(A282,-1,0)+1,LARGE(A$3:A281,1))</f>
        <v>0</v>
      </c>
      <c r="B282" s="959">
        <f t="shared" ca="1" si="84"/>
        <v>16</v>
      </c>
      <c r="C282" s="959">
        <f t="shared" ca="1" si="88"/>
        <v>1</v>
      </c>
      <c r="D282" s="960">
        <f t="shared" ca="1" si="89"/>
        <v>1</v>
      </c>
      <c r="E282" s="960">
        <f t="shared" ca="1" si="90"/>
        <v>1</v>
      </c>
      <c r="F282" s="209"/>
    </row>
    <row r="283" spans="1:6" ht="14.1" customHeight="1" x14ac:dyDescent="0.2">
      <c r="A283" s="959">
        <f ca="1">IF($H283="UNIDADE CONSTRUTIVA",OFFSET(A283,-1,0)+1,LARGE(A$3:A282,1))</f>
        <v>0</v>
      </c>
      <c r="B283" s="959">
        <f t="shared" ca="1" si="84"/>
        <v>16</v>
      </c>
      <c r="C283" s="959">
        <f t="shared" ca="1" si="88"/>
        <v>1</v>
      </c>
      <c r="D283" s="960">
        <f t="shared" ca="1" si="89"/>
        <v>1</v>
      </c>
      <c r="E283" s="960">
        <f t="shared" ca="1" si="90"/>
        <v>1</v>
      </c>
      <c r="F283" s="209"/>
    </row>
    <row r="284" spans="1:6" ht="14.1" customHeight="1" x14ac:dyDescent="0.2">
      <c r="A284" s="959">
        <f ca="1">IF($H284="UNIDADE CONSTRUTIVA",OFFSET(A284,-1,0)+1,LARGE(A$3:A283,1))</f>
        <v>0</v>
      </c>
      <c r="B284" s="959">
        <f t="shared" ca="1" si="84"/>
        <v>16</v>
      </c>
      <c r="C284" s="959">
        <f t="shared" ca="1" si="88"/>
        <v>1</v>
      </c>
      <c r="D284" s="960">
        <f t="shared" ca="1" si="89"/>
        <v>1</v>
      </c>
      <c r="E284" s="960">
        <f t="shared" ca="1" si="90"/>
        <v>1</v>
      </c>
      <c r="F284" s="209"/>
    </row>
    <row r="285" spans="1:6" ht="14.1" customHeight="1" x14ac:dyDescent="0.2">
      <c r="A285" s="959">
        <f ca="1">IF($H285="UNIDADE CONSTRUTIVA",OFFSET(A285,-1,0)+1,LARGE(A$3:A284,1))</f>
        <v>0</v>
      </c>
      <c r="B285" s="959">
        <f t="shared" ca="1" si="84"/>
        <v>16</v>
      </c>
      <c r="C285" s="959">
        <f t="shared" ca="1" si="88"/>
        <v>1</v>
      </c>
      <c r="D285" s="960">
        <f t="shared" ca="1" si="89"/>
        <v>1</v>
      </c>
      <c r="E285" s="960">
        <f t="shared" ca="1" si="90"/>
        <v>1</v>
      </c>
      <c r="F285" s="209"/>
    </row>
    <row r="286" spans="1:6" ht="14.1" customHeight="1" x14ac:dyDescent="0.2">
      <c r="A286" s="959">
        <f ca="1">IF($H286="UNIDADE CONSTRUTIVA",OFFSET(A286,-1,0)+1,LARGE(A$3:A285,1))</f>
        <v>0</v>
      </c>
      <c r="B286" s="959">
        <f t="shared" ca="1" si="84"/>
        <v>16</v>
      </c>
      <c r="C286" s="959">
        <f t="shared" ca="1" si="88"/>
        <v>1</v>
      </c>
      <c r="D286" s="960">
        <f t="shared" ca="1" si="89"/>
        <v>1</v>
      </c>
      <c r="E286" s="960">
        <f t="shared" ca="1" si="90"/>
        <v>1</v>
      </c>
      <c r="F286" s="209"/>
    </row>
    <row r="287" spans="1:6" ht="14.1" customHeight="1" x14ac:dyDescent="0.2">
      <c r="A287" s="959">
        <f ca="1">IF($H287="UNIDADE CONSTRUTIVA",OFFSET(A287,-1,0)+1,LARGE(A$3:A286,1))</f>
        <v>0</v>
      </c>
      <c r="B287" s="959">
        <f t="shared" ca="1" si="84"/>
        <v>16</v>
      </c>
      <c r="C287" s="959">
        <f t="shared" ca="1" si="88"/>
        <v>1</v>
      </c>
      <c r="D287" s="960">
        <f t="shared" ca="1" si="89"/>
        <v>1</v>
      </c>
      <c r="E287" s="960">
        <f t="shared" ca="1" si="90"/>
        <v>1</v>
      </c>
      <c r="F287" s="209"/>
    </row>
    <row r="288" spans="1:6" ht="14.1" customHeight="1" x14ac:dyDescent="0.2">
      <c r="A288" s="959">
        <f ca="1">IF($H288="UNIDADE CONSTRUTIVA",OFFSET(A288,-1,0)+1,LARGE(A$3:A287,1))</f>
        <v>0</v>
      </c>
      <c r="B288" s="959">
        <f t="shared" ca="1" si="84"/>
        <v>16</v>
      </c>
      <c r="C288" s="959">
        <f t="shared" ca="1" si="88"/>
        <v>1</v>
      </c>
      <c r="D288" s="960">
        <f t="shared" ca="1" si="89"/>
        <v>1</v>
      </c>
      <c r="E288" s="960">
        <f t="shared" ca="1" si="90"/>
        <v>1</v>
      </c>
      <c r="F288" s="209"/>
    </row>
    <row r="289" spans="1:6" ht="14.1" customHeight="1" x14ac:dyDescent="0.2">
      <c r="A289" s="959">
        <f ca="1">IF($H289="UNIDADE CONSTRUTIVA",OFFSET(A289,-1,0)+1,LARGE(A$3:A288,1))</f>
        <v>0</v>
      </c>
      <c r="B289" s="959">
        <f t="shared" ca="1" si="84"/>
        <v>16</v>
      </c>
      <c r="C289" s="959">
        <f t="shared" ca="1" si="88"/>
        <v>1</v>
      </c>
      <c r="D289" s="960">
        <f t="shared" ca="1" si="89"/>
        <v>1</v>
      </c>
      <c r="E289" s="960">
        <f t="shared" ca="1" si="90"/>
        <v>1</v>
      </c>
      <c r="F289" s="209"/>
    </row>
    <row r="290" spans="1:6" ht="14.1" customHeight="1" x14ac:dyDescent="0.2">
      <c r="A290" s="959">
        <f ca="1">IF($H290="UNIDADE CONSTRUTIVA",OFFSET(A290,-1,0)+1,LARGE(A$3:A289,1))</f>
        <v>0</v>
      </c>
      <c r="B290" s="959">
        <f t="shared" ca="1" si="84"/>
        <v>16</v>
      </c>
      <c r="C290" s="959">
        <f t="shared" ca="1" si="88"/>
        <v>1</v>
      </c>
      <c r="D290" s="960">
        <f t="shared" ca="1" si="89"/>
        <v>1</v>
      </c>
      <c r="E290" s="960">
        <f t="shared" ca="1" si="90"/>
        <v>1</v>
      </c>
      <c r="F290" s="209"/>
    </row>
    <row r="291" spans="1:6" ht="14.1" customHeight="1" x14ac:dyDescent="0.2">
      <c r="A291" s="959">
        <f ca="1">IF($H291="UNIDADE CONSTRUTIVA",OFFSET(A291,-1,0)+1,LARGE(A$3:A290,1))</f>
        <v>0</v>
      </c>
      <c r="B291" s="959">
        <f t="shared" ca="1" si="84"/>
        <v>16</v>
      </c>
      <c r="C291" s="959">
        <f t="shared" ca="1" si="88"/>
        <v>1</v>
      </c>
      <c r="D291" s="960">
        <f t="shared" ca="1" si="89"/>
        <v>1</v>
      </c>
      <c r="E291" s="960">
        <f t="shared" ca="1" si="90"/>
        <v>1</v>
      </c>
      <c r="F291" s="209"/>
    </row>
    <row r="292" spans="1:6" ht="14.1" customHeight="1" x14ac:dyDescent="0.2">
      <c r="A292" s="959">
        <f ca="1">IF($H292="UNIDADE CONSTRUTIVA",OFFSET(A292,-1,0)+1,LARGE(A$3:A291,1))</f>
        <v>0</v>
      </c>
      <c r="B292" s="959">
        <f t="shared" ca="1" si="84"/>
        <v>16</v>
      </c>
      <c r="C292" s="959">
        <f t="shared" ca="1" si="88"/>
        <v>1</v>
      </c>
      <c r="D292" s="960">
        <f t="shared" ca="1" si="89"/>
        <v>1</v>
      </c>
      <c r="E292" s="960">
        <f t="shared" ca="1" si="90"/>
        <v>1</v>
      </c>
      <c r="F292" s="209"/>
    </row>
    <row r="293" spans="1:6" ht="14.1" customHeight="1" x14ac:dyDescent="0.2">
      <c r="A293" s="959">
        <f ca="1">IF($H293="UNIDADE CONSTRUTIVA",OFFSET(A293,-1,0)+1,LARGE(A$3:A292,1))</f>
        <v>0</v>
      </c>
      <c r="B293" s="959">
        <f t="shared" ca="1" si="84"/>
        <v>16</v>
      </c>
      <c r="C293" s="959">
        <f t="shared" ca="1" si="88"/>
        <v>1</v>
      </c>
      <c r="D293" s="960">
        <f t="shared" ca="1" si="89"/>
        <v>1</v>
      </c>
      <c r="E293" s="960">
        <f t="shared" ca="1" si="90"/>
        <v>1</v>
      </c>
      <c r="F293" s="209"/>
    </row>
    <row r="294" spans="1:6" ht="14.1" customHeight="1" x14ac:dyDescent="0.2">
      <c r="A294" s="959">
        <f ca="1">IF($H294="UNIDADE CONSTRUTIVA",OFFSET(A294,-1,0)+1,LARGE(A$3:A293,1))</f>
        <v>0</v>
      </c>
      <c r="B294" s="959">
        <f t="shared" ca="1" si="84"/>
        <v>16</v>
      </c>
      <c r="C294" s="959">
        <f t="shared" ca="1" si="88"/>
        <v>1</v>
      </c>
      <c r="D294" s="960">
        <f t="shared" ca="1" si="89"/>
        <v>1</v>
      </c>
      <c r="E294" s="960">
        <f t="shared" ca="1" si="90"/>
        <v>1</v>
      </c>
      <c r="F294" s="209"/>
    </row>
    <row r="295" spans="1:6" ht="14.1" customHeight="1" x14ac:dyDescent="0.2">
      <c r="A295" s="959">
        <f ca="1">IF($H295="UNIDADE CONSTRUTIVA",OFFSET(A295,-1,0)+1,LARGE(A$3:A294,1))</f>
        <v>0</v>
      </c>
      <c r="B295" s="959">
        <f t="shared" ca="1" si="84"/>
        <v>16</v>
      </c>
      <c r="C295" s="959">
        <f t="shared" ca="1" si="88"/>
        <v>1</v>
      </c>
      <c r="D295" s="960">
        <f t="shared" ca="1" si="89"/>
        <v>1</v>
      </c>
      <c r="E295" s="960">
        <f t="shared" ca="1" si="90"/>
        <v>1</v>
      </c>
      <c r="F295" s="209"/>
    </row>
    <row r="296" spans="1:6" ht="14.1" customHeight="1" x14ac:dyDescent="0.2">
      <c r="A296" s="959">
        <f ca="1">IF($H296="UNIDADE CONSTRUTIVA",OFFSET(A296,-1,0)+1,LARGE(A$3:A295,1))</f>
        <v>0</v>
      </c>
      <c r="B296" s="959">
        <f t="shared" ca="1" si="84"/>
        <v>16</v>
      </c>
      <c r="C296" s="959">
        <f t="shared" ca="1" si="88"/>
        <v>1</v>
      </c>
      <c r="D296" s="960">
        <f t="shared" ca="1" si="89"/>
        <v>1</v>
      </c>
      <c r="E296" s="960">
        <f t="shared" ca="1" si="90"/>
        <v>1</v>
      </c>
      <c r="F296" s="209"/>
    </row>
    <row r="297" spans="1:6" ht="14.1" customHeight="1" x14ac:dyDescent="0.2">
      <c r="A297" s="959">
        <f ca="1">IF($H297="UNIDADE CONSTRUTIVA",OFFSET(A297,-1,0)+1,LARGE(A$3:A296,1))</f>
        <v>0</v>
      </c>
      <c r="B297" s="959">
        <f t="shared" ca="1" si="84"/>
        <v>16</v>
      </c>
      <c r="C297" s="959">
        <f t="shared" ca="1" si="88"/>
        <v>1</v>
      </c>
      <c r="D297" s="960">
        <f t="shared" ca="1" si="89"/>
        <v>1</v>
      </c>
      <c r="E297" s="960">
        <f t="shared" ca="1" si="90"/>
        <v>1</v>
      </c>
      <c r="F297" s="209"/>
    </row>
    <row r="298" spans="1:6" ht="14.1" customHeight="1" x14ac:dyDescent="0.2">
      <c r="A298" s="959">
        <f ca="1">IF($H298="UNIDADE CONSTRUTIVA",OFFSET(A298,-1,0)+1,LARGE(A$3:A297,1))</f>
        <v>0</v>
      </c>
      <c r="B298" s="959">
        <f t="shared" ca="1" si="84"/>
        <v>16</v>
      </c>
      <c r="C298" s="959">
        <f t="shared" ca="1" si="88"/>
        <v>1</v>
      </c>
      <c r="D298" s="960">
        <f t="shared" ca="1" si="89"/>
        <v>1</v>
      </c>
      <c r="E298" s="960">
        <f t="shared" ca="1" si="90"/>
        <v>1</v>
      </c>
      <c r="F298" s="209"/>
    </row>
    <row r="299" spans="1:6" ht="14.1" customHeight="1" x14ac:dyDescent="0.2">
      <c r="A299" s="959">
        <f ca="1">IF($H299="UNIDADE CONSTRUTIVA",OFFSET(A299,-1,0)+1,LARGE(A$3:A298,1))</f>
        <v>0</v>
      </c>
      <c r="B299" s="959">
        <f t="shared" ca="1" si="84"/>
        <v>16</v>
      </c>
      <c r="C299" s="959">
        <f t="shared" ca="1" si="88"/>
        <v>1</v>
      </c>
      <c r="D299" s="960">
        <f t="shared" ca="1" si="89"/>
        <v>1</v>
      </c>
      <c r="E299" s="960">
        <f t="shared" ca="1" si="90"/>
        <v>1</v>
      </c>
      <c r="F299" s="209"/>
    </row>
    <row r="300" spans="1:6" ht="14.1" customHeight="1" x14ac:dyDescent="0.2">
      <c r="A300" s="959">
        <f ca="1">IF($H300="UNIDADE CONSTRUTIVA",OFFSET(A300,-1,0)+1,LARGE(A$3:A299,1))</f>
        <v>0</v>
      </c>
      <c r="B300" s="959">
        <f t="shared" ca="1" si="84"/>
        <v>16</v>
      </c>
      <c r="C300" s="959">
        <f t="shared" ca="1" si="88"/>
        <v>1</v>
      </c>
      <c r="D300" s="960">
        <f t="shared" ca="1" si="89"/>
        <v>1</v>
      </c>
      <c r="E300" s="960">
        <f t="shared" ca="1" si="90"/>
        <v>1</v>
      </c>
      <c r="F300" s="209"/>
    </row>
    <row r="301" spans="1:6" ht="14.1" customHeight="1" x14ac:dyDescent="0.2">
      <c r="A301" s="959">
        <f ca="1">IF($H301="UNIDADE CONSTRUTIVA",OFFSET(A301,-1,0)+1,LARGE(A$3:A300,1))</f>
        <v>0</v>
      </c>
      <c r="B301" s="959">
        <f t="shared" ca="1" si="84"/>
        <v>16</v>
      </c>
      <c r="C301" s="959">
        <f t="shared" ca="1" si="88"/>
        <v>1</v>
      </c>
      <c r="D301" s="960">
        <f t="shared" ca="1" si="89"/>
        <v>1</v>
      </c>
      <c r="E301" s="960">
        <f t="shared" ca="1" si="90"/>
        <v>1</v>
      </c>
      <c r="F301" s="209"/>
    </row>
    <row r="302" spans="1:6" ht="14.1" customHeight="1" x14ac:dyDescent="0.2">
      <c r="A302" s="959">
        <f ca="1">IF($H302="UNIDADE CONSTRUTIVA",OFFSET(A302,-1,0)+1,LARGE(A$3:A301,1))</f>
        <v>0</v>
      </c>
      <c r="B302" s="959">
        <f t="shared" ca="1" si="84"/>
        <v>16</v>
      </c>
      <c r="C302" s="959">
        <f t="shared" ca="1" si="88"/>
        <v>1</v>
      </c>
      <c r="D302" s="960">
        <f t="shared" ca="1" si="89"/>
        <v>1</v>
      </c>
      <c r="E302" s="960">
        <f t="shared" ca="1" si="90"/>
        <v>1</v>
      </c>
      <c r="F302" s="209"/>
    </row>
    <row r="303" spans="1:6" ht="14.1" customHeight="1" x14ac:dyDescent="0.2">
      <c r="A303" s="959">
        <f ca="1">IF($H303="UNIDADE CONSTRUTIVA",OFFSET(A303,-1,0)+1,LARGE(A$3:A302,1))</f>
        <v>0</v>
      </c>
      <c r="B303" s="959">
        <f t="shared" ca="1" si="84"/>
        <v>16</v>
      </c>
      <c r="C303" s="959">
        <f t="shared" ca="1" si="88"/>
        <v>1</v>
      </c>
      <c r="D303" s="960">
        <f t="shared" ca="1" si="89"/>
        <v>1</v>
      </c>
      <c r="E303" s="960">
        <f t="shared" ca="1" si="90"/>
        <v>1</v>
      </c>
      <c r="F303" s="209"/>
    </row>
    <row r="304" spans="1:6" ht="14.1" customHeight="1" x14ac:dyDescent="0.2">
      <c r="A304" s="959">
        <f ca="1">IF($H304="UNIDADE CONSTRUTIVA",OFFSET(A304,-1,0)+1,LARGE(A$3:A303,1))</f>
        <v>0</v>
      </c>
      <c r="B304" s="959">
        <f t="shared" ca="1" si="84"/>
        <v>16</v>
      </c>
      <c r="C304" s="959">
        <f t="shared" ca="1" si="88"/>
        <v>1</v>
      </c>
      <c r="D304" s="960">
        <f t="shared" ca="1" si="89"/>
        <v>1</v>
      </c>
      <c r="E304" s="960">
        <f t="shared" ca="1" si="90"/>
        <v>1</v>
      </c>
      <c r="F304" s="209"/>
    </row>
    <row r="305" spans="1:6" ht="14.1" customHeight="1" x14ac:dyDescent="0.2">
      <c r="A305" s="959">
        <f ca="1">IF($H305="UNIDADE CONSTRUTIVA",OFFSET(A305,-1,0)+1,LARGE(A$3:A304,1))</f>
        <v>0</v>
      </c>
      <c r="B305" s="959">
        <f t="shared" ca="1" si="84"/>
        <v>16</v>
      </c>
      <c r="C305" s="959">
        <f t="shared" ca="1" si="88"/>
        <v>1</v>
      </c>
      <c r="D305" s="960">
        <f t="shared" ca="1" si="89"/>
        <v>1</v>
      </c>
      <c r="E305" s="960">
        <f t="shared" ca="1" si="90"/>
        <v>1</v>
      </c>
      <c r="F305" s="209"/>
    </row>
    <row r="306" spans="1:6" ht="14.1" customHeight="1" x14ac:dyDescent="0.2">
      <c r="A306" s="959">
        <f ca="1">IF($H306="UNIDADE CONSTRUTIVA",OFFSET(A306,-1,0)+1,LARGE(A$3:A305,1))</f>
        <v>0</v>
      </c>
      <c r="B306" s="959">
        <f t="shared" ca="1" si="84"/>
        <v>16</v>
      </c>
      <c r="C306" s="959">
        <f t="shared" ca="1" si="88"/>
        <v>1</v>
      </c>
      <c r="D306" s="960">
        <f t="shared" ca="1" si="89"/>
        <v>1</v>
      </c>
      <c r="E306" s="960">
        <f t="shared" ca="1" si="90"/>
        <v>1</v>
      </c>
      <c r="F306" s="209"/>
    </row>
    <row r="307" spans="1:6" ht="14.1" customHeight="1" x14ac:dyDescent="0.2">
      <c r="A307" s="959">
        <f ca="1">IF($H307="UNIDADE CONSTRUTIVA",OFFSET(A307,-1,0)+1,LARGE(A$3:A306,1))</f>
        <v>0</v>
      </c>
      <c r="B307" s="959">
        <f t="shared" ca="1" si="84"/>
        <v>16</v>
      </c>
      <c r="C307" s="959">
        <f t="shared" ca="1" si="88"/>
        <v>1</v>
      </c>
      <c r="D307" s="960">
        <f t="shared" ca="1" si="89"/>
        <v>1</v>
      </c>
      <c r="E307" s="960">
        <f t="shared" ca="1" si="90"/>
        <v>1</v>
      </c>
      <c r="F307" s="209"/>
    </row>
    <row r="308" spans="1:6" ht="14.1" customHeight="1" x14ac:dyDescent="0.2">
      <c r="A308" s="959">
        <f ca="1">IF($H308="UNIDADE CONSTRUTIVA",OFFSET(A308,-1,0)+1,LARGE(A$3:A307,1))</f>
        <v>0</v>
      </c>
      <c r="B308" s="959">
        <f t="shared" ca="1" si="84"/>
        <v>16</v>
      </c>
      <c r="C308" s="959">
        <f t="shared" ca="1" si="88"/>
        <v>1</v>
      </c>
      <c r="D308" s="960">
        <f t="shared" ca="1" si="89"/>
        <v>1</v>
      </c>
      <c r="E308" s="960">
        <f t="shared" ca="1" si="90"/>
        <v>1</v>
      </c>
      <c r="F308" s="209"/>
    </row>
    <row r="309" spans="1:6" ht="14.1" customHeight="1" x14ac:dyDescent="0.2">
      <c r="A309" s="959">
        <f ca="1">IF($H309="UNIDADE CONSTRUTIVA",OFFSET(A309,-1,0)+1,LARGE(A$3:A308,1))</f>
        <v>0</v>
      </c>
      <c r="B309" s="959">
        <f t="shared" ca="1" si="84"/>
        <v>16</v>
      </c>
      <c r="C309" s="959">
        <f t="shared" ca="1" si="88"/>
        <v>1</v>
      </c>
      <c r="D309" s="960">
        <f t="shared" ca="1" si="89"/>
        <v>1</v>
      </c>
      <c r="E309" s="960">
        <f t="shared" ca="1" si="90"/>
        <v>1</v>
      </c>
      <c r="F309" s="209"/>
    </row>
    <row r="310" spans="1:6" ht="14.1" customHeight="1" x14ac:dyDescent="0.2">
      <c r="A310" s="959">
        <f ca="1">IF($H310="UNIDADE CONSTRUTIVA",OFFSET(A310,-1,0)+1,LARGE(A$3:A309,1))</f>
        <v>0</v>
      </c>
      <c r="B310" s="959">
        <f t="shared" ca="1" si="84"/>
        <v>16</v>
      </c>
      <c r="C310" s="959">
        <f t="shared" ca="1" si="88"/>
        <v>1</v>
      </c>
      <c r="D310" s="960">
        <f t="shared" ca="1" si="89"/>
        <v>1</v>
      </c>
      <c r="E310" s="960">
        <f t="shared" ca="1" si="90"/>
        <v>1</v>
      </c>
      <c r="F310" s="209"/>
    </row>
    <row r="311" spans="1:6" ht="14.1" customHeight="1" x14ac:dyDescent="0.2">
      <c r="A311" s="959">
        <f ca="1">IF($H311="UNIDADE CONSTRUTIVA",OFFSET(A311,-1,0)+1,LARGE(A$3:A310,1))</f>
        <v>0</v>
      </c>
      <c r="B311" s="959">
        <f t="shared" ca="1" si="84"/>
        <v>16</v>
      </c>
      <c r="C311" s="959">
        <f t="shared" ca="1" si="88"/>
        <v>1</v>
      </c>
      <c r="D311" s="960">
        <f t="shared" ca="1" si="89"/>
        <v>1</v>
      </c>
      <c r="E311" s="960">
        <f t="shared" ca="1" si="90"/>
        <v>1</v>
      </c>
      <c r="F311" s="209"/>
    </row>
    <row r="312" spans="1:6" ht="14.1" customHeight="1" x14ac:dyDescent="0.2">
      <c r="A312" s="959">
        <f ca="1">IF($H312="UNIDADE CONSTRUTIVA",OFFSET(A312,-1,0)+1,LARGE(A$3:A311,1))</f>
        <v>0</v>
      </c>
      <c r="B312" s="959">
        <f t="shared" ca="1" si="84"/>
        <v>16</v>
      </c>
      <c r="C312" s="959">
        <f t="shared" ca="1" si="88"/>
        <v>1</v>
      </c>
      <c r="D312" s="960">
        <f t="shared" ca="1" si="89"/>
        <v>1</v>
      </c>
      <c r="E312" s="960">
        <f t="shared" ca="1" si="90"/>
        <v>1</v>
      </c>
      <c r="F312" s="209"/>
    </row>
    <row r="313" spans="1:6" ht="14.1" customHeight="1" x14ac:dyDescent="0.2">
      <c r="A313" s="959">
        <f ca="1">IF($H313="UNIDADE CONSTRUTIVA",OFFSET(A313,-1,0)+1,LARGE(A$3:A312,1))</f>
        <v>0</v>
      </c>
      <c r="B313" s="959">
        <f t="shared" ca="1" si="84"/>
        <v>16</v>
      </c>
      <c r="C313" s="959">
        <f t="shared" ca="1" si="88"/>
        <v>1</v>
      </c>
      <c r="D313" s="960">
        <f t="shared" ca="1" si="89"/>
        <v>1</v>
      </c>
      <c r="E313" s="960">
        <f t="shared" ca="1" si="90"/>
        <v>1</v>
      </c>
      <c r="F313" s="209"/>
    </row>
    <row r="314" spans="1:6" ht="14.1" customHeight="1" x14ac:dyDescent="0.2">
      <c r="A314" s="959">
        <f ca="1">IF($H314="UNIDADE CONSTRUTIVA",OFFSET(A314,-1,0)+1,LARGE(A$3:A313,1))</f>
        <v>0</v>
      </c>
      <c r="B314" s="959">
        <f t="shared" ca="1" si="84"/>
        <v>16</v>
      </c>
      <c r="C314" s="959">
        <f t="shared" ca="1" si="88"/>
        <v>1</v>
      </c>
      <c r="D314" s="960">
        <f t="shared" ca="1" si="89"/>
        <v>1</v>
      </c>
      <c r="E314" s="960">
        <f t="shared" ca="1" si="90"/>
        <v>1</v>
      </c>
      <c r="F314" s="209"/>
    </row>
    <row r="315" spans="1:6" ht="14.1" customHeight="1" x14ac:dyDescent="0.2">
      <c r="A315" s="959">
        <f ca="1">IF($H315="UNIDADE CONSTRUTIVA",OFFSET(A315,-1,0)+1,LARGE(A$3:A314,1))</f>
        <v>0</v>
      </c>
      <c r="B315" s="959">
        <f t="shared" ca="1" si="84"/>
        <v>16</v>
      </c>
      <c r="C315" s="959">
        <f t="shared" ca="1" si="88"/>
        <v>1</v>
      </c>
      <c r="D315" s="960">
        <f t="shared" ca="1" si="89"/>
        <v>1</v>
      </c>
      <c r="E315" s="960">
        <f t="shared" ca="1" si="90"/>
        <v>1</v>
      </c>
      <c r="F315" s="209"/>
    </row>
    <row r="316" spans="1:6" ht="14.1" customHeight="1" x14ac:dyDescent="0.2">
      <c r="A316" s="959">
        <f ca="1">IF($H316="UNIDADE CONSTRUTIVA",OFFSET(A316,-1,0)+1,LARGE(A$3:A315,1))</f>
        <v>0</v>
      </c>
      <c r="B316" s="959">
        <f t="shared" ca="1" si="84"/>
        <v>16</v>
      </c>
      <c r="C316" s="959">
        <f t="shared" ca="1" si="88"/>
        <v>1</v>
      </c>
      <c r="D316" s="960">
        <f t="shared" ca="1" si="89"/>
        <v>1</v>
      </c>
      <c r="E316" s="960">
        <f t="shared" ca="1" si="90"/>
        <v>1</v>
      </c>
      <c r="F316" s="209"/>
    </row>
    <row r="317" spans="1:6" ht="14.1" customHeight="1" x14ac:dyDescent="0.2">
      <c r="A317" s="959">
        <f ca="1">IF($H317="UNIDADE CONSTRUTIVA",OFFSET(A317,-1,0)+1,LARGE(A$3:A316,1))</f>
        <v>0</v>
      </c>
      <c r="B317" s="959">
        <f t="shared" ca="1" si="84"/>
        <v>16</v>
      </c>
      <c r="C317" s="959">
        <f t="shared" ca="1" si="88"/>
        <v>1</v>
      </c>
      <c r="D317" s="960">
        <f t="shared" ca="1" si="89"/>
        <v>1</v>
      </c>
      <c r="E317" s="960">
        <f t="shared" ca="1" si="90"/>
        <v>1</v>
      </c>
      <c r="F317" s="209"/>
    </row>
    <row r="318" spans="1:6" ht="14.1" customHeight="1" x14ac:dyDescent="0.2">
      <c r="A318" s="959">
        <f ca="1">IF($H318="UNIDADE CONSTRUTIVA",OFFSET(A318,-1,0)+1,LARGE(A$3:A317,1))</f>
        <v>0</v>
      </c>
      <c r="B318" s="959">
        <f t="shared" ref="B318:B381" ca="1" si="91">IF(H318="UNIDADE CONSTRUTIVA",0,IF(H318="CÉLULA CONSTRUTIVA",OFFSET(B318,-1,0)+1,OFFSET(B318,-1,0)))</f>
        <v>16</v>
      </c>
      <c r="C318" s="959">
        <f t="shared" ca="1" si="88"/>
        <v>1</v>
      </c>
      <c r="D318" s="960">
        <f t="shared" ca="1" si="89"/>
        <v>1</v>
      </c>
      <c r="E318" s="960">
        <f t="shared" ca="1" si="90"/>
        <v>1</v>
      </c>
      <c r="F318" s="209"/>
    </row>
    <row r="319" spans="1:6" ht="14.1" customHeight="1" x14ac:dyDescent="0.2">
      <c r="A319" s="959">
        <f ca="1">IF($H319="UNIDADE CONSTRUTIVA",OFFSET(A319,-1,0)+1,LARGE(A$3:A318,1))</f>
        <v>0</v>
      </c>
      <c r="B319" s="959">
        <f t="shared" ca="1" si="91"/>
        <v>16</v>
      </c>
      <c r="C319" s="959">
        <f t="shared" ca="1" si="88"/>
        <v>1</v>
      </c>
      <c r="D319" s="960">
        <f t="shared" ca="1" si="89"/>
        <v>1</v>
      </c>
      <c r="E319" s="960">
        <f t="shared" ca="1" si="90"/>
        <v>1</v>
      </c>
      <c r="F319" s="209"/>
    </row>
    <row r="320" spans="1:6" ht="14.1" customHeight="1" x14ac:dyDescent="0.2">
      <c r="A320" s="959">
        <f ca="1">IF($H320="UNIDADE CONSTRUTIVA",OFFSET(A320,-1,0)+1,LARGE(A$3:A319,1))</f>
        <v>0</v>
      </c>
      <c r="B320" s="959">
        <f t="shared" ca="1" si="91"/>
        <v>16</v>
      </c>
      <c r="C320" s="959">
        <f t="shared" ca="1" si="88"/>
        <v>1</v>
      </c>
      <c r="D320" s="960">
        <f t="shared" ca="1" si="89"/>
        <v>1</v>
      </c>
      <c r="E320" s="960">
        <f t="shared" ca="1" si="90"/>
        <v>1</v>
      </c>
      <c r="F320" s="209"/>
    </row>
    <row r="321" spans="1:6" ht="14.1" customHeight="1" x14ac:dyDescent="0.2">
      <c r="A321" s="959">
        <f ca="1">IF($H321="UNIDADE CONSTRUTIVA",OFFSET(A321,-1,0)+1,LARGE(A$3:A320,1))</f>
        <v>0</v>
      </c>
      <c r="B321" s="959">
        <f t="shared" ca="1" si="91"/>
        <v>16</v>
      </c>
      <c r="C321" s="959">
        <f t="shared" ca="1" si="88"/>
        <v>1</v>
      </c>
      <c r="D321" s="960">
        <f t="shared" ca="1" si="89"/>
        <v>1</v>
      </c>
      <c r="E321" s="960">
        <f t="shared" ca="1" si="90"/>
        <v>1</v>
      </c>
      <c r="F321" s="209"/>
    </row>
    <row r="322" spans="1:6" ht="14.1" customHeight="1" x14ac:dyDescent="0.2">
      <c r="A322" s="959">
        <f ca="1">IF($H322="UNIDADE CONSTRUTIVA",OFFSET(A322,-1,0)+1,LARGE(A$3:A321,1))</f>
        <v>0</v>
      </c>
      <c r="B322" s="959">
        <f t="shared" ca="1" si="91"/>
        <v>16</v>
      </c>
      <c r="C322" s="959">
        <f t="shared" ca="1" si="88"/>
        <v>1</v>
      </c>
      <c r="D322" s="960">
        <f t="shared" ca="1" si="89"/>
        <v>1</v>
      </c>
      <c r="E322" s="960">
        <f t="shared" ca="1" si="90"/>
        <v>1</v>
      </c>
      <c r="F322" s="209"/>
    </row>
    <row r="323" spans="1:6" ht="14.1" customHeight="1" x14ac:dyDescent="0.2">
      <c r="A323" s="959">
        <f ca="1">IF($H323="UNIDADE CONSTRUTIVA",OFFSET(A323,-1,0)+1,LARGE(A$3:A322,1))</f>
        <v>0</v>
      </c>
      <c r="B323" s="959">
        <f t="shared" ca="1" si="91"/>
        <v>16</v>
      </c>
      <c r="C323" s="959">
        <f t="shared" ca="1" si="88"/>
        <v>1</v>
      </c>
      <c r="D323" s="960">
        <f t="shared" ca="1" si="89"/>
        <v>1</v>
      </c>
      <c r="E323" s="960">
        <f t="shared" ca="1" si="90"/>
        <v>1</v>
      </c>
      <c r="F323" s="209"/>
    </row>
    <row r="324" spans="1:6" ht="14.1" customHeight="1" x14ac:dyDescent="0.2">
      <c r="A324" s="959">
        <f ca="1">IF($H324="UNIDADE CONSTRUTIVA",OFFSET(A324,-1,0)+1,LARGE(A$3:A323,1))</f>
        <v>0</v>
      </c>
      <c r="B324" s="959">
        <f t="shared" ca="1" si="91"/>
        <v>16</v>
      </c>
      <c r="C324" s="959">
        <f t="shared" ca="1" si="88"/>
        <v>1</v>
      </c>
      <c r="D324" s="960">
        <f t="shared" ca="1" si="89"/>
        <v>1</v>
      </c>
      <c r="E324" s="960">
        <f t="shared" ca="1" si="90"/>
        <v>1</v>
      </c>
      <c r="F324" s="209"/>
    </row>
    <row r="325" spans="1:6" ht="14.1" customHeight="1" x14ac:dyDescent="0.2">
      <c r="A325" s="959">
        <f ca="1">IF($H325="UNIDADE CONSTRUTIVA",OFFSET(A325,-1,0)+1,LARGE(A$3:A324,1))</f>
        <v>0</v>
      </c>
      <c r="B325" s="959">
        <f t="shared" ca="1" si="91"/>
        <v>16</v>
      </c>
      <c r="C325" s="959">
        <f t="shared" ca="1" si="88"/>
        <v>1</v>
      </c>
      <c r="D325" s="960">
        <f t="shared" ca="1" si="89"/>
        <v>1</v>
      </c>
      <c r="E325" s="960">
        <f t="shared" ca="1" si="90"/>
        <v>1</v>
      </c>
      <c r="F325" s="209"/>
    </row>
    <row r="326" spans="1:6" ht="14.1" customHeight="1" x14ac:dyDescent="0.2">
      <c r="A326" s="959">
        <f ca="1">IF($H326="UNIDADE CONSTRUTIVA",OFFSET(A326,-1,0)+1,LARGE(A$3:A325,1))</f>
        <v>0</v>
      </c>
      <c r="B326" s="959">
        <f t="shared" ca="1" si="91"/>
        <v>16</v>
      </c>
      <c r="C326" s="959">
        <f t="shared" ca="1" si="88"/>
        <v>1</v>
      </c>
      <c r="D326" s="960">
        <f t="shared" ca="1" si="89"/>
        <v>1</v>
      </c>
      <c r="E326" s="960">
        <f t="shared" ca="1" si="90"/>
        <v>1</v>
      </c>
      <c r="F326" s="209"/>
    </row>
    <row r="327" spans="1:6" ht="14.1" customHeight="1" x14ac:dyDescent="0.2">
      <c r="A327" s="959">
        <f ca="1">IF($H327="UNIDADE CONSTRUTIVA",OFFSET(A327,-1,0)+1,LARGE(A$3:A326,1))</f>
        <v>0</v>
      </c>
      <c r="B327" s="959">
        <f t="shared" ca="1" si="91"/>
        <v>16</v>
      </c>
      <c r="C327" s="959">
        <f t="shared" ca="1" si="88"/>
        <v>1</v>
      </c>
      <c r="D327" s="960">
        <f t="shared" ca="1" si="89"/>
        <v>1</v>
      </c>
      <c r="E327" s="960">
        <f t="shared" ca="1" si="90"/>
        <v>1</v>
      </c>
      <c r="F327" s="209"/>
    </row>
    <row r="328" spans="1:6" ht="14.1" customHeight="1" x14ac:dyDescent="0.2">
      <c r="A328" s="959">
        <f ca="1">IF($H328="UNIDADE CONSTRUTIVA",OFFSET(A328,-1,0)+1,LARGE(A$3:A327,1))</f>
        <v>0</v>
      </c>
      <c r="B328" s="959">
        <f t="shared" ca="1" si="91"/>
        <v>16</v>
      </c>
      <c r="C328" s="959">
        <f t="shared" ca="1" si="88"/>
        <v>1</v>
      </c>
      <c r="D328" s="960">
        <f t="shared" ca="1" si="89"/>
        <v>1</v>
      </c>
      <c r="E328" s="960">
        <f t="shared" ca="1" si="90"/>
        <v>1</v>
      </c>
      <c r="F328" s="209"/>
    </row>
    <row r="329" spans="1:6" ht="14.1" customHeight="1" x14ac:dyDescent="0.2">
      <c r="A329" s="959">
        <f ca="1">IF($H329="UNIDADE CONSTRUTIVA",OFFSET(A329,-1,0)+1,LARGE(A$3:A328,1))</f>
        <v>0</v>
      </c>
      <c r="B329" s="959">
        <f t="shared" ca="1" si="91"/>
        <v>16</v>
      </c>
      <c r="C329" s="959">
        <f t="shared" ca="1" si="88"/>
        <v>1</v>
      </c>
      <c r="D329" s="960">
        <f t="shared" ca="1" si="89"/>
        <v>1</v>
      </c>
      <c r="E329" s="960">
        <f t="shared" ca="1" si="90"/>
        <v>1</v>
      </c>
      <c r="F329" s="209"/>
    </row>
    <row r="330" spans="1:6" ht="14.1" customHeight="1" x14ac:dyDescent="0.2">
      <c r="A330" s="959">
        <f ca="1">IF($H330="UNIDADE CONSTRUTIVA",OFFSET(A330,-1,0)+1,LARGE(A$3:A329,1))</f>
        <v>0</v>
      </c>
      <c r="B330" s="959">
        <f t="shared" ca="1" si="91"/>
        <v>16</v>
      </c>
      <c r="C330" s="959">
        <f t="shared" ca="1" si="88"/>
        <v>1</v>
      </c>
      <c r="D330" s="960">
        <f t="shared" ca="1" si="89"/>
        <v>1</v>
      </c>
      <c r="E330" s="960">
        <f t="shared" ca="1" si="90"/>
        <v>1</v>
      </c>
      <c r="F330" s="209"/>
    </row>
    <row r="331" spans="1:6" ht="14.1" customHeight="1" x14ac:dyDescent="0.2">
      <c r="A331" s="959">
        <f ca="1">IF($H331="UNIDADE CONSTRUTIVA",OFFSET(A331,-1,0)+1,LARGE(A$3:A330,1))</f>
        <v>0</v>
      </c>
      <c r="B331" s="959">
        <f t="shared" ca="1" si="91"/>
        <v>16</v>
      </c>
      <c r="C331" s="959">
        <f t="shared" ca="1" si="88"/>
        <v>1</v>
      </c>
      <c r="D331" s="960">
        <f t="shared" ca="1" si="89"/>
        <v>1</v>
      </c>
      <c r="E331" s="960">
        <f t="shared" ca="1" si="90"/>
        <v>1</v>
      </c>
      <c r="F331" s="209"/>
    </row>
    <row r="332" spans="1:6" ht="14.1" customHeight="1" x14ac:dyDescent="0.2">
      <c r="A332" s="959">
        <f ca="1">IF($H332="UNIDADE CONSTRUTIVA",OFFSET(A332,-1,0)+1,LARGE(A$3:A331,1))</f>
        <v>0</v>
      </c>
      <c r="B332" s="959">
        <f t="shared" ca="1" si="91"/>
        <v>16</v>
      </c>
      <c r="C332" s="959">
        <f t="shared" ref="C332:C395" ca="1" si="92">IF(H332="CÉLULA CONSTRUTIVA",0,IF(H332="ETAPA",OFFSET(C332,-1,0)+1,OFFSET(C332,-1,0)))</f>
        <v>1</v>
      </c>
      <c r="D332" s="960">
        <f t="shared" ref="D332:D395" ca="1" si="93">IF(H332="ETAPA",0,IF(H332="SUBETAPA",OFFSET(D332,-1,0)+1,OFFSET(D332,-1,0)))</f>
        <v>1</v>
      </c>
      <c r="E332" s="960">
        <f t="shared" ref="E332:E395" ca="1" si="94">IF(H332="Subetapa",0,IF(H332="serviço",OFFSET(E332,-1,0)+1,OFFSET(E332,-1,0)))</f>
        <v>1</v>
      </c>
      <c r="F332" s="209"/>
    </row>
    <row r="333" spans="1:6" ht="14.1" customHeight="1" x14ac:dyDescent="0.2">
      <c r="A333" s="959">
        <f ca="1">IF($H333="UNIDADE CONSTRUTIVA",OFFSET(A333,-1,0)+1,LARGE(A$3:A332,1))</f>
        <v>0</v>
      </c>
      <c r="B333" s="959">
        <f t="shared" ca="1" si="91"/>
        <v>16</v>
      </c>
      <c r="C333" s="959">
        <f t="shared" ca="1" si="92"/>
        <v>1</v>
      </c>
      <c r="D333" s="960">
        <f t="shared" ca="1" si="93"/>
        <v>1</v>
      </c>
      <c r="E333" s="960">
        <f t="shared" ca="1" si="94"/>
        <v>1</v>
      </c>
      <c r="F333" s="209"/>
    </row>
    <row r="334" spans="1:6" ht="14.1" customHeight="1" x14ac:dyDescent="0.2">
      <c r="A334" s="959">
        <f ca="1">IF($H334="UNIDADE CONSTRUTIVA",OFFSET(A334,-1,0)+1,LARGE(A$3:A333,1))</f>
        <v>0</v>
      </c>
      <c r="B334" s="959">
        <f t="shared" ca="1" si="91"/>
        <v>16</v>
      </c>
      <c r="C334" s="959">
        <f t="shared" ca="1" si="92"/>
        <v>1</v>
      </c>
      <c r="D334" s="960">
        <f t="shared" ca="1" si="93"/>
        <v>1</v>
      </c>
      <c r="E334" s="960">
        <f t="shared" ca="1" si="94"/>
        <v>1</v>
      </c>
      <c r="F334" s="209"/>
    </row>
    <row r="335" spans="1:6" ht="14.1" customHeight="1" x14ac:dyDescent="0.2">
      <c r="A335" s="959">
        <f ca="1">IF($H335="UNIDADE CONSTRUTIVA",OFFSET(A335,-1,0)+1,LARGE(A$3:A334,1))</f>
        <v>0</v>
      </c>
      <c r="B335" s="959">
        <f t="shared" ca="1" si="91"/>
        <v>16</v>
      </c>
      <c r="C335" s="959">
        <f t="shared" ca="1" si="92"/>
        <v>1</v>
      </c>
      <c r="D335" s="960">
        <f t="shared" ca="1" si="93"/>
        <v>1</v>
      </c>
      <c r="E335" s="960">
        <f t="shared" ca="1" si="94"/>
        <v>1</v>
      </c>
      <c r="F335" s="209"/>
    </row>
    <row r="336" spans="1:6" ht="14.1" customHeight="1" x14ac:dyDescent="0.2">
      <c r="A336" s="959">
        <f ca="1">IF($H336="UNIDADE CONSTRUTIVA",OFFSET(A336,-1,0)+1,LARGE(A$3:A335,1))</f>
        <v>0</v>
      </c>
      <c r="B336" s="959">
        <f t="shared" ca="1" si="91"/>
        <v>16</v>
      </c>
      <c r="C336" s="959">
        <f t="shared" ca="1" si="92"/>
        <v>1</v>
      </c>
      <c r="D336" s="960">
        <f t="shared" ca="1" si="93"/>
        <v>1</v>
      </c>
      <c r="E336" s="960">
        <f t="shared" ca="1" si="94"/>
        <v>1</v>
      </c>
      <c r="F336" s="209"/>
    </row>
    <row r="337" spans="1:6" ht="14.1" customHeight="1" x14ac:dyDescent="0.2">
      <c r="A337" s="959">
        <f ca="1">IF($H337="UNIDADE CONSTRUTIVA",OFFSET(A337,-1,0)+1,LARGE(A$3:A336,1))</f>
        <v>0</v>
      </c>
      <c r="B337" s="959">
        <f t="shared" ca="1" si="91"/>
        <v>16</v>
      </c>
      <c r="C337" s="959">
        <f t="shared" ca="1" si="92"/>
        <v>1</v>
      </c>
      <c r="D337" s="960">
        <f t="shared" ca="1" si="93"/>
        <v>1</v>
      </c>
      <c r="E337" s="960">
        <f t="shared" ca="1" si="94"/>
        <v>1</v>
      </c>
      <c r="F337" s="209"/>
    </row>
    <row r="338" spans="1:6" ht="14.1" customHeight="1" x14ac:dyDescent="0.2">
      <c r="A338" s="959">
        <f ca="1">IF($H338="UNIDADE CONSTRUTIVA",OFFSET(A338,-1,0)+1,LARGE(A$3:A337,1))</f>
        <v>0</v>
      </c>
      <c r="B338" s="959">
        <f t="shared" ca="1" si="91"/>
        <v>16</v>
      </c>
      <c r="C338" s="959">
        <f t="shared" ca="1" si="92"/>
        <v>1</v>
      </c>
      <c r="D338" s="960">
        <f t="shared" ca="1" si="93"/>
        <v>1</v>
      </c>
      <c r="E338" s="960">
        <f t="shared" ca="1" si="94"/>
        <v>1</v>
      </c>
      <c r="F338" s="209"/>
    </row>
    <row r="339" spans="1:6" ht="14.1" customHeight="1" x14ac:dyDescent="0.2">
      <c r="A339" s="959">
        <f ca="1">IF($H339="UNIDADE CONSTRUTIVA",OFFSET(A339,-1,0)+1,LARGE(A$3:A338,1))</f>
        <v>0</v>
      </c>
      <c r="B339" s="959">
        <f t="shared" ca="1" si="91"/>
        <v>16</v>
      </c>
      <c r="C339" s="959">
        <f t="shared" ca="1" si="92"/>
        <v>1</v>
      </c>
      <c r="D339" s="960">
        <f t="shared" ca="1" si="93"/>
        <v>1</v>
      </c>
      <c r="E339" s="960">
        <f t="shared" ca="1" si="94"/>
        <v>1</v>
      </c>
      <c r="F339" s="209"/>
    </row>
    <row r="340" spans="1:6" ht="14.1" customHeight="1" x14ac:dyDescent="0.2">
      <c r="A340" s="959">
        <f ca="1">IF($H340="UNIDADE CONSTRUTIVA",OFFSET(A340,-1,0)+1,LARGE(A$3:A339,1))</f>
        <v>0</v>
      </c>
      <c r="B340" s="959">
        <f t="shared" ca="1" si="91"/>
        <v>16</v>
      </c>
      <c r="C340" s="959">
        <f t="shared" ca="1" si="92"/>
        <v>1</v>
      </c>
      <c r="D340" s="960">
        <f t="shared" ca="1" si="93"/>
        <v>1</v>
      </c>
      <c r="E340" s="960">
        <f t="shared" ca="1" si="94"/>
        <v>1</v>
      </c>
      <c r="F340" s="209"/>
    </row>
    <row r="341" spans="1:6" ht="14.1" customHeight="1" x14ac:dyDescent="0.2">
      <c r="A341" s="959">
        <f ca="1">IF($H341="UNIDADE CONSTRUTIVA",OFFSET(A341,-1,0)+1,LARGE(A$3:A340,1))</f>
        <v>0</v>
      </c>
      <c r="B341" s="959">
        <f t="shared" ca="1" si="91"/>
        <v>16</v>
      </c>
      <c r="C341" s="959">
        <f t="shared" ca="1" si="92"/>
        <v>1</v>
      </c>
      <c r="D341" s="960">
        <f t="shared" ca="1" si="93"/>
        <v>1</v>
      </c>
      <c r="E341" s="960">
        <f t="shared" ca="1" si="94"/>
        <v>1</v>
      </c>
      <c r="F341" s="209"/>
    </row>
    <row r="342" spans="1:6" ht="14.1" customHeight="1" x14ac:dyDescent="0.2">
      <c r="A342" s="959">
        <f ca="1">IF($H342="UNIDADE CONSTRUTIVA",OFFSET(A342,-1,0)+1,LARGE(A$3:A341,1))</f>
        <v>0</v>
      </c>
      <c r="B342" s="959">
        <f t="shared" ca="1" si="91"/>
        <v>16</v>
      </c>
      <c r="C342" s="959">
        <f t="shared" ca="1" si="92"/>
        <v>1</v>
      </c>
      <c r="D342" s="960">
        <f t="shared" ca="1" si="93"/>
        <v>1</v>
      </c>
      <c r="E342" s="960">
        <f t="shared" ca="1" si="94"/>
        <v>1</v>
      </c>
      <c r="F342" s="209"/>
    </row>
    <row r="343" spans="1:6" ht="14.1" customHeight="1" x14ac:dyDescent="0.2">
      <c r="A343" s="959">
        <f ca="1">IF($H343="UNIDADE CONSTRUTIVA",OFFSET(A343,-1,0)+1,LARGE(A$3:A342,1))</f>
        <v>0</v>
      </c>
      <c r="B343" s="959">
        <f t="shared" ca="1" si="91"/>
        <v>16</v>
      </c>
      <c r="C343" s="959">
        <f t="shared" ca="1" si="92"/>
        <v>1</v>
      </c>
      <c r="D343" s="960">
        <f t="shared" ca="1" si="93"/>
        <v>1</v>
      </c>
      <c r="E343" s="960">
        <f t="shared" ca="1" si="94"/>
        <v>1</v>
      </c>
      <c r="F343" s="209"/>
    </row>
    <row r="344" spans="1:6" ht="14.1" customHeight="1" x14ac:dyDescent="0.2">
      <c r="A344" s="959">
        <f ca="1">IF($H344="UNIDADE CONSTRUTIVA",OFFSET(A344,-1,0)+1,LARGE(A$3:A343,1))</f>
        <v>0</v>
      </c>
      <c r="B344" s="959">
        <f t="shared" ca="1" si="91"/>
        <v>16</v>
      </c>
      <c r="C344" s="959">
        <f t="shared" ca="1" si="92"/>
        <v>1</v>
      </c>
      <c r="D344" s="960">
        <f t="shared" ca="1" si="93"/>
        <v>1</v>
      </c>
      <c r="E344" s="960">
        <f t="shared" ca="1" si="94"/>
        <v>1</v>
      </c>
      <c r="F344" s="209"/>
    </row>
    <row r="345" spans="1:6" ht="14.1" customHeight="1" x14ac:dyDescent="0.2">
      <c r="A345" s="959">
        <f ca="1">IF($H345="UNIDADE CONSTRUTIVA",OFFSET(A345,-1,0)+1,LARGE(A$3:A344,1))</f>
        <v>0</v>
      </c>
      <c r="B345" s="959">
        <f t="shared" ca="1" si="91"/>
        <v>16</v>
      </c>
      <c r="C345" s="959">
        <f t="shared" ca="1" si="92"/>
        <v>1</v>
      </c>
      <c r="D345" s="960">
        <f t="shared" ca="1" si="93"/>
        <v>1</v>
      </c>
      <c r="E345" s="960">
        <f t="shared" ca="1" si="94"/>
        <v>1</v>
      </c>
      <c r="F345" s="209"/>
    </row>
    <row r="346" spans="1:6" ht="14.1" customHeight="1" x14ac:dyDescent="0.2">
      <c r="A346" s="959">
        <f ca="1">IF($H346="UNIDADE CONSTRUTIVA",OFFSET(A346,-1,0)+1,LARGE(A$3:A345,1))</f>
        <v>0</v>
      </c>
      <c r="B346" s="959">
        <f t="shared" ca="1" si="91"/>
        <v>16</v>
      </c>
      <c r="C346" s="959">
        <f t="shared" ca="1" si="92"/>
        <v>1</v>
      </c>
      <c r="D346" s="960">
        <f t="shared" ca="1" si="93"/>
        <v>1</v>
      </c>
      <c r="E346" s="960">
        <f t="shared" ca="1" si="94"/>
        <v>1</v>
      </c>
      <c r="F346" s="209"/>
    </row>
    <row r="347" spans="1:6" ht="14.1" customHeight="1" x14ac:dyDescent="0.2">
      <c r="A347" s="959">
        <f ca="1">IF($H347="UNIDADE CONSTRUTIVA",OFFSET(A347,-1,0)+1,LARGE(A$3:A346,1))</f>
        <v>0</v>
      </c>
      <c r="B347" s="959">
        <f t="shared" ca="1" si="91"/>
        <v>16</v>
      </c>
      <c r="C347" s="959">
        <f t="shared" ca="1" si="92"/>
        <v>1</v>
      </c>
      <c r="D347" s="960">
        <f t="shared" ca="1" si="93"/>
        <v>1</v>
      </c>
      <c r="E347" s="960">
        <f t="shared" ca="1" si="94"/>
        <v>1</v>
      </c>
      <c r="F347" s="209"/>
    </row>
    <row r="348" spans="1:6" ht="14.1" customHeight="1" x14ac:dyDescent="0.2">
      <c r="A348" s="959">
        <f ca="1">IF($H348="UNIDADE CONSTRUTIVA",OFFSET(A348,-1,0)+1,LARGE(A$3:A347,1))</f>
        <v>0</v>
      </c>
      <c r="B348" s="959">
        <f t="shared" ca="1" si="91"/>
        <v>16</v>
      </c>
      <c r="C348" s="959">
        <f t="shared" ca="1" si="92"/>
        <v>1</v>
      </c>
      <c r="D348" s="960">
        <f t="shared" ca="1" si="93"/>
        <v>1</v>
      </c>
      <c r="E348" s="960">
        <f t="shared" ca="1" si="94"/>
        <v>1</v>
      </c>
      <c r="F348" s="209"/>
    </row>
    <row r="349" spans="1:6" ht="14.1" customHeight="1" x14ac:dyDescent="0.2">
      <c r="A349" s="959">
        <f ca="1">IF($H349="UNIDADE CONSTRUTIVA",OFFSET(A349,-1,0)+1,LARGE(A$3:A348,1))</f>
        <v>0</v>
      </c>
      <c r="B349" s="959">
        <f t="shared" ca="1" si="91"/>
        <v>16</v>
      </c>
      <c r="C349" s="959">
        <f t="shared" ca="1" si="92"/>
        <v>1</v>
      </c>
      <c r="D349" s="960">
        <f t="shared" ca="1" si="93"/>
        <v>1</v>
      </c>
      <c r="E349" s="960">
        <f t="shared" ca="1" si="94"/>
        <v>1</v>
      </c>
      <c r="F349" s="209"/>
    </row>
    <row r="350" spans="1:6" ht="14.1" customHeight="1" x14ac:dyDescent="0.2">
      <c r="A350" s="959">
        <f ca="1">IF($H350="UNIDADE CONSTRUTIVA",OFFSET(A350,-1,0)+1,LARGE(A$3:A349,1))</f>
        <v>0</v>
      </c>
      <c r="B350" s="959">
        <f t="shared" ca="1" si="91"/>
        <v>16</v>
      </c>
      <c r="C350" s="959">
        <f t="shared" ca="1" si="92"/>
        <v>1</v>
      </c>
      <c r="D350" s="960">
        <f t="shared" ca="1" si="93"/>
        <v>1</v>
      </c>
      <c r="E350" s="960">
        <f t="shared" ca="1" si="94"/>
        <v>1</v>
      </c>
      <c r="F350" s="209"/>
    </row>
    <row r="351" spans="1:6" ht="14.1" customHeight="1" x14ac:dyDescent="0.2">
      <c r="A351" s="959">
        <f ca="1">IF($H351="UNIDADE CONSTRUTIVA",OFFSET(A351,-1,0)+1,LARGE(A$3:A350,1))</f>
        <v>0</v>
      </c>
      <c r="B351" s="959">
        <f t="shared" ca="1" si="91"/>
        <v>16</v>
      </c>
      <c r="C351" s="959">
        <f t="shared" ca="1" si="92"/>
        <v>1</v>
      </c>
      <c r="D351" s="960">
        <f t="shared" ca="1" si="93"/>
        <v>1</v>
      </c>
      <c r="E351" s="960">
        <f t="shared" ca="1" si="94"/>
        <v>1</v>
      </c>
      <c r="F351" s="209"/>
    </row>
    <row r="352" spans="1:6" ht="14.1" customHeight="1" x14ac:dyDescent="0.2">
      <c r="A352" s="959">
        <f ca="1">IF($H352="UNIDADE CONSTRUTIVA",OFFSET(A352,-1,0)+1,LARGE(A$3:A351,1))</f>
        <v>0</v>
      </c>
      <c r="B352" s="959">
        <f t="shared" ca="1" si="91"/>
        <v>16</v>
      </c>
      <c r="C352" s="959">
        <f t="shared" ca="1" si="92"/>
        <v>1</v>
      </c>
      <c r="D352" s="960">
        <f t="shared" ca="1" si="93"/>
        <v>1</v>
      </c>
      <c r="E352" s="960">
        <f t="shared" ca="1" si="94"/>
        <v>1</v>
      </c>
      <c r="F352" s="209"/>
    </row>
    <row r="353" spans="1:6" ht="14.1" customHeight="1" x14ac:dyDescent="0.2">
      <c r="A353" s="959">
        <f ca="1">IF($H353="UNIDADE CONSTRUTIVA",OFFSET(A353,-1,0)+1,LARGE(A$3:A352,1))</f>
        <v>0</v>
      </c>
      <c r="B353" s="959">
        <f t="shared" ca="1" si="91"/>
        <v>16</v>
      </c>
      <c r="C353" s="959">
        <f t="shared" ca="1" si="92"/>
        <v>1</v>
      </c>
      <c r="D353" s="960">
        <f t="shared" ca="1" si="93"/>
        <v>1</v>
      </c>
      <c r="E353" s="960">
        <f t="shared" ca="1" si="94"/>
        <v>1</v>
      </c>
      <c r="F353" s="209"/>
    </row>
    <row r="354" spans="1:6" ht="14.1" customHeight="1" x14ac:dyDescent="0.2">
      <c r="A354" s="959">
        <f ca="1">IF($H354="UNIDADE CONSTRUTIVA",OFFSET(A354,-1,0)+1,LARGE(A$3:A353,1))</f>
        <v>0</v>
      </c>
      <c r="B354" s="959">
        <f t="shared" ca="1" si="91"/>
        <v>16</v>
      </c>
      <c r="C354" s="959">
        <f t="shared" ca="1" si="92"/>
        <v>1</v>
      </c>
      <c r="D354" s="960">
        <f t="shared" ca="1" si="93"/>
        <v>1</v>
      </c>
      <c r="E354" s="960">
        <f t="shared" ca="1" si="94"/>
        <v>1</v>
      </c>
      <c r="F354" s="209"/>
    </row>
    <row r="355" spans="1:6" ht="14.1" customHeight="1" x14ac:dyDescent="0.2">
      <c r="A355" s="959">
        <f ca="1">IF($H355="UNIDADE CONSTRUTIVA",OFFSET(A355,-1,0)+1,LARGE(A$3:A354,1))</f>
        <v>0</v>
      </c>
      <c r="B355" s="959">
        <f t="shared" ca="1" si="91"/>
        <v>16</v>
      </c>
      <c r="C355" s="959">
        <f t="shared" ca="1" si="92"/>
        <v>1</v>
      </c>
      <c r="D355" s="960">
        <f t="shared" ca="1" si="93"/>
        <v>1</v>
      </c>
      <c r="E355" s="960">
        <f t="shared" ca="1" si="94"/>
        <v>1</v>
      </c>
      <c r="F355" s="209"/>
    </row>
    <row r="356" spans="1:6" ht="14.1" customHeight="1" x14ac:dyDescent="0.2">
      <c r="A356" s="959">
        <f ca="1">IF($H356="UNIDADE CONSTRUTIVA",OFFSET(A356,-1,0)+1,LARGE(A$3:A355,1))</f>
        <v>0</v>
      </c>
      <c r="B356" s="959">
        <f t="shared" ca="1" si="91"/>
        <v>16</v>
      </c>
      <c r="C356" s="959">
        <f t="shared" ca="1" si="92"/>
        <v>1</v>
      </c>
      <c r="D356" s="960">
        <f t="shared" ca="1" si="93"/>
        <v>1</v>
      </c>
      <c r="E356" s="960">
        <f t="shared" ca="1" si="94"/>
        <v>1</v>
      </c>
      <c r="F356" s="209"/>
    </row>
    <row r="357" spans="1:6" ht="14.1" customHeight="1" x14ac:dyDescent="0.2">
      <c r="A357" s="959">
        <f ca="1">IF($H357="UNIDADE CONSTRUTIVA",OFFSET(A357,-1,0)+1,LARGE(A$3:A356,1))</f>
        <v>0</v>
      </c>
      <c r="B357" s="959">
        <f t="shared" ca="1" si="91"/>
        <v>16</v>
      </c>
      <c r="C357" s="959">
        <f t="shared" ca="1" si="92"/>
        <v>1</v>
      </c>
      <c r="D357" s="960">
        <f t="shared" ca="1" si="93"/>
        <v>1</v>
      </c>
      <c r="E357" s="960">
        <f t="shared" ca="1" si="94"/>
        <v>1</v>
      </c>
      <c r="F357" s="209"/>
    </row>
    <row r="358" spans="1:6" ht="14.1" customHeight="1" x14ac:dyDescent="0.2">
      <c r="A358" s="959">
        <f ca="1">IF($H358="UNIDADE CONSTRUTIVA",OFFSET(A358,-1,0)+1,LARGE(A$3:A357,1))</f>
        <v>0</v>
      </c>
      <c r="B358" s="959">
        <f t="shared" ca="1" si="91"/>
        <v>16</v>
      </c>
      <c r="C358" s="959">
        <f t="shared" ca="1" si="92"/>
        <v>1</v>
      </c>
      <c r="D358" s="960">
        <f t="shared" ca="1" si="93"/>
        <v>1</v>
      </c>
      <c r="E358" s="960">
        <f t="shared" ca="1" si="94"/>
        <v>1</v>
      </c>
      <c r="F358" s="209"/>
    </row>
    <row r="359" spans="1:6" ht="14.1" customHeight="1" x14ac:dyDescent="0.2">
      <c r="A359" s="959">
        <f ca="1">IF($H359="UNIDADE CONSTRUTIVA",OFFSET(A359,-1,0)+1,LARGE(A$3:A358,1))</f>
        <v>0</v>
      </c>
      <c r="B359" s="959">
        <f t="shared" ca="1" si="91"/>
        <v>16</v>
      </c>
      <c r="C359" s="959">
        <f t="shared" ca="1" si="92"/>
        <v>1</v>
      </c>
      <c r="D359" s="960">
        <f t="shared" ca="1" si="93"/>
        <v>1</v>
      </c>
      <c r="E359" s="960">
        <f t="shared" ca="1" si="94"/>
        <v>1</v>
      </c>
      <c r="F359" s="209"/>
    </row>
    <row r="360" spans="1:6" ht="14.1" customHeight="1" x14ac:dyDescent="0.2">
      <c r="A360" s="959">
        <f ca="1">IF($H360="UNIDADE CONSTRUTIVA",OFFSET(A360,-1,0)+1,LARGE(A$3:A359,1))</f>
        <v>0</v>
      </c>
      <c r="B360" s="959">
        <f t="shared" ca="1" si="91"/>
        <v>16</v>
      </c>
      <c r="C360" s="959">
        <f t="shared" ca="1" si="92"/>
        <v>1</v>
      </c>
      <c r="D360" s="960">
        <f t="shared" ca="1" si="93"/>
        <v>1</v>
      </c>
      <c r="E360" s="960">
        <f t="shared" ca="1" si="94"/>
        <v>1</v>
      </c>
      <c r="F360" s="209"/>
    </row>
    <row r="361" spans="1:6" ht="14.1" customHeight="1" x14ac:dyDescent="0.2">
      <c r="A361" s="959">
        <f ca="1">IF($H361="UNIDADE CONSTRUTIVA",OFFSET(A361,-1,0)+1,LARGE(A$3:A360,1))</f>
        <v>0</v>
      </c>
      <c r="B361" s="959">
        <f t="shared" ca="1" si="91"/>
        <v>16</v>
      </c>
      <c r="C361" s="959">
        <f t="shared" ca="1" si="92"/>
        <v>1</v>
      </c>
      <c r="D361" s="960">
        <f t="shared" ca="1" si="93"/>
        <v>1</v>
      </c>
      <c r="E361" s="960">
        <f t="shared" ca="1" si="94"/>
        <v>1</v>
      </c>
      <c r="F361" s="209"/>
    </row>
    <row r="362" spans="1:6" ht="14.1" customHeight="1" x14ac:dyDescent="0.2">
      <c r="A362" s="959">
        <f ca="1">IF($H362="UNIDADE CONSTRUTIVA",OFFSET(A362,-1,0)+1,LARGE(A$3:A361,1))</f>
        <v>0</v>
      </c>
      <c r="B362" s="959">
        <f t="shared" ca="1" si="91"/>
        <v>16</v>
      </c>
      <c r="C362" s="959">
        <f t="shared" ca="1" si="92"/>
        <v>1</v>
      </c>
      <c r="D362" s="960">
        <f t="shared" ca="1" si="93"/>
        <v>1</v>
      </c>
      <c r="E362" s="960">
        <f t="shared" ca="1" si="94"/>
        <v>1</v>
      </c>
      <c r="F362" s="209"/>
    </row>
    <row r="363" spans="1:6" ht="14.1" customHeight="1" x14ac:dyDescent="0.2">
      <c r="A363" s="959">
        <f ca="1">IF($H363="UNIDADE CONSTRUTIVA",OFFSET(A363,-1,0)+1,LARGE(A$3:A362,1))</f>
        <v>0</v>
      </c>
      <c r="B363" s="959">
        <f t="shared" ca="1" si="91"/>
        <v>16</v>
      </c>
      <c r="C363" s="959">
        <f t="shared" ca="1" si="92"/>
        <v>1</v>
      </c>
      <c r="D363" s="960">
        <f t="shared" ca="1" si="93"/>
        <v>1</v>
      </c>
      <c r="E363" s="960">
        <f t="shared" ca="1" si="94"/>
        <v>1</v>
      </c>
      <c r="F363" s="209"/>
    </row>
    <row r="364" spans="1:6" ht="14.1" customHeight="1" x14ac:dyDescent="0.2">
      <c r="A364" s="959">
        <f ca="1">IF($H364="UNIDADE CONSTRUTIVA",OFFSET(A364,-1,0)+1,LARGE(A$3:A363,1))</f>
        <v>0</v>
      </c>
      <c r="B364" s="959">
        <f t="shared" ca="1" si="91"/>
        <v>16</v>
      </c>
      <c r="C364" s="959">
        <f t="shared" ca="1" si="92"/>
        <v>1</v>
      </c>
      <c r="D364" s="960">
        <f t="shared" ca="1" si="93"/>
        <v>1</v>
      </c>
      <c r="E364" s="960">
        <f t="shared" ca="1" si="94"/>
        <v>1</v>
      </c>
      <c r="F364" s="209"/>
    </row>
    <row r="365" spans="1:6" ht="14.1" customHeight="1" x14ac:dyDescent="0.2">
      <c r="A365" s="959">
        <f ca="1">IF($H365="UNIDADE CONSTRUTIVA",OFFSET(A365,-1,0)+1,LARGE(A$3:A364,1))</f>
        <v>0</v>
      </c>
      <c r="B365" s="959">
        <f t="shared" ca="1" si="91"/>
        <v>16</v>
      </c>
      <c r="C365" s="959">
        <f t="shared" ca="1" si="92"/>
        <v>1</v>
      </c>
      <c r="D365" s="960">
        <f t="shared" ca="1" si="93"/>
        <v>1</v>
      </c>
      <c r="E365" s="960">
        <f t="shared" ca="1" si="94"/>
        <v>1</v>
      </c>
      <c r="F365" s="209"/>
    </row>
    <row r="366" spans="1:6" ht="14.1" customHeight="1" x14ac:dyDescent="0.2">
      <c r="A366" s="959">
        <f ca="1">IF($H366="UNIDADE CONSTRUTIVA",OFFSET(A366,-1,0)+1,LARGE(A$3:A365,1))</f>
        <v>0</v>
      </c>
      <c r="B366" s="959">
        <f t="shared" ca="1" si="91"/>
        <v>16</v>
      </c>
      <c r="C366" s="959">
        <f t="shared" ca="1" si="92"/>
        <v>1</v>
      </c>
      <c r="D366" s="960">
        <f t="shared" ca="1" si="93"/>
        <v>1</v>
      </c>
      <c r="E366" s="960">
        <f t="shared" ca="1" si="94"/>
        <v>1</v>
      </c>
      <c r="F366" s="209"/>
    </row>
    <row r="367" spans="1:6" ht="14.1" customHeight="1" x14ac:dyDescent="0.2">
      <c r="A367" s="959">
        <f ca="1">IF($H367="UNIDADE CONSTRUTIVA",OFFSET(A367,-1,0)+1,LARGE(A$3:A366,1))</f>
        <v>0</v>
      </c>
      <c r="B367" s="959">
        <f t="shared" ca="1" si="91"/>
        <v>16</v>
      </c>
      <c r="C367" s="959">
        <f t="shared" ca="1" si="92"/>
        <v>1</v>
      </c>
      <c r="D367" s="960">
        <f t="shared" ca="1" si="93"/>
        <v>1</v>
      </c>
      <c r="E367" s="960">
        <f t="shared" ca="1" si="94"/>
        <v>1</v>
      </c>
      <c r="F367" s="209"/>
    </row>
    <row r="368" spans="1:6" ht="14.1" customHeight="1" x14ac:dyDescent="0.2">
      <c r="A368" s="959">
        <f ca="1">IF($H368="UNIDADE CONSTRUTIVA",OFFSET(A368,-1,0)+1,LARGE(A$3:A367,1))</f>
        <v>0</v>
      </c>
      <c r="B368" s="959">
        <f t="shared" ca="1" si="91"/>
        <v>16</v>
      </c>
      <c r="C368" s="959">
        <f t="shared" ca="1" si="92"/>
        <v>1</v>
      </c>
      <c r="D368" s="960">
        <f t="shared" ca="1" si="93"/>
        <v>1</v>
      </c>
      <c r="E368" s="960">
        <f t="shared" ca="1" si="94"/>
        <v>1</v>
      </c>
      <c r="F368" s="209"/>
    </row>
    <row r="369" spans="1:6" ht="14.1" customHeight="1" x14ac:dyDescent="0.2">
      <c r="A369" s="959">
        <f ca="1">IF($H369="UNIDADE CONSTRUTIVA",OFFSET(A369,-1,0)+1,LARGE(A$3:A368,1))</f>
        <v>0</v>
      </c>
      <c r="B369" s="959">
        <f t="shared" ca="1" si="91"/>
        <v>16</v>
      </c>
      <c r="C369" s="959">
        <f t="shared" ca="1" si="92"/>
        <v>1</v>
      </c>
      <c r="D369" s="960">
        <f t="shared" ca="1" si="93"/>
        <v>1</v>
      </c>
      <c r="E369" s="960">
        <f t="shared" ca="1" si="94"/>
        <v>1</v>
      </c>
      <c r="F369" s="209"/>
    </row>
    <row r="370" spans="1:6" ht="14.1" customHeight="1" x14ac:dyDescent="0.2">
      <c r="A370" s="959">
        <f ca="1">IF($H370="UNIDADE CONSTRUTIVA",OFFSET(A370,-1,0)+1,LARGE(A$3:A369,1))</f>
        <v>0</v>
      </c>
      <c r="B370" s="959">
        <f t="shared" ca="1" si="91"/>
        <v>16</v>
      </c>
      <c r="C370" s="959">
        <f t="shared" ca="1" si="92"/>
        <v>1</v>
      </c>
      <c r="D370" s="960">
        <f t="shared" ca="1" si="93"/>
        <v>1</v>
      </c>
      <c r="E370" s="960">
        <f t="shared" ca="1" si="94"/>
        <v>1</v>
      </c>
      <c r="F370" s="209"/>
    </row>
    <row r="371" spans="1:6" ht="14.1" customHeight="1" x14ac:dyDescent="0.2">
      <c r="A371" s="959">
        <f ca="1">IF($H371="UNIDADE CONSTRUTIVA",OFFSET(A371,-1,0)+1,LARGE(A$3:A370,1))</f>
        <v>0</v>
      </c>
      <c r="B371" s="959">
        <f t="shared" ca="1" si="91"/>
        <v>16</v>
      </c>
      <c r="C371" s="959">
        <f t="shared" ca="1" si="92"/>
        <v>1</v>
      </c>
      <c r="D371" s="960">
        <f t="shared" ca="1" si="93"/>
        <v>1</v>
      </c>
      <c r="E371" s="960">
        <f t="shared" ca="1" si="94"/>
        <v>1</v>
      </c>
      <c r="F371" s="209"/>
    </row>
    <row r="372" spans="1:6" ht="14.1" customHeight="1" x14ac:dyDescent="0.2">
      <c r="A372" s="959">
        <f ca="1">IF($H372="UNIDADE CONSTRUTIVA",OFFSET(A372,-1,0)+1,LARGE(A$3:A371,1))</f>
        <v>0</v>
      </c>
      <c r="B372" s="959">
        <f t="shared" ca="1" si="91"/>
        <v>16</v>
      </c>
      <c r="C372" s="959">
        <f t="shared" ca="1" si="92"/>
        <v>1</v>
      </c>
      <c r="D372" s="960">
        <f t="shared" ca="1" si="93"/>
        <v>1</v>
      </c>
      <c r="E372" s="960">
        <f t="shared" ca="1" si="94"/>
        <v>1</v>
      </c>
      <c r="F372" s="209"/>
    </row>
    <row r="373" spans="1:6" ht="14.1" customHeight="1" x14ac:dyDescent="0.2">
      <c r="A373" s="959">
        <f ca="1">IF($H373="UNIDADE CONSTRUTIVA",OFFSET(A373,-1,0)+1,LARGE(A$3:A372,1))</f>
        <v>0</v>
      </c>
      <c r="B373" s="959">
        <f t="shared" ca="1" si="91"/>
        <v>16</v>
      </c>
      <c r="C373" s="959">
        <f t="shared" ca="1" si="92"/>
        <v>1</v>
      </c>
      <c r="D373" s="960">
        <f t="shared" ca="1" si="93"/>
        <v>1</v>
      </c>
      <c r="E373" s="960">
        <f t="shared" ca="1" si="94"/>
        <v>1</v>
      </c>
      <c r="F373" s="209"/>
    </row>
    <row r="374" spans="1:6" ht="14.1" customHeight="1" x14ac:dyDescent="0.2">
      <c r="A374" s="959">
        <f ca="1">IF($H374="UNIDADE CONSTRUTIVA",OFFSET(A374,-1,0)+1,LARGE(A$3:A373,1))</f>
        <v>0</v>
      </c>
      <c r="B374" s="959">
        <f t="shared" ca="1" si="91"/>
        <v>16</v>
      </c>
      <c r="C374" s="959">
        <f t="shared" ca="1" si="92"/>
        <v>1</v>
      </c>
      <c r="D374" s="960">
        <f t="shared" ca="1" si="93"/>
        <v>1</v>
      </c>
      <c r="E374" s="960">
        <f t="shared" ca="1" si="94"/>
        <v>1</v>
      </c>
      <c r="F374" s="209"/>
    </row>
    <row r="375" spans="1:6" ht="14.1" customHeight="1" x14ac:dyDescent="0.2">
      <c r="A375" s="959">
        <f ca="1">IF($H375="UNIDADE CONSTRUTIVA",OFFSET(A375,-1,0)+1,LARGE(A$3:A374,1))</f>
        <v>0</v>
      </c>
      <c r="B375" s="959">
        <f t="shared" ca="1" si="91"/>
        <v>16</v>
      </c>
      <c r="C375" s="959">
        <f t="shared" ca="1" si="92"/>
        <v>1</v>
      </c>
      <c r="D375" s="960">
        <f t="shared" ca="1" si="93"/>
        <v>1</v>
      </c>
      <c r="E375" s="960">
        <f t="shared" ca="1" si="94"/>
        <v>1</v>
      </c>
      <c r="F375" s="209"/>
    </row>
    <row r="376" spans="1:6" ht="14.1" customHeight="1" x14ac:dyDescent="0.2">
      <c r="A376" s="959">
        <f ca="1">IF($H376="UNIDADE CONSTRUTIVA",OFFSET(A376,-1,0)+1,LARGE(A$3:A375,1))</f>
        <v>0</v>
      </c>
      <c r="B376" s="959">
        <f t="shared" ca="1" si="91"/>
        <v>16</v>
      </c>
      <c r="C376" s="959">
        <f t="shared" ca="1" si="92"/>
        <v>1</v>
      </c>
      <c r="D376" s="960">
        <f t="shared" ca="1" si="93"/>
        <v>1</v>
      </c>
      <c r="E376" s="960">
        <f t="shared" ca="1" si="94"/>
        <v>1</v>
      </c>
      <c r="F376" s="209"/>
    </row>
    <row r="377" spans="1:6" ht="14.1" customHeight="1" x14ac:dyDescent="0.2">
      <c r="A377" s="959">
        <f ca="1">IF($H377="UNIDADE CONSTRUTIVA",OFFSET(A377,-1,0)+1,LARGE(A$3:A376,1))</f>
        <v>0</v>
      </c>
      <c r="B377" s="959">
        <f t="shared" ca="1" si="91"/>
        <v>16</v>
      </c>
      <c r="C377" s="959">
        <f t="shared" ca="1" si="92"/>
        <v>1</v>
      </c>
      <c r="D377" s="960">
        <f t="shared" ca="1" si="93"/>
        <v>1</v>
      </c>
      <c r="E377" s="960">
        <f t="shared" ca="1" si="94"/>
        <v>1</v>
      </c>
      <c r="F377" s="209"/>
    </row>
    <row r="378" spans="1:6" ht="14.1" customHeight="1" x14ac:dyDescent="0.2">
      <c r="A378" s="959">
        <f ca="1">IF($H378="UNIDADE CONSTRUTIVA",OFFSET(A378,-1,0)+1,LARGE(A$3:A377,1))</f>
        <v>0</v>
      </c>
      <c r="B378" s="959">
        <f t="shared" ca="1" si="91"/>
        <v>16</v>
      </c>
      <c r="C378" s="959">
        <f t="shared" ca="1" si="92"/>
        <v>1</v>
      </c>
      <c r="D378" s="960">
        <f t="shared" ca="1" si="93"/>
        <v>1</v>
      </c>
      <c r="E378" s="960">
        <f t="shared" ca="1" si="94"/>
        <v>1</v>
      </c>
      <c r="F378" s="209"/>
    </row>
    <row r="379" spans="1:6" ht="14.1" customHeight="1" x14ac:dyDescent="0.2">
      <c r="A379" s="959">
        <f ca="1">IF($H379="UNIDADE CONSTRUTIVA",OFFSET(A379,-1,0)+1,LARGE(A$3:A378,1))</f>
        <v>0</v>
      </c>
      <c r="B379" s="959">
        <f t="shared" ca="1" si="91"/>
        <v>16</v>
      </c>
      <c r="C379" s="959">
        <f t="shared" ca="1" si="92"/>
        <v>1</v>
      </c>
      <c r="D379" s="960">
        <f t="shared" ca="1" si="93"/>
        <v>1</v>
      </c>
      <c r="E379" s="960">
        <f t="shared" ca="1" si="94"/>
        <v>1</v>
      </c>
      <c r="F379" s="209"/>
    </row>
    <row r="380" spans="1:6" ht="14.1" customHeight="1" x14ac:dyDescent="0.2">
      <c r="A380" s="959">
        <f ca="1">IF($H380="UNIDADE CONSTRUTIVA",OFFSET(A380,-1,0)+1,LARGE(A$3:A379,1))</f>
        <v>0</v>
      </c>
      <c r="B380" s="959">
        <f t="shared" ca="1" si="91"/>
        <v>16</v>
      </c>
      <c r="C380" s="959">
        <f t="shared" ca="1" si="92"/>
        <v>1</v>
      </c>
      <c r="D380" s="960">
        <f t="shared" ca="1" si="93"/>
        <v>1</v>
      </c>
      <c r="E380" s="960">
        <f t="shared" ca="1" si="94"/>
        <v>1</v>
      </c>
      <c r="F380" s="209"/>
    </row>
    <row r="381" spans="1:6" ht="14.1" customHeight="1" x14ac:dyDescent="0.2">
      <c r="A381" s="959">
        <f ca="1">IF($H381="UNIDADE CONSTRUTIVA",OFFSET(A381,-1,0)+1,LARGE(A$3:A380,1))</f>
        <v>0</v>
      </c>
      <c r="B381" s="959">
        <f t="shared" ca="1" si="91"/>
        <v>16</v>
      </c>
      <c r="C381" s="959">
        <f t="shared" ca="1" si="92"/>
        <v>1</v>
      </c>
      <c r="D381" s="960">
        <f t="shared" ca="1" si="93"/>
        <v>1</v>
      </c>
      <c r="E381" s="960">
        <f t="shared" ca="1" si="94"/>
        <v>1</v>
      </c>
      <c r="F381" s="209"/>
    </row>
    <row r="382" spans="1:6" ht="14.1" customHeight="1" x14ac:dyDescent="0.2">
      <c r="A382" s="959">
        <f ca="1">IF($H382="UNIDADE CONSTRUTIVA",OFFSET(A382,-1,0)+1,LARGE(A$3:A381,1))</f>
        <v>0</v>
      </c>
      <c r="B382" s="959">
        <f t="shared" ref="B382:B445" ca="1" si="95">IF(H382="UNIDADE CONSTRUTIVA",0,IF(H382="CÉLULA CONSTRUTIVA",OFFSET(B382,-1,0)+1,OFFSET(B382,-1,0)))</f>
        <v>16</v>
      </c>
      <c r="C382" s="959">
        <f t="shared" ca="1" si="92"/>
        <v>1</v>
      </c>
      <c r="D382" s="960">
        <f t="shared" ca="1" si="93"/>
        <v>1</v>
      </c>
      <c r="E382" s="960">
        <f t="shared" ca="1" si="94"/>
        <v>1</v>
      </c>
      <c r="F382" s="209"/>
    </row>
    <row r="383" spans="1:6" ht="14.1" customHeight="1" x14ac:dyDescent="0.2">
      <c r="A383" s="959">
        <f ca="1">IF($H383="UNIDADE CONSTRUTIVA",OFFSET(A383,-1,0)+1,LARGE(A$3:A382,1))</f>
        <v>0</v>
      </c>
      <c r="B383" s="959">
        <f t="shared" ca="1" si="95"/>
        <v>16</v>
      </c>
      <c r="C383" s="959">
        <f t="shared" ca="1" si="92"/>
        <v>1</v>
      </c>
      <c r="D383" s="960">
        <f t="shared" ca="1" si="93"/>
        <v>1</v>
      </c>
      <c r="E383" s="960">
        <f t="shared" ca="1" si="94"/>
        <v>1</v>
      </c>
      <c r="F383" s="209"/>
    </row>
    <row r="384" spans="1:6" ht="14.1" customHeight="1" x14ac:dyDescent="0.2">
      <c r="A384" s="959">
        <f ca="1">IF($H384="UNIDADE CONSTRUTIVA",OFFSET(A384,-1,0)+1,LARGE(A$3:A383,1))</f>
        <v>0</v>
      </c>
      <c r="B384" s="959">
        <f t="shared" ca="1" si="95"/>
        <v>16</v>
      </c>
      <c r="C384" s="959">
        <f t="shared" ca="1" si="92"/>
        <v>1</v>
      </c>
      <c r="D384" s="960">
        <f t="shared" ca="1" si="93"/>
        <v>1</v>
      </c>
      <c r="E384" s="960">
        <f t="shared" ca="1" si="94"/>
        <v>1</v>
      </c>
      <c r="F384" s="209"/>
    </row>
    <row r="385" spans="1:6" ht="14.1" customHeight="1" x14ac:dyDescent="0.2">
      <c r="A385" s="959">
        <f ca="1">IF($H385="UNIDADE CONSTRUTIVA",OFFSET(A385,-1,0)+1,LARGE(A$3:A384,1))</f>
        <v>0</v>
      </c>
      <c r="B385" s="959">
        <f t="shared" ca="1" si="95"/>
        <v>16</v>
      </c>
      <c r="C385" s="959">
        <f t="shared" ca="1" si="92"/>
        <v>1</v>
      </c>
      <c r="D385" s="960">
        <f t="shared" ca="1" si="93"/>
        <v>1</v>
      </c>
      <c r="E385" s="960">
        <f t="shared" ca="1" si="94"/>
        <v>1</v>
      </c>
      <c r="F385" s="209"/>
    </row>
    <row r="386" spans="1:6" ht="14.1" customHeight="1" x14ac:dyDescent="0.2">
      <c r="A386" s="959">
        <f ca="1">IF($H386="UNIDADE CONSTRUTIVA",OFFSET(A386,-1,0)+1,LARGE(A$3:A385,1))</f>
        <v>0</v>
      </c>
      <c r="B386" s="959">
        <f t="shared" ca="1" si="95"/>
        <v>16</v>
      </c>
      <c r="C386" s="959">
        <f t="shared" ca="1" si="92"/>
        <v>1</v>
      </c>
      <c r="D386" s="960">
        <f t="shared" ca="1" si="93"/>
        <v>1</v>
      </c>
      <c r="E386" s="960">
        <f t="shared" ca="1" si="94"/>
        <v>1</v>
      </c>
      <c r="F386" s="209"/>
    </row>
    <row r="387" spans="1:6" ht="14.1" customHeight="1" x14ac:dyDescent="0.2">
      <c r="A387" s="959">
        <f ca="1">IF($H387="UNIDADE CONSTRUTIVA",OFFSET(A387,-1,0)+1,LARGE(A$3:A386,1))</f>
        <v>0</v>
      </c>
      <c r="B387" s="959">
        <f t="shared" ca="1" si="95"/>
        <v>16</v>
      </c>
      <c r="C387" s="959">
        <f t="shared" ca="1" si="92"/>
        <v>1</v>
      </c>
      <c r="D387" s="960">
        <f t="shared" ca="1" si="93"/>
        <v>1</v>
      </c>
      <c r="E387" s="960">
        <f t="shared" ca="1" si="94"/>
        <v>1</v>
      </c>
      <c r="F387" s="209"/>
    </row>
    <row r="388" spans="1:6" ht="14.1" customHeight="1" x14ac:dyDescent="0.2">
      <c r="A388" s="959">
        <f ca="1">IF($H388="UNIDADE CONSTRUTIVA",OFFSET(A388,-1,0)+1,LARGE(A$3:A387,1))</f>
        <v>0</v>
      </c>
      <c r="B388" s="959">
        <f t="shared" ca="1" si="95"/>
        <v>16</v>
      </c>
      <c r="C388" s="959">
        <f t="shared" ca="1" si="92"/>
        <v>1</v>
      </c>
      <c r="D388" s="960">
        <f t="shared" ca="1" si="93"/>
        <v>1</v>
      </c>
      <c r="E388" s="960">
        <f t="shared" ca="1" si="94"/>
        <v>1</v>
      </c>
      <c r="F388" s="209"/>
    </row>
    <row r="389" spans="1:6" ht="14.1" customHeight="1" x14ac:dyDescent="0.2">
      <c r="A389" s="959">
        <f ca="1">IF($H389="UNIDADE CONSTRUTIVA",OFFSET(A389,-1,0)+1,LARGE(A$3:A388,1))</f>
        <v>0</v>
      </c>
      <c r="B389" s="959">
        <f t="shared" ca="1" si="95"/>
        <v>16</v>
      </c>
      <c r="C389" s="959">
        <f t="shared" ca="1" si="92"/>
        <v>1</v>
      </c>
      <c r="D389" s="960">
        <f t="shared" ca="1" si="93"/>
        <v>1</v>
      </c>
      <c r="E389" s="960">
        <f t="shared" ca="1" si="94"/>
        <v>1</v>
      </c>
      <c r="F389" s="209"/>
    </row>
    <row r="390" spans="1:6" ht="14.1" customHeight="1" x14ac:dyDescent="0.2">
      <c r="A390" s="959">
        <f ca="1">IF($H390="UNIDADE CONSTRUTIVA",OFFSET(A390,-1,0)+1,LARGE(A$3:A389,1))</f>
        <v>0</v>
      </c>
      <c r="B390" s="959">
        <f t="shared" ca="1" si="95"/>
        <v>16</v>
      </c>
      <c r="C390" s="959">
        <f t="shared" ca="1" si="92"/>
        <v>1</v>
      </c>
      <c r="D390" s="960">
        <f t="shared" ca="1" si="93"/>
        <v>1</v>
      </c>
      <c r="E390" s="960">
        <f t="shared" ca="1" si="94"/>
        <v>1</v>
      </c>
      <c r="F390" s="209"/>
    </row>
    <row r="391" spans="1:6" ht="14.1" customHeight="1" x14ac:dyDescent="0.2">
      <c r="A391" s="959">
        <f ca="1">IF($H391="UNIDADE CONSTRUTIVA",OFFSET(A391,-1,0)+1,LARGE(A$3:A390,1))</f>
        <v>0</v>
      </c>
      <c r="B391" s="959">
        <f t="shared" ca="1" si="95"/>
        <v>16</v>
      </c>
      <c r="C391" s="959">
        <f t="shared" ca="1" si="92"/>
        <v>1</v>
      </c>
      <c r="D391" s="960">
        <f t="shared" ca="1" si="93"/>
        <v>1</v>
      </c>
      <c r="E391" s="960">
        <f t="shared" ca="1" si="94"/>
        <v>1</v>
      </c>
      <c r="F391" s="209"/>
    </row>
    <row r="392" spans="1:6" ht="14.1" customHeight="1" x14ac:dyDescent="0.2">
      <c r="A392" s="959">
        <f ca="1">IF($H392="UNIDADE CONSTRUTIVA",OFFSET(A392,-1,0)+1,LARGE(A$3:A391,1))</f>
        <v>0</v>
      </c>
      <c r="B392" s="959">
        <f t="shared" ca="1" si="95"/>
        <v>16</v>
      </c>
      <c r="C392" s="959">
        <f t="shared" ca="1" si="92"/>
        <v>1</v>
      </c>
      <c r="D392" s="960">
        <f t="shared" ca="1" si="93"/>
        <v>1</v>
      </c>
      <c r="E392" s="960">
        <f t="shared" ca="1" si="94"/>
        <v>1</v>
      </c>
      <c r="F392" s="209"/>
    </row>
    <row r="393" spans="1:6" ht="14.1" customHeight="1" x14ac:dyDescent="0.2">
      <c r="A393" s="959">
        <f ca="1">IF($H393="UNIDADE CONSTRUTIVA",OFFSET(A393,-1,0)+1,LARGE(A$3:A392,1))</f>
        <v>0</v>
      </c>
      <c r="B393" s="959">
        <f t="shared" ca="1" si="95"/>
        <v>16</v>
      </c>
      <c r="C393" s="959">
        <f t="shared" ca="1" si="92"/>
        <v>1</v>
      </c>
      <c r="D393" s="960">
        <f t="shared" ca="1" si="93"/>
        <v>1</v>
      </c>
      <c r="E393" s="960">
        <f t="shared" ca="1" si="94"/>
        <v>1</v>
      </c>
      <c r="F393" s="209"/>
    </row>
    <row r="394" spans="1:6" ht="14.1" customHeight="1" x14ac:dyDescent="0.2">
      <c r="A394" s="959">
        <f ca="1">IF($H394="UNIDADE CONSTRUTIVA",OFFSET(A394,-1,0)+1,LARGE(A$3:A393,1))</f>
        <v>0</v>
      </c>
      <c r="B394" s="959">
        <f t="shared" ca="1" si="95"/>
        <v>16</v>
      </c>
      <c r="C394" s="959">
        <f t="shared" ca="1" si="92"/>
        <v>1</v>
      </c>
      <c r="D394" s="960">
        <f t="shared" ca="1" si="93"/>
        <v>1</v>
      </c>
      <c r="E394" s="960">
        <f t="shared" ca="1" si="94"/>
        <v>1</v>
      </c>
      <c r="F394" s="209"/>
    </row>
    <row r="395" spans="1:6" ht="14.1" customHeight="1" x14ac:dyDescent="0.2">
      <c r="A395" s="959">
        <f ca="1">IF($H395="UNIDADE CONSTRUTIVA",OFFSET(A395,-1,0)+1,LARGE(A$3:A394,1))</f>
        <v>0</v>
      </c>
      <c r="B395" s="959">
        <f t="shared" ca="1" si="95"/>
        <v>16</v>
      </c>
      <c r="C395" s="959">
        <f t="shared" ca="1" si="92"/>
        <v>1</v>
      </c>
      <c r="D395" s="960">
        <f t="shared" ca="1" si="93"/>
        <v>1</v>
      </c>
      <c r="E395" s="960">
        <f t="shared" ca="1" si="94"/>
        <v>1</v>
      </c>
      <c r="F395" s="209"/>
    </row>
    <row r="396" spans="1:6" ht="14.1" customHeight="1" x14ac:dyDescent="0.2">
      <c r="A396" s="959">
        <f ca="1">IF($H396="UNIDADE CONSTRUTIVA",OFFSET(A396,-1,0)+1,LARGE(A$3:A395,1))</f>
        <v>0</v>
      </c>
      <c r="B396" s="959">
        <f t="shared" ca="1" si="95"/>
        <v>16</v>
      </c>
      <c r="C396" s="959">
        <f t="shared" ref="C396:C459" ca="1" si="96">IF(H396="CÉLULA CONSTRUTIVA",0,IF(H396="ETAPA",OFFSET(C396,-1,0)+1,OFFSET(C396,-1,0)))</f>
        <v>1</v>
      </c>
      <c r="D396" s="960">
        <f t="shared" ref="D396:D459" ca="1" si="97">IF(H396="ETAPA",0,IF(H396="SUBETAPA",OFFSET(D396,-1,0)+1,OFFSET(D396,-1,0)))</f>
        <v>1</v>
      </c>
      <c r="E396" s="960">
        <f t="shared" ref="E396:E459" ca="1" si="98">IF(H396="Subetapa",0,IF(H396="serviço",OFFSET(E396,-1,0)+1,OFFSET(E396,-1,0)))</f>
        <v>1</v>
      </c>
      <c r="F396" s="209"/>
    </row>
    <row r="397" spans="1:6" ht="14.1" customHeight="1" x14ac:dyDescent="0.2">
      <c r="A397" s="959">
        <f ca="1">IF($H397="UNIDADE CONSTRUTIVA",OFFSET(A397,-1,0)+1,LARGE(A$3:A396,1))</f>
        <v>0</v>
      </c>
      <c r="B397" s="959">
        <f t="shared" ca="1" si="95"/>
        <v>16</v>
      </c>
      <c r="C397" s="959">
        <f t="shared" ca="1" si="96"/>
        <v>1</v>
      </c>
      <c r="D397" s="960">
        <f t="shared" ca="1" si="97"/>
        <v>1</v>
      </c>
      <c r="E397" s="960">
        <f t="shared" ca="1" si="98"/>
        <v>1</v>
      </c>
      <c r="F397" s="209"/>
    </row>
    <row r="398" spans="1:6" ht="14.1" customHeight="1" x14ac:dyDescent="0.2">
      <c r="A398" s="959">
        <f ca="1">IF($H398="UNIDADE CONSTRUTIVA",OFFSET(A398,-1,0)+1,LARGE(A$3:A397,1))</f>
        <v>0</v>
      </c>
      <c r="B398" s="959">
        <f t="shared" ca="1" si="95"/>
        <v>16</v>
      </c>
      <c r="C398" s="959">
        <f t="shared" ca="1" si="96"/>
        <v>1</v>
      </c>
      <c r="D398" s="960">
        <f t="shared" ca="1" si="97"/>
        <v>1</v>
      </c>
      <c r="E398" s="960">
        <f t="shared" ca="1" si="98"/>
        <v>1</v>
      </c>
      <c r="F398" s="209"/>
    </row>
    <row r="399" spans="1:6" ht="14.1" customHeight="1" x14ac:dyDescent="0.2">
      <c r="A399" s="959">
        <f ca="1">IF($H399="UNIDADE CONSTRUTIVA",OFFSET(A399,-1,0)+1,LARGE(A$3:A398,1))</f>
        <v>0</v>
      </c>
      <c r="B399" s="959">
        <f t="shared" ca="1" si="95"/>
        <v>16</v>
      </c>
      <c r="C399" s="959">
        <f t="shared" ca="1" si="96"/>
        <v>1</v>
      </c>
      <c r="D399" s="960">
        <f t="shared" ca="1" si="97"/>
        <v>1</v>
      </c>
      <c r="E399" s="960">
        <f t="shared" ca="1" si="98"/>
        <v>1</v>
      </c>
      <c r="F399" s="209"/>
    </row>
    <row r="400" spans="1:6" ht="14.1" customHeight="1" x14ac:dyDescent="0.2">
      <c r="A400" s="959">
        <f ca="1">IF($H400="UNIDADE CONSTRUTIVA",OFFSET(A400,-1,0)+1,LARGE(A$3:A399,1))</f>
        <v>0</v>
      </c>
      <c r="B400" s="959">
        <f t="shared" ca="1" si="95"/>
        <v>16</v>
      </c>
      <c r="C400" s="959">
        <f t="shared" ca="1" si="96"/>
        <v>1</v>
      </c>
      <c r="D400" s="960">
        <f t="shared" ca="1" si="97"/>
        <v>1</v>
      </c>
      <c r="E400" s="960">
        <f t="shared" ca="1" si="98"/>
        <v>1</v>
      </c>
      <c r="F400" s="209"/>
    </row>
    <row r="401" spans="1:6" ht="14.1" customHeight="1" x14ac:dyDescent="0.2">
      <c r="A401" s="959">
        <f ca="1">IF($H401="UNIDADE CONSTRUTIVA",OFFSET(A401,-1,0)+1,LARGE(A$3:A400,1))</f>
        <v>0</v>
      </c>
      <c r="B401" s="959">
        <f t="shared" ca="1" si="95"/>
        <v>16</v>
      </c>
      <c r="C401" s="959">
        <f t="shared" ca="1" si="96"/>
        <v>1</v>
      </c>
      <c r="D401" s="960">
        <f t="shared" ca="1" si="97"/>
        <v>1</v>
      </c>
      <c r="E401" s="960">
        <f t="shared" ca="1" si="98"/>
        <v>1</v>
      </c>
      <c r="F401" s="209"/>
    </row>
    <row r="402" spans="1:6" ht="14.1" customHeight="1" x14ac:dyDescent="0.2">
      <c r="A402" s="959">
        <f ca="1">IF($H402="UNIDADE CONSTRUTIVA",OFFSET(A402,-1,0)+1,LARGE(A$3:A401,1))</f>
        <v>0</v>
      </c>
      <c r="B402" s="959">
        <f t="shared" ca="1" si="95"/>
        <v>16</v>
      </c>
      <c r="C402" s="959">
        <f t="shared" ca="1" si="96"/>
        <v>1</v>
      </c>
      <c r="D402" s="960">
        <f t="shared" ca="1" si="97"/>
        <v>1</v>
      </c>
      <c r="E402" s="960">
        <f t="shared" ca="1" si="98"/>
        <v>1</v>
      </c>
      <c r="F402" s="209"/>
    </row>
    <row r="403" spans="1:6" ht="14.1" customHeight="1" x14ac:dyDescent="0.2">
      <c r="A403" s="959">
        <f ca="1">IF($H403="UNIDADE CONSTRUTIVA",OFFSET(A403,-1,0)+1,LARGE(A$3:A402,1))</f>
        <v>0</v>
      </c>
      <c r="B403" s="959">
        <f t="shared" ca="1" si="95"/>
        <v>16</v>
      </c>
      <c r="C403" s="959">
        <f t="shared" ca="1" si="96"/>
        <v>1</v>
      </c>
      <c r="D403" s="960">
        <f t="shared" ca="1" si="97"/>
        <v>1</v>
      </c>
      <c r="E403" s="960">
        <f t="shared" ca="1" si="98"/>
        <v>1</v>
      </c>
      <c r="F403" s="209"/>
    </row>
    <row r="404" spans="1:6" ht="14.1" customHeight="1" x14ac:dyDescent="0.2">
      <c r="A404" s="959">
        <f ca="1">IF($H404="UNIDADE CONSTRUTIVA",OFFSET(A404,-1,0)+1,LARGE(A$3:A403,1))</f>
        <v>0</v>
      </c>
      <c r="B404" s="959">
        <f t="shared" ca="1" si="95"/>
        <v>16</v>
      </c>
      <c r="C404" s="959">
        <f t="shared" ca="1" si="96"/>
        <v>1</v>
      </c>
      <c r="D404" s="960">
        <f t="shared" ca="1" si="97"/>
        <v>1</v>
      </c>
      <c r="E404" s="960">
        <f t="shared" ca="1" si="98"/>
        <v>1</v>
      </c>
      <c r="F404" s="209"/>
    </row>
    <row r="405" spans="1:6" ht="14.1" customHeight="1" x14ac:dyDescent="0.2">
      <c r="A405" s="959">
        <f ca="1">IF($H405="UNIDADE CONSTRUTIVA",OFFSET(A405,-1,0)+1,LARGE(A$3:A404,1))</f>
        <v>0</v>
      </c>
      <c r="B405" s="959">
        <f t="shared" ca="1" si="95"/>
        <v>16</v>
      </c>
      <c r="C405" s="959">
        <f t="shared" ca="1" si="96"/>
        <v>1</v>
      </c>
      <c r="D405" s="960">
        <f t="shared" ca="1" si="97"/>
        <v>1</v>
      </c>
      <c r="E405" s="960">
        <f t="shared" ca="1" si="98"/>
        <v>1</v>
      </c>
      <c r="F405" s="209"/>
    </row>
    <row r="406" spans="1:6" ht="14.1" customHeight="1" x14ac:dyDescent="0.2">
      <c r="A406" s="959">
        <f ca="1">IF($H406="UNIDADE CONSTRUTIVA",OFFSET(A406,-1,0)+1,LARGE(A$3:A405,1))</f>
        <v>0</v>
      </c>
      <c r="B406" s="959">
        <f t="shared" ca="1" si="95"/>
        <v>16</v>
      </c>
      <c r="C406" s="959">
        <f t="shared" ca="1" si="96"/>
        <v>1</v>
      </c>
      <c r="D406" s="960">
        <f t="shared" ca="1" si="97"/>
        <v>1</v>
      </c>
      <c r="E406" s="960">
        <f t="shared" ca="1" si="98"/>
        <v>1</v>
      </c>
      <c r="F406" s="209"/>
    </row>
    <row r="407" spans="1:6" ht="14.1" customHeight="1" x14ac:dyDescent="0.2">
      <c r="A407" s="959">
        <f ca="1">IF($H407="UNIDADE CONSTRUTIVA",OFFSET(A407,-1,0)+1,LARGE(A$3:A406,1))</f>
        <v>0</v>
      </c>
      <c r="B407" s="959">
        <f t="shared" ca="1" si="95"/>
        <v>16</v>
      </c>
      <c r="C407" s="959">
        <f t="shared" ca="1" si="96"/>
        <v>1</v>
      </c>
      <c r="D407" s="960">
        <f t="shared" ca="1" si="97"/>
        <v>1</v>
      </c>
      <c r="E407" s="960">
        <f t="shared" ca="1" si="98"/>
        <v>1</v>
      </c>
      <c r="F407" s="209"/>
    </row>
    <row r="408" spans="1:6" ht="14.1" customHeight="1" x14ac:dyDescent="0.2">
      <c r="A408" s="959">
        <f ca="1">IF($H408="UNIDADE CONSTRUTIVA",OFFSET(A408,-1,0)+1,LARGE(A$3:A407,1))</f>
        <v>0</v>
      </c>
      <c r="B408" s="959">
        <f t="shared" ca="1" si="95"/>
        <v>16</v>
      </c>
      <c r="C408" s="959">
        <f t="shared" ca="1" si="96"/>
        <v>1</v>
      </c>
      <c r="D408" s="960">
        <f t="shared" ca="1" si="97"/>
        <v>1</v>
      </c>
      <c r="E408" s="960">
        <f t="shared" ca="1" si="98"/>
        <v>1</v>
      </c>
      <c r="F408" s="209"/>
    </row>
    <row r="409" spans="1:6" ht="14.1" customHeight="1" x14ac:dyDescent="0.2">
      <c r="A409" s="959">
        <f ca="1">IF($H409="UNIDADE CONSTRUTIVA",OFFSET(A409,-1,0)+1,LARGE(A$3:A408,1))</f>
        <v>0</v>
      </c>
      <c r="B409" s="959">
        <f t="shared" ca="1" si="95"/>
        <v>16</v>
      </c>
      <c r="C409" s="959">
        <f t="shared" ca="1" si="96"/>
        <v>1</v>
      </c>
      <c r="D409" s="960">
        <f t="shared" ca="1" si="97"/>
        <v>1</v>
      </c>
      <c r="E409" s="960">
        <f t="shared" ca="1" si="98"/>
        <v>1</v>
      </c>
      <c r="F409" s="209"/>
    </row>
    <row r="410" spans="1:6" ht="14.1" customHeight="1" x14ac:dyDescent="0.2">
      <c r="A410" s="959">
        <f ca="1">IF($H410="UNIDADE CONSTRUTIVA",OFFSET(A410,-1,0)+1,LARGE(A$3:A409,1))</f>
        <v>0</v>
      </c>
      <c r="B410" s="959">
        <f t="shared" ca="1" si="95"/>
        <v>16</v>
      </c>
      <c r="C410" s="959">
        <f t="shared" ca="1" si="96"/>
        <v>1</v>
      </c>
      <c r="D410" s="960">
        <f t="shared" ca="1" si="97"/>
        <v>1</v>
      </c>
      <c r="E410" s="960">
        <f t="shared" ca="1" si="98"/>
        <v>1</v>
      </c>
      <c r="F410" s="209"/>
    </row>
    <row r="411" spans="1:6" ht="14.1" customHeight="1" x14ac:dyDescent="0.2">
      <c r="A411" s="959">
        <f ca="1">IF($H411="UNIDADE CONSTRUTIVA",OFFSET(A411,-1,0)+1,LARGE(A$3:A410,1))</f>
        <v>0</v>
      </c>
      <c r="B411" s="959">
        <f t="shared" ca="1" si="95"/>
        <v>16</v>
      </c>
      <c r="C411" s="959">
        <f t="shared" ca="1" si="96"/>
        <v>1</v>
      </c>
      <c r="D411" s="960">
        <f t="shared" ca="1" si="97"/>
        <v>1</v>
      </c>
      <c r="E411" s="960">
        <f t="shared" ca="1" si="98"/>
        <v>1</v>
      </c>
      <c r="F411" s="209"/>
    </row>
    <row r="412" spans="1:6" ht="14.1" customHeight="1" x14ac:dyDescent="0.2">
      <c r="A412" s="959">
        <f ca="1">IF($H412="UNIDADE CONSTRUTIVA",OFFSET(A412,-1,0)+1,LARGE(A$3:A411,1))</f>
        <v>0</v>
      </c>
      <c r="B412" s="959">
        <f t="shared" ca="1" si="95"/>
        <v>16</v>
      </c>
      <c r="C412" s="959">
        <f t="shared" ca="1" si="96"/>
        <v>1</v>
      </c>
      <c r="D412" s="960">
        <f t="shared" ca="1" si="97"/>
        <v>1</v>
      </c>
      <c r="E412" s="960">
        <f t="shared" ca="1" si="98"/>
        <v>1</v>
      </c>
      <c r="F412" s="209"/>
    </row>
    <row r="413" spans="1:6" ht="14.1" customHeight="1" x14ac:dyDescent="0.2">
      <c r="A413" s="959">
        <f ca="1">IF($H413="UNIDADE CONSTRUTIVA",OFFSET(A413,-1,0)+1,LARGE(A$3:A412,1))</f>
        <v>0</v>
      </c>
      <c r="B413" s="959">
        <f t="shared" ca="1" si="95"/>
        <v>16</v>
      </c>
      <c r="C413" s="959">
        <f t="shared" ca="1" si="96"/>
        <v>1</v>
      </c>
      <c r="D413" s="960">
        <f t="shared" ca="1" si="97"/>
        <v>1</v>
      </c>
      <c r="E413" s="960">
        <f t="shared" ca="1" si="98"/>
        <v>1</v>
      </c>
      <c r="F413" s="209"/>
    </row>
    <row r="414" spans="1:6" ht="14.1" customHeight="1" x14ac:dyDescent="0.2">
      <c r="A414" s="959">
        <f ca="1">IF($H414="UNIDADE CONSTRUTIVA",OFFSET(A414,-1,0)+1,LARGE(A$3:A413,1))</f>
        <v>0</v>
      </c>
      <c r="B414" s="959">
        <f t="shared" ca="1" si="95"/>
        <v>16</v>
      </c>
      <c r="C414" s="959">
        <f t="shared" ca="1" si="96"/>
        <v>1</v>
      </c>
      <c r="D414" s="960">
        <f t="shared" ca="1" si="97"/>
        <v>1</v>
      </c>
      <c r="E414" s="960">
        <f t="shared" ca="1" si="98"/>
        <v>1</v>
      </c>
      <c r="F414" s="209"/>
    </row>
    <row r="415" spans="1:6" ht="14.1" customHeight="1" x14ac:dyDescent="0.2">
      <c r="A415" s="959">
        <f ca="1">IF($H415="UNIDADE CONSTRUTIVA",OFFSET(A415,-1,0)+1,LARGE(A$3:A414,1))</f>
        <v>0</v>
      </c>
      <c r="B415" s="959">
        <f t="shared" ca="1" si="95"/>
        <v>16</v>
      </c>
      <c r="C415" s="959">
        <f t="shared" ca="1" si="96"/>
        <v>1</v>
      </c>
      <c r="D415" s="960">
        <f t="shared" ca="1" si="97"/>
        <v>1</v>
      </c>
      <c r="E415" s="960">
        <f t="shared" ca="1" si="98"/>
        <v>1</v>
      </c>
      <c r="F415" s="209"/>
    </row>
    <row r="416" spans="1:6" ht="14.1" customHeight="1" x14ac:dyDescent="0.2">
      <c r="A416" s="959">
        <f ca="1">IF($H416="UNIDADE CONSTRUTIVA",OFFSET(A416,-1,0)+1,LARGE(A$3:A415,1))</f>
        <v>0</v>
      </c>
      <c r="B416" s="959">
        <f t="shared" ca="1" si="95"/>
        <v>16</v>
      </c>
      <c r="C416" s="959">
        <f t="shared" ca="1" si="96"/>
        <v>1</v>
      </c>
      <c r="D416" s="960">
        <f t="shared" ca="1" si="97"/>
        <v>1</v>
      </c>
      <c r="E416" s="960">
        <f t="shared" ca="1" si="98"/>
        <v>1</v>
      </c>
      <c r="F416" s="209"/>
    </row>
    <row r="417" spans="1:6" ht="14.1" customHeight="1" x14ac:dyDescent="0.2">
      <c r="A417" s="959">
        <f ca="1">IF($H417="UNIDADE CONSTRUTIVA",OFFSET(A417,-1,0)+1,LARGE(A$3:A416,1))</f>
        <v>0</v>
      </c>
      <c r="B417" s="959">
        <f t="shared" ca="1" si="95"/>
        <v>16</v>
      </c>
      <c r="C417" s="959">
        <f t="shared" ca="1" si="96"/>
        <v>1</v>
      </c>
      <c r="D417" s="960">
        <f t="shared" ca="1" si="97"/>
        <v>1</v>
      </c>
      <c r="E417" s="960">
        <f t="shared" ca="1" si="98"/>
        <v>1</v>
      </c>
      <c r="F417" s="209"/>
    </row>
    <row r="418" spans="1:6" ht="14.1" customHeight="1" x14ac:dyDescent="0.2">
      <c r="A418" s="959">
        <f ca="1">IF($H418="UNIDADE CONSTRUTIVA",OFFSET(A418,-1,0)+1,LARGE(A$3:A417,1))</f>
        <v>0</v>
      </c>
      <c r="B418" s="959">
        <f t="shared" ca="1" si="95"/>
        <v>16</v>
      </c>
      <c r="C418" s="959">
        <f t="shared" ca="1" si="96"/>
        <v>1</v>
      </c>
      <c r="D418" s="960">
        <f t="shared" ca="1" si="97"/>
        <v>1</v>
      </c>
      <c r="E418" s="960">
        <f t="shared" ca="1" si="98"/>
        <v>1</v>
      </c>
      <c r="F418" s="209"/>
    </row>
    <row r="419" spans="1:6" ht="14.1" customHeight="1" x14ac:dyDescent="0.2">
      <c r="A419" s="959">
        <f ca="1">IF($H419="UNIDADE CONSTRUTIVA",OFFSET(A419,-1,0)+1,LARGE(A$3:A418,1))</f>
        <v>0</v>
      </c>
      <c r="B419" s="959">
        <f t="shared" ca="1" si="95"/>
        <v>16</v>
      </c>
      <c r="C419" s="959">
        <f t="shared" ca="1" si="96"/>
        <v>1</v>
      </c>
      <c r="D419" s="960">
        <f t="shared" ca="1" si="97"/>
        <v>1</v>
      </c>
      <c r="E419" s="960">
        <f t="shared" ca="1" si="98"/>
        <v>1</v>
      </c>
      <c r="F419" s="209"/>
    </row>
    <row r="420" spans="1:6" ht="14.1" customHeight="1" x14ac:dyDescent="0.2">
      <c r="A420" s="959">
        <f ca="1">IF($H420="UNIDADE CONSTRUTIVA",OFFSET(A420,-1,0)+1,LARGE(A$3:A419,1))</f>
        <v>0</v>
      </c>
      <c r="B420" s="959">
        <f t="shared" ca="1" si="95"/>
        <v>16</v>
      </c>
      <c r="C420" s="959">
        <f t="shared" ca="1" si="96"/>
        <v>1</v>
      </c>
      <c r="D420" s="960">
        <f t="shared" ca="1" si="97"/>
        <v>1</v>
      </c>
      <c r="E420" s="960">
        <f t="shared" ca="1" si="98"/>
        <v>1</v>
      </c>
      <c r="F420" s="209"/>
    </row>
    <row r="421" spans="1:6" ht="14.1" customHeight="1" x14ac:dyDescent="0.2">
      <c r="A421" s="959">
        <f ca="1">IF($H421="UNIDADE CONSTRUTIVA",OFFSET(A421,-1,0)+1,LARGE(A$3:A420,1))</f>
        <v>0</v>
      </c>
      <c r="B421" s="959">
        <f t="shared" ca="1" si="95"/>
        <v>16</v>
      </c>
      <c r="C421" s="959">
        <f t="shared" ca="1" si="96"/>
        <v>1</v>
      </c>
      <c r="D421" s="960">
        <f t="shared" ca="1" si="97"/>
        <v>1</v>
      </c>
      <c r="E421" s="960">
        <f t="shared" ca="1" si="98"/>
        <v>1</v>
      </c>
      <c r="F421" s="209"/>
    </row>
    <row r="422" spans="1:6" ht="14.1" customHeight="1" x14ac:dyDescent="0.2">
      <c r="A422" s="959">
        <f ca="1">IF($H422="UNIDADE CONSTRUTIVA",OFFSET(A422,-1,0)+1,LARGE(A$3:A421,1))</f>
        <v>0</v>
      </c>
      <c r="B422" s="959">
        <f t="shared" ca="1" si="95"/>
        <v>16</v>
      </c>
      <c r="C422" s="959">
        <f t="shared" ca="1" si="96"/>
        <v>1</v>
      </c>
      <c r="D422" s="960">
        <f t="shared" ca="1" si="97"/>
        <v>1</v>
      </c>
      <c r="E422" s="960">
        <f t="shared" ca="1" si="98"/>
        <v>1</v>
      </c>
      <c r="F422" s="209"/>
    </row>
    <row r="423" spans="1:6" ht="14.1" customHeight="1" x14ac:dyDescent="0.2">
      <c r="A423" s="959">
        <f ca="1">IF($H423="UNIDADE CONSTRUTIVA",OFFSET(A423,-1,0)+1,LARGE(A$3:A422,1))</f>
        <v>0</v>
      </c>
      <c r="B423" s="959">
        <f t="shared" ca="1" si="95"/>
        <v>16</v>
      </c>
      <c r="C423" s="959">
        <f t="shared" ca="1" si="96"/>
        <v>1</v>
      </c>
      <c r="D423" s="960">
        <f t="shared" ca="1" si="97"/>
        <v>1</v>
      </c>
      <c r="E423" s="960">
        <f t="shared" ca="1" si="98"/>
        <v>1</v>
      </c>
      <c r="F423" s="209"/>
    </row>
    <row r="424" spans="1:6" ht="14.1" customHeight="1" x14ac:dyDescent="0.2">
      <c r="A424" s="959">
        <f ca="1">IF($H424="UNIDADE CONSTRUTIVA",OFFSET(A424,-1,0)+1,LARGE(A$3:A423,1))</f>
        <v>0</v>
      </c>
      <c r="B424" s="959">
        <f t="shared" ca="1" si="95"/>
        <v>16</v>
      </c>
      <c r="C424" s="959">
        <f t="shared" ca="1" si="96"/>
        <v>1</v>
      </c>
      <c r="D424" s="960">
        <f t="shared" ca="1" si="97"/>
        <v>1</v>
      </c>
      <c r="E424" s="960">
        <f t="shared" ca="1" si="98"/>
        <v>1</v>
      </c>
      <c r="F424" s="209"/>
    </row>
    <row r="425" spans="1:6" ht="14.1" customHeight="1" x14ac:dyDescent="0.2">
      <c r="A425" s="959">
        <f ca="1">IF($H425="UNIDADE CONSTRUTIVA",OFFSET(A425,-1,0)+1,LARGE(A$3:A424,1))</f>
        <v>0</v>
      </c>
      <c r="B425" s="959">
        <f t="shared" ca="1" si="95"/>
        <v>16</v>
      </c>
      <c r="C425" s="959">
        <f t="shared" ca="1" si="96"/>
        <v>1</v>
      </c>
      <c r="D425" s="960">
        <f t="shared" ca="1" si="97"/>
        <v>1</v>
      </c>
      <c r="E425" s="960">
        <f t="shared" ca="1" si="98"/>
        <v>1</v>
      </c>
      <c r="F425" s="209"/>
    </row>
    <row r="426" spans="1:6" ht="14.1" customHeight="1" x14ac:dyDescent="0.2">
      <c r="A426" s="959">
        <f ca="1">IF($H426="UNIDADE CONSTRUTIVA",OFFSET(A426,-1,0)+1,LARGE(A$3:A425,1))</f>
        <v>0</v>
      </c>
      <c r="B426" s="959">
        <f t="shared" ca="1" si="95"/>
        <v>16</v>
      </c>
      <c r="C426" s="959">
        <f t="shared" ca="1" si="96"/>
        <v>1</v>
      </c>
      <c r="D426" s="960">
        <f t="shared" ca="1" si="97"/>
        <v>1</v>
      </c>
      <c r="E426" s="960">
        <f t="shared" ca="1" si="98"/>
        <v>1</v>
      </c>
      <c r="F426" s="209"/>
    </row>
    <row r="427" spans="1:6" ht="14.1" customHeight="1" x14ac:dyDescent="0.2">
      <c r="A427" s="959">
        <f ca="1">IF($H427="UNIDADE CONSTRUTIVA",OFFSET(A427,-1,0)+1,LARGE(A$3:A426,1))</f>
        <v>0</v>
      </c>
      <c r="B427" s="959">
        <f t="shared" ca="1" si="95"/>
        <v>16</v>
      </c>
      <c r="C427" s="959">
        <f t="shared" ca="1" si="96"/>
        <v>1</v>
      </c>
      <c r="D427" s="960">
        <f t="shared" ca="1" si="97"/>
        <v>1</v>
      </c>
      <c r="E427" s="960">
        <f t="shared" ca="1" si="98"/>
        <v>1</v>
      </c>
      <c r="F427" s="209"/>
    </row>
    <row r="428" spans="1:6" ht="14.1" customHeight="1" x14ac:dyDescent="0.2">
      <c r="A428" s="959">
        <f ca="1">IF($H428="UNIDADE CONSTRUTIVA",OFFSET(A428,-1,0)+1,LARGE(A$3:A427,1))</f>
        <v>0</v>
      </c>
      <c r="B428" s="959">
        <f t="shared" ca="1" si="95"/>
        <v>16</v>
      </c>
      <c r="C428" s="959">
        <f t="shared" ca="1" si="96"/>
        <v>1</v>
      </c>
      <c r="D428" s="960">
        <f t="shared" ca="1" si="97"/>
        <v>1</v>
      </c>
      <c r="E428" s="960">
        <f t="shared" ca="1" si="98"/>
        <v>1</v>
      </c>
      <c r="F428" s="209"/>
    </row>
    <row r="429" spans="1:6" ht="14.1" customHeight="1" x14ac:dyDescent="0.2">
      <c r="A429" s="959">
        <f ca="1">IF($H429="UNIDADE CONSTRUTIVA",OFFSET(A429,-1,0)+1,LARGE(A$3:A428,1))</f>
        <v>0</v>
      </c>
      <c r="B429" s="959">
        <f t="shared" ca="1" si="95"/>
        <v>16</v>
      </c>
      <c r="C429" s="959">
        <f t="shared" ca="1" si="96"/>
        <v>1</v>
      </c>
      <c r="D429" s="960">
        <f t="shared" ca="1" si="97"/>
        <v>1</v>
      </c>
      <c r="E429" s="960">
        <f t="shared" ca="1" si="98"/>
        <v>1</v>
      </c>
      <c r="F429" s="209"/>
    </row>
    <row r="430" spans="1:6" ht="14.1" customHeight="1" x14ac:dyDescent="0.2">
      <c r="A430" s="959">
        <f ca="1">IF($H430="UNIDADE CONSTRUTIVA",OFFSET(A430,-1,0)+1,LARGE(A$3:A429,1))</f>
        <v>0</v>
      </c>
      <c r="B430" s="959">
        <f t="shared" ca="1" si="95"/>
        <v>16</v>
      </c>
      <c r="C430" s="959">
        <f t="shared" ca="1" si="96"/>
        <v>1</v>
      </c>
      <c r="D430" s="960">
        <f t="shared" ca="1" si="97"/>
        <v>1</v>
      </c>
      <c r="E430" s="960">
        <f t="shared" ca="1" si="98"/>
        <v>1</v>
      </c>
      <c r="F430" s="209"/>
    </row>
    <row r="431" spans="1:6" ht="14.1" customHeight="1" x14ac:dyDescent="0.2">
      <c r="A431" s="959">
        <f ca="1">IF($H431="UNIDADE CONSTRUTIVA",OFFSET(A431,-1,0)+1,LARGE(A$3:A430,1))</f>
        <v>0</v>
      </c>
      <c r="B431" s="959">
        <f t="shared" ca="1" si="95"/>
        <v>16</v>
      </c>
      <c r="C431" s="959">
        <f t="shared" ca="1" si="96"/>
        <v>1</v>
      </c>
      <c r="D431" s="960">
        <f t="shared" ca="1" si="97"/>
        <v>1</v>
      </c>
      <c r="E431" s="960">
        <f t="shared" ca="1" si="98"/>
        <v>1</v>
      </c>
      <c r="F431" s="209"/>
    </row>
    <row r="432" spans="1:6" ht="14.1" customHeight="1" x14ac:dyDescent="0.2">
      <c r="A432" s="959">
        <f ca="1">IF($H432="UNIDADE CONSTRUTIVA",OFFSET(A432,-1,0)+1,LARGE(A$3:A431,1))</f>
        <v>0</v>
      </c>
      <c r="B432" s="959">
        <f t="shared" ca="1" si="95"/>
        <v>16</v>
      </c>
      <c r="C432" s="959">
        <f t="shared" ca="1" si="96"/>
        <v>1</v>
      </c>
      <c r="D432" s="960">
        <f t="shared" ca="1" si="97"/>
        <v>1</v>
      </c>
      <c r="E432" s="960">
        <f t="shared" ca="1" si="98"/>
        <v>1</v>
      </c>
      <c r="F432" s="209"/>
    </row>
    <row r="433" spans="1:6" ht="14.1" customHeight="1" x14ac:dyDescent="0.2">
      <c r="A433" s="959">
        <f ca="1">IF($H433="UNIDADE CONSTRUTIVA",OFFSET(A433,-1,0)+1,LARGE(A$3:A432,1))</f>
        <v>0</v>
      </c>
      <c r="B433" s="959">
        <f t="shared" ca="1" si="95"/>
        <v>16</v>
      </c>
      <c r="C433" s="959">
        <f t="shared" ca="1" si="96"/>
        <v>1</v>
      </c>
      <c r="D433" s="960">
        <f t="shared" ca="1" si="97"/>
        <v>1</v>
      </c>
      <c r="E433" s="960">
        <f t="shared" ca="1" si="98"/>
        <v>1</v>
      </c>
      <c r="F433" s="209"/>
    </row>
    <row r="434" spans="1:6" ht="14.1" customHeight="1" x14ac:dyDescent="0.2">
      <c r="A434" s="959">
        <f ca="1">IF($H434="UNIDADE CONSTRUTIVA",OFFSET(A434,-1,0)+1,LARGE(A$3:A433,1))</f>
        <v>0</v>
      </c>
      <c r="B434" s="959">
        <f t="shared" ca="1" si="95"/>
        <v>16</v>
      </c>
      <c r="C434" s="959">
        <f t="shared" ca="1" si="96"/>
        <v>1</v>
      </c>
      <c r="D434" s="960">
        <f t="shared" ca="1" si="97"/>
        <v>1</v>
      </c>
      <c r="E434" s="960">
        <f t="shared" ca="1" si="98"/>
        <v>1</v>
      </c>
      <c r="F434" s="209"/>
    </row>
    <row r="435" spans="1:6" ht="14.1" customHeight="1" x14ac:dyDescent="0.2">
      <c r="A435" s="959">
        <f ca="1">IF($H435="UNIDADE CONSTRUTIVA",OFFSET(A435,-1,0)+1,LARGE(A$3:A434,1))</f>
        <v>0</v>
      </c>
      <c r="B435" s="959">
        <f t="shared" ca="1" si="95"/>
        <v>16</v>
      </c>
      <c r="C435" s="959">
        <f t="shared" ca="1" si="96"/>
        <v>1</v>
      </c>
      <c r="D435" s="960">
        <f t="shared" ca="1" si="97"/>
        <v>1</v>
      </c>
      <c r="E435" s="960">
        <f t="shared" ca="1" si="98"/>
        <v>1</v>
      </c>
      <c r="F435" s="209"/>
    </row>
    <row r="436" spans="1:6" ht="14.1" customHeight="1" x14ac:dyDescent="0.2">
      <c r="A436" s="959">
        <f ca="1">IF($H436="UNIDADE CONSTRUTIVA",OFFSET(A436,-1,0)+1,LARGE(A$3:A435,1))</f>
        <v>0</v>
      </c>
      <c r="B436" s="959">
        <f t="shared" ca="1" si="95"/>
        <v>16</v>
      </c>
      <c r="C436" s="959">
        <f t="shared" ca="1" si="96"/>
        <v>1</v>
      </c>
      <c r="D436" s="960">
        <f t="shared" ca="1" si="97"/>
        <v>1</v>
      </c>
      <c r="E436" s="960">
        <f t="shared" ca="1" si="98"/>
        <v>1</v>
      </c>
      <c r="F436" s="209"/>
    </row>
    <row r="437" spans="1:6" ht="14.1" customHeight="1" x14ac:dyDescent="0.2">
      <c r="A437" s="959">
        <f ca="1">IF($H437="UNIDADE CONSTRUTIVA",OFFSET(A437,-1,0)+1,LARGE(A$3:A436,1))</f>
        <v>0</v>
      </c>
      <c r="B437" s="959">
        <f t="shared" ca="1" si="95"/>
        <v>16</v>
      </c>
      <c r="C437" s="959">
        <f t="shared" ca="1" si="96"/>
        <v>1</v>
      </c>
      <c r="D437" s="960">
        <f t="shared" ca="1" si="97"/>
        <v>1</v>
      </c>
      <c r="E437" s="960">
        <f t="shared" ca="1" si="98"/>
        <v>1</v>
      </c>
      <c r="F437" s="209"/>
    </row>
    <row r="438" spans="1:6" ht="14.1" customHeight="1" x14ac:dyDescent="0.2">
      <c r="A438" s="959">
        <f ca="1">IF($H438="UNIDADE CONSTRUTIVA",OFFSET(A438,-1,0)+1,LARGE(A$3:A437,1))</f>
        <v>0</v>
      </c>
      <c r="B438" s="959">
        <f t="shared" ca="1" si="95"/>
        <v>16</v>
      </c>
      <c r="C438" s="959">
        <f t="shared" ca="1" si="96"/>
        <v>1</v>
      </c>
      <c r="D438" s="960">
        <f t="shared" ca="1" si="97"/>
        <v>1</v>
      </c>
      <c r="E438" s="960">
        <f t="shared" ca="1" si="98"/>
        <v>1</v>
      </c>
      <c r="F438" s="209"/>
    </row>
    <row r="439" spans="1:6" ht="14.1" customHeight="1" x14ac:dyDescent="0.2">
      <c r="A439" s="959">
        <f ca="1">IF($H439="UNIDADE CONSTRUTIVA",OFFSET(A439,-1,0)+1,LARGE(A$3:A438,1))</f>
        <v>0</v>
      </c>
      <c r="B439" s="959">
        <f t="shared" ca="1" si="95"/>
        <v>16</v>
      </c>
      <c r="C439" s="959">
        <f t="shared" ca="1" si="96"/>
        <v>1</v>
      </c>
      <c r="D439" s="960">
        <f t="shared" ca="1" si="97"/>
        <v>1</v>
      </c>
      <c r="E439" s="960">
        <f t="shared" ca="1" si="98"/>
        <v>1</v>
      </c>
      <c r="F439" s="209"/>
    </row>
    <row r="440" spans="1:6" ht="14.1" customHeight="1" x14ac:dyDescent="0.2">
      <c r="A440" s="959">
        <f ca="1">IF($H440="UNIDADE CONSTRUTIVA",OFFSET(A440,-1,0)+1,LARGE(A$3:A439,1))</f>
        <v>0</v>
      </c>
      <c r="B440" s="959">
        <f t="shared" ca="1" si="95"/>
        <v>16</v>
      </c>
      <c r="C440" s="959">
        <f t="shared" ca="1" si="96"/>
        <v>1</v>
      </c>
      <c r="D440" s="960">
        <f t="shared" ca="1" si="97"/>
        <v>1</v>
      </c>
      <c r="E440" s="960">
        <f t="shared" ca="1" si="98"/>
        <v>1</v>
      </c>
      <c r="F440" s="209"/>
    </row>
    <row r="441" spans="1:6" ht="14.1" customHeight="1" x14ac:dyDescent="0.2">
      <c r="A441" s="959">
        <f ca="1">IF($H441="UNIDADE CONSTRUTIVA",OFFSET(A441,-1,0)+1,LARGE(A$3:A440,1))</f>
        <v>0</v>
      </c>
      <c r="B441" s="959">
        <f t="shared" ca="1" si="95"/>
        <v>16</v>
      </c>
      <c r="C441" s="959">
        <f t="shared" ca="1" si="96"/>
        <v>1</v>
      </c>
      <c r="D441" s="960">
        <f t="shared" ca="1" si="97"/>
        <v>1</v>
      </c>
      <c r="E441" s="960">
        <f t="shared" ca="1" si="98"/>
        <v>1</v>
      </c>
      <c r="F441" s="209"/>
    </row>
    <row r="442" spans="1:6" ht="14.1" customHeight="1" x14ac:dyDescent="0.2">
      <c r="A442" s="959">
        <f ca="1">IF($H442="UNIDADE CONSTRUTIVA",OFFSET(A442,-1,0)+1,LARGE(A$3:A441,1))</f>
        <v>0</v>
      </c>
      <c r="B442" s="959">
        <f t="shared" ca="1" si="95"/>
        <v>16</v>
      </c>
      <c r="C442" s="959">
        <f t="shared" ca="1" si="96"/>
        <v>1</v>
      </c>
      <c r="D442" s="960">
        <f t="shared" ca="1" si="97"/>
        <v>1</v>
      </c>
      <c r="E442" s="960">
        <f t="shared" ca="1" si="98"/>
        <v>1</v>
      </c>
      <c r="F442" s="209"/>
    </row>
    <row r="443" spans="1:6" ht="14.1" customHeight="1" x14ac:dyDescent="0.2">
      <c r="A443" s="959">
        <f ca="1">IF($H443="UNIDADE CONSTRUTIVA",OFFSET(A443,-1,0)+1,LARGE(A$3:A442,1))</f>
        <v>0</v>
      </c>
      <c r="B443" s="959">
        <f t="shared" ca="1" si="95"/>
        <v>16</v>
      </c>
      <c r="C443" s="959">
        <f t="shared" ca="1" si="96"/>
        <v>1</v>
      </c>
      <c r="D443" s="960">
        <f t="shared" ca="1" si="97"/>
        <v>1</v>
      </c>
      <c r="E443" s="960">
        <f t="shared" ca="1" si="98"/>
        <v>1</v>
      </c>
      <c r="F443" s="209"/>
    </row>
    <row r="444" spans="1:6" ht="14.1" customHeight="1" x14ac:dyDescent="0.2">
      <c r="A444" s="959">
        <f ca="1">IF($H444="UNIDADE CONSTRUTIVA",OFFSET(A444,-1,0)+1,LARGE(A$3:A443,1))</f>
        <v>0</v>
      </c>
      <c r="B444" s="959">
        <f t="shared" ca="1" si="95"/>
        <v>16</v>
      </c>
      <c r="C444" s="959">
        <f t="shared" ca="1" si="96"/>
        <v>1</v>
      </c>
      <c r="D444" s="960">
        <f t="shared" ca="1" si="97"/>
        <v>1</v>
      </c>
      <c r="E444" s="960">
        <f t="shared" ca="1" si="98"/>
        <v>1</v>
      </c>
      <c r="F444" s="209"/>
    </row>
    <row r="445" spans="1:6" ht="14.1" customHeight="1" x14ac:dyDescent="0.2">
      <c r="A445" s="959">
        <f ca="1">IF($H445="UNIDADE CONSTRUTIVA",OFFSET(A445,-1,0)+1,LARGE(A$3:A444,1))</f>
        <v>0</v>
      </c>
      <c r="B445" s="959">
        <f t="shared" ca="1" si="95"/>
        <v>16</v>
      </c>
      <c r="C445" s="959">
        <f t="shared" ca="1" si="96"/>
        <v>1</v>
      </c>
      <c r="D445" s="960">
        <f t="shared" ca="1" si="97"/>
        <v>1</v>
      </c>
      <c r="E445" s="960">
        <f t="shared" ca="1" si="98"/>
        <v>1</v>
      </c>
      <c r="F445" s="209"/>
    </row>
    <row r="446" spans="1:6" ht="14.1" customHeight="1" x14ac:dyDescent="0.2">
      <c r="A446" s="959">
        <f ca="1">IF($H446="UNIDADE CONSTRUTIVA",OFFSET(A446,-1,0)+1,LARGE(A$3:A445,1))</f>
        <v>0</v>
      </c>
      <c r="B446" s="959">
        <f t="shared" ref="B446:B509" ca="1" si="99">IF(H446="UNIDADE CONSTRUTIVA",0,IF(H446="CÉLULA CONSTRUTIVA",OFFSET(B446,-1,0)+1,OFFSET(B446,-1,0)))</f>
        <v>16</v>
      </c>
      <c r="C446" s="959">
        <f t="shared" ca="1" si="96"/>
        <v>1</v>
      </c>
      <c r="D446" s="960">
        <f t="shared" ca="1" si="97"/>
        <v>1</v>
      </c>
      <c r="E446" s="960">
        <f t="shared" ca="1" si="98"/>
        <v>1</v>
      </c>
      <c r="F446" s="209"/>
    </row>
    <row r="447" spans="1:6" ht="14.1" customHeight="1" x14ac:dyDescent="0.2">
      <c r="A447" s="959">
        <f ca="1">IF($H447="UNIDADE CONSTRUTIVA",OFFSET(A447,-1,0)+1,LARGE(A$3:A446,1))</f>
        <v>0</v>
      </c>
      <c r="B447" s="959">
        <f t="shared" ca="1" si="99"/>
        <v>16</v>
      </c>
      <c r="C447" s="959">
        <f t="shared" ca="1" si="96"/>
        <v>1</v>
      </c>
      <c r="D447" s="960">
        <f t="shared" ca="1" si="97"/>
        <v>1</v>
      </c>
      <c r="E447" s="960">
        <f t="shared" ca="1" si="98"/>
        <v>1</v>
      </c>
      <c r="F447" s="209"/>
    </row>
    <row r="448" spans="1:6" ht="14.1" customHeight="1" x14ac:dyDescent="0.2">
      <c r="A448" s="959">
        <f ca="1">IF($H448="UNIDADE CONSTRUTIVA",OFFSET(A448,-1,0)+1,LARGE(A$3:A447,1))</f>
        <v>0</v>
      </c>
      <c r="B448" s="959">
        <f t="shared" ca="1" si="99"/>
        <v>16</v>
      </c>
      <c r="C448" s="959">
        <f t="shared" ca="1" si="96"/>
        <v>1</v>
      </c>
      <c r="D448" s="960">
        <f t="shared" ca="1" si="97"/>
        <v>1</v>
      </c>
      <c r="E448" s="960">
        <f t="shared" ca="1" si="98"/>
        <v>1</v>
      </c>
      <c r="F448" s="209"/>
    </row>
    <row r="449" spans="1:6" ht="14.1" customHeight="1" x14ac:dyDescent="0.2">
      <c r="A449" s="959">
        <f ca="1">IF($H449="UNIDADE CONSTRUTIVA",OFFSET(A449,-1,0)+1,LARGE(A$3:A448,1))</f>
        <v>0</v>
      </c>
      <c r="B449" s="959">
        <f t="shared" ca="1" si="99"/>
        <v>16</v>
      </c>
      <c r="C449" s="959">
        <f t="shared" ca="1" si="96"/>
        <v>1</v>
      </c>
      <c r="D449" s="960">
        <f t="shared" ca="1" si="97"/>
        <v>1</v>
      </c>
      <c r="E449" s="960">
        <f t="shared" ca="1" si="98"/>
        <v>1</v>
      </c>
      <c r="F449" s="209"/>
    </row>
    <row r="450" spans="1:6" ht="14.1" customHeight="1" x14ac:dyDescent="0.2">
      <c r="A450" s="959">
        <f ca="1">IF($H450="UNIDADE CONSTRUTIVA",OFFSET(A450,-1,0)+1,LARGE(A$3:A449,1))</f>
        <v>0</v>
      </c>
      <c r="B450" s="959">
        <f t="shared" ca="1" si="99"/>
        <v>16</v>
      </c>
      <c r="C450" s="959">
        <f t="shared" ca="1" si="96"/>
        <v>1</v>
      </c>
      <c r="D450" s="960">
        <f t="shared" ca="1" si="97"/>
        <v>1</v>
      </c>
      <c r="E450" s="960">
        <f t="shared" ca="1" si="98"/>
        <v>1</v>
      </c>
      <c r="F450" s="209"/>
    </row>
    <row r="451" spans="1:6" ht="14.1" customHeight="1" x14ac:dyDescent="0.2">
      <c r="A451" s="959">
        <f ca="1">IF($H451="UNIDADE CONSTRUTIVA",OFFSET(A451,-1,0)+1,LARGE(A$3:A450,1))</f>
        <v>0</v>
      </c>
      <c r="B451" s="959">
        <f t="shared" ca="1" si="99"/>
        <v>16</v>
      </c>
      <c r="C451" s="959">
        <f t="shared" ca="1" si="96"/>
        <v>1</v>
      </c>
      <c r="D451" s="960">
        <f t="shared" ca="1" si="97"/>
        <v>1</v>
      </c>
      <c r="E451" s="960">
        <f t="shared" ca="1" si="98"/>
        <v>1</v>
      </c>
      <c r="F451" s="209"/>
    </row>
    <row r="452" spans="1:6" ht="14.1" customHeight="1" x14ac:dyDescent="0.2">
      <c r="A452" s="959">
        <f ca="1">IF($H452="UNIDADE CONSTRUTIVA",OFFSET(A452,-1,0)+1,LARGE(A$3:A451,1))</f>
        <v>0</v>
      </c>
      <c r="B452" s="959">
        <f t="shared" ca="1" si="99"/>
        <v>16</v>
      </c>
      <c r="C452" s="959">
        <f t="shared" ca="1" si="96"/>
        <v>1</v>
      </c>
      <c r="D452" s="960">
        <f t="shared" ca="1" si="97"/>
        <v>1</v>
      </c>
      <c r="E452" s="960">
        <f t="shared" ca="1" si="98"/>
        <v>1</v>
      </c>
      <c r="F452" s="209"/>
    </row>
    <row r="453" spans="1:6" ht="14.1" customHeight="1" x14ac:dyDescent="0.2">
      <c r="A453" s="959">
        <f ca="1">IF($H453="UNIDADE CONSTRUTIVA",OFFSET(A453,-1,0)+1,LARGE(A$3:A452,1))</f>
        <v>0</v>
      </c>
      <c r="B453" s="959">
        <f t="shared" ca="1" si="99"/>
        <v>16</v>
      </c>
      <c r="C453" s="959">
        <f t="shared" ca="1" si="96"/>
        <v>1</v>
      </c>
      <c r="D453" s="960">
        <f t="shared" ca="1" si="97"/>
        <v>1</v>
      </c>
      <c r="E453" s="960">
        <f t="shared" ca="1" si="98"/>
        <v>1</v>
      </c>
      <c r="F453" s="209"/>
    </row>
    <row r="454" spans="1:6" ht="14.1" customHeight="1" x14ac:dyDescent="0.2">
      <c r="A454" s="959">
        <f ca="1">IF($H454="UNIDADE CONSTRUTIVA",OFFSET(A454,-1,0)+1,LARGE(A$3:A453,1))</f>
        <v>0</v>
      </c>
      <c r="B454" s="959">
        <f t="shared" ca="1" si="99"/>
        <v>16</v>
      </c>
      <c r="C454" s="959">
        <f t="shared" ca="1" si="96"/>
        <v>1</v>
      </c>
      <c r="D454" s="960">
        <f t="shared" ca="1" si="97"/>
        <v>1</v>
      </c>
      <c r="E454" s="960">
        <f t="shared" ca="1" si="98"/>
        <v>1</v>
      </c>
      <c r="F454" s="209"/>
    </row>
    <row r="455" spans="1:6" ht="14.1" customHeight="1" x14ac:dyDescent="0.2">
      <c r="A455" s="959">
        <f ca="1">IF($H455="UNIDADE CONSTRUTIVA",OFFSET(A455,-1,0)+1,LARGE(A$3:A454,1))</f>
        <v>0</v>
      </c>
      <c r="B455" s="959">
        <f t="shared" ca="1" si="99"/>
        <v>16</v>
      </c>
      <c r="C455" s="959">
        <f t="shared" ca="1" si="96"/>
        <v>1</v>
      </c>
      <c r="D455" s="960">
        <f t="shared" ca="1" si="97"/>
        <v>1</v>
      </c>
      <c r="E455" s="960">
        <f t="shared" ca="1" si="98"/>
        <v>1</v>
      </c>
      <c r="F455" s="209"/>
    </row>
    <row r="456" spans="1:6" ht="14.1" customHeight="1" x14ac:dyDescent="0.2">
      <c r="A456" s="959">
        <f ca="1">IF($H456="UNIDADE CONSTRUTIVA",OFFSET(A456,-1,0)+1,LARGE(A$3:A455,1))</f>
        <v>0</v>
      </c>
      <c r="B456" s="959">
        <f t="shared" ca="1" si="99"/>
        <v>16</v>
      </c>
      <c r="C456" s="959">
        <f t="shared" ca="1" si="96"/>
        <v>1</v>
      </c>
      <c r="D456" s="960">
        <f t="shared" ca="1" si="97"/>
        <v>1</v>
      </c>
      <c r="E456" s="960">
        <f t="shared" ca="1" si="98"/>
        <v>1</v>
      </c>
      <c r="F456" s="209"/>
    </row>
    <row r="457" spans="1:6" ht="14.1" customHeight="1" x14ac:dyDescent="0.2">
      <c r="A457" s="959">
        <f ca="1">IF($H457="UNIDADE CONSTRUTIVA",OFFSET(A457,-1,0)+1,LARGE(A$3:A456,1))</f>
        <v>0</v>
      </c>
      <c r="B457" s="959">
        <f t="shared" ca="1" si="99"/>
        <v>16</v>
      </c>
      <c r="C457" s="959">
        <f t="shared" ca="1" si="96"/>
        <v>1</v>
      </c>
      <c r="D457" s="960">
        <f t="shared" ca="1" si="97"/>
        <v>1</v>
      </c>
      <c r="E457" s="960">
        <f t="shared" ca="1" si="98"/>
        <v>1</v>
      </c>
      <c r="F457" s="209"/>
    </row>
    <row r="458" spans="1:6" ht="14.1" customHeight="1" x14ac:dyDescent="0.2">
      <c r="A458" s="959">
        <f ca="1">IF($H458="UNIDADE CONSTRUTIVA",OFFSET(A458,-1,0)+1,LARGE(A$3:A457,1))</f>
        <v>0</v>
      </c>
      <c r="B458" s="959">
        <f t="shared" ca="1" si="99"/>
        <v>16</v>
      </c>
      <c r="C458" s="959">
        <f t="shared" ca="1" si="96"/>
        <v>1</v>
      </c>
      <c r="D458" s="960">
        <f t="shared" ca="1" si="97"/>
        <v>1</v>
      </c>
      <c r="E458" s="960">
        <f t="shared" ca="1" si="98"/>
        <v>1</v>
      </c>
      <c r="F458" s="209"/>
    </row>
    <row r="459" spans="1:6" ht="14.1" customHeight="1" x14ac:dyDescent="0.2">
      <c r="A459" s="959">
        <f ca="1">IF($H459="UNIDADE CONSTRUTIVA",OFFSET(A459,-1,0)+1,LARGE(A$3:A458,1))</f>
        <v>0</v>
      </c>
      <c r="B459" s="959">
        <f t="shared" ca="1" si="99"/>
        <v>16</v>
      </c>
      <c r="C459" s="959">
        <f t="shared" ca="1" si="96"/>
        <v>1</v>
      </c>
      <c r="D459" s="960">
        <f t="shared" ca="1" si="97"/>
        <v>1</v>
      </c>
      <c r="E459" s="960">
        <f t="shared" ca="1" si="98"/>
        <v>1</v>
      </c>
      <c r="F459" s="209"/>
    </row>
    <row r="460" spans="1:6" ht="14.1" customHeight="1" x14ac:dyDescent="0.2">
      <c r="A460" s="959">
        <f ca="1">IF($H460="UNIDADE CONSTRUTIVA",OFFSET(A460,-1,0)+1,LARGE(A$3:A459,1))</f>
        <v>0</v>
      </c>
      <c r="B460" s="959">
        <f t="shared" ca="1" si="99"/>
        <v>16</v>
      </c>
      <c r="C460" s="959">
        <f t="shared" ref="C460:C523" ca="1" si="100">IF(H460="CÉLULA CONSTRUTIVA",0,IF(H460="ETAPA",OFFSET(C460,-1,0)+1,OFFSET(C460,-1,0)))</f>
        <v>1</v>
      </c>
      <c r="D460" s="960">
        <f t="shared" ref="D460:D523" ca="1" si="101">IF(H460="ETAPA",0,IF(H460="SUBETAPA",OFFSET(D460,-1,0)+1,OFFSET(D460,-1,0)))</f>
        <v>1</v>
      </c>
      <c r="E460" s="960">
        <f t="shared" ref="E460:E523" ca="1" si="102">IF(H460="Subetapa",0,IF(H460="serviço",OFFSET(E460,-1,0)+1,OFFSET(E460,-1,0)))</f>
        <v>1</v>
      </c>
      <c r="F460" s="209"/>
    </row>
    <row r="461" spans="1:6" ht="14.1" customHeight="1" x14ac:dyDescent="0.2">
      <c r="A461" s="959">
        <f ca="1">IF($H461="UNIDADE CONSTRUTIVA",OFFSET(A461,-1,0)+1,LARGE(A$3:A460,1))</f>
        <v>0</v>
      </c>
      <c r="B461" s="959">
        <f t="shared" ca="1" si="99"/>
        <v>16</v>
      </c>
      <c r="C461" s="959">
        <f t="shared" ca="1" si="100"/>
        <v>1</v>
      </c>
      <c r="D461" s="960">
        <f t="shared" ca="1" si="101"/>
        <v>1</v>
      </c>
      <c r="E461" s="960">
        <f t="shared" ca="1" si="102"/>
        <v>1</v>
      </c>
      <c r="F461" s="209"/>
    </row>
    <row r="462" spans="1:6" ht="14.1" customHeight="1" x14ac:dyDescent="0.2">
      <c r="A462" s="959">
        <f ca="1">IF($H462="UNIDADE CONSTRUTIVA",OFFSET(A462,-1,0)+1,LARGE(A$3:A461,1))</f>
        <v>0</v>
      </c>
      <c r="B462" s="959">
        <f t="shared" ca="1" si="99"/>
        <v>16</v>
      </c>
      <c r="C462" s="959">
        <f t="shared" ca="1" si="100"/>
        <v>1</v>
      </c>
      <c r="D462" s="960">
        <f t="shared" ca="1" si="101"/>
        <v>1</v>
      </c>
      <c r="E462" s="960">
        <f t="shared" ca="1" si="102"/>
        <v>1</v>
      </c>
      <c r="F462" s="209"/>
    </row>
    <row r="463" spans="1:6" ht="14.1" customHeight="1" x14ac:dyDescent="0.2">
      <c r="A463" s="959">
        <f ca="1">IF($H463="UNIDADE CONSTRUTIVA",OFFSET(A463,-1,0)+1,LARGE(A$3:A462,1))</f>
        <v>0</v>
      </c>
      <c r="B463" s="959">
        <f t="shared" ca="1" si="99"/>
        <v>16</v>
      </c>
      <c r="C463" s="959">
        <f t="shared" ca="1" si="100"/>
        <v>1</v>
      </c>
      <c r="D463" s="960">
        <f t="shared" ca="1" si="101"/>
        <v>1</v>
      </c>
      <c r="E463" s="960">
        <f t="shared" ca="1" si="102"/>
        <v>1</v>
      </c>
      <c r="F463" s="209"/>
    </row>
    <row r="464" spans="1:6" ht="14.1" customHeight="1" x14ac:dyDescent="0.2">
      <c r="A464" s="959">
        <f ca="1">IF($H464="UNIDADE CONSTRUTIVA",OFFSET(A464,-1,0)+1,LARGE(A$3:A463,1))</f>
        <v>0</v>
      </c>
      <c r="B464" s="959">
        <f t="shared" ca="1" si="99"/>
        <v>16</v>
      </c>
      <c r="C464" s="959">
        <f t="shared" ca="1" si="100"/>
        <v>1</v>
      </c>
      <c r="D464" s="960">
        <f t="shared" ca="1" si="101"/>
        <v>1</v>
      </c>
      <c r="E464" s="960">
        <f t="shared" ca="1" si="102"/>
        <v>1</v>
      </c>
      <c r="F464" s="209"/>
    </row>
    <row r="465" spans="1:6" ht="14.1" customHeight="1" x14ac:dyDescent="0.2">
      <c r="A465" s="959">
        <f ca="1">IF($H465="UNIDADE CONSTRUTIVA",OFFSET(A465,-1,0)+1,LARGE(A$3:A464,1))</f>
        <v>0</v>
      </c>
      <c r="B465" s="959">
        <f t="shared" ca="1" si="99"/>
        <v>16</v>
      </c>
      <c r="C465" s="959">
        <f t="shared" ca="1" si="100"/>
        <v>1</v>
      </c>
      <c r="D465" s="960">
        <f t="shared" ca="1" si="101"/>
        <v>1</v>
      </c>
      <c r="E465" s="960">
        <f t="shared" ca="1" si="102"/>
        <v>1</v>
      </c>
      <c r="F465" s="209"/>
    </row>
    <row r="466" spans="1:6" ht="14.1" customHeight="1" x14ac:dyDescent="0.2">
      <c r="A466" s="959">
        <f ca="1">IF($H466="UNIDADE CONSTRUTIVA",OFFSET(A466,-1,0)+1,LARGE(A$3:A465,1))</f>
        <v>0</v>
      </c>
      <c r="B466" s="959">
        <f t="shared" ca="1" si="99"/>
        <v>16</v>
      </c>
      <c r="C466" s="959">
        <f t="shared" ca="1" si="100"/>
        <v>1</v>
      </c>
      <c r="D466" s="960">
        <f t="shared" ca="1" si="101"/>
        <v>1</v>
      </c>
      <c r="E466" s="960">
        <f t="shared" ca="1" si="102"/>
        <v>1</v>
      </c>
      <c r="F466" s="209"/>
    </row>
    <row r="467" spans="1:6" ht="14.1" customHeight="1" x14ac:dyDescent="0.2">
      <c r="A467" s="959">
        <f ca="1">IF($H467="UNIDADE CONSTRUTIVA",OFFSET(A467,-1,0)+1,LARGE(A$3:A466,1))</f>
        <v>0</v>
      </c>
      <c r="B467" s="959">
        <f t="shared" ca="1" si="99"/>
        <v>16</v>
      </c>
      <c r="C467" s="959">
        <f t="shared" ca="1" si="100"/>
        <v>1</v>
      </c>
      <c r="D467" s="960">
        <f t="shared" ca="1" si="101"/>
        <v>1</v>
      </c>
      <c r="E467" s="960">
        <f t="shared" ca="1" si="102"/>
        <v>1</v>
      </c>
      <c r="F467" s="209"/>
    </row>
    <row r="468" spans="1:6" ht="14.1" customHeight="1" x14ac:dyDescent="0.2">
      <c r="A468" s="959">
        <f ca="1">IF($H468="UNIDADE CONSTRUTIVA",OFFSET(A468,-1,0)+1,LARGE(A$3:A467,1))</f>
        <v>0</v>
      </c>
      <c r="B468" s="959">
        <f t="shared" ca="1" si="99"/>
        <v>16</v>
      </c>
      <c r="C468" s="959">
        <f t="shared" ca="1" si="100"/>
        <v>1</v>
      </c>
      <c r="D468" s="960">
        <f t="shared" ca="1" si="101"/>
        <v>1</v>
      </c>
      <c r="E468" s="960">
        <f t="shared" ca="1" si="102"/>
        <v>1</v>
      </c>
      <c r="F468" s="209"/>
    </row>
    <row r="469" spans="1:6" ht="14.1" customHeight="1" x14ac:dyDescent="0.2">
      <c r="A469" s="959">
        <f ca="1">IF($H469="UNIDADE CONSTRUTIVA",OFFSET(A469,-1,0)+1,LARGE(A$3:A468,1))</f>
        <v>0</v>
      </c>
      <c r="B469" s="959">
        <f t="shared" ca="1" si="99"/>
        <v>16</v>
      </c>
      <c r="C469" s="959">
        <f t="shared" ca="1" si="100"/>
        <v>1</v>
      </c>
      <c r="D469" s="960">
        <f t="shared" ca="1" si="101"/>
        <v>1</v>
      </c>
      <c r="E469" s="960">
        <f t="shared" ca="1" si="102"/>
        <v>1</v>
      </c>
      <c r="F469" s="209"/>
    </row>
    <row r="470" spans="1:6" ht="14.1" customHeight="1" x14ac:dyDescent="0.2">
      <c r="A470" s="959">
        <f ca="1">IF($H470="UNIDADE CONSTRUTIVA",OFFSET(A470,-1,0)+1,LARGE(A$3:A469,1))</f>
        <v>0</v>
      </c>
      <c r="B470" s="959">
        <f t="shared" ca="1" si="99"/>
        <v>16</v>
      </c>
      <c r="C470" s="959">
        <f t="shared" ca="1" si="100"/>
        <v>1</v>
      </c>
      <c r="D470" s="960">
        <f t="shared" ca="1" si="101"/>
        <v>1</v>
      </c>
      <c r="E470" s="960">
        <f t="shared" ca="1" si="102"/>
        <v>1</v>
      </c>
      <c r="F470" s="209"/>
    </row>
    <row r="471" spans="1:6" ht="14.1" customHeight="1" x14ac:dyDescent="0.2">
      <c r="A471" s="959">
        <f ca="1">IF($H471="UNIDADE CONSTRUTIVA",OFFSET(A471,-1,0)+1,LARGE(A$3:A470,1))</f>
        <v>0</v>
      </c>
      <c r="B471" s="959">
        <f t="shared" ca="1" si="99"/>
        <v>16</v>
      </c>
      <c r="C471" s="959">
        <f t="shared" ca="1" si="100"/>
        <v>1</v>
      </c>
      <c r="D471" s="960">
        <f t="shared" ca="1" si="101"/>
        <v>1</v>
      </c>
      <c r="E471" s="960">
        <f t="shared" ca="1" si="102"/>
        <v>1</v>
      </c>
      <c r="F471" s="209"/>
    </row>
    <row r="472" spans="1:6" ht="14.1" customHeight="1" x14ac:dyDescent="0.2">
      <c r="A472" s="959">
        <f ca="1">IF($H472="UNIDADE CONSTRUTIVA",OFFSET(A472,-1,0)+1,LARGE(A$3:A471,1))</f>
        <v>0</v>
      </c>
      <c r="B472" s="959">
        <f t="shared" ca="1" si="99"/>
        <v>16</v>
      </c>
      <c r="C472" s="959">
        <f t="shared" ca="1" si="100"/>
        <v>1</v>
      </c>
      <c r="D472" s="960">
        <f t="shared" ca="1" si="101"/>
        <v>1</v>
      </c>
      <c r="E472" s="960">
        <f t="shared" ca="1" si="102"/>
        <v>1</v>
      </c>
      <c r="F472" s="209"/>
    </row>
    <row r="473" spans="1:6" ht="14.1" customHeight="1" x14ac:dyDescent="0.2">
      <c r="A473" s="959">
        <f ca="1">IF($H473="UNIDADE CONSTRUTIVA",OFFSET(A473,-1,0)+1,LARGE(A$3:A472,1))</f>
        <v>0</v>
      </c>
      <c r="B473" s="959">
        <f t="shared" ca="1" si="99"/>
        <v>16</v>
      </c>
      <c r="C473" s="959">
        <f t="shared" ca="1" si="100"/>
        <v>1</v>
      </c>
      <c r="D473" s="960">
        <f t="shared" ca="1" si="101"/>
        <v>1</v>
      </c>
      <c r="E473" s="960">
        <f t="shared" ca="1" si="102"/>
        <v>1</v>
      </c>
      <c r="F473" s="209"/>
    </row>
    <row r="474" spans="1:6" ht="14.1" customHeight="1" x14ac:dyDescent="0.2">
      <c r="A474" s="959">
        <f ca="1">IF($H474="UNIDADE CONSTRUTIVA",OFFSET(A474,-1,0)+1,LARGE(A$3:A473,1))</f>
        <v>0</v>
      </c>
      <c r="B474" s="959">
        <f t="shared" ca="1" si="99"/>
        <v>16</v>
      </c>
      <c r="C474" s="959">
        <f t="shared" ca="1" si="100"/>
        <v>1</v>
      </c>
      <c r="D474" s="960">
        <f t="shared" ca="1" si="101"/>
        <v>1</v>
      </c>
      <c r="E474" s="960">
        <f t="shared" ca="1" si="102"/>
        <v>1</v>
      </c>
      <c r="F474" s="209"/>
    </row>
    <row r="475" spans="1:6" ht="14.1" customHeight="1" x14ac:dyDescent="0.2">
      <c r="A475" s="959">
        <f ca="1">IF($H475="UNIDADE CONSTRUTIVA",OFFSET(A475,-1,0)+1,LARGE(A$3:A474,1))</f>
        <v>0</v>
      </c>
      <c r="B475" s="959">
        <f t="shared" ca="1" si="99"/>
        <v>16</v>
      </c>
      <c r="C475" s="959">
        <f t="shared" ca="1" si="100"/>
        <v>1</v>
      </c>
      <c r="D475" s="960">
        <f t="shared" ca="1" si="101"/>
        <v>1</v>
      </c>
      <c r="E475" s="960">
        <f t="shared" ca="1" si="102"/>
        <v>1</v>
      </c>
      <c r="F475" s="209"/>
    </row>
    <row r="476" spans="1:6" ht="14.1" customHeight="1" x14ac:dyDescent="0.2">
      <c r="A476" s="959">
        <f ca="1">IF($H476="UNIDADE CONSTRUTIVA",OFFSET(A476,-1,0)+1,LARGE(A$3:A475,1))</f>
        <v>0</v>
      </c>
      <c r="B476" s="959">
        <f t="shared" ca="1" si="99"/>
        <v>16</v>
      </c>
      <c r="C476" s="959">
        <f t="shared" ca="1" si="100"/>
        <v>1</v>
      </c>
      <c r="D476" s="960">
        <f t="shared" ca="1" si="101"/>
        <v>1</v>
      </c>
      <c r="E476" s="960">
        <f t="shared" ca="1" si="102"/>
        <v>1</v>
      </c>
      <c r="F476" s="209"/>
    </row>
    <row r="477" spans="1:6" ht="14.1" customHeight="1" x14ac:dyDescent="0.2">
      <c r="A477" s="959">
        <f ca="1">IF($H477="UNIDADE CONSTRUTIVA",OFFSET(A477,-1,0)+1,LARGE(A$3:A476,1))</f>
        <v>0</v>
      </c>
      <c r="B477" s="959">
        <f t="shared" ca="1" si="99"/>
        <v>16</v>
      </c>
      <c r="C477" s="959">
        <f t="shared" ca="1" si="100"/>
        <v>1</v>
      </c>
      <c r="D477" s="960">
        <f t="shared" ca="1" si="101"/>
        <v>1</v>
      </c>
      <c r="E477" s="960">
        <f t="shared" ca="1" si="102"/>
        <v>1</v>
      </c>
      <c r="F477" s="209"/>
    </row>
    <row r="478" spans="1:6" ht="14.1" customHeight="1" x14ac:dyDescent="0.2">
      <c r="A478" s="959">
        <f ca="1">IF($H478="UNIDADE CONSTRUTIVA",OFFSET(A478,-1,0)+1,LARGE(A$3:A477,1))</f>
        <v>0</v>
      </c>
      <c r="B478" s="959">
        <f t="shared" ca="1" si="99"/>
        <v>16</v>
      </c>
      <c r="C478" s="959">
        <f t="shared" ca="1" si="100"/>
        <v>1</v>
      </c>
      <c r="D478" s="960">
        <f t="shared" ca="1" si="101"/>
        <v>1</v>
      </c>
      <c r="E478" s="960">
        <f t="shared" ca="1" si="102"/>
        <v>1</v>
      </c>
      <c r="F478" s="209"/>
    </row>
    <row r="479" spans="1:6" ht="14.1" customHeight="1" x14ac:dyDescent="0.2">
      <c r="A479" s="959">
        <f ca="1">IF($H479="UNIDADE CONSTRUTIVA",OFFSET(A479,-1,0)+1,LARGE(A$3:A478,1))</f>
        <v>0</v>
      </c>
      <c r="B479" s="959">
        <f t="shared" ca="1" si="99"/>
        <v>16</v>
      </c>
      <c r="C479" s="959">
        <f t="shared" ca="1" si="100"/>
        <v>1</v>
      </c>
      <c r="D479" s="960">
        <f t="shared" ca="1" si="101"/>
        <v>1</v>
      </c>
      <c r="E479" s="960">
        <f t="shared" ca="1" si="102"/>
        <v>1</v>
      </c>
      <c r="F479" s="209"/>
    </row>
    <row r="480" spans="1:6" ht="14.1" customHeight="1" x14ac:dyDescent="0.2">
      <c r="A480" s="959">
        <f ca="1">IF($H480="UNIDADE CONSTRUTIVA",OFFSET(A480,-1,0)+1,LARGE(A$3:A479,1))</f>
        <v>0</v>
      </c>
      <c r="B480" s="959">
        <f t="shared" ca="1" si="99"/>
        <v>16</v>
      </c>
      <c r="C480" s="959">
        <f t="shared" ca="1" si="100"/>
        <v>1</v>
      </c>
      <c r="D480" s="960">
        <f t="shared" ca="1" si="101"/>
        <v>1</v>
      </c>
      <c r="E480" s="960">
        <f t="shared" ca="1" si="102"/>
        <v>1</v>
      </c>
      <c r="F480" s="209"/>
    </row>
    <row r="481" spans="1:6" ht="14.1" customHeight="1" x14ac:dyDescent="0.2">
      <c r="A481" s="959">
        <f ca="1">IF($H481="UNIDADE CONSTRUTIVA",OFFSET(A481,-1,0)+1,LARGE(A$3:A480,1))</f>
        <v>0</v>
      </c>
      <c r="B481" s="959">
        <f t="shared" ca="1" si="99"/>
        <v>16</v>
      </c>
      <c r="C481" s="959">
        <f t="shared" ca="1" si="100"/>
        <v>1</v>
      </c>
      <c r="D481" s="960">
        <f t="shared" ca="1" si="101"/>
        <v>1</v>
      </c>
      <c r="E481" s="960">
        <f t="shared" ca="1" si="102"/>
        <v>1</v>
      </c>
      <c r="F481" s="209"/>
    </row>
    <row r="482" spans="1:6" ht="14.1" customHeight="1" x14ac:dyDescent="0.2">
      <c r="A482" s="959">
        <f ca="1">IF($H482="UNIDADE CONSTRUTIVA",OFFSET(A482,-1,0)+1,LARGE(A$3:A481,1))</f>
        <v>0</v>
      </c>
      <c r="B482" s="959">
        <f t="shared" ca="1" si="99"/>
        <v>16</v>
      </c>
      <c r="C482" s="959">
        <f t="shared" ca="1" si="100"/>
        <v>1</v>
      </c>
      <c r="D482" s="960">
        <f t="shared" ca="1" si="101"/>
        <v>1</v>
      </c>
      <c r="E482" s="960">
        <f t="shared" ca="1" si="102"/>
        <v>1</v>
      </c>
      <c r="F482" s="209"/>
    </row>
    <row r="483" spans="1:6" ht="14.1" customHeight="1" x14ac:dyDescent="0.2">
      <c r="A483" s="959">
        <f ca="1">IF($H483="UNIDADE CONSTRUTIVA",OFFSET(A483,-1,0)+1,LARGE(A$3:A482,1))</f>
        <v>0</v>
      </c>
      <c r="B483" s="959">
        <f t="shared" ca="1" si="99"/>
        <v>16</v>
      </c>
      <c r="C483" s="959">
        <f t="shared" ca="1" si="100"/>
        <v>1</v>
      </c>
      <c r="D483" s="960">
        <f t="shared" ca="1" si="101"/>
        <v>1</v>
      </c>
      <c r="E483" s="960">
        <f t="shared" ca="1" si="102"/>
        <v>1</v>
      </c>
      <c r="F483" s="209"/>
    </row>
    <row r="484" spans="1:6" ht="14.1" customHeight="1" x14ac:dyDescent="0.2">
      <c r="A484" s="959">
        <f ca="1">IF($H484="UNIDADE CONSTRUTIVA",OFFSET(A484,-1,0)+1,LARGE(A$3:A483,1))</f>
        <v>0</v>
      </c>
      <c r="B484" s="959">
        <f t="shared" ca="1" si="99"/>
        <v>16</v>
      </c>
      <c r="C484" s="959">
        <f t="shared" ca="1" si="100"/>
        <v>1</v>
      </c>
      <c r="D484" s="960">
        <f t="shared" ca="1" si="101"/>
        <v>1</v>
      </c>
      <c r="E484" s="960">
        <f t="shared" ca="1" si="102"/>
        <v>1</v>
      </c>
      <c r="F484" s="209"/>
    </row>
    <row r="485" spans="1:6" ht="14.1" customHeight="1" x14ac:dyDescent="0.2">
      <c r="A485" s="959">
        <f ca="1">IF($H485="UNIDADE CONSTRUTIVA",OFFSET(A485,-1,0)+1,LARGE(A$3:A484,1))</f>
        <v>0</v>
      </c>
      <c r="B485" s="959">
        <f t="shared" ca="1" si="99"/>
        <v>16</v>
      </c>
      <c r="C485" s="959">
        <f t="shared" ca="1" si="100"/>
        <v>1</v>
      </c>
      <c r="D485" s="960">
        <f t="shared" ca="1" si="101"/>
        <v>1</v>
      </c>
      <c r="E485" s="960">
        <f t="shared" ca="1" si="102"/>
        <v>1</v>
      </c>
      <c r="F485" s="209"/>
    </row>
    <row r="486" spans="1:6" ht="14.1" customHeight="1" x14ac:dyDescent="0.2">
      <c r="A486" s="959">
        <f ca="1">IF($H486="UNIDADE CONSTRUTIVA",OFFSET(A486,-1,0)+1,LARGE(A$3:A485,1))</f>
        <v>0</v>
      </c>
      <c r="B486" s="959">
        <f t="shared" ca="1" si="99"/>
        <v>16</v>
      </c>
      <c r="C486" s="959">
        <f t="shared" ca="1" si="100"/>
        <v>1</v>
      </c>
      <c r="D486" s="960">
        <f t="shared" ca="1" si="101"/>
        <v>1</v>
      </c>
      <c r="E486" s="960">
        <f t="shared" ca="1" si="102"/>
        <v>1</v>
      </c>
      <c r="F486" s="209"/>
    </row>
    <row r="487" spans="1:6" ht="14.1" customHeight="1" x14ac:dyDescent="0.2">
      <c r="A487" s="959">
        <f ca="1">IF($H487="UNIDADE CONSTRUTIVA",OFFSET(A487,-1,0)+1,LARGE(A$3:A486,1))</f>
        <v>0</v>
      </c>
      <c r="B487" s="959">
        <f t="shared" ca="1" si="99"/>
        <v>16</v>
      </c>
      <c r="C487" s="959">
        <f t="shared" ca="1" si="100"/>
        <v>1</v>
      </c>
      <c r="D487" s="960">
        <f t="shared" ca="1" si="101"/>
        <v>1</v>
      </c>
      <c r="E487" s="960">
        <f t="shared" ca="1" si="102"/>
        <v>1</v>
      </c>
      <c r="F487" s="209"/>
    </row>
    <row r="488" spans="1:6" ht="14.1" customHeight="1" x14ac:dyDescent="0.2">
      <c r="A488" s="959">
        <f ca="1">IF($H488="UNIDADE CONSTRUTIVA",OFFSET(A488,-1,0)+1,LARGE(A$3:A487,1))</f>
        <v>0</v>
      </c>
      <c r="B488" s="959">
        <f t="shared" ca="1" si="99"/>
        <v>16</v>
      </c>
      <c r="C488" s="959">
        <f t="shared" ca="1" si="100"/>
        <v>1</v>
      </c>
      <c r="D488" s="960">
        <f t="shared" ca="1" si="101"/>
        <v>1</v>
      </c>
      <c r="E488" s="960">
        <f t="shared" ca="1" si="102"/>
        <v>1</v>
      </c>
      <c r="F488" s="209"/>
    </row>
    <row r="489" spans="1:6" ht="14.1" customHeight="1" x14ac:dyDescent="0.2">
      <c r="A489" s="959">
        <f ca="1">IF($H489="UNIDADE CONSTRUTIVA",OFFSET(A489,-1,0)+1,LARGE(A$3:A488,1))</f>
        <v>0</v>
      </c>
      <c r="B489" s="959">
        <f t="shared" ca="1" si="99"/>
        <v>16</v>
      </c>
      <c r="C489" s="959">
        <f t="shared" ca="1" si="100"/>
        <v>1</v>
      </c>
      <c r="D489" s="960">
        <f t="shared" ca="1" si="101"/>
        <v>1</v>
      </c>
      <c r="E489" s="960">
        <f t="shared" ca="1" si="102"/>
        <v>1</v>
      </c>
      <c r="F489" s="209"/>
    </row>
    <row r="490" spans="1:6" ht="14.1" customHeight="1" x14ac:dyDescent="0.2">
      <c r="A490" s="959">
        <f ca="1">IF($H490="UNIDADE CONSTRUTIVA",OFFSET(A490,-1,0)+1,LARGE(A$3:A489,1))</f>
        <v>0</v>
      </c>
      <c r="B490" s="959">
        <f t="shared" ca="1" si="99"/>
        <v>16</v>
      </c>
      <c r="C490" s="959">
        <f t="shared" ca="1" si="100"/>
        <v>1</v>
      </c>
      <c r="D490" s="960">
        <f t="shared" ca="1" si="101"/>
        <v>1</v>
      </c>
      <c r="E490" s="960">
        <f t="shared" ca="1" si="102"/>
        <v>1</v>
      </c>
      <c r="F490" s="209"/>
    </row>
    <row r="491" spans="1:6" ht="14.1" customHeight="1" x14ac:dyDescent="0.2">
      <c r="A491" s="959">
        <f ca="1">IF($H491="UNIDADE CONSTRUTIVA",OFFSET(A491,-1,0)+1,LARGE(A$3:A490,1))</f>
        <v>0</v>
      </c>
      <c r="B491" s="959">
        <f t="shared" ca="1" si="99"/>
        <v>16</v>
      </c>
      <c r="C491" s="959">
        <f t="shared" ca="1" si="100"/>
        <v>1</v>
      </c>
      <c r="D491" s="960">
        <f t="shared" ca="1" si="101"/>
        <v>1</v>
      </c>
      <c r="E491" s="960">
        <f t="shared" ca="1" si="102"/>
        <v>1</v>
      </c>
      <c r="F491" s="209"/>
    </row>
    <row r="492" spans="1:6" ht="14.1" customHeight="1" x14ac:dyDescent="0.2">
      <c r="A492" s="959">
        <f ca="1">IF($H492="UNIDADE CONSTRUTIVA",OFFSET(A492,-1,0)+1,LARGE(A$3:A491,1))</f>
        <v>0</v>
      </c>
      <c r="B492" s="959">
        <f t="shared" ca="1" si="99"/>
        <v>16</v>
      </c>
      <c r="C492" s="959">
        <f t="shared" ca="1" si="100"/>
        <v>1</v>
      </c>
      <c r="D492" s="960">
        <f t="shared" ca="1" si="101"/>
        <v>1</v>
      </c>
      <c r="E492" s="960">
        <f t="shared" ca="1" si="102"/>
        <v>1</v>
      </c>
      <c r="F492" s="209"/>
    </row>
    <row r="493" spans="1:6" ht="14.1" customHeight="1" x14ac:dyDescent="0.2">
      <c r="A493" s="959">
        <f ca="1">IF($H493="UNIDADE CONSTRUTIVA",OFFSET(A493,-1,0)+1,LARGE(A$3:A492,1))</f>
        <v>0</v>
      </c>
      <c r="B493" s="959">
        <f t="shared" ca="1" si="99"/>
        <v>16</v>
      </c>
      <c r="C493" s="959">
        <f t="shared" ca="1" si="100"/>
        <v>1</v>
      </c>
      <c r="D493" s="960">
        <f t="shared" ca="1" si="101"/>
        <v>1</v>
      </c>
      <c r="E493" s="960">
        <f t="shared" ca="1" si="102"/>
        <v>1</v>
      </c>
      <c r="F493" s="209"/>
    </row>
    <row r="494" spans="1:6" ht="14.1" customHeight="1" x14ac:dyDescent="0.2">
      <c r="A494" s="959">
        <f ca="1">IF($H494="UNIDADE CONSTRUTIVA",OFFSET(A494,-1,0)+1,LARGE(A$3:A493,1))</f>
        <v>0</v>
      </c>
      <c r="B494" s="959">
        <f t="shared" ca="1" si="99"/>
        <v>16</v>
      </c>
      <c r="C494" s="959">
        <f t="shared" ca="1" si="100"/>
        <v>1</v>
      </c>
      <c r="D494" s="960">
        <f t="shared" ca="1" si="101"/>
        <v>1</v>
      </c>
      <c r="E494" s="960">
        <f t="shared" ca="1" si="102"/>
        <v>1</v>
      </c>
      <c r="F494" s="209"/>
    </row>
    <row r="495" spans="1:6" ht="14.1" customHeight="1" x14ac:dyDescent="0.2">
      <c r="A495" s="959">
        <f ca="1">IF($H495="UNIDADE CONSTRUTIVA",OFFSET(A495,-1,0)+1,LARGE(A$3:A494,1))</f>
        <v>0</v>
      </c>
      <c r="B495" s="959">
        <f t="shared" ca="1" si="99"/>
        <v>16</v>
      </c>
      <c r="C495" s="959">
        <f t="shared" ca="1" si="100"/>
        <v>1</v>
      </c>
      <c r="D495" s="960">
        <f t="shared" ca="1" si="101"/>
        <v>1</v>
      </c>
      <c r="E495" s="960">
        <f t="shared" ca="1" si="102"/>
        <v>1</v>
      </c>
      <c r="F495" s="209"/>
    </row>
    <row r="496" spans="1:6" ht="14.1" customHeight="1" x14ac:dyDescent="0.2">
      <c r="A496" s="959">
        <f ca="1">IF($H496="UNIDADE CONSTRUTIVA",OFFSET(A496,-1,0)+1,LARGE(A$3:A495,1))</f>
        <v>0</v>
      </c>
      <c r="B496" s="959">
        <f t="shared" ca="1" si="99"/>
        <v>16</v>
      </c>
      <c r="C496" s="959">
        <f t="shared" ca="1" si="100"/>
        <v>1</v>
      </c>
      <c r="D496" s="960">
        <f t="shared" ca="1" si="101"/>
        <v>1</v>
      </c>
      <c r="E496" s="960">
        <f t="shared" ca="1" si="102"/>
        <v>1</v>
      </c>
      <c r="F496" s="209"/>
    </row>
    <row r="497" spans="1:6" ht="14.1" customHeight="1" x14ac:dyDescent="0.2">
      <c r="A497" s="959">
        <f ca="1">IF($H497="UNIDADE CONSTRUTIVA",OFFSET(A497,-1,0)+1,LARGE(A$3:A496,1))</f>
        <v>0</v>
      </c>
      <c r="B497" s="959">
        <f t="shared" ca="1" si="99"/>
        <v>16</v>
      </c>
      <c r="C497" s="959">
        <f t="shared" ca="1" si="100"/>
        <v>1</v>
      </c>
      <c r="D497" s="960">
        <f t="shared" ca="1" si="101"/>
        <v>1</v>
      </c>
      <c r="E497" s="960">
        <f t="shared" ca="1" si="102"/>
        <v>1</v>
      </c>
      <c r="F497" s="209"/>
    </row>
    <row r="498" spans="1:6" ht="14.1" customHeight="1" x14ac:dyDescent="0.2">
      <c r="A498" s="959">
        <f ca="1">IF($H498="UNIDADE CONSTRUTIVA",OFFSET(A498,-1,0)+1,LARGE(A$3:A497,1))</f>
        <v>0</v>
      </c>
      <c r="B498" s="959">
        <f t="shared" ca="1" si="99"/>
        <v>16</v>
      </c>
      <c r="C498" s="959">
        <f t="shared" ca="1" si="100"/>
        <v>1</v>
      </c>
      <c r="D498" s="960">
        <f t="shared" ca="1" si="101"/>
        <v>1</v>
      </c>
      <c r="E498" s="960">
        <f t="shared" ca="1" si="102"/>
        <v>1</v>
      </c>
      <c r="F498" s="209"/>
    </row>
    <row r="499" spans="1:6" ht="14.1" customHeight="1" x14ac:dyDescent="0.2">
      <c r="A499" s="959">
        <f ca="1">IF($H499="UNIDADE CONSTRUTIVA",OFFSET(A499,-1,0)+1,LARGE(A$3:A498,1))</f>
        <v>0</v>
      </c>
      <c r="B499" s="959">
        <f t="shared" ca="1" si="99"/>
        <v>16</v>
      </c>
      <c r="C499" s="959">
        <f t="shared" ca="1" si="100"/>
        <v>1</v>
      </c>
      <c r="D499" s="960">
        <f t="shared" ca="1" si="101"/>
        <v>1</v>
      </c>
      <c r="E499" s="960">
        <f t="shared" ca="1" si="102"/>
        <v>1</v>
      </c>
      <c r="F499" s="209"/>
    </row>
    <row r="500" spans="1:6" ht="14.1" customHeight="1" x14ac:dyDescent="0.2">
      <c r="A500" s="959">
        <f ca="1">IF($H500="UNIDADE CONSTRUTIVA",OFFSET(A500,-1,0)+1,LARGE(A$3:A499,1))</f>
        <v>0</v>
      </c>
      <c r="B500" s="959">
        <f t="shared" ca="1" si="99"/>
        <v>16</v>
      </c>
      <c r="C500" s="959">
        <f t="shared" ca="1" si="100"/>
        <v>1</v>
      </c>
      <c r="D500" s="960">
        <f t="shared" ca="1" si="101"/>
        <v>1</v>
      </c>
      <c r="E500" s="960">
        <f t="shared" ca="1" si="102"/>
        <v>1</v>
      </c>
      <c r="F500" s="209"/>
    </row>
    <row r="501" spans="1:6" ht="14.1" customHeight="1" x14ac:dyDescent="0.2">
      <c r="A501" s="959">
        <f ca="1">IF($H501="UNIDADE CONSTRUTIVA",OFFSET(A501,-1,0)+1,LARGE(A$3:A500,1))</f>
        <v>0</v>
      </c>
      <c r="B501" s="959">
        <f t="shared" ca="1" si="99"/>
        <v>16</v>
      </c>
      <c r="C501" s="959">
        <f t="shared" ca="1" si="100"/>
        <v>1</v>
      </c>
      <c r="D501" s="960">
        <f t="shared" ca="1" si="101"/>
        <v>1</v>
      </c>
      <c r="E501" s="960">
        <f t="shared" ca="1" si="102"/>
        <v>1</v>
      </c>
      <c r="F501" s="209"/>
    </row>
    <row r="502" spans="1:6" ht="14.1" customHeight="1" x14ac:dyDescent="0.2">
      <c r="A502" s="959">
        <f ca="1">IF($H502="UNIDADE CONSTRUTIVA",OFFSET(A502,-1,0)+1,LARGE(A$3:A501,1))</f>
        <v>0</v>
      </c>
      <c r="B502" s="959">
        <f t="shared" ca="1" si="99"/>
        <v>16</v>
      </c>
      <c r="C502" s="959">
        <f t="shared" ca="1" si="100"/>
        <v>1</v>
      </c>
      <c r="D502" s="960">
        <f t="shared" ca="1" si="101"/>
        <v>1</v>
      </c>
      <c r="E502" s="960">
        <f t="shared" ca="1" si="102"/>
        <v>1</v>
      </c>
      <c r="F502" s="209"/>
    </row>
    <row r="503" spans="1:6" ht="14.1" customHeight="1" x14ac:dyDescent="0.2">
      <c r="A503" s="959">
        <f ca="1">IF($H503="UNIDADE CONSTRUTIVA",OFFSET(A503,-1,0)+1,LARGE(A$3:A502,1))</f>
        <v>0</v>
      </c>
      <c r="B503" s="959">
        <f t="shared" ca="1" si="99"/>
        <v>16</v>
      </c>
      <c r="C503" s="959">
        <f t="shared" ca="1" si="100"/>
        <v>1</v>
      </c>
      <c r="D503" s="960">
        <f t="shared" ca="1" si="101"/>
        <v>1</v>
      </c>
      <c r="E503" s="960">
        <f t="shared" ca="1" si="102"/>
        <v>1</v>
      </c>
      <c r="F503" s="209"/>
    </row>
    <row r="504" spans="1:6" ht="14.1" customHeight="1" x14ac:dyDescent="0.2">
      <c r="A504" s="959">
        <f ca="1">IF($H504="UNIDADE CONSTRUTIVA",OFFSET(A504,-1,0)+1,LARGE(A$3:A503,1))</f>
        <v>0</v>
      </c>
      <c r="B504" s="959">
        <f t="shared" ca="1" si="99"/>
        <v>16</v>
      </c>
      <c r="C504" s="959">
        <f t="shared" ca="1" si="100"/>
        <v>1</v>
      </c>
      <c r="D504" s="960">
        <f t="shared" ca="1" si="101"/>
        <v>1</v>
      </c>
      <c r="E504" s="960">
        <f t="shared" ca="1" si="102"/>
        <v>1</v>
      </c>
      <c r="F504" s="209"/>
    </row>
    <row r="505" spans="1:6" ht="14.1" customHeight="1" x14ac:dyDescent="0.2">
      <c r="A505" s="959">
        <f ca="1">IF($H505="UNIDADE CONSTRUTIVA",OFFSET(A505,-1,0)+1,LARGE(A$3:A504,1))</f>
        <v>0</v>
      </c>
      <c r="B505" s="959">
        <f t="shared" ca="1" si="99"/>
        <v>16</v>
      </c>
      <c r="C505" s="959">
        <f t="shared" ca="1" si="100"/>
        <v>1</v>
      </c>
      <c r="D505" s="960">
        <f t="shared" ca="1" si="101"/>
        <v>1</v>
      </c>
      <c r="E505" s="960">
        <f t="shared" ca="1" si="102"/>
        <v>1</v>
      </c>
      <c r="F505" s="209"/>
    </row>
    <row r="506" spans="1:6" ht="14.1" customHeight="1" x14ac:dyDescent="0.2">
      <c r="A506" s="959">
        <f ca="1">IF($H506="UNIDADE CONSTRUTIVA",OFFSET(A506,-1,0)+1,LARGE(A$3:A505,1))</f>
        <v>0</v>
      </c>
      <c r="B506" s="959">
        <f t="shared" ca="1" si="99"/>
        <v>16</v>
      </c>
      <c r="C506" s="959">
        <f t="shared" ca="1" si="100"/>
        <v>1</v>
      </c>
      <c r="D506" s="960">
        <f t="shared" ca="1" si="101"/>
        <v>1</v>
      </c>
      <c r="E506" s="960">
        <f t="shared" ca="1" si="102"/>
        <v>1</v>
      </c>
      <c r="F506" s="209"/>
    </row>
    <row r="507" spans="1:6" ht="14.1" customHeight="1" x14ac:dyDescent="0.2">
      <c r="A507" s="959">
        <f ca="1">IF($H507="UNIDADE CONSTRUTIVA",OFFSET(A507,-1,0)+1,LARGE(A$3:A506,1))</f>
        <v>0</v>
      </c>
      <c r="B507" s="959">
        <f t="shared" ca="1" si="99"/>
        <v>16</v>
      </c>
      <c r="C507" s="959">
        <f t="shared" ca="1" si="100"/>
        <v>1</v>
      </c>
      <c r="D507" s="960">
        <f t="shared" ca="1" si="101"/>
        <v>1</v>
      </c>
      <c r="E507" s="960">
        <f t="shared" ca="1" si="102"/>
        <v>1</v>
      </c>
      <c r="F507" s="209"/>
    </row>
    <row r="508" spans="1:6" ht="14.1" customHeight="1" x14ac:dyDescent="0.2">
      <c r="A508" s="959">
        <f ca="1">IF($H508="UNIDADE CONSTRUTIVA",OFFSET(A508,-1,0)+1,LARGE(A$3:A507,1))</f>
        <v>0</v>
      </c>
      <c r="B508" s="959">
        <f t="shared" ca="1" si="99"/>
        <v>16</v>
      </c>
      <c r="C508" s="959">
        <f t="shared" ca="1" si="100"/>
        <v>1</v>
      </c>
      <c r="D508" s="960">
        <f t="shared" ca="1" si="101"/>
        <v>1</v>
      </c>
      <c r="E508" s="960">
        <f t="shared" ca="1" si="102"/>
        <v>1</v>
      </c>
      <c r="F508" s="209"/>
    </row>
    <row r="509" spans="1:6" ht="14.1" customHeight="1" x14ac:dyDescent="0.2">
      <c r="A509" s="959">
        <f ca="1">IF($H509="UNIDADE CONSTRUTIVA",OFFSET(A509,-1,0)+1,LARGE(A$3:A508,1))</f>
        <v>0</v>
      </c>
      <c r="B509" s="959">
        <f t="shared" ca="1" si="99"/>
        <v>16</v>
      </c>
      <c r="C509" s="959">
        <f t="shared" ca="1" si="100"/>
        <v>1</v>
      </c>
      <c r="D509" s="960">
        <f t="shared" ca="1" si="101"/>
        <v>1</v>
      </c>
      <c r="E509" s="960">
        <f t="shared" ca="1" si="102"/>
        <v>1</v>
      </c>
      <c r="F509" s="209"/>
    </row>
    <row r="510" spans="1:6" ht="14.1" customHeight="1" x14ac:dyDescent="0.2">
      <c r="A510" s="959">
        <f ca="1">IF($H510="UNIDADE CONSTRUTIVA",OFFSET(A510,-1,0)+1,LARGE(A$3:A509,1))</f>
        <v>0</v>
      </c>
      <c r="B510" s="959">
        <f t="shared" ref="B510:B573" ca="1" si="103">IF(H510="UNIDADE CONSTRUTIVA",0,IF(H510="CÉLULA CONSTRUTIVA",OFFSET(B510,-1,0)+1,OFFSET(B510,-1,0)))</f>
        <v>16</v>
      </c>
      <c r="C510" s="959">
        <f t="shared" ca="1" si="100"/>
        <v>1</v>
      </c>
      <c r="D510" s="960">
        <f t="shared" ca="1" si="101"/>
        <v>1</v>
      </c>
      <c r="E510" s="960">
        <f t="shared" ca="1" si="102"/>
        <v>1</v>
      </c>
      <c r="F510" s="209"/>
    </row>
    <row r="511" spans="1:6" ht="14.1" customHeight="1" x14ac:dyDescent="0.2">
      <c r="A511" s="959">
        <f ca="1">IF($H511="UNIDADE CONSTRUTIVA",OFFSET(A511,-1,0)+1,LARGE(A$3:A510,1))</f>
        <v>0</v>
      </c>
      <c r="B511" s="959">
        <f t="shared" ca="1" si="103"/>
        <v>16</v>
      </c>
      <c r="C511" s="959">
        <f t="shared" ca="1" si="100"/>
        <v>1</v>
      </c>
      <c r="D511" s="960">
        <f t="shared" ca="1" si="101"/>
        <v>1</v>
      </c>
      <c r="E511" s="960">
        <f t="shared" ca="1" si="102"/>
        <v>1</v>
      </c>
      <c r="F511" s="209"/>
    </row>
    <row r="512" spans="1:6" ht="14.1" customHeight="1" x14ac:dyDescent="0.2">
      <c r="A512" s="959">
        <f ca="1">IF($H512="UNIDADE CONSTRUTIVA",OFFSET(A512,-1,0)+1,LARGE(A$3:A511,1))</f>
        <v>0</v>
      </c>
      <c r="B512" s="959">
        <f t="shared" ca="1" si="103"/>
        <v>16</v>
      </c>
      <c r="C512" s="959">
        <f t="shared" ca="1" si="100"/>
        <v>1</v>
      </c>
      <c r="D512" s="960">
        <f t="shared" ca="1" si="101"/>
        <v>1</v>
      </c>
      <c r="E512" s="960">
        <f t="shared" ca="1" si="102"/>
        <v>1</v>
      </c>
      <c r="F512" s="209"/>
    </row>
    <row r="513" spans="1:6" ht="14.1" customHeight="1" x14ac:dyDescent="0.2">
      <c r="A513" s="959">
        <f ca="1">IF($H513="UNIDADE CONSTRUTIVA",OFFSET(A513,-1,0)+1,LARGE(A$3:A512,1))</f>
        <v>0</v>
      </c>
      <c r="B513" s="959">
        <f t="shared" ca="1" si="103"/>
        <v>16</v>
      </c>
      <c r="C513" s="959">
        <f t="shared" ca="1" si="100"/>
        <v>1</v>
      </c>
      <c r="D513" s="960">
        <f t="shared" ca="1" si="101"/>
        <v>1</v>
      </c>
      <c r="E513" s="960">
        <f t="shared" ca="1" si="102"/>
        <v>1</v>
      </c>
      <c r="F513" s="209"/>
    </row>
    <row r="514" spans="1:6" ht="14.1" customHeight="1" x14ac:dyDescent="0.2">
      <c r="A514" s="959">
        <f ca="1">IF($H514="UNIDADE CONSTRUTIVA",OFFSET(A514,-1,0)+1,LARGE(A$3:A513,1))</f>
        <v>0</v>
      </c>
      <c r="B514" s="959">
        <f t="shared" ca="1" si="103"/>
        <v>16</v>
      </c>
      <c r="C514" s="959">
        <f t="shared" ca="1" si="100"/>
        <v>1</v>
      </c>
      <c r="D514" s="960">
        <f t="shared" ca="1" si="101"/>
        <v>1</v>
      </c>
      <c r="E514" s="960">
        <f t="shared" ca="1" si="102"/>
        <v>1</v>
      </c>
      <c r="F514" s="209"/>
    </row>
    <row r="515" spans="1:6" ht="14.1" customHeight="1" x14ac:dyDescent="0.2">
      <c r="A515" s="959">
        <f ca="1">IF($H515="UNIDADE CONSTRUTIVA",OFFSET(A515,-1,0)+1,LARGE(A$3:A514,1))</f>
        <v>0</v>
      </c>
      <c r="B515" s="959">
        <f t="shared" ca="1" si="103"/>
        <v>16</v>
      </c>
      <c r="C515" s="959">
        <f t="shared" ca="1" si="100"/>
        <v>1</v>
      </c>
      <c r="D515" s="960">
        <f t="shared" ca="1" si="101"/>
        <v>1</v>
      </c>
      <c r="E515" s="960">
        <f t="shared" ca="1" si="102"/>
        <v>1</v>
      </c>
      <c r="F515" s="209"/>
    </row>
    <row r="516" spans="1:6" ht="14.1" customHeight="1" x14ac:dyDescent="0.2">
      <c r="A516" s="959">
        <f ca="1">IF($H516="UNIDADE CONSTRUTIVA",OFFSET(A516,-1,0)+1,LARGE(A$3:A515,1))</f>
        <v>0</v>
      </c>
      <c r="B516" s="959">
        <f t="shared" ca="1" si="103"/>
        <v>16</v>
      </c>
      <c r="C516" s="959">
        <f t="shared" ca="1" si="100"/>
        <v>1</v>
      </c>
      <c r="D516" s="960">
        <f t="shared" ca="1" si="101"/>
        <v>1</v>
      </c>
      <c r="E516" s="960">
        <f t="shared" ca="1" si="102"/>
        <v>1</v>
      </c>
      <c r="F516" s="209"/>
    </row>
    <row r="517" spans="1:6" ht="14.1" customHeight="1" x14ac:dyDescent="0.2">
      <c r="A517" s="959">
        <f ca="1">IF($H517="UNIDADE CONSTRUTIVA",OFFSET(A517,-1,0)+1,LARGE(A$3:A516,1))</f>
        <v>0</v>
      </c>
      <c r="B517" s="959">
        <f t="shared" ca="1" si="103"/>
        <v>16</v>
      </c>
      <c r="C517" s="959">
        <f t="shared" ca="1" si="100"/>
        <v>1</v>
      </c>
      <c r="D517" s="960">
        <f t="shared" ca="1" si="101"/>
        <v>1</v>
      </c>
      <c r="E517" s="960">
        <f t="shared" ca="1" si="102"/>
        <v>1</v>
      </c>
      <c r="F517" s="209"/>
    </row>
    <row r="518" spans="1:6" ht="14.1" customHeight="1" x14ac:dyDescent="0.2">
      <c r="A518" s="959">
        <f ca="1">IF($H518="UNIDADE CONSTRUTIVA",OFFSET(A518,-1,0)+1,LARGE(A$3:A517,1))</f>
        <v>0</v>
      </c>
      <c r="B518" s="959">
        <f t="shared" ca="1" si="103"/>
        <v>16</v>
      </c>
      <c r="C518" s="959">
        <f t="shared" ca="1" si="100"/>
        <v>1</v>
      </c>
      <c r="D518" s="960">
        <f t="shared" ca="1" si="101"/>
        <v>1</v>
      </c>
      <c r="E518" s="960">
        <f t="shared" ca="1" si="102"/>
        <v>1</v>
      </c>
      <c r="F518" s="209"/>
    </row>
    <row r="519" spans="1:6" ht="14.1" customHeight="1" x14ac:dyDescent="0.2">
      <c r="A519" s="959">
        <f ca="1">IF($H519="UNIDADE CONSTRUTIVA",OFFSET(A519,-1,0)+1,LARGE(A$3:A518,1))</f>
        <v>0</v>
      </c>
      <c r="B519" s="959">
        <f t="shared" ca="1" si="103"/>
        <v>16</v>
      </c>
      <c r="C519" s="959">
        <f t="shared" ca="1" si="100"/>
        <v>1</v>
      </c>
      <c r="D519" s="960">
        <f t="shared" ca="1" si="101"/>
        <v>1</v>
      </c>
      <c r="E519" s="960">
        <f t="shared" ca="1" si="102"/>
        <v>1</v>
      </c>
      <c r="F519" s="209"/>
    </row>
    <row r="520" spans="1:6" ht="14.1" customHeight="1" x14ac:dyDescent="0.2">
      <c r="A520" s="959">
        <f ca="1">IF($H520="UNIDADE CONSTRUTIVA",OFFSET(A520,-1,0)+1,LARGE(A$3:A519,1))</f>
        <v>0</v>
      </c>
      <c r="B520" s="959">
        <f t="shared" ca="1" si="103"/>
        <v>16</v>
      </c>
      <c r="C520" s="959">
        <f t="shared" ca="1" si="100"/>
        <v>1</v>
      </c>
      <c r="D520" s="960">
        <f t="shared" ca="1" si="101"/>
        <v>1</v>
      </c>
      <c r="E520" s="960">
        <f t="shared" ca="1" si="102"/>
        <v>1</v>
      </c>
      <c r="F520" s="209"/>
    </row>
    <row r="521" spans="1:6" ht="14.1" customHeight="1" x14ac:dyDescent="0.2">
      <c r="A521" s="959">
        <f ca="1">IF($H521="UNIDADE CONSTRUTIVA",OFFSET(A521,-1,0)+1,LARGE(A$3:A520,1))</f>
        <v>0</v>
      </c>
      <c r="B521" s="959">
        <f t="shared" ca="1" si="103"/>
        <v>16</v>
      </c>
      <c r="C521" s="959">
        <f t="shared" ca="1" si="100"/>
        <v>1</v>
      </c>
      <c r="D521" s="960">
        <f t="shared" ca="1" si="101"/>
        <v>1</v>
      </c>
      <c r="E521" s="960">
        <f t="shared" ca="1" si="102"/>
        <v>1</v>
      </c>
      <c r="F521" s="209"/>
    </row>
    <row r="522" spans="1:6" ht="14.1" customHeight="1" x14ac:dyDescent="0.2">
      <c r="A522" s="959">
        <f ca="1">IF($H522="UNIDADE CONSTRUTIVA",OFFSET(A522,-1,0)+1,LARGE(A$3:A521,1))</f>
        <v>0</v>
      </c>
      <c r="B522" s="959">
        <f t="shared" ca="1" si="103"/>
        <v>16</v>
      </c>
      <c r="C522" s="959">
        <f t="shared" ca="1" si="100"/>
        <v>1</v>
      </c>
      <c r="D522" s="960">
        <f t="shared" ca="1" si="101"/>
        <v>1</v>
      </c>
      <c r="E522" s="960">
        <f t="shared" ca="1" si="102"/>
        <v>1</v>
      </c>
      <c r="F522" s="209"/>
    </row>
    <row r="523" spans="1:6" ht="14.1" customHeight="1" x14ac:dyDescent="0.2">
      <c r="A523" s="959">
        <f ca="1">IF($H523="UNIDADE CONSTRUTIVA",OFFSET(A523,-1,0)+1,LARGE(A$3:A522,1))</f>
        <v>0</v>
      </c>
      <c r="B523" s="959">
        <f t="shared" ca="1" si="103"/>
        <v>16</v>
      </c>
      <c r="C523" s="959">
        <f t="shared" ca="1" si="100"/>
        <v>1</v>
      </c>
      <c r="D523" s="960">
        <f t="shared" ca="1" si="101"/>
        <v>1</v>
      </c>
      <c r="E523" s="960">
        <f t="shared" ca="1" si="102"/>
        <v>1</v>
      </c>
      <c r="F523" s="209"/>
    </row>
    <row r="524" spans="1:6" ht="14.1" customHeight="1" x14ac:dyDescent="0.2">
      <c r="A524" s="959">
        <f ca="1">IF($H524="UNIDADE CONSTRUTIVA",OFFSET(A524,-1,0)+1,LARGE(A$3:A523,1))</f>
        <v>0</v>
      </c>
      <c r="B524" s="959">
        <f t="shared" ca="1" si="103"/>
        <v>16</v>
      </c>
      <c r="C524" s="959">
        <f t="shared" ref="C524:C587" ca="1" si="104">IF(H524="CÉLULA CONSTRUTIVA",0,IF(H524="ETAPA",OFFSET(C524,-1,0)+1,OFFSET(C524,-1,0)))</f>
        <v>1</v>
      </c>
      <c r="D524" s="960">
        <f t="shared" ref="D524:D587" ca="1" si="105">IF(H524="ETAPA",0,IF(H524="SUBETAPA",OFFSET(D524,-1,0)+1,OFFSET(D524,-1,0)))</f>
        <v>1</v>
      </c>
      <c r="E524" s="960">
        <f t="shared" ref="E524:E587" ca="1" si="106">IF(H524="Subetapa",0,IF(H524="serviço",OFFSET(E524,-1,0)+1,OFFSET(E524,-1,0)))</f>
        <v>1</v>
      </c>
      <c r="F524" s="209"/>
    </row>
    <row r="525" spans="1:6" ht="14.1" customHeight="1" x14ac:dyDescent="0.2">
      <c r="A525" s="959">
        <f ca="1">IF($H525="UNIDADE CONSTRUTIVA",OFFSET(A525,-1,0)+1,LARGE(A$3:A524,1))</f>
        <v>0</v>
      </c>
      <c r="B525" s="959">
        <f t="shared" ca="1" si="103"/>
        <v>16</v>
      </c>
      <c r="C525" s="959">
        <f t="shared" ca="1" si="104"/>
        <v>1</v>
      </c>
      <c r="D525" s="960">
        <f t="shared" ca="1" si="105"/>
        <v>1</v>
      </c>
      <c r="E525" s="960">
        <f t="shared" ca="1" si="106"/>
        <v>1</v>
      </c>
      <c r="F525" s="209"/>
    </row>
    <row r="526" spans="1:6" ht="14.1" customHeight="1" x14ac:dyDescent="0.2">
      <c r="A526" s="959">
        <f ca="1">IF($H526="UNIDADE CONSTRUTIVA",OFFSET(A526,-1,0)+1,LARGE(A$3:A525,1))</f>
        <v>0</v>
      </c>
      <c r="B526" s="959">
        <f t="shared" ca="1" si="103"/>
        <v>16</v>
      </c>
      <c r="C526" s="959">
        <f t="shared" ca="1" si="104"/>
        <v>1</v>
      </c>
      <c r="D526" s="960">
        <f t="shared" ca="1" si="105"/>
        <v>1</v>
      </c>
      <c r="E526" s="960">
        <f t="shared" ca="1" si="106"/>
        <v>1</v>
      </c>
      <c r="F526" s="209"/>
    </row>
    <row r="527" spans="1:6" ht="14.1" customHeight="1" x14ac:dyDescent="0.2">
      <c r="A527" s="959">
        <f ca="1">IF($H527="UNIDADE CONSTRUTIVA",OFFSET(A527,-1,0)+1,LARGE(A$3:A526,1))</f>
        <v>0</v>
      </c>
      <c r="B527" s="959">
        <f t="shared" ca="1" si="103"/>
        <v>16</v>
      </c>
      <c r="C527" s="959">
        <f t="shared" ca="1" si="104"/>
        <v>1</v>
      </c>
      <c r="D527" s="960">
        <f t="shared" ca="1" si="105"/>
        <v>1</v>
      </c>
      <c r="E527" s="960">
        <f t="shared" ca="1" si="106"/>
        <v>1</v>
      </c>
      <c r="F527" s="209"/>
    </row>
    <row r="528" spans="1:6" ht="14.1" customHeight="1" x14ac:dyDescent="0.2">
      <c r="A528" s="959">
        <f ca="1">IF($H528="UNIDADE CONSTRUTIVA",OFFSET(A528,-1,0)+1,LARGE(A$3:A527,1))</f>
        <v>0</v>
      </c>
      <c r="B528" s="959">
        <f t="shared" ca="1" si="103"/>
        <v>16</v>
      </c>
      <c r="C528" s="959">
        <f t="shared" ca="1" si="104"/>
        <v>1</v>
      </c>
      <c r="D528" s="960">
        <f t="shared" ca="1" si="105"/>
        <v>1</v>
      </c>
      <c r="E528" s="960">
        <f t="shared" ca="1" si="106"/>
        <v>1</v>
      </c>
      <c r="F528" s="209"/>
    </row>
    <row r="529" spans="1:6" ht="14.1" customHeight="1" x14ac:dyDescent="0.2">
      <c r="A529" s="959">
        <f ca="1">IF($H529="UNIDADE CONSTRUTIVA",OFFSET(A529,-1,0)+1,LARGE(A$3:A528,1))</f>
        <v>0</v>
      </c>
      <c r="B529" s="959">
        <f t="shared" ca="1" si="103"/>
        <v>16</v>
      </c>
      <c r="C529" s="959">
        <f t="shared" ca="1" si="104"/>
        <v>1</v>
      </c>
      <c r="D529" s="960">
        <f t="shared" ca="1" si="105"/>
        <v>1</v>
      </c>
      <c r="E529" s="960">
        <f t="shared" ca="1" si="106"/>
        <v>1</v>
      </c>
      <c r="F529" s="209"/>
    </row>
    <row r="530" spans="1:6" ht="14.1" customHeight="1" x14ac:dyDescent="0.2">
      <c r="A530" s="959">
        <f ca="1">IF($H530="UNIDADE CONSTRUTIVA",OFFSET(A530,-1,0)+1,LARGE(A$3:A529,1))</f>
        <v>0</v>
      </c>
      <c r="B530" s="959">
        <f t="shared" ca="1" si="103"/>
        <v>16</v>
      </c>
      <c r="C530" s="959">
        <f t="shared" ca="1" si="104"/>
        <v>1</v>
      </c>
      <c r="D530" s="960">
        <f t="shared" ca="1" si="105"/>
        <v>1</v>
      </c>
      <c r="E530" s="960">
        <f t="shared" ca="1" si="106"/>
        <v>1</v>
      </c>
      <c r="F530" s="209"/>
    </row>
    <row r="531" spans="1:6" ht="14.1" customHeight="1" x14ac:dyDescent="0.2">
      <c r="A531" s="959">
        <f ca="1">IF($H531="UNIDADE CONSTRUTIVA",OFFSET(A531,-1,0)+1,LARGE(A$3:A530,1))</f>
        <v>0</v>
      </c>
      <c r="B531" s="959">
        <f t="shared" ca="1" si="103"/>
        <v>16</v>
      </c>
      <c r="C531" s="959">
        <f t="shared" ca="1" si="104"/>
        <v>1</v>
      </c>
      <c r="D531" s="960">
        <f t="shared" ca="1" si="105"/>
        <v>1</v>
      </c>
      <c r="E531" s="960">
        <f t="shared" ca="1" si="106"/>
        <v>1</v>
      </c>
      <c r="F531" s="209"/>
    </row>
    <row r="532" spans="1:6" ht="14.1" customHeight="1" x14ac:dyDescent="0.2">
      <c r="A532" s="959">
        <f ca="1">IF($H532="UNIDADE CONSTRUTIVA",OFFSET(A532,-1,0)+1,LARGE(A$3:A531,1))</f>
        <v>0</v>
      </c>
      <c r="B532" s="959">
        <f t="shared" ca="1" si="103"/>
        <v>16</v>
      </c>
      <c r="C532" s="959">
        <f t="shared" ca="1" si="104"/>
        <v>1</v>
      </c>
      <c r="D532" s="960">
        <f t="shared" ca="1" si="105"/>
        <v>1</v>
      </c>
      <c r="E532" s="960">
        <f t="shared" ca="1" si="106"/>
        <v>1</v>
      </c>
      <c r="F532" s="209"/>
    </row>
    <row r="533" spans="1:6" ht="14.1" customHeight="1" x14ac:dyDescent="0.2">
      <c r="A533" s="959">
        <f ca="1">IF($H533="UNIDADE CONSTRUTIVA",OFFSET(A533,-1,0)+1,LARGE(A$3:A532,1))</f>
        <v>0</v>
      </c>
      <c r="B533" s="959">
        <f t="shared" ca="1" si="103"/>
        <v>16</v>
      </c>
      <c r="C533" s="959">
        <f t="shared" ca="1" si="104"/>
        <v>1</v>
      </c>
      <c r="D533" s="960">
        <f t="shared" ca="1" si="105"/>
        <v>1</v>
      </c>
      <c r="E533" s="960">
        <f t="shared" ca="1" si="106"/>
        <v>1</v>
      </c>
      <c r="F533" s="209"/>
    </row>
    <row r="534" spans="1:6" ht="14.1" customHeight="1" x14ac:dyDescent="0.2">
      <c r="A534" s="959">
        <f ca="1">IF($H534="UNIDADE CONSTRUTIVA",OFFSET(A534,-1,0)+1,LARGE(A$3:A533,1))</f>
        <v>0</v>
      </c>
      <c r="B534" s="959">
        <f t="shared" ca="1" si="103"/>
        <v>16</v>
      </c>
      <c r="C534" s="959">
        <f t="shared" ca="1" si="104"/>
        <v>1</v>
      </c>
      <c r="D534" s="960">
        <f t="shared" ca="1" si="105"/>
        <v>1</v>
      </c>
      <c r="E534" s="960">
        <f t="shared" ca="1" si="106"/>
        <v>1</v>
      </c>
      <c r="F534" s="209"/>
    </row>
    <row r="535" spans="1:6" ht="14.1" customHeight="1" x14ac:dyDescent="0.2">
      <c r="A535" s="959">
        <f ca="1">IF($H535="UNIDADE CONSTRUTIVA",OFFSET(A535,-1,0)+1,LARGE(A$3:A534,1))</f>
        <v>0</v>
      </c>
      <c r="B535" s="959">
        <f t="shared" ca="1" si="103"/>
        <v>16</v>
      </c>
      <c r="C535" s="959">
        <f t="shared" ca="1" si="104"/>
        <v>1</v>
      </c>
      <c r="D535" s="960">
        <f t="shared" ca="1" si="105"/>
        <v>1</v>
      </c>
      <c r="E535" s="960">
        <f t="shared" ca="1" si="106"/>
        <v>1</v>
      </c>
      <c r="F535" s="209"/>
    </row>
    <row r="536" spans="1:6" ht="14.1" customHeight="1" x14ac:dyDescent="0.2">
      <c r="A536" s="959">
        <f ca="1">IF($H536="UNIDADE CONSTRUTIVA",OFFSET(A536,-1,0)+1,LARGE(A$3:A535,1))</f>
        <v>0</v>
      </c>
      <c r="B536" s="959">
        <f t="shared" ca="1" si="103"/>
        <v>16</v>
      </c>
      <c r="C536" s="959">
        <f t="shared" ca="1" si="104"/>
        <v>1</v>
      </c>
      <c r="D536" s="960">
        <f t="shared" ca="1" si="105"/>
        <v>1</v>
      </c>
      <c r="E536" s="960">
        <f t="shared" ca="1" si="106"/>
        <v>1</v>
      </c>
      <c r="F536" s="209"/>
    </row>
    <row r="537" spans="1:6" ht="14.1" customHeight="1" x14ac:dyDescent="0.2">
      <c r="A537" s="959">
        <f ca="1">IF($H537="UNIDADE CONSTRUTIVA",OFFSET(A537,-1,0)+1,LARGE(A$3:A536,1))</f>
        <v>0</v>
      </c>
      <c r="B537" s="959">
        <f t="shared" ca="1" si="103"/>
        <v>16</v>
      </c>
      <c r="C537" s="959">
        <f t="shared" ca="1" si="104"/>
        <v>1</v>
      </c>
      <c r="D537" s="960">
        <f t="shared" ca="1" si="105"/>
        <v>1</v>
      </c>
      <c r="E537" s="960">
        <f t="shared" ca="1" si="106"/>
        <v>1</v>
      </c>
      <c r="F537" s="209"/>
    </row>
    <row r="538" spans="1:6" ht="14.1" customHeight="1" x14ac:dyDescent="0.2">
      <c r="A538" s="959">
        <f ca="1">IF($H538="UNIDADE CONSTRUTIVA",OFFSET(A538,-1,0)+1,LARGE(A$3:A537,1))</f>
        <v>0</v>
      </c>
      <c r="B538" s="959">
        <f t="shared" ca="1" si="103"/>
        <v>16</v>
      </c>
      <c r="C538" s="959">
        <f t="shared" ca="1" si="104"/>
        <v>1</v>
      </c>
      <c r="D538" s="960">
        <f t="shared" ca="1" si="105"/>
        <v>1</v>
      </c>
      <c r="E538" s="960">
        <f t="shared" ca="1" si="106"/>
        <v>1</v>
      </c>
      <c r="F538" s="209"/>
    </row>
    <row r="539" spans="1:6" ht="14.1" customHeight="1" x14ac:dyDescent="0.2">
      <c r="A539" s="959">
        <f ca="1">IF($H539="UNIDADE CONSTRUTIVA",OFFSET(A539,-1,0)+1,LARGE(A$3:A538,1))</f>
        <v>0</v>
      </c>
      <c r="B539" s="959">
        <f t="shared" ca="1" si="103"/>
        <v>16</v>
      </c>
      <c r="C539" s="959">
        <f t="shared" ca="1" si="104"/>
        <v>1</v>
      </c>
      <c r="D539" s="960">
        <f t="shared" ca="1" si="105"/>
        <v>1</v>
      </c>
      <c r="E539" s="960">
        <f t="shared" ca="1" si="106"/>
        <v>1</v>
      </c>
      <c r="F539" s="209"/>
    </row>
    <row r="540" spans="1:6" ht="14.1" customHeight="1" x14ac:dyDescent="0.2">
      <c r="A540" s="959">
        <f ca="1">IF($H540="UNIDADE CONSTRUTIVA",OFFSET(A540,-1,0)+1,LARGE(A$3:A539,1))</f>
        <v>0</v>
      </c>
      <c r="B540" s="959">
        <f t="shared" ca="1" si="103"/>
        <v>16</v>
      </c>
      <c r="C540" s="959">
        <f t="shared" ca="1" si="104"/>
        <v>1</v>
      </c>
      <c r="D540" s="960">
        <f t="shared" ca="1" si="105"/>
        <v>1</v>
      </c>
      <c r="E540" s="960">
        <f t="shared" ca="1" si="106"/>
        <v>1</v>
      </c>
      <c r="F540" s="209"/>
    </row>
    <row r="541" spans="1:6" ht="14.1" customHeight="1" x14ac:dyDescent="0.2">
      <c r="A541" s="959">
        <f ca="1">IF($H541="UNIDADE CONSTRUTIVA",OFFSET(A541,-1,0)+1,LARGE(A$3:A540,1))</f>
        <v>0</v>
      </c>
      <c r="B541" s="959">
        <f t="shared" ca="1" si="103"/>
        <v>16</v>
      </c>
      <c r="C541" s="959">
        <f t="shared" ca="1" si="104"/>
        <v>1</v>
      </c>
      <c r="D541" s="960">
        <f t="shared" ca="1" si="105"/>
        <v>1</v>
      </c>
      <c r="E541" s="960">
        <f t="shared" ca="1" si="106"/>
        <v>1</v>
      </c>
      <c r="F541" s="209"/>
    </row>
    <row r="542" spans="1:6" ht="14.1" customHeight="1" x14ac:dyDescent="0.2">
      <c r="A542" s="959">
        <f ca="1">IF($H542="UNIDADE CONSTRUTIVA",OFFSET(A542,-1,0)+1,LARGE(A$3:A541,1))</f>
        <v>0</v>
      </c>
      <c r="B542" s="959">
        <f t="shared" ca="1" si="103"/>
        <v>16</v>
      </c>
      <c r="C542" s="959">
        <f t="shared" ca="1" si="104"/>
        <v>1</v>
      </c>
      <c r="D542" s="960">
        <f t="shared" ca="1" si="105"/>
        <v>1</v>
      </c>
      <c r="E542" s="960">
        <f t="shared" ca="1" si="106"/>
        <v>1</v>
      </c>
      <c r="F542" s="209"/>
    </row>
    <row r="543" spans="1:6" ht="14.1" customHeight="1" x14ac:dyDescent="0.2">
      <c r="A543" s="959">
        <f ca="1">IF($H543="UNIDADE CONSTRUTIVA",OFFSET(A543,-1,0)+1,LARGE(A$3:A542,1))</f>
        <v>0</v>
      </c>
      <c r="B543" s="959">
        <f t="shared" ca="1" si="103"/>
        <v>16</v>
      </c>
      <c r="C543" s="959">
        <f t="shared" ca="1" si="104"/>
        <v>1</v>
      </c>
      <c r="D543" s="960">
        <f t="shared" ca="1" si="105"/>
        <v>1</v>
      </c>
      <c r="E543" s="960">
        <f t="shared" ca="1" si="106"/>
        <v>1</v>
      </c>
      <c r="F543" s="209"/>
    </row>
    <row r="544" spans="1:6" ht="14.1" customHeight="1" x14ac:dyDescent="0.2">
      <c r="A544" s="959">
        <f ca="1">IF($H544="UNIDADE CONSTRUTIVA",OFFSET(A544,-1,0)+1,LARGE(A$3:A543,1))</f>
        <v>0</v>
      </c>
      <c r="B544" s="959">
        <f t="shared" ca="1" si="103"/>
        <v>16</v>
      </c>
      <c r="C544" s="959">
        <f t="shared" ca="1" si="104"/>
        <v>1</v>
      </c>
      <c r="D544" s="960">
        <f t="shared" ca="1" si="105"/>
        <v>1</v>
      </c>
      <c r="E544" s="960">
        <f t="shared" ca="1" si="106"/>
        <v>1</v>
      </c>
      <c r="F544" s="209"/>
    </row>
    <row r="545" spans="1:6" ht="14.1" customHeight="1" x14ac:dyDescent="0.2">
      <c r="A545" s="959">
        <f ca="1">IF($H545="UNIDADE CONSTRUTIVA",OFFSET(A545,-1,0)+1,LARGE(A$3:A544,1))</f>
        <v>0</v>
      </c>
      <c r="B545" s="959">
        <f t="shared" ca="1" si="103"/>
        <v>16</v>
      </c>
      <c r="C545" s="959">
        <f t="shared" ca="1" si="104"/>
        <v>1</v>
      </c>
      <c r="D545" s="960">
        <f t="shared" ca="1" si="105"/>
        <v>1</v>
      </c>
      <c r="E545" s="960">
        <f t="shared" ca="1" si="106"/>
        <v>1</v>
      </c>
      <c r="F545" s="209"/>
    </row>
    <row r="546" spans="1:6" ht="14.1" customHeight="1" x14ac:dyDescent="0.2">
      <c r="A546" s="959">
        <f ca="1">IF($H546="UNIDADE CONSTRUTIVA",OFFSET(A546,-1,0)+1,LARGE(A$3:A545,1))</f>
        <v>0</v>
      </c>
      <c r="B546" s="959">
        <f t="shared" ca="1" si="103"/>
        <v>16</v>
      </c>
      <c r="C546" s="959">
        <f t="shared" ca="1" si="104"/>
        <v>1</v>
      </c>
      <c r="D546" s="960">
        <f t="shared" ca="1" si="105"/>
        <v>1</v>
      </c>
      <c r="E546" s="960">
        <f t="shared" ca="1" si="106"/>
        <v>1</v>
      </c>
      <c r="F546" s="209"/>
    </row>
    <row r="547" spans="1:6" ht="14.1" customHeight="1" x14ac:dyDescent="0.2">
      <c r="A547" s="959">
        <f ca="1">IF($H547="UNIDADE CONSTRUTIVA",OFFSET(A547,-1,0)+1,LARGE(A$3:A546,1))</f>
        <v>0</v>
      </c>
      <c r="B547" s="959">
        <f t="shared" ca="1" si="103"/>
        <v>16</v>
      </c>
      <c r="C547" s="959">
        <f t="shared" ca="1" si="104"/>
        <v>1</v>
      </c>
      <c r="D547" s="960">
        <f t="shared" ca="1" si="105"/>
        <v>1</v>
      </c>
      <c r="E547" s="960">
        <f t="shared" ca="1" si="106"/>
        <v>1</v>
      </c>
      <c r="F547" s="209"/>
    </row>
    <row r="548" spans="1:6" ht="14.1" customHeight="1" x14ac:dyDescent="0.2">
      <c r="A548" s="959">
        <f ca="1">IF($H548="UNIDADE CONSTRUTIVA",OFFSET(A548,-1,0)+1,LARGE(A$3:A547,1))</f>
        <v>0</v>
      </c>
      <c r="B548" s="959">
        <f t="shared" ca="1" si="103"/>
        <v>16</v>
      </c>
      <c r="C548" s="959">
        <f t="shared" ca="1" si="104"/>
        <v>1</v>
      </c>
      <c r="D548" s="960">
        <f t="shared" ca="1" si="105"/>
        <v>1</v>
      </c>
      <c r="E548" s="960">
        <f t="shared" ca="1" si="106"/>
        <v>1</v>
      </c>
      <c r="F548" s="209"/>
    </row>
    <row r="549" spans="1:6" ht="14.1" customHeight="1" x14ac:dyDescent="0.2">
      <c r="A549" s="959">
        <f ca="1">IF($H549="UNIDADE CONSTRUTIVA",OFFSET(A549,-1,0)+1,LARGE(A$3:A548,1))</f>
        <v>0</v>
      </c>
      <c r="B549" s="959">
        <f t="shared" ca="1" si="103"/>
        <v>16</v>
      </c>
      <c r="C549" s="959">
        <f t="shared" ca="1" si="104"/>
        <v>1</v>
      </c>
      <c r="D549" s="960">
        <f t="shared" ca="1" si="105"/>
        <v>1</v>
      </c>
      <c r="E549" s="960">
        <f t="shared" ca="1" si="106"/>
        <v>1</v>
      </c>
      <c r="F549" s="209"/>
    </row>
    <row r="550" spans="1:6" ht="14.1" customHeight="1" x14ac:dyDescent="0.2">
      <c r="A550" s="959">
        <f ca="1">IF($H550="UNIDADE CONSTRUTIVA",OFFSET(A550,-1,0)+1,LARGE(A$3:A549,1))</f>
        <v>0</v>
      </c>
      <c r="B550" s="959">
        <f t="shared" ca="1" si="103"/>
        <v>16</v>
      </c>
      <c r="C550" s="959">
        <f t="shared" ca="1" si="104"/>
        <v>1</v>
      </c>
      <c r="D550" s="960">
        <f t="shared" ca="1" si="105"/>
        <v>1</v>
      </c>
      <c r="E550" s="960">
        <f t="shared" ca="1" si="106"/>
        <v>1</v>
      </c>
      <c r="F550" s="209"/>
    </row>
    <row r="551" spans="1:6" ht="14.1" customHeight="1" x14ac:dyDescent="0.2">
      <c r="A551" s="959">
        <f ca="1">IF($H551="UNIDADE CONSTRUTIVA",OFFSET(A551,-1,0)+1,LARGE(A$3:A550,1))</f>
        <v>0</v>
      </c>
      <c r="B551" s="959">
        <f t="shared" ca="1" si="103"/>
        <v>16</v>
      </c>
      <c r="C551" s="959">
        <f t="shared" ca="1" si="104"/>
        <v>1</v>
      </c>
      <c r="D551" s="960">
        <f t="shared" ca="1" si="105"/>
        <v>1</v>
      </c>
      <c r="E551" s="960">
        <f t="shared" ca="1" si="106"/>
        <v>1</v>
      </c>
      <c r="F551" s="209"/>
    </row>
    <row r="552" spans="1:6" ht="14.1" customHeight="1" x14ac:dyDescent="0.2">
      <c r="A552" s="959">
        <f ca="1">IF($H552="UNIDADE CONSTRUTIVA",OFFSET(A552,-1,0)+1,LARGE(A$3:A551,1))</f>
        <v>0</v>
      </c>
      <c r="B552" s="959">
        <f t="shared" ca="1" si="103"/>
        <v>16</v>
      </c>
      <c r="C552" s="959">
        <f t="shared" ca="1" si="104"/>
        <v>1</v>
      </c>
      <c r="D552" s="960">
        <f t="shared" ca="1" si="105"/>
        <v>1</v>
      </c>
      <c r="E552" s="960">
        <f t="shared" ca="1" si="106"/>
        <v>1</v>
      </c>
      <c r="F552" s="209"/>
    </row>
    <row r="553" spans="1:6" ht="14.1" customHeight="1" x14ac:dyDescent="0.2">
      <c r="A553" s="959">
        <f ca="1">IF($H553="UNIDADE CONSTRUTIVA",OFFSET(A553,-1,0)+1,LARGE(A$3:A552,1))</f>
        <v>0</v>
      </c>
      <c r="B553" s="959">
        <f t="shared" ca="1" si="103"/>
        <v>16</v>
      </c>
      <c r="C553" s="959">
        <f t="shared" ca="1" si="104"/>
        <v>1</v>
      </c>
      <c r="D553" s="960">
        <f t="shared" ca="1" si="105"/>
        <v>1</v>
      </c>
      <c r="E553" s="960">
        <f t="shared" ca="1" si="106"/>
        <v>1</v>
      </c>
      <c r="F553" s="209"/>
    </row>
    <row r="554" spans="1:6" ht="14.1" customHeight="1" x14ac:dyDescent="0.2">
      <c r="A554" s="959">
        <f ca="1">IF($H554="UNIDADE CONSTRUTIVA",OFFSET(A554,-1,0)+1,LARGE(A$3:A553,1))</f>
        <v>0</v>
      </c>
      <c r="B554" s="959">
        <f t="shared" ca="1" si="103"/>
        <v>16</v>
      </c>
      <c r="C554" s="959">
        <f t="shared" ca="1" si="104"/>
        <v>1</v>
      </c>
      <c r="D554" s="960">
        <f t="shared" ca="1" si="105"/>
        <v>1</v>
      </c>
      <c r="E554" s="960">
        <f t="shared" ca="1" si="106"/>
        <v>1</v>
      </c>
      <c r="F554" s="209"/>
    </row>
    <row r="555" spans="1:6" ht="14.1" customHeight="1" x14ac:dyDescent="0.2">
      <c r="A555" s="959">
        <f ca="1">IF($H555="UNIDADE CONSTRUTIVA",OFFSET(A555,-1,0)+1,LARGE(A$3:A554,1))</f>
        <v>0</v>
      </c>
      <c r="B555" s="959">
        <f t="shared" ca="1" si="103"/>
        <v>16</v>
      </c>
      <c r="C555" s="959">
        <f t="shared" ca="1" si="104"/>
        <v>1</v>
      </c>
      <c r="D555" s="960">
        <f t="shared" ca="1" si="105"/>
        <v>1</v>
      </c>
      <c r="E555" s="960">
        <f t="shared" ca="1" si="106"/>
        <v>1</v>
      </c>
      <c r="F555" s="209"/>
    </row>
    <row r="556" spans="1:6" ht="14.1" customHeight="1" x14ac:dyDescent="0.2">
      <c r="A556" s="959">
        <f ca="1">IF($H556="UNIDADE CONSTRUTIVA",OFFSET(A556,-1,0)+1,LARGE(A$3:A555,1))</f>
        <v>0</v>
      </c>
      <c r="B556" s="959">
        <f t="shared" ca="1" si="103"/>
        <v>16</v>
      </c>
      <c r="C556" s="959">
        <f t="shared" ca="1" si="104"/>
        <v>1</v>
      </c>
      <c r="D556" s="960">
        <f t="shared" ca="1" si="105"/>
        <v>1</v>
      </c>
      <c r="E556" s="960">
        <f t="shared" ca="1" si="106"/>
        <v>1</v>
      </c>
      <c r="F556" s="209"/>
    </row>
    <row r="557" spans="1:6" ht="14.1" customHeight="1" x14ac:dyDescent="0.2">
      <c r="A557" s="959">
        <f ca="1">IF($H557="UNIDADE CONSTRUTIVA",OFFSET(A557,-1,0)+1,LARGE(A$3:A556,1))</f>
        <v>0</v>
      </c>
      <c r="B557" s="959">
        <f t="shared" ca="1" si="103"/>
        <v>16</v>
      </c>
      <c r="C557" s="959">
        <f t="shared" ca="1" si="104"/>
        <v>1</v>
      </c>
      <c r="D557" s="960">
        <f t="shared" ca="1" si="105"/>
        <v>1</v>
      </c>
      <c r="E557" s="960">
        <f t="shared" ca="1" si="106"/>
        <v>1</v>
      </c>
      <c r="F557" s="209"/>
    </row>
    <row r="558" spans="1:6" ht="14.1" customHeight="1" x14ac:dyDescent="0.2">
      <c r="A558" s="959">
        <f ca="1">IF($H558="UNIDADE CONSTRUTIVA",OFFSET(A558,-1,0)+1,LARGE(A$3:A557,1))</f>
        <v>0</v>
      </c>
      <c r="B558" s="959">
        <f t="shared" ca="1" si="103"/>
        <v>16</v>
      </c>
      <c r="C558" s="959">
        <f t="shared" ca="1" si="104"/>
        <v>1</v>
      </c>
      <c r="D558" s="960">
        <f t="shared" ca="1" si="105"/>
        <v>1</v>
      </c>
      <c r="E558" s="960">
        <f t="shared" ca="1" si="106"/>
        <v>1</v>
      </c>
      <c r="F558" s="209"/>
    </row>
    <row r="559" spans="1:6" ht="14.1" customHeight="1" x14ac:dyDescent="0.2">
      <c r="A559" s="959">
        <f ca="1">IF($H559="UNIDADE CONSTRUTIVA",OFFSET(A559,-1,0)+1,LARGE(A$3:A558,1))</f>
        <v>0</v>
      </c>
      <c r="B559" s="959">
        <f t="shared" ca="1" si="103"/>
        <v>16</v>
      </c>
      <c r="C559" s="959">
        <f t="shared" ca="1" si="104"/>
        <v>1</v>
      </c>
      <c r="D559" s="960">
        <f t="shared" ca="1" si="105"/>
        <v>1</v>
      </c>
      <c r="E559" s="960">
        <f t="shared" ca="1" si="106"/>
        <v>1</v>
      </c>
      <c r="F559" s="209"/>
    </row>
    <row r="560" spans="1:6" ht="14.1" customHeight="1" x14ac:dyDescent="0.2">
      <c r="A560" s="959">
        <f ca="1">IF($H560="UNIDADE CONSTRUTIVA",OFFSET(A560,-1,0)+1,LARGE(A$3:A559,1))</f>
        <v>0</v>
      </c>
      <c r="B560" s="959">
        <f t="shared" ca="1" si="103"/>
        <v>16</v>
      </c>
      <c r="C560" s="959">
        <f t="shared" ca="1" si="104"/>
        <v>1</v>
      </c>
      <c r="D560" s="960">
        <f t="shared" ca="1" si="105"/>
        <v>1</v>
      </c>
      <c r="E560" s="960">
        <f t="shared" ca="1" si="106"/>
        <v>1</v>
      </c>
      <c r="F560" s="209"/>
    </row>
    <row r="561" spans="1:6" ht="14.1" customHeight="1" x14ac:dyDescent="0.2">
      <c r="A561" s="959">
        <f ca="1">IF($H561="UNIDADE CONSTRUTIVA",OFFSET(A561,-1,0)+1,LARGE(A$3:A560,1))</f>
        <v>0</v>
      </c>
      <c r="B561" s="959">
        <f t="shared" ca="1" si="103"/>
        <v>16</v>
      </c>
      <c r="C561" s="959">
        <f t="shared" ca="1" si="104"/>
        <v>1</v>
      </c>
      <c r="D561" s="960">
        <f t="shared" ca="1" si="105"/>
        <v>1</v>
      </c>
      <c r="E561" s="960">
        <f t="shared" ca="1" si="106"/>
        <v>1</v>
      </c>
      <c r="F561" s="209"/>
    </row>
    <row r="562" spans="1:6" ht="14.1" customHeight="1" x14ac:dyDescent="0.2">
      <c r="A562" s="959">
        <f ca="1">IF($H562="UNIDADE CONSTRUTIVA",OFFSET(A562,-1,0)+1,LARGE(A$3:A561,1))</f>
        <v>0</v>
      </c>
      <c r="B562" s="959">
        <f t="shared" ca="1" si="103"/>
        <v>16</v>
      </c>
      <c r="C562" s="959">
        <f t="shared" ca="1" si="104"/>
        <v>1</v>
      </c>
      <c r="D562" s="960">
        <f t="shared" ca="1" si="105"/>
        <v>1</v>
      </c>
      <c r="E562" s="960">
        <f t="shared" ca="1" si="106"/>
        <v>1</v>
      </c>
      <c r="F562" s="209"/>
    </row>
    <row r="563" spans="1:6" ht="14.1" customHeight="1" x14ac:dyDescent="0.2">
      <c r="A563" s="959">
        <f ca="1">IF($H563="UNIDADE CONSTRUTIVA",OFFSET(A563,-1,0)+1,LARGE(A$3:A562,1))</f>
        <v>0</v>
      </c>
      <c r="B563" s="959">
        <f t="shared" ca="1" si="103"/>
        <v>16</v>
      </c>
      <c r="C563" s="959">
        <f t="shared" ca="1" si="104"/>
        <v>1</v>
      </c>
      <c r="D563" s="960">
        <f t="shared" ca="1" si="105"/>
        <v>1</v>
      </c>
      <c r="E563" s="960">
        <f t="shared" ca="1" si="106"/>
        <v>1</v>
      </c>
      <c r="F563" s="209"/>
    </row>
    <row r="564" spans="1:6" ht="14.1" customHeight="1" x14ac:dyDescent="0.2">
      <c r="A564" s="959">
        <f ca="1">IF($H564="UNIDADE CONSTRUTIVA",OFFSET(A564,-1,0)+1,LARGE(A$3:A563,1))</f>
        <v>0</v>
      </c>
      <c r="B564" s="959">
        <f t="shared" ca="1" si="103"/>
        <v>16</v>
      </c>
      <c r="C564" s="959">
        <f t="shared" ca="1" si="104"/>
        <v>1</v>
      </c>
      <c r="D564" s="960">
        <f t="shared" ca="1" si="105"/>
        <v>1</v>
      </c>
      <c r="E564" s="960">
        <f t="shared" ca="1" si="106"/>
        <v>1</v>
      </c>
      <c r="F564" s="209"/>
    </row>
    <row r="565" spans="1:6" ht="14.1" customHeight="1" x14ac:dyDescent="0.2">
      <c r="A565" s="959">
        <f ca="1">IF($H565="UNIDADE CONSTRUTIVA",OFFSET(A565,-1,0)+1,LARGE(A$3:A564,1))</f>
        <v>0</v>
      </c>
      <c r="B565" s="959">
        <f t="shared" ca="1" si="103"/>
        <v>16</v>
      </c>
      <c r="C565" s="959">
        <f t="shared" ca="1" si="104"/>
        <v>1</v>
      </c>
      <c r="D565" s="960">
        <f t="shared" ca="1" si="105"/>
        <v>1</v>
      </c>
      <c r="E565" s="960">
        <f t="shared" ca="1" si="106"/>
        <v>1</v>
      </c>
      <c r="F565" s="209"/>
    </row>
    <row r="566" spans="1:6" ht="14.1" customHeight="1" x14ac:dyDescent="0.2">
      <c r="A566" s="959">
        <f ca="1">IF($H566="UNIDADE CONSTRUTIVA",OFFSET(A566,-1,0)+1,LARGE(A$3:A565,1))</f>
        <v>0</v>
      </c>
      <c r="B566" s="959">
        <f t="shared" ca="1" si="103"/>
        <v>16</v>
      </c>
      <c r="C566" s="959">
        <f t="shared" ca="1" si="104"/>
        <v>1</v>
      </c>
      <c r="D566" s="960">
        <f t="shared" ca="1" si="105"/>
        <v>1</v>
      </c>
      <c r="E566" s="960">
        <f t="shared" ca="1" si="106"/>
        <v>1</v>
      </c>
      <c r="F566" s="209"/>
    </row>
    <row r="567" spans="1:6" ht="14.1" customHeight="1" x14ac:dyDescent="0.2">
      <c r="A567" s="959">
        <f ca="1">IF($H567="UNIDADE CONSTRUTIVA",OFFSET(A567,-1,0)+1,LARGE(A$3:A566,1))</f>
        <v>0</v>
      </c>
      <c r="B567" s="959">
        <f t="shared" ca="1" si="103"/>
        <v>16</v>
      </c>
      <c r="C567" s="959">
        <f t="shared" ca="1" si="104"/>
        <v>1</v>
      </c>
      <c r="D567" s="960">
        <f t="shared" ca="1" si="105"/>
        <v>1</v>
      </c>
      <c r="E567" s="960">
        <f t="shared" ca="1" si="106"/>
        <v>1</v>
      </c>
      <c r="F567" s="209"/>
    </row>
    <row r="568" spans="1:6" ht="14.1" customHeight="1" x14ac:dyDescent="0.2">
      <c r="A568" s="959">
        <f ca="1">IF($H568="UNIDADE CONSTRUTIVA",OFFSET(A568,-1,0)+1,LARGE(A$3:A567,1))</f>
        <v>0</v>
      </c>
      <c r="B568" s="959">
        <f t="shared" ca="1" si="103"/>
        <v>16</v>
      </c>
      <c r="C568" s="959">
        <f t="shared" ca="1" si="104"/>
        <v>1</v>
      </c>
      <c r="D568" s="960">
        <f t="shared" ca="1" si="105"/>
        <v>1</v>
      </c>
      <c r="E568" s="960">
        <f t="shared" ca="1" si="106"/>
        <v>1</v>
      </c>
      <c r="F568" s="209"/>
    </row>
    <row r="569" spans="1:6" ht="14.1" customHeight="1" x14ac:dyDescent="0.2">
      <c r="A569" s="959">
        <f ca="1">IF($H569="UNIDADE CONSTRUTIVA",OFFSET(A569,-1,0)+1,LARGE(A$3:A568,1))</f>
        <v>0</v>
      </c>
      <c r="B569" s="959">
        <f t="shared" ca="1" si="103"/>
        <v>16</v>
      </c>
      <c r="C569" s="959">
        <f t="shared" ca="1" si="104"/>
        <v>1</v>
      </c>
      <c r="D569" s="960">
        <f t="shared" ca="1" si="105"/>
        <v>1</v>
      </c>
      <c r="E569" s="960">
        <f t="shared" ca="1" si="106"/>
        <v>1</v>
      </c>
      <c r="F569" s="209"/>
    </row>
    <row r="570" spans="1:6" ht="14.1" customHeight="1" x14ac:dyDescent="0.2">
      <c r="A570" s="959">
        <f ca="1">IF($H570="UNIDADE CONSTRUTIVA",OFFSET(A570,-1,0)+1,LARGE(A$3:A569,1))</f>
        <v>0</v>
      </c>
      <c r="B570" s="959">
        <f t="shared" ca="1" si="103"/>
        <v>16</v>
      </c>
      <c r="C570" s="959">
        <f t="shared" ca="1" si="104"/>
        <v>1</v>
      </c>
      <c r="D570" s="960">
        <f t="shared" ca="1" si="105"/>
        <v>1</v>
      </c>
      <c r="E570" s="960">
        <f t="shared" ca="1" si="106"/>
        <v>1</v>
      </c>
      <c r="F570" s="209"/>
    </row>
    <row r="571" spans="1:6" ht="14.1" customHeight="1" x14ac:dyDescent="0.2">
      <c r="A571" s="959">
        <f ca="1">IF($H571="UNIDADE CONSTRUTIVA",OFFSET(A571,-1,0)+1,LARGE(A$3:A570,1))</f>
        <v>0</v>
      </c>
      <c r="B571" s="959">
        <f t="shared" ca="1" si="103"/>
        <v>16</v>
      </c>
      <c r="C571" s="959">
        <f t="shared" ca="1" si="104"/>
        <v>1</v>
      </c>
      <c r="D571" s="960">
        <f t="shared" ca="1" si="105"/>
        <v>1</v>
      </c>
      <c r="E571" s="960">
        <f t="shared" ca="1" si="106"/>
        <v>1</v>
      </c>
      <c r="F571" s="209"/>
    </row>
    <row r="572" spans="1:6" ht="14.1" customHeight="1" x14ac:dyDescent="0.2">
      <c r="A572" s="959">
        <f ca="1">IF($H572="UNIDADE CONSTRUTIVA",OFFSET(A572,-1,0)+1,LARGE(A$3:A571,1))</f>
        <v>0</v>
      </c>
      <c r="B572" s="959">
        <f t="shared" ca="1" si="103"/>
        <v>16</v>
      </c>
      <c r="C572" s="959">
        <f t="shared" ca="1" si="104"/>
        <v>1</v>
      </c>
      <c r="D572" s="960">
        <f t="shared" ca="1" si="105"/>
        <v>1</v>
      </c>
      <c r="E572" s="960">
        <f t="shared" ca="1" si="106"/>
        <v>1</v>
      </c>
      <c r="F572" s="209"/>
    </row>
    <row r="573" spans="1:6" ht="14.1" customHeight="1" x14ac:dyDescent="0.2">
      <c r="A573" s="959">
        <f ca="1">IF($H573="UNIDADE CONSTRUTIVA",OFFSET(A573,-1,0)+1,LARGE(A$3:A572,1))</f>
        <v>0</v>
      </c>
      <c r="B573" s="959">
        <f t="shared" ca="1" si="103"/>
        <v>16</v>
      </c>
      <c r="C573" s="959">
        <f t="shared" ca="1" si="104"/>
        <v>1</v>
      </c>
      <c r="D573" s="960">
        <f t="shared" ca="1" si="105"/>
        <v>1</v>
      </c>
      <c r="E573" s="960">
        <f t="shared" ca="1" si="106"/>
        <v>1</v>
      </c>
      <c r="F573" s="209"/>
    </row>
    <row r="574" spans="1:6" ht="14.1" customHeight="1" x14ac:dyDescent="0.2">
      <c r="A574" s="959">
        <f ca="1">IF($H574="UNIDADE CONSTRUTIVA",OFFSET(A574,-1,0)+1,LARGE(A$3:A573,1))</f>
        <v>0</v>
      </c>
      <c r="B574" s="959">
        <f t="shared" ref="B574:B637" ca="1" si="107">IF(H574="UNIDADE CONSTRUTIVA",0,IF(H574="CÉLULA CONSTRUTIVA",OFFSET(B574,-1,0)+1,OFFSET(B574,-1,0)))</f>
        <v>16</v>
      </c>
      <c r="C574" s="959">
        <f t="shared" ca="1" si="104"/>
        <v>1</v>
      </c>
      <c r="D574" s="960">
        <f t="shared" ca="1" si="105"/>
        <v>1</v>
      </c>
      <c r="E574" s="960">
        <f t="shared" ca="1" si="106"/>
        <v>1</v>
      </c>
      <c r="F574" s="209"/>
    </row>
    <row r="575" spans="1:6" ht="14.1" customHeight="1" x14ac:dyDescent="0.2">
      <c r="A575" s="959">
        <f ca="1">IF($H575="UNIDADE CONSTRUTIVA",OFFSET(A575,-1,0)+1,LARGE(A$3:A574,1))</f>
        <v>0</v>
      </c>
      <c r="B575" s="959">
        <f t="shared" ca="1" si="107"/>
        <v>16</v>
      </c>
      <c r="C575" s="959">
        <f t="shared" ca="1" si="104"/>
        <v>1</v>
      </c>
      <c r="D575" s="960">
        <f t="shared" ca="1" si="105"/>
        <v>1</v>
      </c>
      <c r="E575" s="960">
        <f t="shared" ca="1" si="106"/>
        <v>1</v>
      </c>
      <c r="F575" s="209"/>
    </row>
    <row r="576" spans="1:6" ht="14.1" customHeight="1" x14ac:dyDescent="0.2">
      <c r="A576" s="959">
        <f ca="1">IF($H576="UNIDADE CONSTRUTIVA",OFFSET(A576,-1,0)+1,LARGE(A$3:A575,1))</f>
        <v>0</v>
      </c>
      <c r="B576" s="959">
        <f t="shared" ca="1" si="107"/>
        <v>16</v>
      </c>
      <c r="C576" s="959">
        <f t="shared" ca="1" si="104"/>
        <v>1</v>
      </c>
      <c r="D576" s="960">
        <f t="shared" ca="1" si="105"/>
        <v>1</v>
      </c>
      <c r="E576" s="960">
        <f t="shared" ca="1" si="106"/>
        <v>1</v>
      </c>
      <c r="F576" s="209"/>
    </row>
    <row r="577" spans="1:6" ht="14.1" customHeight="1" x14ac:dyDescent="0.2">
      <c r="A577" s="959">
        <f ca="1">IF($H577="UNIDADE CONSTRUTIVA",OFFSET(A577,-1,0)+1,LARGE(A$3:A576,1))</f>
        <v>0</v>
      </c>
      <c r="B577" s="959">
        <f t="shared" ca="1" si="107"/>
        <v>16</v>
      </c>
      <c r="C577" s="959">
        <f t="shared" ca="1" si="104"/>
        <v>1</v>
      </c>
      <c r="D577" s="960">
        <f t="shared" ca="1" si="105"/>
        <v>1</v>
      </c>
      <c r="E577" s="960">
        <f t="shared" ca="1" si="106"/>
        <v>1</v>
      </c>
      <c r="F577" s="209"/>
    </row>
    <row r="578" spans="1:6" ht="14.1" customHeight="1" x14ac:dyDescent="0.2">
      <c r="A578" s="959">
        <f ca="1">IF($H578="UNIDADE CONSTRUTIVA",OFFSET(A578,-1,0)+1,LARGE(A$3:A577,1))</f>
        <v>0</v>
      </c>
      <c r="B578" s="959">
        <f t="shared" ca="1" si="107"/>
        <v>16</v>
      </c>
      <c r="C578" s="959">
        <f t="shared" ca="1" si="104"/>
        <v>1</v>
      </c>
      <c r="D578" s="960">
        <f t="shared" ca="1" si="105"/>
        <v>1</v>
      </c>
      <c r="E578" s="960">
        <f t="shared" ca="1" si="106"/>
        <v>1</v>
      </c>
      <c r="F578" s="209"/>
    </row>
    <row r="579" spans="1:6" ht="14.1" customHeight="1" x14ac:dyDescent="0.2">
      <c r="A579" s="959">
        <f ca="1">IF($H579="UNIDADE CONSTRUTIVA",OFFSET(A579,-1,0)+1,LARGE(A$3:A578,1))</f>
        <v>0</v>
      </c>
      <c r="B579" s="959">
        <f t="shared" ca="1" si="107"/>
        <v>16</v>
      </c>
      <c r="C579" s="959">
        <f t="shared" ca="1" si="104"/>
        <v>1</v>
      </c>
      <c r="D579" s="960">
        <f t="shared" ca="1" si="105"/>
        <v>1</v>
      </c>
      <c r="E579" s="960">
        <f t="shared" ca="1" si="106"/>
        <v>1</v>
      </c>
      <c r="F579" s="209"/>
    </row>
    <row r="580" spans="1:6" ht="14.1" customHeight="1" x14ac:dyDescent="0.2">
      <c r="A580" s="959">
        <f ca="1">IF($H580="UNIDADE CONSTRUTIVA",OFFSET(A580,-1,0)+1,LARGE(A$3:A579,1))</f>
        <v>0</v>
      </c>
      <c r="B580" s="959">
        <f t="shared" ca="1" si="107"/>
        <v>16</v>
      </c>
      <c r="C580" s="959">
        <f t="shared" ca="1" si="104"/>
        <v>1</v>
      </c>
      <c r="D580" s="960">
        <f t="shared" ca="1" si="105"/>
        <v>1</v>
      </c>
      <c r="E580" s="960">
        <f t="shared" ca="1" si="106"/>
        <v>1</v>
      </c>
      <c r="F580" s="209"/>
    </row>
    <row r="581" spans="1:6" ht="14.1" customHeight="1" x14ac:dyDescent="0.2">
      <c r="A581" s="959">
        <f ca="1">IF($H581="UNIDADE CONSTRUTIVA",OFFSET(A581,-1,0)+1,LARGE(A$3:A580,1))</f>
        <v>0</v>
      </c>
      <c r="B581" s="959">
        <f t="shared" ca="1" si="107"/>
        <v>16</v>
      </c>
      <c r="C581" s="959">
        <f t="shared" ca="1" si="104"/>
        <v>1</v>
      </c>
      <c r="D581" s="960">
        <f t="shared" ca="1" si="105"/>
        <v>1</v>
      </c>
      <c r="E581" s="960">
        <f t="shared" ca="1" si="106"/>
        <v>1</v>
      </c>
      <c r="F581" s="209"/>
    </row>
    <row r="582" spans="1:6" ht="14.1" customHeight="1" x14ac:dyDescent="0.2">
      <c r="A582" s="959">
        <f ca="1">IF($H582="UNIDADE CONSTRUTIVA",OFFSET(A582,-1,0)+1,LARGE(A$3:A581,1))</f>
        <v>0</v>
      </c>
      <c r="B582" s="959">
        <f t="shared" ca="1" si="107"/>
        <v>16</v>
      </c>
      <c r="C582" s="959">
        <f t="shared" ca="1" si="104"/>
        <v>1</v>
      </c>
      <c r="D582" s="960">
        <f t="shared" ca="1" si="105"/>
        <v>1</v>
      </c>
      <c r="E582" s="960">
        <f t="shared" ca="1" si="106"/>
        <v>1</v>
      </c>
      <c r="F582" s="209"/>
    </row>
    <row r="583" spans="1:6" ht="14.1" customHeight="1" x14ac:dyDescent="0.2">
      <c r="A583" s="959">
        <f ca="1">IF($H583="UNIDADE CONSTRUTIVA",OFFSET(A583,-1,0)+1,LARGE(A$3:A582,1))</f>
        <v>0</v>
      </c>
      <c r="B583" s="959">
        <f t="shared" ca="1" si="107"/>
        <v>16</v>
      </c>
      <c r="C583" s="959">
        <f t="shared" ca="1" si="104"/>
        <v>1</v>
      </c>
      <c r="D583" s="960">
        <f t="shared" ca="1" si="105"/>
        <v>1</v>
      </c>
      <c r="E583" s="960">
        <f t="shared" ca="1" si="106"/>
        <v>1</v>
      </c>
      <c r="F583" s="209"/>
    </row>
    <row r="584" spans="1:6" ht="14.1" customHeight="1" x14ac:dyDescent="0.2">
      <c r="A584" s="959">
        <f ca="1">IF($H584="UNIDADE CONSTRUTIVA",OFFSET(A584,-1,0)+1,LARGE(A$3:A583,1))</f>
        <v>0</v>
      </c>
      <c r="B584" s="959">
        <f t="shared" ca="1" si="107"/>
        <v>16</v>
      </c>
      <c r="C584" s="959">
        <f t="shared" ca="1" si="104"/>
        <v>1</v>
      </c>
      <c r="D584" s="960">
        <f t="shared" ca="1" si="105"/>
        <v>1</v>
      </c>
      <c r="E584" s="960">
        <f t="shared" ca="1" si="106"/>
        <v>1</v>
      </c>
      <c r="F584" s="209"/>
    </row>
    <row r="585" spans="1:6" ht="14.1" customHeight="1" x14ac:dyDescent="0.2">
      <c r="A585" s="959">
        <f ca="1">IF($H585="UNIDADE CONSTRUTIVA",OFFSET(A585,-1,0)+1,LARGE(A$3:A584,1))</f>
        <v>0</v>
      </c>
      <c r="B585" s="959">
        <f t="shared" ca="1" si="107"/>
        <v>16</v>
      </c>
      <c r="C585" s="959">
        <f t="shared" ca="1" si="104"/>
        <v>1</v>
      </c>
      <c r="D585" s="960">
        <f t="shared" ca="1" si="105"/>
        <v>1</v>
      </c>
      <c r="E585" s="960">
        <f t="shared" ca="1" si="106"/>
        <v>1</v>
      </c>
      <c r="F585" s="209"/>
    </row>
    <row r="586" spans="1:6" ht="14.1" customHeight="1" x14ac:dyDescent="0.2">
      <c r="A586" s="959">
        <f ca="1">IF($H586="UNIDADE CONSTRUTIVA",OFFSET(A586,-1,0)+1,LARGE(A$3:A585,1))</f>
        <v>0</v>
      </c>
      <c r="B586" s="959">
        <f t="shared" ca="1" si="107"/>
        <v>16</v>
      </c>
      <c r="C586" s="959">
        <f t="shared" ca="1" si="104"/>
        <v>1</v>
      </c>
      <c r="D586" s="960">
        <f t="shared" ca="1" si="105"/>
        <v>1</v>
      </c>
      <c r="E586" s="960">
        <f t="shared" ca="1" si="106"/>
        <v>1</v>
      </c>
      <c r="F586" s="209"/>
    </row>
    <row r="587" spans="1:6" ht="14.1" customHeight="1" x14ac:dyDescent="0.2">
      <c r="A587" s="959">
        <f ca="1">IF($H587="UNIDADE CONSTRUTIVA",OFFSET(A587,-1,0)+1,LARGE(A$3:A586,1))</f>
        <v>0</v>
      </c>
      <c r="B587" s="959">
        <f t="shared" ca="1" si="107"/>
        <v>16</v>
      </c>
      <c r="C587" s="959">
        <f t="shared" ca="1" si="104"/>
        <v>1</v>
      </c>
      <c r="D587" s="960">
        <f t="shared" ca="1" si="105"/>
        <v>1</v>
      </c>
      <c r="E587" s="960">
        <f t="shared" ca="1" si="106"/>
        <v>1</v>
      </c>
      <c r="F587" s="209"/>
    </row>
    <row r="588" spans="1:6" ht="14.1" customHeight="1" x14ac:dyDescent="0.2">
      <c r="A588" s="959">
        <f ca="1">IF($H588="UNIDADE CONSTRUTIVA",OFFSET(A588,-1,0)+1,LARGE(A$3:A587,1))</f>
        <v>0</v>
      </c>
      <c r="B588" s="959">
        <f t="shared" ca="1" si="107"/>
        <v>16</v>
      </c>
      <c r="C588" s="959">
        <f t="shared" ref="C588:C651" ca="1" si="108">IF(H588="CÉLULA CONSTRUTIVA",0,IF(H588="ETAPA",OFFSET(C588,-1,0)+1,OFFSET(C588,-1,0)))</f>
        <v>1</v>
      </c>
      <c r="D588" s="960">
        <f t="shared" ref="D588:D651" ca="1" si="109">IF(H588="ETAPA",0,IF(H588="SUBETAPA",OFFSET(D588,-1,0)+1,OFFSET(D588,-1,0)))</f>
        <v>1</v>
      </c>
      <c r="E588" s="960">
        <f t="shared" ref="E588:E651" ca="1" si="110">IF(H588="Subetapa",0,IF(H588="serviço",OFFSET(E588,-1,0)+1,OFFSET(E588,-1,0)))</f>
        <v>1</v>
      </c>
      <c r="F588" s="209"/>
    </row>
    <row r="589" spans="1:6" ht="14.1" customHeight="1" x14ac:dyDescent="0.2">
      <c r="A589" s="959">
        <f ca="1">IF($H589="UNIDADE CONSTRUTIVA",OFFSET(A589,-1,0)+1,LARGE(A$3:A588,1))</f>
        <v>0</v>
      </c>
      <c r="B589" s="959">
        <f t="shared" ca="1" si="107"/>
        <v>16</v>
      </c>
      <c r="C589" s="959">
        <f t="shared" ca="1" si="108"/>
        <v>1</v>
      </c>
      <c r="D589" s="960">
        <f t="shared" ca="1" si="109"/>
        <v>1</v>
      </c>
      <c r="E589" s="960">
        <f t="shared" ca="1" si="110"/>
        <v>1</v>
      </c>
      <c r="F589" s="209"/>
    </row>
    <row r="590" spans="1:6" ht="14.1" customHeight="1" x14ac:dyDescent="0.2">
      <c r="A590" s="959">
        <f ca="1">IF($H590="UNIDADE CONSTRUTIVA",OFFSET(A590,-1,0)+1,LARGE(A$3:A589,1))</f>
        <v>0</v>
      </c>
      <c r="B590" s="959">
        <f t="shared" ca="1" si="107"/>
        <v>16</v>
      </c>
      <c r="C590" s="959">
        <f t="shared" ca="1" si="108"/>
        <v>1</v>
      </c>
      <c r="D590" s="960">
        <f t="shared" ca="1" si="109"/>
        <v>1</v>
      </c>
      <c r="E590" s="960">
        <f t="shared" ca="1" si="110"/>
        <v>1</v>
      </c>
      <c r="F590" s="209"/>
    </row>
    <row r="591" spans="1:6" ht="14.1" customHeight="1" x14ac:dyDescent="0.2">
      <c r="A591" s="959">
        <f ca="1">IF($H591="UNIDADE CONSTRUTIVA",OFFSET(A591,-1,0)+1,LARGE(A$3:A590,1))</f>
        <v>0</v>
      </c>
      <c r="B591" s="959">
        <f t="shared" ca="1" si="107"/>
        <v>16</v>
      </c>
      <c r="C591" s="959">
        <f t="shared" ca="1" si="108"/>
        <v>1</v>
      </c>
      <c r="D591" s="960">
        <f t="shared" ca="1" si="109"/>
        <v>1</v>
      </c>
      <c r="E591" s="960">
        <f t="shared" ca="1" si="110"/>
        <v>1</v>
      </c>
      <c r="F591" s="209"/>
    </row>
    <row r="592" spans="1:6" ht="14.1" customHeight="1" x14ac:dyDescent="0.2">
      <c r="A592" s="959">
        <f ca="1">IF($H592="UNIDADE CONSTRUTIVA",OFFSET(A592,-1,0)+1,LARGE(A$3:A591,1))</f>
        <v>0</v>
      </c>
      <c r="B592" s="959">
        <f t="shared" ca="1" si="107"/>
        <v>16</v>
      </c>
      <c r="C592" s="959">
        <f t="shared" ca="1" si="108"/>
        <v>1</v>
      </c>
      <c r="D592" s="960">
        <f t="shared" ca="1" si="109"/>
        <v>1</v>
      </c>
      <c r="E592" s="960">
        <f t="shared" ca="1" si="110"/>
        <v>1</v>
      </c>
      <c r="F592" s="209"/>
    </row>
    <row r="593" spans="1:6" ht="14.1" customHeight="1" x14ac:dyDescent="0.2">
      <c r="A593" s="959">
        <f ca="1">IF($H593="UNIDADE CONSTRUTIVA",OFFSET(A593,-1,0)+1,LARGE(A$3:A592,1))</f>
        <v>0</v>
      </c>
      <c r="B593" s="959">
        <f t="shared" ca="1" si="107"/>
        <v>16</v>
      </c>
      <c r="C593" s="959">
        <f t="shared" ca="1" si="108"/>
        <v>1</v>
      </c>
      <c r="D593" s="960">
        <f t="shared" ca="1" si="109"/>
        <v>1</v>
      </c>
      <c r="E593" s="960">
        <f t="shared" ca="1" si="110"/>
        <v>1</v>
      </c>
      <c r="F593" s="209"/>
    </row>
    <row r="594" spans="1:6" ht="14.1" customHeight="1" x14ac:dyDescent="0.2">
      <c r="A594" s="959">
        <f ca="1">IF($H594="UNIDADE CONSTRUTIVA",OFFSET(A594,-1,0)+1,LARGE(A$3:A593,1))</f>
        <v>0</v>
      </c>
      <c r="B594" s="959">
        <f t="shared" ca="1" si="107"/>
        <v>16</v>
      </c>
      <c r="C594" s="959">
        <f t="shared" ca="1" si="108"/>
        <v>1</v>
      </c>
      <c r="D594" s="960">
        <f t="shared" ca="1" si="109"/>
        <v>1</v>
      </c>
      <c r="E594" s="960">
        <f t="shared" ca="1" si="110"/>
        <v>1</v>
      </c>
      <c r="F594" s="209"/>
    </row>
    <row r="595" spans="1:6" ht="14.1" customHeight="1" x14ac:dyDescent="0.2">
      <c r="A595" s="959">
        <f ca="1">IF($H595="UNIDADE CONSTRUTIVA",OFFSET(A595,-1,0)+1,LARGE(A$3:A594,1))</f>
        <v>0</v>
      </c>
      <c r="B595" s="959">
        <f t="shared" ca="1" si="107"/>
        <v>16</v>
      </c>
      <c r="C595" s="959">
        <f t="shared" ca="1" si="108"/>
        <v>1</v>
      </c>
      <c r="D595" s="960">
        <f t="shared" ca="1" si="109"/>
        <v>1</v>
      </c>
      <c r="E595" s="960">
        <f t="shared" ca="1" si="110"/>
        <v>1</v>
      </c>
      <c r="F595" s="209"/>
    </row>
    <row r="596" spans="1:6" ht="14.1" customHeight="1" x14ac:dyDescent="0.2">
      <c r="A596" s="959">
        <f ca="1">IF($H596="UNIDADE CONSTRUTIVA",OFFSET(A596,-1,0)+1,LARGE(A$3:A595,1))</f>
        <v>0</v>
      </c>
      <c r="B596" s="959">
        <f t="shared" ca="1" si="107"/>
        <v>16</v>
      </c>
      <c r="C596" s="959">
        <f t="shared" ca="1" si="108"/>
        <v>1</v>
      </c>
      <c r="D596" s="960">
        <f t="shared" ca="1" si="109"/>
        <v>1</v>
      </c>
      <c r="E596" s="960">
        <f t="shared" ca="1" si="110"/>
        <v>1</v>
      </c>
      <c r="F596" s="209"/>
    </row>
    <row r="597" spans="1:6" ht="14.1" customHeight="1" x14ac:dyDescent="0.2">
      <c r="A597" s="959">
        <f ca="1">IF($H597="UNIDADE CONSTRUTIVA",OFFSET(A597,-1,0)+1,LARGE(A$3:A596,1))</f>
        <v>0</v>
      </c>
      <c r="B597" s="959">
        <f t="shared" ca="1" si="107"/>
        <v>16</v>
      </c>
      <c r="C597" s="959">
        <f t="shared" ca="1" si="108"/>
        <v>1</v>
      </c>
      <c r="D597" s="960">
        <f t="shared" ca="1" si="109"/>
        <v>1</v>
      </c>
      <c r="E597" s="960">
        <f t="shared" ca="1" si="110"/>
        <v>1</v>
      </c>
      <c r="F597" s="209"/>
    </row>
    <row r="598" spans="1:6" ht="14.1" customHeight="1" x14ac:dyDescent="0.2">
      <c r="A598" s="959">
        <f ca="1">IF($H598="UNIDADE CONSTRUTIVA",OFFSET(A598,-1,0)+1,LARGE(A$3:A597,1))</f>
        <v>0</v>
      </c>
      <c r="B598" s="959">
        <f t="shared" ca="1" si="107"/>
        <v>16</v>
      </c>
      <c r="C598" s="959">
        <f t="shared" ca="1" si="108"/>
        <v>1</v>
      </c>
      <c r="D598" s="960">
        <f t="shared" ca="1" si="109"/>
        <v>1</v>
      </c>
      <c r="E598" s="960">
        <f t="shared" ca="1" si="110"/>
        <v>1</v>
      </c>
      <c r="F598" s="209"/>
    </row>
    <row r="599" spans="1:6" ht="14.1" customHeight="1" x14ac:dyDescent="0.2">
      <c r="A599" s="959">
        <f ca="1">IF($H599="UNIDADE CONSTRUTIVA",OFFSET(A599,-1,0)+1,LARGE(A$3:A598,1))</f>
        <v>0</v>
      </c>
      <c r="B599" s="959">
        <f t="shared" ca="1" si="107"/>
        <v>16</v>
      </c>
      <c r="C599" s="959">
        <f t="shared" ca="1" si="108"/>
        <v>1</v>
      </c>
      <c r="D599" s="960">
        <f t="shared" ca="1" si="109"/>
        <v>1</v>
      </c>
      <c r="E599" s="960">
        <f t="shared" ca="1" si="110"/>
        <v>1</v>
      </c>
      <c r="F599" s="209"/>
    </row>
    <row r="600" spans="1:6" ht="14.1" customHeight="1" x14ac:dyDescent="0.2">
      <c r="A600" s="959">
        <f ca="1">IF($H600="UNIDADE CONSTRUTIVA",OFFSET(A600,-1,0)+1,LARGE(A$3:A599,1))</f>
        <v>0</v>
      </c>
      <c r="B600" s="959">
        <f t="shared" ca="1" si="107"/>
        <v>16</v>
      </c>
      <c r="C600" s="959">
        <f t="shared" ca="1" si="108"/>
        <v>1</v>
      </c>
      <c r="D600" s="960">
        <f t="shared" ca="1" si="109"/>
        <v>1</v>
      </c>
      <c r="E600" s="960">
        <f t="shared" ca="1" si="110"/>
        <v>1</v>
      </c>
      <c r="F600" s="209"/>
    </row>
    <row r="601" spans="1:6" ht="14.1" customHeight="1" x14ac:dyDescent="0.2">
      <c r="A601" s="959">
        <f ca="1">IF($H601="UNIDADE CONSTRUTIVA",OFFSET(A601,-1,0)+1,LARGE(A$3:A600,1))</f>
        <v>0</v>
      </c>
      <c r="B601" s="959">
        <f t="shared" ca="1" si="107"/>
        <v>16</v>
      </c>
      <c r="C601" s="959">
        <f t="shared" ca="1" si="108"/>
        <v>1</v>
      </c>
      <c r="D601" s="960">
        <f t="shared" ca="1" si="109"/>
        <v>1</v>
      </c>
      <c r="E601" s="960">
        <f t="shared" ca="1" si="110"/>
        <v>1</v>
      </c>
      <c r="F601" s="209"/>
    </row>
    <row r="602" spans="1:6" ht="14.1" customHeight="1" x14ac:dyDescent="0.2">
      <c r="A602" s="959">
        <f ca="1">IF($H602="UNIDADE CONSTRUTIVA",OFFSET(A602,-1,0)+1,LARGE(A$3:A601,1))</f>
        <v>0</v>
      </c>
      <c r="B602" s="959">
        <f t="shared" ca="1" si="107"/>
        <v>16</v>
      </c>
      <c r="C602" s="959">
        <f t="shared" ca="1" si="108"/>
        <v>1</v>
      </c>
      <c r="D602" s="960">
        <f t="shared" ca="1" si="109"/>
        <v>1</v>
      </c>
      <c r="E602" s="960">
        <f t="shared" ca="1" si="110"/>
        <v>1</v>
      </c>
      <c r="F602" s="209"/>
    </row>
    <row r="603" spans="1:6" ht="14.1" customHeight="1" x14ac:dyDescent="0.2">
      <c r="A603" s="959">
        <f ca="1">IF($H603="UNIDADE CONSTRUTIVA",OFFSET(A603,-1,0)+1,LARGE(A$3:A602,1))</f>
        <v>0</v>
      </c>
      <c r="B603" s="959">
        <f t="shared" ca="1" si="107"/>
        <v>16</v>
      </c>
      <c r="C603" s="959">
        <f t="shared" ca="1" si="108"/>
        <v>1</v>
      </c>
      <c r="D603" s="960">
        <f t="shared" ca="1" si="109"/>
        <v>1</v>
      </c>
      <c r="E603" s="960">
        <f t="shared" ca="1" si="110"/>
        <v>1</v>
      </c>
      <c r="F603" s="209"/>
    </row>
    <row r="604" spans="1:6" ht="14.1" customHeight="1" x14ac:dyDescent="0.2">
      <c r="A604" s="959">
        <f ca="1">IF($H604="UNIDADE CONSTRUTIVA",OFFSET(A604,-1,0)+1,LARGE(A$3:A603,1))</f>
        <v>0</v>
      </c>
      <c r="B604" s="959">
        <f t="shared" ca="1" si="107"/>
        <v>16</v>
      </c>
      <c r="C604" s="959">
        <f t="shared" ca="1" si="108"/>
        <v>1</v>
      </c>
      <c r="D604" s="960">
        <f t="shared" ca="1" si="109"/>
        <v>1</v>
      </c>
      <c r="E604" s="960">
        <f t="shared" ca="1" si="110"/>
        <v>1</v>
      </c>
      <c r="F604" s="209"/>
    </row>
    <row r="605" spans="1:6" ht="14.1" customHeight="1" x14ac:dyDescent="0.2">
      <c r="A605" s="959">
        <f ca="1">IF($H605="UNIDADE CONSTRUTIVA",OFFSET(A605,-1,0)+1,LARGE(A$3:A604,1))</f>
        <v>0</v>
      </c>
      <c r="B605" s="959">
        <f t="shared" ca="1" si="107"/>
        <v>16</v>
      </c>
      <c r="C605" s="959">
        <f t="shared" ca="1" si="108"/>
        <v>1</v>
      </c>
      <c r="D605" s="960">
        <f t="shared" ca="1" si="109"/>
        <v>1</v>
      </c>
      <c r="E605" s="960">
        <f t="shared" ca="1" si="110"/>
        <v>1</v>
      </c>
      <c r="F605" s="209"/>
    </row>
    <row r="606" spans="1:6" ht="14.1" customHeight="1" x14ac:dyDescent="0.2">
      <c r="A606" s="959">
        <f ca="1">IF($H606="UNIDADE CONSTRUTIVA",OFFSET(A606,-1,0)+1,LARGE(A$3:A605,1))</f>
        <v>0</v>
      </c>
      <c r="B606" s="959">
        <f t="shared" ca="1" si="107"/>
        <v>16</v>
      </c>
      <c r="C606" s="959">
        <f t="shared" ca="1" si="108"/>
        <v>1</v>
      </c>
      <c r="D606" s="960">
        <f t="shared" ca="1" si="109"/>
        <v>1</v>
      </c>
      <c r="E606" s="960">
        <f t="shared" ca="1" si="110"/>
        <v>1</v>
      </c>
      <c r="F606" s="209"/>
    </row>
    <row r="607" spans="1:6" ht="14.1" customHeight="1" x14ac:dyDescent="0.2">
      <c r="A607" s="959">
        <f ca="1">IF($H607="UNIDADE CONSTRUTIVA",OFFSET(A607,-1,0)+1,LARGE(A$3:A606,1))</f>
        <v>0</v>
      </c>
      <c r="B607" s="959">
        <f t="shared" ca="1" si="107"/>
        <v>16</v>
      </c>
      <c r="C607" s="959">
        <f t="shared" ca="1" si="108"/>
        <v>1</v>
      </c>
      <c r="D607" s="960">
        <f t="shared" ca="1" si="109"/>
        <v>1</v>
      </c>
      <c r="E607" s="960">
        <f t="shared" ca="1" si="110"/>
        <v>1</v>
      </c>
      <c r="F607" s="209"/>
    </row>
    <row r="608" spans="1:6" ht="14.1" customHeight="1" x14ac:dyDescent="0.2">
      <c r="A608" s="959">
        <f ca="1">IF($H608="UNIDADE CONSTRUTIVA",OFFSET(A608,-1,0)+1,LARGE(A$3:A607,1))</f>
        <v>0</v>
      </c>
      <c r="B608" s="959">
        <f t="shared" ca="1" si="107"/>
        <v>16</v>
      </c>
      <c r="C608" s="959">
        <f t="shared" ca="1" si="108"/>
        <v>1</v>
      </c>
      <c r="D608" s="960">
        <f t="shared" ca="1" si="109"/>
        <v>1</v>
      </c>
      <c r="E608" s="960">
        <f t="shared" ca="1" si="110"/>
        <v>1</v>
      </c>
      <c r="F608" s="209"/>
    </row>
    <row r="609" spans="1:6" ht="14.1" customHeight="1" x14ac:dyDescent="0.2">
      <c r="A609" s="959">
        <f ca="1">IF($H609="UNIDADE CONSTRUTIVA",OFFSET(A609,-1,0)+1,LARGE(A$3:A608,1))</f>
        <v>0</v>
      </c>
      <c r="B609" s="959">
        <f t="shared" ca="1" si="107"/>
        <v>16</v>
      </c>
      <c r="C609" s="959">
        <f t="shared" ca="1" si="108"/>
        <v>1</v>
      </c>
      <c r="D609" s="960">
        <f t="shared" ca="1" si="109"/>
        <v>1</v>
      </c>
      <c r="E609" s="960">
        <f t="shared" ca="1" si="110"/>
        <v>1</v>
      </c>
      <c r="F609" s="209"/>
    </row>
    <row r="610" spans="1:6" ht="14.1" customHeight="1" x14ac:dyDescent="0.2">
      <c r="A610" s="959">
        <f ca="1">IF($H610="UNIDADE CONSTRUTIVA",OFFSET(A610,-1,0)+1,LARGE(A$3:A609,1))</f>
        <v>0</v>
      </c>
      <c r="B610" s="959">
        <f t="shared" ca="1" si="107"/>
        <v>16</v>
      </c>
      <c r="C610" s="959">
        <f t="shared" ca="1" si="108"/>
        <v>1</v>
      </c>
      <c r="D610" s="960">
        <f t="shared" ca="1" si="109"/>
        <v>1</v>
      </c>
      <c r="E610" s="960">
        <f t="shared" ca="1" si="110"/>
        <v>1</v>
      </c>
      <c r="F610" s="209"/>
    </row>
    <row r="611" spans="1:6" ht="14.1" customHeight="1" x14ac:dyDescent="0.2">
      <c r="A611" s="959">
        <f ca="1">IF($H611="UNIDADE CONSTRUTIVA",OFFSET(A611,-1,0)+1,LARGE(A$3:A610,1))</f>
        <v>0</v>
      </c>
      <c r="B611" s="959">
        <f t="shared" ca="1" si="107"/>
        <v>16</v>
      </c>
      <c r="C611" s="959">
        <f t="shared" ca="1" si="108"/>
        <v>1</v>
      </c>
      <c r="D611" s="960">
        <f t="shared" ca="1" si="109"/>
        <v>1</v>
      </c>
      <c r="E611" s="960">
        <f t="shared" ca="1" si="110"/>
        <v>1</v>
      </c>
      <c r="F611" s="209"/>
    </row>
    <row r="612" spans="1:6" ht="14.1" customHeight="1" x14ac:dyDescent="0.2">
      <c r="A612" s="959">
        <f ca="1">IF($H612="UNIDADE CONSTRUTIVA",OFFSET(A612,-1,0)+1,LARGE(A$3:A611,1))</f>
        <v>0</v>
      </c>
      <c r="B612" s="959">
        <f t="shared" ca="1" si="107"/>
        <v>16</v>
      </c>
      <c r="C612" s="959">
        <f t="shared" ca="1" si="108"/>
        <v>1</v>
      </c>
      <c r="D612" s="960">
        <f t="shared" ca="1" si="109"/>
        <v>1</v>
      </c>
      <c r="E612" s="960">
        <f t="shared" ca="1" si="110"/>
        <v>1</v>
      </c>
      <c r="F612" s="209"/>
    </row>
    <row r="613" spans="1:6" ht="14.1" customHeight="1" x14ac:dyDescent="0.2">
      <c r="A613" s="959">
        <f ca="1">IF($H613="UNIDADE CONSTRUTIVA",OFFSET(A613,-1,0)+1,LARGE(A$3:A612,1))</f>
        <v>0</v>
      </c>
      <c r="B613" s="959">
        <f t="shared" ca="1" si="107"/>
        <v>16</v>
      </c>
      <c r="C613" s="959">
        <f t="shared" ca="1" si="108"/>
        <v>1</v>
      </c>
      <c r="D613" s="960">
        <f t="shared" ca="1" si="109"/>
        <v>1</v>
      </c>
      <c r="E613" s="960">
        <f t="shared" ca="1" si="110"/>
        <v>1</v>
      </c>
      <c r="F613" s="209"/>
    </row>
    <row r="614" spans="1:6" ht="14.1" customHeight="1" x14ac:dyDescent="0.2">
      <c r="A614" s="959">
        <f ca="1">IF($H614="UNIDADE CONSTRUTIVA",OFFSET(A614,-1,0)+1,LARGE(A$3:A613,1))</f>
        <v>0</v>
      </c>
      <c r="B614" s="959">
        <f t="shared" ca="1" si="107"/>
        <v>16</v>
      </c>
      <c r="C614" s="959">
        <f t="shared" ca="1" si="108"/>
        <v>1</v>
      </c>
      <c r="D614" s="960">
        <f t="shared" ca="1" si="109"/>
        <v>1</v>
      </c>
      <c r="E614" s="960">
        <f t="shared" ca="1" si="110"/>
        <v>1</v>
      </c>
      <c r="F614" s="209"/>
    </row>
    <row r="615" spans="1:6" ht="14.1" customHeight="1" x14ac:dyDescent="0.2">
      <c r="A615" s="959">
        <f ca="1">IF($H615="UNIDADE CONSTRUTIVA",OFFSET(A615,-1,0)+1,LARGE(A$3:A614,1))</f>
        <v>0</v>
      </c>
      <c r="B615" s="959">
        <f t="shared" ca="1" si="107"/>
        <v>16</v>
      </c>
      <c r="C615" s="959">
        <f t="shared" ca="1" si="108"/>
        <v>1</v>
      </c>
      <c r="D615" s="960">
        <f t="shared" ca="1" si="109"/>
        <v>1</v>
      </c>
      <c r="E615" s="960">
        <f t="shared" ca="1" si="110"/>
        <v>1</v>
      </c>
      <c r="F615" s="209"/>
    </row>
    <row r="616" spans="1:6" ht="14.1" customHeight="1" x14ac:dyDescent="0.2">
      <c r="A616" s="959">
        <f ca="1">IF($H616="UNIDADE CONSTRUTIVA",OFFSET(A616,-1,0)+1,LARGE(A$3:A615,1))</f>
        <v>0</v>
      </c>
      <c r="B616" s="959">
        <f t="shared" ca="1" si="107"/>
        <v>16</v>
      </c>
      <c r="C616" s="959">
        <f t="shared" ca="1" si="108"/>
        <v>1</v>
      </c>
      <c r="D616" s="960">
        <f t="shared" ca="1" si="109"/>
        <v>1</v>
      </c>
      <c r="E616" s="960">
        <f t="shared" ca="1" si="110"/>
        <v>1</v>
      </c>
      <c r="F616" s="209"/>
    </row>
    <row r="617" spans="1:6" ht="14.1" customHeight="1" x14ac:dyDescent="0.2">
      <c r="A617" s="959">
        <f ca="1">IF($H617="UNIDADE CONSTRUTIVA",OFFSET(A617,-1,0)+1,LARGE(A$3:A616,1))</f>
        <v>0</v>
      </c>
      <c r="B617" s="959">
        <f t="shared" ca="1" si="107"/>
        <v>16</v>
      </c>
      <c r="C617" s="959">
        <f t="shared" ca="1" si="108"/>
        <v>1</v>
      </c>
      <c r="D617" s="960">
        <f t="shared" ca="1" si="109"/>
        <v>1</v>
      </c>
      <c r="E617" s="960">
        <f t="shared" ca="1" si="110"/>
        <v>1</v>
      </c>
      <c r="F617" s="209"/>
    </row>
    <row r="618" spans="1:6" ht="14.1" customHeight="1" x14ac:dyDescent="0.2">
      <c r="A618" s="959">
        <f ca="1">IF($H618="UNIDADE CONSTRUTIVA",OFFSET(A618,-1,0)+1,LARGE(A$3:A617,1))</f>
        <v>0</v>
      </c>
      <c r="B618" s="959">
        <f t="shared" ca="1" si="107"/>
        <v>16</v>
      </c>
      <c r="C618" s="959">
        <f t="shared" ca="1" si="108"/>
        <v>1</v>
      </c>
      <c r="D618" s="960">
        <f t="shared" ca="1" si="109"/>
        <v>1</v>
      </c>
      <c r="E618" s="960">
        <f t="shared" ca="1" si="110"/>
        <v>1</v>
      </c>
      <c r="F618" s="209"/>
    </row>
    <row r="619" spans="1:6" ht="14.1" customHeight="1" x14ac:dyDescent="0.2">
      <c r="A619" s="959">
        <f ca="1">IF($H619="UNIDADE CONSTRUTIVA",OFFSET(A619,-1,0)+1,LARGE(A$3:A618,1))</f>
        <v>0</v>
      </c>
      <c r="B619" s="959">
        <f t="shared" ca="1" si="107"/>
        <v>16</v>
      </c>
      <c r="C619" s="959">
        <f t="shared" ca="1" si="108"/>
        <v>1</v>
      </c>
      <c r="D619" s="960">
        <f t="shared" ca="1" si="109"/>
        <v>1</v>
      </c>
      <c r="E619" s="960">
        <f t="shared" ca="1" si="110"/>
        <v>1</v>
      </c>
      <c r="F619" s="209"/>
    </row>
    <row r="620" spans="1:6" ht="14.1" customHeight="1" x14ac:dyDescent="0.2">
      <c r="A620" s="959">
        <f ca="1">IF($H620="UNIDADE CONSTRUTIVA",OFFSET(A620,-1,0)+1,LARGE(A$3:A619,1))</f>
        <v>0</v>
      </c>
      <c r="B620" s="959">
        <f t="shared" ca="1" si="107"/>
        <v>16</v>
      </c>
      <c r="C620" s="959">
        <f t="shared" ca="1" si="108"/>
        <v>1</v>
      </c>
      <c r="D620" s="960">
        <f t="shared" ca="1" si="109"/>
        <v>1</v>
      </c>
      <c r="E620" s="960">
        <f t="shared" ca="1" si="110"/>
        <v>1</v>
      </c>
      <c r="F620" s="209"/>
    </row>
    <row r="621" spans="1:6" ht="14.1" customHeight="1" x14ac:dyDescent="0.2">
      <c r="A621" s="959">
        <f ca="1">IF($H621="UNIDADE CONSTRUTIVA",OFFSET(A621,-1,0)+1,LARGE(A$3:A620,1))</f>
        <v>0</v>
      </c>
      <c r="B621" s="959">
        <f t="shared" ca="1" si="107"/>
        <v>16</v>
      </c>
      <c r="C621" s="959">
        <f t="shared" ca="1" si="108"/>
        <v>1</v>
      </c>
      <c r="D621" s="960">
        <f t="shared" ca="1" si="109"/>
        <v>1</v>
      </c>
      <c r="E621" s="960">
        <f t="shared" ca="1" si="110"/>
        <v>1</v>
      </c>
      <c r="F621" s="209"/>
    </row>
    <row r="622" spans="1:6" ht="14.1" customHeight="1" x14ac:dyDescent="0.2">
      <c r="A622" s="959">
        <f ca="1">IF($H622="UNIDADE CONSTRUTIVA",OFFSET(A622,-1,0)+1,LARGE(A$3:A621,1))</f>
        <v>0</v>
      </c>
      <c r="B622" s="959">
        <f t="shared" ca="1" si="107"/>
        <v>16</v>
      </c>
      <c r="C622" s="959">
        <f t="shared" ca="1" si="108"/>
        <v>1</v>
      </c>
      <c r="D622" s="960">
        <f t="shared" ca="1" si="109"/>
        <v>1</v>
      </c>
      <c r="E622" s="960">
        <f t="shared" ca="1" si="110"/>
        <v>1</v>
      </c>
      <c r="F622" s="209"/>
    </row>
    <row r="623" spans="1:6" ht="14.1" customHeight="1" x14ac:dyDescent="0.2">
      <c r="A623" s="959">
        <f ca="1">IF($H623="UNIDADE CONSTRUTIVA",OFFSET(A623,-1,0)+1,LARGE(A$3:A622,1))</f>
        <v>0</v>
      </c>
      <c r="B623" s="959">
        <f t="shared" ca="1" si="107"/>
        <v>16</v>
      </c>
      <c r="C623" s="959">
        <f t="shared" ca="1" si="108"/>
        <v>1</v>
      </c>
      <c r="D623" s="960">
        <f t="shared" ca="1" si="109"/>
        <v>1</v>
      </c>
      <c r="E623" s="960">
        <f t="shared" ca="1" si="110"/>
        <v>1</v>
      </c>
      <c r="F623" s="209"/>
    </row>
    <row r="624" spans="1:6" ht="14.1" customHeight="1" x14ac:dyDescent="0.2">
      <c r="A624" s="959">
        <f ca="1">IF($H624="UNIDADE CONSTRUTIVA",OFFSET(A624,-1,0)+1,LARGE(A$3:A623,1))</f>
        <v>0</v>
      </c>
      <c r="B624" s="959">
        <f t="shared" ca="1" si="107"/>
        <v>16</v>
      </c>
      <c r="C624" s="959">
        <f t="shared" ca="1" si="108"/>
        <v>1</v>
      </c>
      <c r="D624" s="960">
        <f t="shared" ca="1" si="109"/>
        <v>1</v>
      </c>
      <c r="E624" s="960">
        <f t="shared" ca="1" si="110"/>
        <v>1</v>
      </c>
      <c r="F624" s="209"/>
    </row>
    <row r="625" spans="1:6" ht="14.1" customHeight="1" x14ac:dyDescent="0.2">
      <c r="A625" s="959">
        <f ca="1">IF($H625="UNIDADE CONSTRUTIVA",OFFSET(A625,-1,0)+1,LARGE(A$3:A624,1))</f>
        <v>0</v>
      </c>
      <c r="B625" s="959">
        <f t="shared" ca="1" si="107"/>
        <v>16</v>
      </c>
      <c r="C625" s="959">
        <f t="shared" ca="1" si="108"/>
        <v>1</v>
      </c>
      <c r="D625" s="960">
        <f t="shared" ca="1" si="109"/>
        <v>1</v>
      </c>
      <c r="E625" s="960">
        <f t="shared" ca="1" si="110"/>
        <v>1</v>
      </c>
      <c r="F625" s="209"/>
    </row>
    <row r="626" spans="1:6" ht="14.1" customHeight="1" x14ac:dyDescent="0.2">
      <c r="A626" s="959">
        <f ca="1">IF($H626="UNIDADE CONSTRUTIVA",OFFSET(A626,-1,0)+1,LARGE(A$3:A625,1))</f>
        <v>0</v>
      </c>
      <c r="B626" s="959">
        <f t="shared" ca="1" si="107"/>
        <v>16</v>
      </c>
      <c r="C626" s="959">
        <f t="shared" ca="1" si="108"/>
        <v>1</v>
      </c>
      <c r="D626" s="960">
        <f t="shared" ca="1" si="109"/>
        <v>1</v>
      </c>
      <c r="E626" s="960">
        <f t="shared" ca="1" si="110"/>
        <v>1</v>
      </c>
      <c r="F626" s="209"/>
    </row>
    <row r="627" spans="1:6" ht="14.1" customHeight="1" x14ac:dyDescent="0.2">
      <c r="A627" s="959">
        <f ca="1">IF($H627="UNIDADE CONSTRUTIVA",OFFSET(A627,-1,0)+1,LARGE(A$3:A626,1))</f>
        <v>0</v>
      </c>
      <c r="B627" s="959">
        <f t="shared" ca="1" si="107"/>
        <v>16</v>
      </c>
      <c r="C627" s="959">
        <f t="shared" ca="1" si="108"/>
        <v>1</v>
      </c>
      <c r="D627" s="960">
        <f t="shared" ca="1" si="109"/>
        <v>1</v>
      </c>
      <c r="E627" s="960">
        <f t="shared" ca="1" si="110"/>
        <v>1</v>
      </c>
      <c r="F627" s="209"/>
    </row>
    <row r="628" spans="1:6" ht="14.1" customHeight="1" x14ac:dyDescent="0.2">
      <c r="A628" s="959">
        <f ca="1">IF($H628="UNIDADE CONSTRUTIVA",OFFSET(A628,-1,0)+1,LARGE(A$3:A627,1))</f>
        <v>0</v>
      </c>
      <c r="B628" s="959">
        <f t="shared" ca="1" si="107"/>
        <v>16</v>
      </c>
      <c r="C628" s="959">
        <f t="shared" ca="1" si="108"/>
        <v>1</v>
      </c>
      <c r="D628" s="960">
        <f t="shared" ca="1" si="109"/>
        <v>1</v>
      </c>
      <c r="E628" s="960">
        <f t="shared" ca="1" si="110"/>
        <v>1</v>
      </c>
      <c r="F628" s="209"/>
    </row>
    <row r="629" spans="1:6" ht="14.1" customHeight="1" x14ac:dyDescent="0.2">
      <c r="A629" s="959">
        <f ca="1">IF($H629="UNIDADE CONSTRUTIVA",OFFSET(A629,-1,0)+1,LARGE(A$3:A628,1))</f>
        <v>0</v>
      </c>
      <c r="B629" s="959">
        <f t="shared" ca="1" si="107"/>
        <v>16</v>
      </c>
      <c r="C629" s="959">
        <f t="shared" ca="1" si="108"/>
        <v>1</v>
      </c>
      <c r="D629" s="960">
        <f t="shared" ca="1" si="109"/>
        <v>1</v>
      </c>
      <c r="E629" s="960">
        <f t="shared" ca="1" si="110"/>
        <v>1</v>
      </c>
      <c r="F629" s="209"/>
    </row>
    <row r="630" spans="1:6" ht="14.1" customHeight="1" x14ac:dyDescent="0.2">
      <c r="A630" s="959">
        <f ca="1">IF($H630="UNIDADE CONSTRUTIVA",OFFSET(A630,-1,0)+1,LARGE(A$3:A629,1))</f>
        <v>0</v>
      </c>
      <c r="B630" s="959">
        <f t="shared" ca="1" si="107"/>
        <v>16</v>
      </c>
      <c r="C630" s="959">
        <f t="shared" ca="1" si="108"/>
        <v>1</v>
      </c>
      <c r="D630" s="960">
        <f t="shared" ca="1" si="109"/>
        <v>1</v>
      </c>
      <c r="E630" s="960">
        <f t="shared" ca="1" si="110"/>
        <v>1</v>
      </c>
      <c r="F630" s="209"/>
    </row>
    <row r="631" spans="1:6" ht="14.1" customHeight="1" x14ac:dyDescent="0.2">
      <c r="A631" s="959">
        <f ca="1">IF($H631="UNIDADE CONSTRUTIVA",OFFSET(A631,-1,0)+1,LARGE(A$3:A630,1))</f>
        <v>0</v>
      </c>
      <c r="B631" s="959">
        <f t="shared" ca="1" si="107"/>
        <v>16</v>
      </c>
      <c r="C631" s="959">
        <f t="shared" ca="1" si="108"/>
        <v>1</v>
      </c>
      <c r="D631" s="960">
        <f t="shared" ca="1" si="109"/>
        <v>1</v>
      </c>
      <c r="E631" s="960">
        <f t="shared" ca="1" si="110"/>
        <v>1</v>
      </c>
      <c r="F631" s="209"/>
    </row>
    <row r="632" spans="1:6" ht="14.1" customHeight="1" x14ac:dyDescent="0.2">
      <c r="A632" s="959">
        <f ca="1">IF($H632="UNIDADE CONSTRUTIVA",OFFSET(A632,-1,0)+1,LARGE(A$3:A631,1))</f>
        <v>0</v>
      </c>
      <c r="B632" s="959">
        <f t="shared" ca="1" si="107"/>
        <v>16</v>
      </c>
      <c r="C632" s="959">
        <f t="shared" ca="1" si="108"/>
        <v>1</v>
      </c>
      <c r="D632" s="960">
        <f t="shared" ca="1" si="109"/>
        <v>1</v>
      </c>
      <c r="E632" s="960">
        <f t="shared" ca="1" si="110"/>
        <v>1</v>
      </c>
      <c r="F632" s="209"/>
    </row>
    <row r="633" spans="1:6" ht="14.1" customHeight="1" x14ac:dyDescent="0.2">
      <c r="A633" s="959">
        <f ca="1">IF($H633="UNIDADE CONSTRUTIVA",OFFSET(A633,-1,0)+1,LARGE(A$3:A632,1))</f>
        <v>0</v>
      </c>
      <c r="B633" s="959">
        <f t="shared" ca="1" si="107"/>
        <v>16</v>
      </c>
      <c r="C633" s="959">
        <f t="shared" ca="1" si="108"/>
        <v>1</v>
      </c>
      <c r="D633" s="960">
        <f t="shared" ca="1" si="109"/>
        <v>1</v>
      </c>
      <c r="E633" s="960">
        <f t="shared" ca="1" si="110"/>
        <v>1</v>
      </c>
      <c r="F633" s="209"/>
    </row>
    <row r="634" spans="1:6" ht="14.1" customHeight="1" x14ac:dyDescent="0.2">
      <c r="A634" s="959">
        <f ca="1">IF($H634="UNIDADE CONSTRUTIVA",OFFSET(A634,-1,0)+1,LARGE(A$3:A633,1))</f>
        <v>0</v>
      </c>
      <c r="B634" s="959">
        <f t="shared" ca="1" si="107"/>
        <v>16</v>
      </c>
      <c r="C634" s="959">
        <f t="shared" ca="1" si="108"/>
        <v>1</v>
      </c>
      <c r="D634" s="960">
        <f t="shared" ca="1" si="109"/>
        <v>1</v>
      </c>
      <c r="E634" s="960">
        <f t="shared" ca="1" si="110"/>
        <v>1</v>
      </c>
      <c r="F634" s="209"/>
    </row>
    <row r="635" spans="1:6" ht="14.1" customHeight="1" x14ac:dyDescent="0.2">
      <c r="A635" s="959">
        <f ca="1">IF($H635="UNIDADE CONSTRUTIVA",OFFSET(A635,-1,0)+1,LARGE(A$3:A634,1))</f>
        <v>0</v>
      </c>
      <c r="B635" s="959">
        <f t="shared" ca="1" si="107"/>
        <v>16</v>
      </c>
      <c r="C635" s="959">
        <f t="shared" ca="1" si="108"/>
        <v>1</v>
      </c>
      <c r="D635" s="960">
        <f t="shared" ca="1" si="109"/>
        <v>1</v>
      </c>
      <c r="E635" s="960">
        <f t="shared" ca="1" si="110"/>
        <v>1</v>
      </c>
      <c r="F635" s="209"/>
    </row>
    <row r="636" spans="1:6" ht="14.1" customHeight="1" x14ac:dyDescent="0.2">
      <c r="A636" s="959">
        <f ca="1">IF($H636="UNIDADE CONSTRUTIVA",OFFSET(A636,-1,0)+1,LARGE(A$3:A635,1))</f>
        <v>0</v>
      </c>
      <c r="B636" s="959">
        <f t="shared" ca="1" si="107"/>
        <v>16</v>
      </c>
      <c r="C636" s="959">
        <f t="shared" ca="1" si="108"/>
        <v>1</v>
      </c>
      <c r="D636" s="960">
        <f t="shared" ca="1" si="109"/>
        <v>1</v>
      </c>
      <c r="E636" s="960">
        <f t="shared" ca="1" si="110"/>
        <v>1</v>
      </c>
      <c r="F636" s="209"/>
    </row>
    <row r="637" spans="1:6" ht="14.1" customHeight="1" x14ac:dyDescent="0.2">
      <c r="A637" s="959">
        <f ca="1">IF($H637="UNIDADE CONSTRUTIVA",OFFSET(A637,-1,0)+1,LARGE(A$3:A636,1))</f>
        <v>0</v>
      </c>
      <c r="B637" s="959">
        <f t="shared" ca="1" si="107"/>
        <v>16</v>
      </c>
      <c r="C637" s="959">
        <f t="shared" ca="1" si="108"/>
        <v>1</v>
      </c>
      <c r="D637" s="960">
        <f t="shared" ca="1" si="109"/>
        <v>1</v>
      </c>
      <c r="E637" s="960">
        <f t="shared" ca="1" si="110"/>
        <v>1</v>
      </c>
      <c r="F637" s="209"/>
    </row>
    <row r="638" spans="1:6" ht="14.1" customHeight="1" x14ac:dyDescent="0.2">
      <c r="A638" s="959">
        <f ca="1">IF($H638="UNIDADE CONSTRUTIVA",OFFSET(A638,-1,0)+1,LARGE(A$3:A637,1))</f>
        <v>0</v>
      </c>
      <c r="B638" s="959">
        <f t="shared" ref="B638:B701" ca="1" si="111">IF(H638="UNIDADE CONSTRUTIVA",0,IF(H638="CÉLULA CONSTRUTIVA",OFFSET(B638,-1,0)+1,OFFSET(B638,-1,0)))</f>
        <v>16</v>
      </c>
      <c r="C638" s="959">
        <f t="shared" ca="1" si="108"/>
        <v>1</v>
      </c>
      <c r="D638" s="960">
        <f t="shared" ca="1" si="109"/>
        <v>1</v>
      </c>
      <c r="E638" s="960">
        <f t="shared" ca="1" si="110"/>
        <v>1</v>
      </c>
      <c r="F638" s="209"/>
    </row>
    <row r="639" spans="1:6" ht="14.1" customHeight="1" x14ac:dyDescent="0.2">
      <c r="A639" s="959">
        <f ca="1">IF($H639="UNIDADE CONSTRUTIVA",OFFSET(A639,-1,0)+1,LARGE(A$3:A638,1))</f>
        <v>0</v>
      </c>
      <c r="B639" s="959">
        <f t="shared" ca="1" si="111"/>
        <v>16</v>
      </c>
      <c r="C639" s="959">
        <f t="shared" ca="1" si="108"/>
        <v>1</v>
      </c>
      <c r="D639" s="960">
        <f t="shared" ca="1" si="109"/>
        <v>1</v>
      </c>
      <c r="E639" s="960">
        <f t="shared" ca="1" si="110"/>
        <v>1</v>
      </c>
      <c r="F639" s="209"/>
    </row>
    <row r="640" spans="1:6" ht="14.1" customHeight="1" x14ac:dyDescent="0.2">
      <c r="A640" s="959">
        <f ca="1">IF($H640="UNIDADE CONSTRUTIVA",OFFSET(A640,-1,0)+1,LARGE(A$3:A639,1))</f>
        <v>0</v>
      </c>
      <c r="B640" s="959">
        <f t="shared" ca="1" si="111"/>
        <v>16</v>
      </c>
      <c r="C640" s="959">
        <f t="shared" ca="1" si="108"/>
        <v>1</v>
      </c>
      <c r="D640" s="960">
        <f t="shared" ca="1" si="109"/>
        <v>1</v>
      </c>
      <c r="E640" s="960">
        <f t="shared" ca="1" si="110"/>
        <v>1</v>
      </c>
      <c r="F640" s="209"/>
    </row>
    <row r="641" spans="1:6" ht="14.1" customHeight="1" x14ac:dyDescent="0.2">
      <c r="A641" s="959">
        <f ca="1">IF($H641="UNIDADE CONSTRUTIVA",OFFSET(A641,-1,0)+1,LARGE(A$3:A640,1))</f>
        <v>0</v>
      </c>
      <c r="B641" s="959">
        <f t="shared" ca="1" si="111"/>
        <v>16</v>
      </c>
      <c r="C641" s="959">
        <f t="shared" ca="1" si="108"/>
        <v>1</v>
      </c>
      <c r="D641" s="960">
        <f t="shared" ca="1" si="109"/>
        <v>1</v>
      </c>
      <c r="E641" s="960">
        <f t="shared" ca="1" si="110"/>
        <v>1</v>
      </c>
      <c r="F641" s="209"/>
    </row>
    <row r="642" spans="1:6" ht="14.1" customHeight="1" x14ac:dyDescent="0.2">
      <c r="A642" s="959">
        <f ca="1">IF($H642="UNIDADE CONSTRUTIVA",OFFSET(A642,-1,0)+1,LARGE(A$3:A641,1))</f>
        <v>0</v>
      </c>
      <c r="B642" s="959">
        <f t="shared" ca="1" si="111"/>
        <v>16</v>
      </c>
      <c r="C642" s="959">
        <f t="shared" ca="1" si="108"/>
        <v>1</v>
      </c>
      <c r="D642" s="960">
        <f t="shared" ca="1" si="109"/>
        <v>1</v>
      </c>
      <c r="E642" s="960">
        <f t="shared" ca="1" si="110"/>
        <v>1</v>
      </c>
      <c r="F642" s="209"/>
    </row>
    <row r="643" spans="1:6" ht="14.1" customHeight="1" x14ac:dyDescent="0.2">
      <c r="A643" s="959">
        <f ca="1">IF($H643="UNIDADE CONSTRUTIVA",OFFSET(A643,-1,0)+1,LARGE(A$3:A642,1))</f>
        <v>0</v>
      </c>
      <c r="B643" s="959">
        <f t="shared" ca="1" si="111"/>
        <v>16</v>
      </c>
      <c r="C643" s="959">
        <f t="shared" ca="1" si="108"/>
        <v>1</v>
      </c>
      <c r="D643" s="960">
        <f t="shared" ca="1" si="109"/>
        <v>1</v>
      </c>
      <c r="E643" s="960">
        <f t="shared" ca="1" si="110"/>
        <v>1</v>
      </c>
      <c r="F643" s="209"/>
    </row>
    <row r="644" spans="1:6" ht="14.1" customHeight="1" x14ac:dyDescent="0.2">
      <c r="A644" s="959">
        <f ca="1">IF($H644="UNIDADE CONSTRUTIVA",OFFSET(A644,-1,0)+1,LARGE(A$3:A643,1))</f>
        <v>0</v>
      </c>
      <c r="B644" s="959">
        <f t="shared" ca="1" si="111"/>
        <v>16</v>
      </c>
      <c r="C644" s="959">
        <f t="shared" ca="1" si="108"/>
        <v>1</v>
      </c>
      <c r="D644" s="960">
        <f t="shared" ca="1" si="109"/>
        <v>1</v>
      </c>
      <c r="E644" s="960">
        <f t="shared" ca="1" si="110"/>
        <v>1</v>
      </c>
      <c r="F644" s="209"/>
    </row>
    <row r="645" spans="1:6" ht="14.1" customHeight="1" x14ac:dyDescent="0.2">
      <c r="A645" s="959">
        <f ca="1">IF($H645="UNIDADE CONSTRUTIVA",OFFSET(A645,-1,0)+1,LARGE(A$3:A644,1))</f>
        <v>0</v>
      </c>
      <c r="B645" s="959">
        <f t="shared" ca="1" si="111"/>
        <v>16</v>
      </c>
      <c r="C645" s="959">
        <f t="shared" ca="1" si="108"/>
        <v>1</v>
      </c>
      <c r="D645" s="960">
        <f t="shared" ca="1" si="109"/>
        <v>1</v>
      </c>
      <c r="E645" s="960">
        <f t="shared" ca="1" si="110"/>
        <v>1</v>
      </c>
      <c r="F645" s="209"/>
    </row>
    <row r="646" spans="1:6" ht="14.1" customHeight="1" x14ac:dyDescent="0.2">
      <c r="A646" s="959">
        <f ca="1">IF($H646="UNIDADE CONSTRUTIVA",OFFSET(A646,-1,0)+1,LARGE(A$3:A645,1))</f>
        <v>0</v>
      </c>
      <c r="B646" s="959">
        <f t="shared" ca="1" si="111"/>
        <v>16</v>
      </c>
      <c r="C646" s="959">
        <f t="shared" ca="1" si="108"/>
        <v>1</v>
      </c>
      <c r="D646" s="960">
        <f t="shared" ca="1" si="109"/>
        <v>1</v>
      </c>
      <c r="E646" s="960">
        <f t="shared" ca="1" si="110"/>
        <v>1</v>
      </c>
      <c r="F646" s="209"/>
    </row>
    <row r="647" spans="1:6" ht="14.1" customHeight="1" x14ac:dyDescent="0.2">
      <c r="A647" s="959">
        <f ca="1">IF($H647="UNIDADE CONSTRUTIVA",OFFSET(A647,-1,0)+1,LARGE(A$3:A646,1))</f>
        <v>0</v>
      </c>
      <c r="B647" s="959">
        <f t="shared" ca="1" si="111"/>
        <v>16</v>
      </c>
      <c r="C647" s="959">
        <f t="shared" ca="1" si="108"/>
        <v>1</v>
      </c>
      <c r="D647" s="960">
        <f t="shared" ca="1" si="109"/>
        <v>1</v>
      </c>
      <c r="E647" s="960">
        <f t="shared" ca="1" si="110"/>
        <v>1</v>
      </c>
      <c r="F647" s="209"/>
    </row>
    <row r="648" spans="1:6" ht="14.1" customHeight="1" x14ac:dyDescent="0.2">
      <c r="A648" s="959">
        <f ca="1">IF($H648="UNIDADE CONSTRUTIVA",OFFSET(A648,-1,0)+1,LARGE(A$3:A647,1))</f>
        <v>0</v>
      </c>
      <c r="B648" s="959">
        <f t="shared" ca="1" si="111"/>
        <v>16</v>
      </c>
      <c r="C648" s="959">
        <f t="shared" ca="1" si="108"/>
        <v>1</v>
      </c>
      <c r="D648" s="960">
        <f t="shared" ca="1" si="109"/>
        <v>1</v>
      </c>
      <c r="E648" s="960">
        <f t="shared" ca="1" si="110"/>
        <v>1</v>
      </c>
      <c r="F648" s="209"/>
    </row>
    <row r="649" spans="1:6" ht="14.1" customHeight="1" x14ac:dyDescent="0.2">
      <c r="A649" s="959">
        <f ca="1">IF($H649="UNIDADE CONSTRUTIVA",OFFSET(A649,-1,0)+1,LARGE(A$3:A648,1))</f>
        <v>0</v>
      </c>
      <c r="B649" s="959">
        <f t="shared" ca="1" si="111"/>
        <v>16</v>
      </c>
      <c r="C649" s="959">
        <f t="shared" ca="1" si="108"/>
        <v>1</v>
      </c>
      <c r="D649" s="960">
        <f t="shared" ca="1" si="109"/>
        <v>1</v>
      </c>
      <c r="E649" s="960">
        <f t="shared" ca="1" si="110"/>
        <v>1</v>
      </c>
      <c r="F649" s="209"/>
    </row>
    <row r="650" spans="1:6" ht="14.1" customHeight="1" x14ac:dyDescent="0.2">
      <c r="A650" s="959">
        <f ca="1">IF($H650="UNIDADE CONSTRUTIVA",OFFSET(A650,-1,0)+1,LARGE(A$3:A649,1))</f>
        <v>0</v>
      </c>
      <c r="B650" s="959">
        <f t="shared" ca="1" si="111"/>
        <v>16</v>
      </c>
      <c r="C650" s="959">
        <f t="shared" ca="1" si="108"/>
        <v>1</v>
      </c>
      <c r="D650" s="960">
        <f t="shared" ca="1" si="109"/>
        <v>1</v>
      </c>
      <c r="E650" s="960">
        <f t="shared" ca="1" si="110"/>
        <v>1</v>
      </c>
      <c r="F650" s="209"/>
    </row>
    <row r="651" spans="1:6" ht="14.1" customHeight="1" x14ac:dyDescent="0.2">
      <c r="A651" s="959">
        <f ca="1">IF($H651="UNIDADE CONSTRUTIVA",OFFSET(A651,-1,0)+1,LARGE(A$3:A650,1))</f>
        <v>0</v>
      </c>
      <c r="B651" s="959">
        <f t="shared" ca="1" si="111"/>
        <v>16</v>
      </c>
      <c r="C651" s="959">
        <f t="shared" ca="1" si="108"/>
        <v>1</v>
      </c>
      <c r="D651" s="960">
        <f t="shared" ca="1" si="109"/>
        <v>1</v>
      </c>
      <c r="E651" s="960">
        <f t="shared" ca="1" si="110"/>
        <v>1</v>
      </c>
      <c r="F651" s="209"/>
    </row>
    <row r="652" spans="1:6" ht="14.1" customHeight="1" x14ac:dyDescent="0.2">
      <c r="A652" s="959">
        <f ca="1">IF($H652="UNIDADE CONSTRUTIVA",OFFSET(A652,-1,0)+1,LARGE(A$3:A651,1))</f>
        <v>0</v>
      </c>
      <c r="B652" s="959">
        <f t="shared" ca="1" si="111"/>
        <v>16</v>
      </c>
      <c r="C652" s="959">
        <f t="shared" ref="C652:C715" ca="1" si="112">IF(H652="CÉLULA CONSTRUTIVA",0,IF(H652="ETAPA",OFFSET(C652,-1,0)+1,OFFSET(C652,-1,0)))</f>
        <v>1</v>
      </c>
      <c r="D652" s="960">
        <f t="shared" ref="D652:D715" ca="1" si="113">IF(H652="ETAPA",0,IF(H652="SUBETAPA",OFFSET(D652,-1,0)+1,OFFSET(D652,-1,0)))</f>
        <v>1</v>
      </c>
      <c r="E652" s="960">
        <f t="shared" ref="E652:E715" ca="1" si="114">IF(H652="Subetapa",0,IF(H652="serviço",OFFSET(E652,-1,0)+1,OFFSET(E652,-1,0)))</f>
        <v>1</v>
      </c>
      <c r="F652" s="209"/>
    </row>
    <row r="653" spans="1:6" ht="14.1" customHeight="1" x14ac:dyDescent="0.2">
      <c r="A653" s="959">
        <f ca="1">IF($H653="UNIDADE CONSTRUTIVA",OFFSET(A653,-1,0)+1,LARGE(A$3:A652,1))</f>
        <v>0</v>
      </c>
      <c r="B653" s="959">
        <f t="shared" ca="1" si="111"/>
        <v>16</v>
      </c>
      <c r="C653" s="959">
        <f t="shared" ca="1" si="112"/>
        <v>1</v>
      </c>
      <c r="D653" s="960">
        <f t="shared" ca="1" si="113"/>
        <v>1</v>
      </c>
      <c r="E653" s="960">
        <f t="shared" ca="1" si="114"/>
        <v>1</v>
      </c>
      <c r="F653" s="209"/>
    </row>
    <row r="654" spans="1:6" ht="14.1" customHeight="1" x14ac:dyDescent="0.2">
      <c r="A654" s="959">
        <f ca="1">IF($H654="UNIDADE CONSTRUTIVA",OFFSET(A654,-1,0)+1,LARGE(A$3:A653,1))</f>
        <v>0</v>
      </c>
      <c r="B654" s="959">
        <f t="shared" ca="1" si="111"/>
        <v>16</v>
      </c>
      <c r="C654" s="959">
        <f t="shared" ca="1" si="112"/>
        <v>1</v>
      </c>
      <c r="D654" s="960">
        <f t="shared" ca="1" si="113"/>
        <v>1</v>
      </c>
      <c r="E654" s="960">
        <f t="shared" ca="1" si="114"/>
        <v>1</v>
      </c>
      <c r="F654" s="209"/>
    </row>
    <row r="655" spans="1:6" ht="14.1" customHeight="1" x14ac:dyDescent="0.2">
      <c r="A655" s="959">
        <f ca="1">IF($H655="UNIDADE CONSTRUTIVA",OFFSET(A655,-1,0)+1,LARGE(A$3:A654,1))</f>
        <v>0</v>
      </c>
      <c r="B655" s="959">
        <f t="shared" ca="1" si="111"/>
        <v>16</v>
      </c>
      <c r="C655" s="959">
        <f t="shared" ca="1" si="112"/>
        <v>1</v>
      </c>
      <c r="D655" s="960">
        <f t="shared" ca="1" si="113"/>
        <v>1</v>
      </c>
      <c r="E655" s="960">
        <f t="shared" ca="1" si="114"/>
        <v>1</v>
      </c>
      <c r="F655" s="209"/>
    </row>
    <row r="656" spans="1:6" ht="14.1" customHeight="1" x14ac:dyDescent="0.2">
      <c r="A656" s="959">
        <f ca="1">IF($H656="UNIDADE CONSTRUTIVA",OFFSET(A656,-1,0)+1,LARGE(A$3:A655,1))</f>
        <v>0</v>
      </c>
      <c r="B656" s="959">
        <f t="shared" ca="1" si="111"/>
        <v>16</v>
      </c>
      <c r="C656" s="959">
        <f t="shared" ca="1" si="112"/>
        <v>1</v>
      </c>
      <c r="D656" s="960">
        <f t="shared" ca="1" si="113"/>
        <v>1</v>
      </c>
      <c r="E656" s="960">
        <f t="shared" ca="1" si="114"/>
        <v>1</v>
      </c>
      <c r="F656" s="209"/>
    </row>
    <row r="657" spans="1:6" ht="14.1" customHeight="1" x14ac:dyDescent="0.2">
      <c r="A657" s="959">
        <f ca="1">IF($H657="UNIDADE CONSTRUTIVA",OFFSET(A657,-1,0)+1,LARGE(A$3:A656,1))</f>
        <v>0</v>
      </c>
      <c r="B657" s="959">
        <f t="shared" ca="1" si="111"/>
        <v>16</v>
      </c>
      <c r="C657" s="959">
        <f t="shared" ca="1" si="112"/>
        <v>1</v>
      </c>
      <c r="D657" s="960">
        <f t="shared" ca="1" si="113"/>
        <v>1</v>
      </c>
      <c r="E657" s="960">
        <f t="shared" ca="1" si="114"/>
        <v>1</v>
      </c>
      <c r="F657" s="209"/>
    </row>
    <row r="658" spans="1:6" ht="14.1" customHeight="1" x14ac:dyDescent="0.2">
      <c r="A658" s="959">
        <f ca="1">IF($H658="UNIDADE CONSTRUTIVA",OFFSET(A658,-1,0)+1,LARGE(A$3:A657,1))</f>
        <v>0</v>
      </c>
      <c r="B658" s="959">
        <f t="shared" ca="1" si="111"/>
        <v>16</v>
      </c>
      <c r="C658" s="959">
        <f t="shared" ca="1" si="112"/>
        <v>1</v>
      </c>
      <c r="D658" s="960">
        <f t="shared" ca="1" si="113"/>
        <v>1</v>
      </c>
      <c r="E658" s="960">
        <f t="shared" ca="1" si="114"/>
        <v>1</v>
      </c>
      <c r="F658" s="209"/>
    </row>
    <row r="659" spans="1:6" ht="14.1" customHeight="1" x14ac:dyDescent="0.2">
      <c r="A659" s="959">
        <f ca="1">IF($H659="UNIDADE CONSTRUTIVA",OFFSET(A659,-1,0)+1,LARGE(A$3:A658,1))</f>
        <v>0</v>
      </c>
      <c r="B659" s="959">
        <f t="shared" ca="1" si="111"/>
        <v>16</v>
      </c>
      <c r="C659" s="959">
        <f t="shared" ca="1" si="112"/>
        <v>1</v>
      </c>
      <c r="D659" s="960">
        <f t="shared" ca="1" si="113"/>
        <v>1</v>
      </c>
      <c r="E659" s="960">
        <f t="shared" ca="1" si="114"/>
        <v>1</v>
      </c>
      <c r="F659" s="209"/>
    </row>
    <row r="660" spans="1:6" ht="14.1" customHeight="1" x14ac:dyDescent="0.2">
      <c r="A660" s="959">
        <f ca="1">IF($H660="UNIDADE CONSTRUTIVA",OFFSET(A660,-1,0)+1,LARGE(A$3:A659,1))</f>
        <v>0</v>
      </c>
      <c r="B660" s="959">
        <f t="shared" ca="1" si="111"/>
        <v>16</v>
      </c>
      <c r="C660" s="959">
        <f t="shared" ca="1" si="112"/>
        <v>1</v>
      </c>
      <c r="D660" s="960">
        <f t="shared" ca="1" si="113"/>
        <v>1</v>
      </c>
      <c r="E660" s="960">
        <f t="shared" ca="1" si="114"/>
        <v>1</v>
      </c>
      <c r="F660" s="209"/>
    </row>
    <row r="661" spans="1:6" ht="14.1" customHeight="1" x14ac:dyDescent="0.2">
      <c r="A661" s="959">
        <f ca="1">IF($H661="UNIDADE CONSTRUTIVA",OFFSET(A661,-1,0)+1,LARGE(A$3:A660,1))</f>
        <v>0</v>
      </c>
      <c r="B661" s="959">
        <f t="shared" ca="1" si="111"/>
        <v>16</v>
      </c>
      <c r="C661" s="959">
        <f t="shared" ca="1" si="112"/>
        <v>1</v>
      </c>
      <c r="D661" s="960">
        <f t="shared" ca="1" si="113"/>
        <v>1</v>
      </c>
      <c r="E661" s="960">
        <f t="shared" ca="1" si="114"/>
        <v>1</v>
      </c>
      <c r="F661" s="209"/>
    </row>
    <row r="662" spans="1:6" ht="14.1" customHeight="1" x14ac:dyDescent="0.2">
      <c r="A662" s="959">
        <f ca="1">IF($H662="UNIDADE CONSTRUTIVA",OFFSET(A662,-1,0)+1,LARGE(A$3:A661,1))</f>
        <v>0</v>
      </c>
      <c r="B662" s="959">
        <f t="shared" ca="1" si="111"/>
        <v>16</v>
      </c>
      <c r="C662" s="959">
        <f t="shared" ca="1" si="112"/>
        <v>1</v>
      </c>
      <c r="D662" s="960">
        <f t="shared" ca="1" si="113"/>
        <v>1</v>
      </c>
      <c r="E662" s="960">
        <f t="shared" ca="1" si="114"/>
        <v>1</v>
      </c>
      <c r="F662" s="209"/>
    </row>
    <row r="663" spans="1:6" ht="14.1" customHeight="1" x14ac:dyDescent="0.2">
      <c r="A663" s="959">
        <f ca="1">IF($H663="UNIDADE CONSTRUTIVA",OFFSET(A663,-1,0)+1,LARGE(A$3:A662,1))</f>
        <v>0</v>
      </c>
      <c r="B663" s="959">
        <f t="shared" ca="1" si="111"/>
        <v>16</v>
      </c>
      <c r="C663" s="959">
        <f t="shared" ca="1" si="112"/>
        <v>1</v>
      </c>
      <c r="D663" s="960">
        <f t="shared" ca="1" si="113"/>
        <v>1</v>
      </c>
      <c r="E663" s="960">
        <f t="shared" ca="1" si="114"/>
        <v>1</v>
      </c>
      <c r="F663" s="209"/>
    </row>
    <row r="664" spans="1:6" ht="14.1" customHeight="1" x14ac:dyDescent="0.2">
      <c r="A664" s="959">
        <f ca="1">IF($H664="UNIDADE CONSTRUTIVA",OFFSET(A664,-1,0)+1,LARGE(A$3:A663,1))</f>
        <v>0</v>
      </c>
      <c r="B664" s="959">
        <f t="shared" ca="1" si="111"/>
        <v>16</v>
      </c>
      <c r="C664" s="959">
        <f t="shared" ca="1" si="112"/>
        <v>1</v>
      </c>
      <c r="D664" s="960">
        <f t="shared" ca="1" si="113"/>
        <v>1</v>
      </c>
      <c r="E664" s="960">
        <f t="shared" ca="1" si="114"/>
        <v>1</v>
      </c>
      <c r="F664" s="209"/>
    </row>
    <row r="665" spans="1:6" ht="14.1" customHeight="1" x14ac:dyDescent="0.2">
      <c r="A665" s="959">
        <f ca="1">IF($H665="UNIDADE CONSTRUTIVA",OFFSET(A665,-1,0)+1,LARGE(A$3:A664,1))</f>
        <v>0</v>
      </c>
      <c r="B665" s="959">
        <f t="shared" ca="1" si="111"/>
        <v>16</v>
      </c>
      <c r="C665" s="959">
        <f t="shared" ca="1" si="112"/>
        <v>1</v>
      </c>
      <c r="D665" s="960">
        <f t="shared" ca="1" si="113"/>
        <v>1</v>
      </c>
      <c r="E665" s="960">
        <f t="shared" ca="1" si="114"/>
        <v>1</v>
      </c>
      <c r="F665" s="209"/>
    </row>
    <row r="666" spans="1:6" ht="14.1" customHeight="1" x14ac:dyDescent="0.2">
      <c r="A666" s="959">
        <f ca="1">IF($H666="UNIDADE CONSTRUTIVA",OFFSET(A666,-1,0)+1,LARGE(A$3:A665,1))</f>
        <v>0</v>
      </c>
      <c r="B666" s="959">
        <f t="shared" ca="1" si="111"/>
        <v>16</v>
      </c>
      <c r="C666" s="959">
        <f t="shared" ca="1" si="112"/>
        <v>1</v>
      </c>
      <c r="D666" s="960">
        <f t="shared" ca="1" si="113"/>
        <v>1</v>
      </c>
      <c r="E666" s="960">
        <f t="shared" ca="1" si="114"/>
        <v>1</v>
      </c>
      <c r="F666" s="209"/>
    </row>
    <row r="667" spans="1:6" ht="14.1" customHeight="1" x14ac:dyDescent="0.2">
      <c r="A667" s="959">
        <f ca="1">IF($H667="UNIDADE CONSTRUTIVA",OFFSET(A667,-1,0)+1,LARGE(A$3:A666,1))</f>
        <v>0</v>
      </c>
      <c r="B667" s="959">
        <f t="shared" ca="1" si="111"/>
        <v>16</v>
      </c>
      <c r="C667" s="959">
        <f t="shared" ca="1" si="112"/>
        <v>1</v>
      </c>
      <c r="D667" s="960">
        <f t="shared" ca="1" si="113"/>
        <v>1</v>
      </c>
      <c r="E667" s="960">
        <f t="shared" ca="1" si="114"/>
        <v>1</v>
      </c>
      <c r="F667" s="209"/>
    </row>
    <row r="668" spans="1:6" ht="14.1" customHeight="1" x14ac:dyDescent="0.2">
      <c r="A668" s="959">
        <f ca="1">IF($H668="UNIDADE CONSTRUTIVA",OFFSET(A668,-1,0)+1,LARGE(A$3:A667,1))</f>
        <v>0</v>
      </c>
      <c r="B668" s="959">
        <f t="shared" ca="1" si="111"/>
        <v>16</v>
      </c>
      <c r="C668" s="959">
        <f t="shared" ca="1" si="112"/>
        <v>1</v>
      </c>
      <c r="D668" s="960">
        <f t="shared" ca="1" si="113"/>
        <v>1</v>
      </c>
      <c r="E668" s="960">
        <f t="shared" ca="1" si="114"/>
        <v>1</v>
      </c>
      <c r="F668" s="209"/>
    </row>
    <row r="669" spans="1:6" ht="14.1" customHeight="1" x14ac:dyDescent="0.2">
      <c r="A669" s="959">
        <f ca="1">IF($H669="UNIDADE CONSTRUTIVA",OFFSET(A669,-1,0)+1,LARGE(A$3:A668,1))</f>
        <v>0</v>
      </c>
      <c r="B669" s="959">
        <f t="shared" ca="1" si="111"/>
        <v>16</v>
      </c>
      <c r="C669" s="959">
        <f t="shared" ca="1" si="112"/>
        <v>1</v>
      </c>
      <c r="D669" s="960">
        <f t="shared" ca="1" si="113"/>
        <v>1</v>
      </c>
      <c r="E669" s="960">
        <f t="shared" ca="1" si="114"/>
        <v>1</v>
      </c>
      <c r="F669" s="209"/>
    </row>
    <row r="670" spans="1:6" ht="14.1" customHeight="1" x14ac:dyDescent="0.2">
      <c r="A670" s="959">
        <f ca="1">IF($H670="UNIDADE CONSTRUTIVA",OFFSET(A670,-1,0)+1,LARGE(A$3:A669,1))</f>
        <v>0</v>
      </c>
      <c r="B670" s="959">
        <f t="shared" ca="1" si="111"/>
        <v>16</v>
      </c>
      <c r="C670" s="959">
        <f t="shared" ca="1" si="112"/>
        <v>1</v>
      </c>
      <c r="D670" s="960">
        <f t="shared" ca="1" si="113"/>
        <v>1</v>
      </c>
      <c r="E670" s="960">
        <f t="shared" ca="1" si="114"/>
        <v>1</v>
      </c>
      <c r="F670" s="209"/>
    </row>
    <row r="671" spans="1:6" ht="14.1" customHeight="1" x14ac:dyDescent="0.2">
      <c r="A671" s="959">
        <f ca="1">IF($H671="UNIDADE CONSTRUTIVA",OFFSET(A671,-1,0)+1,LARGE(A$3:A670,1))</f>
        <v>0</v>
      </c>
      <c r="B671" s="959">
        <f t="shared" ca="1" si="111"/>
        <v>16</v>
      </c>
      <c r="C671" s="959">
        <f t="shared" ca="1" si="112"/>
        <v>1</v>
      </c>
      <c r="D671" s="960">
        <f t="shared" ca="1" si="113"/>
        <v>1</v>
      </c>
      <c r="E671" s="960">
        <f t="shared" ca="1" si="114"/>
        <v>1</v>
      </c>
      <c r="F671" s="209"/>
    </row>
    <row r="672" spans="1:6" ht="14.1" customHeight="1" x14ac:dyDescent="0.2">
      <c r="A672" s="959">
        <f ca="1">IF($H672="UNIDADE CONSTRUTIVA",OFFSET(A672,-1,0)+1,LARGE(A$3:A671,1))</f>
        <v>0</v>
      </c>
      <c r="B672" s="959">
        <f t="shared" ca="1" si="111"/>
        <v>16</v>
      </c>
      <c r="C672" s="959">
        <f t="shared" ca="1" si="112"/>
        <v>1</v>
      </c>
      <c r="D672" s="960">
        <f t="shared" ca="1" si="113"/>
        <v>1</v>
      </c>
      <c r="E672" s="960">
        <f t="shared" ca="1" si="114"/>
        <v>1</v>
      </c>
      <c r="F672" s="209"/>
    </row>
    <row r="673" spans="1:6" ht="14.1" customHeight="1" x14ac:dyDescent="0.2">
      <c r="A673" s="959">
        <f ca="1">IF($H673="UNIDADE CONSTRUTIVA",OFFSET(A673,-1,0)+1,LARGE(A$3:A672,1))</f>
        <v>0</v>
      </c>
      <c r="B673" s="959">
        <f t="shared" ca="1" si="111"/>
        <v>16</v>
      </c>
      <c r="C673" s="959">
        <f t="shared" ca="1" si="112"/>
        <v>1</v>
      </c>
      <c r="D673" s="960">
        <f t="shared" ca="1" si="113"/>
        <v>1</v>
      </c>
      <c r="E673" s="960">
        <f t="shared" ca="1" si="114"/>
        <v>1</v>
      </c>
      <c r="F673" s="209"/>
    </row>
    <row r="674" spans="1:6" ht="14.1" customHeight="1" x14ac:dyDescent="0.2">
      <c r="A674" s="959">
        <f ca="1">IF($H674="UNIDADE CONSTRUTIVA",OFFSET(A674,-1,0)+1,LARGE(A$3:A673,1))</f>
        <v>0</v>
      </c>
      <c r="B674" s="959">
        <f t="shared" ca="1" si="111"/>
        <v>16</v>
      </c>
      <c r="C674" s="959">
        <f t="shared" ca="1" si="112"/>
        <v>1</v>
      </c>
      <c r="D674" s="960">
        <f t="shared" ca="1" si="113"/>
        <v>1</v>
      </c>
      <c r="E674" s="960">
        <f t="shared" ca="1" si="114"/>
        <v>1</v>
      </c>
      <c r="F674" s="209"/>
    </row>
    <row r="675" spans="1:6" ht="14.1" customHeight="1" x14ac:dyDescent="0.2">
      <c r="A675" s="959">
        <f ca="1">IF($H675="UNIDADE CONSTRUTIVA",OFFSET(A675,-1,0)+1,LARGE(A$3:A674,1))</f>
        <v>0</v>
      </c>
      <c r="B675" s="959">
        <f t="shared" ca="1" si="111"/>
        <v>16</v>
      </c>
      <c r="C675" s="959">
        <f t="shared" ca="1" si="112"/>
        <v>1</v>
      </c>
      <c r="D675" s="960">
        <f t="shared" ca="1" si="113"/>
        <v>1</v>
      </c>
      <c r="E675" s="960">
        <f t="shared" ca="1" si="114"/>
        <v>1</v>
      </c>
      <c r="F675" s="209"/>
    </row>
    <row r="676" spans="1:6" ht="14.1" customHeight="1" x14ac:dyDescent="0.2">
      <c r="A676" s="959">
        <f ca="1">IF($H676="UNIDADE CONSTRUTIVA",OFFSET(A676,-1,0)+1,LARGE(A$3:A675,1))</f>
        <v>0</v>
      </c>
      <c r="B676" s="959">
        <f t="shared" ca="1" si="111"/>
        <v>16</v>
      </c>
      <c r="C676" s="959">
        <f t="shared" ca="1" si="112"/>
        <v>1</v>
      </c>
      <c r="D676" s="960">
        <f t="shared" ca="1" si="113"/>
        <v>1</v>
      </c>
      <c r="E676" s="960">
        <f t="shared" ca="1" si="114"/>
        <v>1</v>
      </c>
      <c r="F676" s="209"/>
    </row>
    <row r="677" spans="1:6" ht="14.1" customHeight="1" x14ac:dyDescent="0.2">
      <c r="A677" s="959">
        <f ca="1">IF($H677="UNIDADE CONSTRUTIVA",OFFSET(A677,-1,0)+1,LARGE(A$3:A676,1))</f>
        <v>0</v>
      </c>
      <c r="B677" s="959">
        <f t="shared" ca="1" si="111"/>
        <v>16</v>
      </c>
      <c r="C677" s="959">
        <f t="shared" ca="1" si="112"/>
        <v>1</v>
      </c>
      <c r="D677" s="960">
        <f t="shared" ca="1" si="113"/>
        <v>1</v>
      </c>
      <c r="E677" s="960">
        <f t="shared" ca="1" si="114"/>
        <v>1</v>
      </c>
      <c r="F677" s="209"/>
    </row>
    <row r="678" spans="1:6" ht="14.1" customHeight="1" x14ac:dyDescent="0.2">
      <c r="A678" s="959">
        <f ca="1">IF($H678="UNIDADE CONSTRUTIVA",OFFSET(A678,-1,0)+1,LARGE(A$3:A677,1))</f>
        <v>0</v>
      </c>
      <c r="B678" s="959">
        <f t="shared" ca="1" si="111"/>
        <v>16</v>
      </c>
      <c r="C678" s="959">
        <f t="shared" ca="1" si="112"/>
        <v>1</v>
      </c>
      <c r="D678" s="960">
        <f t="shared" ca="1" si="113"/>
        <v>1</v>
      </c>
      <c r="E678" s="960">
        <f t="shared" ca="1" si="114"/>
        <v>1</v>
      </c>
      <c r="F678" s="209"/>
    </row>
    <row r="679" spans="1:6" ht="14.1" customHeight="1" x14ac:dyDescent="0.2">
      <c r="A679" s="959">
        <f ca="1">IF($H679="UNIDADE CONSTRUTIVA",OFFSET(A679,-1,0)+1,LARGE(A$3:A678,1))</f>
        <v>0</v>
      </c>
      <c r="B679" s="959">
        <f t="shared" ca="1" si="111"/>
        <v>16</v>
      </c>
      <c r="C679" s="959">
        <f t="shared" ca="1" si="112"/>
        <v>1</v>
      </c>
      <c r="D679" s="960">
        <f t="shared" ca="1" si="113"/>
        <v>1</v>
      </c>
      <c r="E679" s="960">
        <f t="shared" ca="1" si="114"/>
        <v>1</v>
      </c>
      <c r="F679" s="209"/>
    </row>
    <row r="680" spans="1:6" ht="14.1" customHeight="1" x14ac:dyDescent="0.2">
      <c r="A680" s="959">
        <f ca="1">IF($H680="UNIDADE CONSTRUTIVA",OFFSET(A680,-1,0)+1,LARGE(A$3:A679,1))</f>
        <v>0</v>
      </c>
      <c r="B680" s="959">
        <f t="shared" ca="1" si="111"/>
        <v>16</v>
      </c>
      <c r="C680" s="959">
        <f t="shared" ca="1" si="112"/>
        <v>1</v>
      </c>
      <c r="D680" s="960">
        <f t="shared" ca="1" si="113"/>
        <v>1</v>
      </c>
      <c r="E680" s="960">
        <f t="shared" ca="1" si="114"/>
        <v>1</v>
      </c>
      <c r="F680" s="209"/>
    </row>
    <row r="681" spans="1:6" ht="14.1" customHeight="1" x14ac:dyDescent="0.2">
      <c r="A681" s="959">
        <f ca="1">IF($H681="UNIDADE CONSTRUTIVA",OFFSET(A681,-1,0)+1,LARGE(A$3:A680,1))</f>
        <v>0</v>
      </c>
      <c r="B681" s="959">
        <f t="shared" ca="1" si="111"/>
        <v>16</v>
      </c>
      <c r="C681" s="959">
        <f t="shared" ca="1" si="112"/>
        <v>1</v>
      </c>
      <c r="D681" s="960">
        <f t="shared" ca="1" si="113"/>
        <v>1</v>
      </c>
      <c r="E681" s="960">
        <f t="shared" ca="1" si="114"/>
        <v>1</v>
      </c>
      <c r="F681" s="209"/>
    </row>
    <row r="682" spans="1:6" ht="14.1" customHeight="1" x14ac:dyDescent="0.2">
      <c r="A682" s="959">
        <f ca="1">IF($H682="UNIDADE CONSTRUTIVA",OFFSET(A682,-1,0)+1,LARGE(A$3:A681,1))</f>
        <v>0</v>
      </c>
      <c r="B682" s="959">
        <f t="shared" ca="1" si="111"/>
        <v>16</v>
      </c>
      <c r="C682" s="959">
        <f t="shared" ca="1" si="112"/>
        <v>1</v>
      </c>
      <c r="D682" s="960">
        <f t="shared" ca="1" si="113"/>
        <v>1</v>
      </c>
      <c r="E682" s="960">
        <f t="shared" ca="1" si="114"/>
        <v>1</v>
      </c>
      <c r="F682" s="209"/>
    </row>
    <row r="683" spans="1:6" ht="14.1" customHeight="1" x14ac:dyDescent="0.2">
      <c r="A683" s="959">
        <f ca="1">IF($H683="UNIDADE CONSTRUTIVA",OFFSET(A683,-1,0)+1,LARGE(A$3:A682,1))</f>
        <v>0</v>
      </c>
      <c r="B683" s="959">
        <f t="shared" ca="1" si="111"/>
        <v>16</v>
      </c>
      <c r="C683" s="959">
        <f t="shared" ca="1" si="112"/>
        <v>1</v>
      </c>
      <c r="D683" s="960">
        <f t="shared" ca="1" si="113"/>
        <v>1</v>
      </c>
      <c r="E683" s="960">
        <f t="shared" ca="1" si="114"/>
        <v>1</v>
      </c>
      <c r="F683" s="209"/>
    </row>
    <row r="684" spans="1:6" ht="14.1" customHeight="1" x14ac:dyDescent="0.2">
      <c r="A684" s="959">
        <f ca="1">IF($H684="UNIDADE CONSTRUTIVA",OFFSET(A684,-1,0)+1,LARGE(A$3:A683,1))</f>
        <v>0</v>
      </c>
      <c r="B684" s="959">
        <f t="shared" ca="1" si="111"/>
        <v>16</v>
      </c>
      <c r="C684" s="959">
        <f t="shared" ca="1" si="112"/>
        <v>1</v>
      </c>
      <c r="D684" s="960">
        <f t="shared" ca="1" si="113"/>
        <v>1</v>
      </c>
      <c r="E684" s="960">
        <f t="shared" ca="1" si="114"/>
        <v>1</v>
      </c>
      <c r="F684" s="209"/>
    </row>
    <row r="685" spans="1:6" ht="14.1" customHeight="1" x14ac:dyDescent="0.2">
      <c r="A685" s="959">
        <f ca="1">IF($H685="UNIDADE CONSTRUTIVA",OFFSET(A685,-1,0)+1,LARGE(A$3:A684,1))</f>
        <v>0</v>
      </c>
      <c r="B685" s="959">
        <f t="shared" ca="1" si="111"/>
        <v>16</v>
      </c>
      <c r="C685" s="959">
        <f t="shared" ca="1" si="112"/>
        <v>1</v>
      </c>
      <c r="D685" s="960">
        <f t="shared" ca="1" si="113"/>
        <v>1</v>
      </c>
      <c r="E685" s="960">
        <f t="shared" ca="1" si="114"/>
        <v>1</v>
      </c>
      <c r="F685" s="209"/>
    </row>
    <row r="686" spans="1:6" ht="14.1" customHeight="1" x14ac:dyDescent="0.2">
      <c r="A686" s="959">
        <f ca="1">IF($H686="UNIDADE CONSTRUTIVA",OFFSET(A686,-1,0)+1,LARGE(A$3:A685,1))</f>
        <v>0</v>
      </c>
      <c r="B686" s="959">
        <f t="shared" ca="1" si="111"/>
        <v>16</v>
      </c>
      <c r="C686" s="959">
        <f t="shared" ca="1" si="112"/>
        <v>1</v>
      </c>
      <c r="D686" s="960">
        <f t="shared" ca="1" si="113"/>
        <v>1</v>
      </c>
      <c r="E686" s="960">
        <f t="shared" ca="1" si="114"/>
        <v>1</v>
      </c>
      <c r="F686" s="209"/>
    </row>
    <row r="687" spans="1:6" ht="14.1" customHeight="1" x14ac:dyDescent="0.2">
      <c r="A687" s="959">
        <f ca="1">IF($H687="UNIDADE CONSTRUTIVA",OFFSET(A687,-1,0)+1,LARGE(A$3:A686,1))</f>
        <v>0</v>
      </c>
      <c r="B687" s="959">
        <f t="shared" ca="1" si="111"/>
        <v>16</v>
      </c>
      <c r="C687" s="959">
        <f t="shared" ca="1" si="112"/>
        <v>1</v>
      </c>
      <c r="D687" s="960">
        <f t="shared" ca="1" si="113"/>
        <v>1</v>
      </c>
      <c r="E687" s="960">
        <f t="shared" ca="1" si="114"/>
        <v>1</v>
      </c>
      <c r="F687" s="209"/>
    </row>
    <row r="688" spans="1:6" ht="14.1" customHeight="1" x14ac:dyDescent="0.2">
      <c r="A688" s="959">
        <f ca="1">IF($H688="UNIDADE CONSTRUTIVA",OFFSET(A688,-1,0)+1,LARGE(A$3:A687,1))</f>
        <v>0</v>
      </c>
      <c r="B688" s="959">
        <f t="shared" ca="1" si="111"/>
        <v>16</v>
      </c>
      <c r="C688" s="959">
        <f t="shared" ca="1" si="112"/>
        <v>1</v>
      </c>
      <c r="D688" s="960">
        <f t="shared" ca="1" si="113"/>
        <v>1</v>
      </c>
      <c r="E688" s="960">
        <f t="shared" ca="1" si="114"/>
        <v>1</v>
      </c>
      <c r="F688" s="209"/>
    </row>
    <row r="689" spans="1:6" ht="14.1" customHeight="1" x14ac:dyDescent="0.2">
      <c r="A689" s="959">
        <f ca="1">IF($H689="UNIDADE CONSTRUTIVA",OFFSET(A689,-1,0)+1,LARGE(A$3:A688,1))</f>
        <v>0</v>
      </c>
      <c r="B689" s="959">
        <f t="shared" ca="1" si="111"/>
        <v>16</v>
      </c>
      <c r="C689" s="959">
        <f t="shared" ca="1" si="112"/>
        <v>1</v>
      </c>
      <c r="D689" s="960">
        <f t="shared" ca="1" si="113"/>
        <v>1</v>
      </c>
      <c r="E689" s="960">
        <f t="shared" ca="1" si="114"/>
        <v>1</v>
      </c>
      <c r="F689" s="209"/>
    </row>
    <row r="690" spans="1:6" ht="14.1" customHeight="1" x14ac:dyDescent="0.2">
      <c r="A690" s="959">
        <f ca="1">IF($H690="UNIDADE CONSTRUTIVA",OFFSET(A690,-1,0)+1,LARGE(A$3:A689,1))</f>
        <v>0</v>
      </c>
      <c r="B690" s="959">
        <f t="shared" ca="1" si="111"/>
        <v>16</v>
      </c>
      <c r="C690" s="959">
        <f t="shared" ca="1" si="112"/>
        <v>1</v>
      </c>
      <c r="D690" s="960">
        <f t="shared" ca="1" si="113"/>
        <v>1</v>
      </c>
      <c r="E690" s="960">
        <f t="shared" ca="1" si="114"/>
        <v>1</v>
      </c>
      <c r="F690" s="209"/>
    </row>
    <row r="691" spans="1:6" ht="14.1" customHeight="1" x14ac:dyDescent="0.2">
      <c r="A691" s="959">
        <f ca="1">IF($H691="UNIDADE CONSTRUTIVA",OFFSET(A691,-1,0)+1,LARGE(A$3:A690,1))</f>
        <v>0</v>
      </c>
      <c r="B691" s="959">
        <f t="shared" ca="1" si="111"/>
        <v>16</v>
      </c>
      <c r="C691" s="959">
        <f t="shared" ca="1" si="112"/>
        <v>1</v>
      </c>
      <c r="D691" s="960">
        <f t="shared" ca="1" si="113"/>
        <v>1</v>
      </c>
      <c r="E691" s="960">
        <f t="shared" ca="1" si="114"/>
        <v>1</v>
      </c>
      <c r="F691" s="209"/>
    </row>
    <row r="692" spans="1:6" ht="14.1" customHeight="1" x14ac:dyDescent="0.2">
      <c r="A692" s="959">
        <f ca="1">IF($H692="UNIDADE CONSTRUTIVA",OFFSET(A692,-1,0)+1,LARGE(A$3:A691,1))</f>
        <v>0</v>
      </c>
      <c r="B692" s="959">
        <f t="shared" ca="1" si="111"/>
        <v>16</v>
      </c>
      <c r="C692" s="959">
        <f t="shared" ca="1" si="112"/>
        <v>1</v>
      </c>
      <c r="D692" s="960">
        <f t="shared" ca="1" si="113"/>
        <v>1</v>
      </c>
      <c r="E692" s="960">
        <f t="shared" ca="1" si="114"/>
        <v>1</v>
      </c>
      <c r="F692" s="209"/>
    </row>
    <row r="693" spans="1:6" ht="14.1" customHeight="1" x14ac:dyDescent="0.2">
      <c r="A693" s="959">
        <f ca="1">IF($H693="UNIDADE CONSTRUTIVA",OFFSET(A693,-1,0)+1,LARGE(A$3:A692,1))</f>
        <v>0</v>
      </c>
      <c r="B693" s="959">
        <f t="shared" ca="1" si="111"/>
        <v>16</v>
      </c>
      <c r="C693" s="959">
        <f t="shared" ca="1" si="112"/>
        <v>1</v>
      </c>
      <c r="D693" s="960">
        <f t="shared" ca="1" si="113"/>
        <v>1</v>
      </c>
      <c r="E693" s="960">
        <f t="shared" ca="1" si="114"/>
        <v>1</v>
      </c>
      <c r="F693" s="209"/>
    </row>
    <row r="694" spans="1:6" ht="14.1" customHeight="1" x14ac:dyDescent="0.2">
      <c r="A694" s="959">
        <f ca="1">IF($H694="UNIDADE CONSTRUTIVA",OFFSET(A694,-1,0)+1,LARGE(A$3:A693,1))</f>
        <v>0</v>
      </c>
      <c r="B694" s="959">
        <f t="shared" ca="1" si="111"/>
        <v>16</v>
      </c>
      <c r="C694" s="959">
        <f t="shared" ca="1" si="112"/>
        <v>1</v>
      </c>
      <c r="D694" s="960">
        <f t="shared" ca="1" si="113"/>
        <v>1</v>
      </c>
      <c r="E694" s="960">
        <f t="shared" ca="1" si="114"/>
        <v>1</v>
      </c>
      <c r="F694" s="209"/>
    </row>
    <row r="695" spans="1:6" ht="14.1" customHeight="1" x14ac:dyDescent="0.2">
      <c r="A695" s="959">
        <f ca="1">IF($H695="UNIDADE CONSTRUTIVA",OFFSET(A695,-1,0)+1,LARGE(A$3:A694,1))</f>
        <v>0</v>
      </c>
      <c r="B695" s="959">
        <f t="shared" ca="1" si="111"/>
        <v>16</v>
      </c>
      <c r="C695" s="959">
        <f t="shared" ca="1" si="112"/>
        <v>1</v>
      </c>
      <c r="D695" s="960">
        <f t="shared" ca="1" si="113"/>
        <v>1</v>
      </c>
      <c r="E695" s="960">
        <f t="shared" ca="1" si="114"/>
        <v>1</v>
      </c>
      <c r="F695" s="209"/>
    </row>
    <row r="696" spans="1:6" ht="14.1" customHeight="1" x14ac:dyDescent="0.2">
      <c r="A696" s="959">
        <f ca="1">IF($H696="UNIDADE CONSTRUTIVA",OFFSET(A696,-1,0)+1,LARGE(A$3:A695,1))</f>
        <v>0</v>
      </c>
      <c r="B696" s="959">
        <f t="shared" ca="1" si="111"/>
        <v>16</v>
      </c>
      <c r="C696" s="959">
        <f t="shared" ca="1" si="112"/>
        <v>1</v>
      </c>
      <c r="D696" s="960">
        <f t="shared" ca="1" si="113"/>
        <v>1</v>
      </c>
      <c r="E696" s="960">
        <f t="shared" ca="1" si="114"/>
        <v>1</v>
      </c>
      <c r="F696" s="209"/>
    </row>
    <row r="697" spans="1:6" ht="14.1" customHeight="1" x14ac:dyDescent="0.2">
      <c r="A697" s="959">
        <f ca="1">IF($H697="UNIDADE CONSTRUTIVA",OFFSET(A697,-1,0)+1,LARGE(A$3:A696,1))</f>
        <v>0</v>
      </c>
      <c r="B697" s="959">
        <f t="shared" ca="1" si="111"/>
        <v>16</v>
      </c>
      <c r="C697" s="959">
        <f t="shared" ca="1" si="112"/>
        <v>1</v>
      </c>
      <c r="D697" s="960">
        <f t="shared" ca="1" si="113"/>
        <v>1</v>
      </c>
      <c r="E697" s="960">
        <f t="shared" ca="1" si="114"/>
        <v>1</v>
      </c>
      <c r="F697" s="209"/>
    </row>
    <row r="698" spans="1:6" ht="14.1" customHeight="1" x14ac:dyDescent="0.2">
      <c r="A698" s="959">
        <f ca="1">IF($H698="UNIDADE CONSTRUTIVA",OFFSET(A698,-1,0)+1,LARGE(A$3:A697,1))</f>
        <v>0</v>
      </c>
      <c r="B698" s="959">
        <f t="shared" ca="1" si="111"/>
        <v>16</v>
      </c>
      <c r="C698" s="959">
        <f t="shared" ca="1" si="112"/>
        <v>1</v>
      </c>
      <c r="D698" s="960">
        <f t="shared" ca="1" si="113"/>
        <v>1</v>
      </c>
      <c r="E698" s="960">
        <f t="shared" ca="1" si="114"/>
        <v>1</v>
      </c>
      <c r="F698" s="209"/>
    </row>
    <row r="699" spans="1:6" ht="14.1" customHeight="1" x14ac:dyDescent="0.2">
      <c r="A699" s="959">
        <f ca="1">IF($H699="UNIDADE CONSTRUTIVA",OFFSET(A699,-1,0)+1,LARGE(A$3:A698,1))</f>
        <v>0</v>
      </c>
      <c r="B699" s="959">
        <f t="shared" ca="1" si="111"/>
        <v>16</v>
      </c>
      <c r="C699" s="959">
        <f t="shared" ca="1" si="112"/>
        <v>1</v>
      </c>
      <c r="D699" s="960">
        <f t="shared" ca="1" si="113"/>
        <v>1</v>
      </c>
      <c r="E699" s="960">
        <f t="shared" ca="1" si="114"/>
        <v>1</v>
      </c>
      <c r="F699" s="209"/>
    </row>
    <row r="700" spans="1:6" ht="14.1" customHeight="1" x14ac:dyDescent="0.2">
      <c r="A700" s="959">
        <f ca="1">IF($H700="UNIDADE CONSTRUTIVA",OFFSET(A700,-1,0)+1,LARGE(A$3:A699,1))</f>
        <v>0</v>
      </c>
      <c r="B700" s="959">
        <f t="shared" ca="1" si="111"/>
        <v>16</v>
      </c>
      <c r="C700" s="959">
        <f t="shared" ca="1" si="112"/>
        <v>1</v>
      </c>
      <c r="D700" s="960">
        <f t="shared" ca="1" si="113"/>
        <v>1</v>
      </c>
      <c r="E700" s="960">
        <f t="shared" ca="1" si="114"/>
        <v>1</v>
      </c>
      <c r="F700" s="209"/>
    </row>
    <row r="701" spans="1:6" ht="14.1" customHeight="1" x14ac:dyDescent="0.2">
      <c r="A701" s="959">
        <f ca="1">IF($H701="UNIDADE CONSTRUTIVA",OFFSET(A701,-1,0)+1,LARGE(A$3:A700,1))</f>
        <v>0</v>
      </c>
      <c r="B701" s="959">
        <f t="shared" ca="1" si="111"/>
        <v>16</v>
      </c>
      <c r="C701" s="959">
        <f t="shared" ca="1" si="112"/>
        <v>1</v>
      </c>
      <c r="D701" s="960">
        <f t="shared" ca="1" si="113"/>
        <v>1</v>
      </c>
      <c r="E701" s="960">
        <f t="shared" ca="1" si="114"/>
        <v>1</v>
      </c>
      <c r="F701" s="209"/>
    </row>
    <row r="702" spans="1:6" ht="14.1" customHeight="1" x14ac:dyDescent="0.2">
      <c r="A702" s="959">
        <f ca="1">IF($H702="UNIDADE CONSTRUTIVA",OFFSET(A702,-1,0)+1,LARGE(A$3:A701,1))</f>
        <v>0</v>
      </c>
      <c r="B702" s="959">
        <f t="shared" ref="B702:B765" ca="1" si="115">IF(H702="UNIDADE CONSTRUTIVA",0,IF(H702="CÉLULA CONSTRUTIVA",OFFSET(B702,-1,0)+1,OFFSET(B702,-1,0)))</f>
        <v>16</v>
      </c>
      <c r="C702" s="959">
        <f t="shared" ca="1" si="112"/>
        <v>1</v>
      </c>
      <c r="D702" s="960">
        <f t="shared" ca="1" si="113"/>
        <v>1</v>
      </c>
      <c r="E702" s="960">
        <f t="shared" ca="1" si="114"/>
        <v>1</v>
      </c>
      <c r="F702" s="209"/>
    </row>
    <row r="703" spans="1:6" ht="14.1" customHeight="1" x14ac:dyDescent="0.2">
      <c r="A703" s="959">
        <f ca="1">IF($H703="UNIDADE CONSTRUTIVA",OFFSET(A703,-1,0)+1,LARGE(A$3:A702,1))</f>
        <v>0</v>
      </c>
      <c r="B703" s="959">
        <f t="shared" ca="1" si="115"/>
        <v>16</v>
      </c>
      <c r="C703" s="959">
        <f t="shared" ca="1" si="112"/>
        <v>1</v>
      </c>
      <c r="D703" s="960">
        <f t="shared" ca="1" si="113"/>
        <v>1</v>
      </c>
      <c r="E703" s="960">
        <f t="shared" ca="1" si="114"/>
        <v>1</v>
      </c>
      <c r="F703" s="209"/>
    </row>
    <row r="704" spans="1:6" ht="14.1" customHeight="1" x14ac:dyDescent="0.2">
      <c r="A704" s="959">
        <f ca="1">IF($H704="UNIDADE CONSTRUTIVA",OFFSET(A704,-1,0)+1,LARGE(A$3:A703,1))</f>
        <v>0</v>
      </c>
      <c r="B704" s="959">
        <f t="shared" ca="1" si="115"/>
        <v>16</v>
      </c>
      <c r="C704" s="959">
        <f t="shared" ca="1" si="112"/>
        <v>1</v>
      </c>
      <c r="D704" s="960">
        <f t="shared" ca="1" si="113"/>
        <v>1</v>
      </c>
      <c r="E704" s="960">
        <f t="shared" ca="1" si="114"/>
        <v>1</v>
      </c>
      <c r="F704" s="209"/>
    </row>
    <row r="705" spans="1:6" ht="14.1" customHeight="1" x14ac:dyDescent="0.2">
      <c r="A705" s="959">
        <f ca="1">IF($H705="UNIDADE CONSTRUTIVA",OFFSET(A705,-1,0)+1,LARGE(A$3:A704,1))</f>
        <v>0</v>
      </c>
      <c r="B705" s="959">
        <f t="shared" ca="1" si="115"/>
        <v>16</v>
      </c>
      <c r="C705" s="959">
        <f t="shared" ca="1" si="112"/>
        <v>1</v>
      </c>
      <c r="D705" s="960">
        <f t="shared" ca="1" si="113"/>
        <v>1</v>
      </c>
      <c r="E705" s="960">
        <f t="shared" ca="1" si="114"/>
        <v>1</v>
      </c>
      <c r="F705" s="209"/>
    </row>
    <row r="706" spans="1:6" ht="14.1" customHeight="1" x14ac:dyDescent="0.2">
      <c r="A706" s="959">
        <f ca="1">IF($H706="UNIDADE CONSTRUTIVA",OFFSET(A706,-1,0)+1,LARGE(A$3:A705,1))</f>
        <v>0</v>
      </c>
      <c r="B706" s="959">
        <f t="shared" ca="1" si="115"/>
        <v>16</v>
      </c>
      <c r="C706" s="959">
        <f t="shared" ca="1" si="112"/>
        <v>1</v>
      </c>
      <c r="D706" s="960">
        <f t="shared" ca="1" si="113"/>
        <v>1</v>
      </c>
      <c r="E706" s="960">
        <f t="shared" ca="1" si="114"/>
        <v>1</v>
      </c>
      <c r="F706" s="209"/>
    </row>
    <row r="707" spans="1:6" ht="14.1" customHeight="1" x14ac:dyDescent="0.2">
      <c r="A707" s="959">
        <f ca="1">IF($H707="UNIDADE CONSTRUTIVA",OFFSET(A707,-1,0)+1,LARGE(A$3:A706,1))</f>
        <v>0</v>
      </c>
      <c r="B707" s="959">
        <f t="shared" ca="1" si="115"/>
        <v>16</v>
      </c>
      <c r="C707" s="959">
        <f t="shared" ca="1" si="112"/>
        <v>1</v>
      </c>
      <c r="D707" s="960">
        <f t="shared" ca="1" si="113"/>
        <v>1</v>
      </c>
      <c r="E707" s="960">
        <f t="shared" ca="1" si="114"/>
        <v>1</v>
      </c>
      <c r="F707" s="209"/>
    </row>
    <row r="708" spans="1:6" ht="14.1" customHeight="1" x14ac:dyDescent="0.2">
      <c r="A708" s="959">
        <f ca="1">IF($H708="UNIDADE CONSTRUTIVA",OFFSET(A708,-1,0)+1,LARGE(A$3:A707,1))</f>
        <v>0</v>
      </c>
      <c r="B708" s="959">
        <f t="shared" ca="1" si="115"/>
        <v>16</v>
      </c>
      <c r="C708" s="959">
        <f t="shared" ca="1" si="112"/>
        <v>1</v>
      </c>
      <c r="D708" s="960">
        <f t="shared" ca="1" si="113"/>
        <v>1</v>
      </c>
      <c r="E708" s="960">
        <f t="shared" ca="1" si="114"/>
        <v>1</v>
      </c>
      <c r="F708" s="209"/>
    </row>
    <row r="709" spans="1:6" ht="14.1" customHeight="1" x14ac:dyDescent="0.2">
      <c r="A709" s="959">
        <f ca="1">IF($H709="UNIDADE CONSTRUTIVA",OFFSET(A709,-1,0)+1,LARGE(A$3:A708,1))</f>
        <v>0</v>
      </c>
      <c r="B709" s="959">
        <f t="shared" ca="1" si="115"/>
        <v>16</v>
      </c>
      <c r="C709" s="959">
        <f t="shared" ca="1" si="112"/>
        <v>1</v>
      </c>
      <c r="D709" s="960">
        <f t="shared" ca="1" si="113"/>
        <v>1</v>
      </c>
      <c r="E709" s="960">
        <f t="shared" ca="1" si="114"/>
        <v>1</v>
      </c>
      <c r="F709" s="209"/>
    </row>
    <row r="710" spans="1:6" ht="14.1" customHeight="1" x14ac:dyDescent="0.2">
      <c r="A710" s="959">
        <f ca="1">IF($H710="UNIDADE CONSTRUTIVA",OFFSET(A710,-1,0)+1,LARGE(A$3:A709,1))</f>
        <v>0</v>
      </c>
      <c r="B710" s="959">
        <f t="shared" ca="1" si="115"/>
        <v>16</v>
      </c>
      <c r="C710" s="959">
        <f t="shared" ca="1" si="112"/>
        <v>1</v>
      </c>
      <c r="D710" s="960">
        <f t="shared" ca="1" si="113"/>
        <v>1</v>
      </c>
      <c r="E710" s="960">
        <f t="shared" ca="1" si="114"/>
        <v>1</v>
      </c>
      <c r="F710" s="209"/>
    </row>
    <row r="711" spans="1:6" ht="14.1" customHeight="1" x14ac:dyDescent="0.2">
      <c r="A711" s="959">
        <f ca="1">IF($H711="UNIDADE CONSTRUTIVA",OFFSET(A711,-1,0)+1,LARGE(A$3:A710,1))</f>
        <v>0</v>
      </c>
      <c r="B711" s="959">
        <f t="shared" ca="1" si="115"/>
        <v>16</v>
      </c>
      <c r="C711" s="959">
        <f t="shared" ca="1" si="112"/>
        <v>1</v>
      </c>
      <c r="D711" s="960">
        <f t="shared" ca="1" si="113"/>
        <v>1</v>
      </c>
      <c r="E711" s="960">
        <f t="shared" ca="1" si="114"/>
        <v>1</v>
      </c>
      <c r="F711" s="209"/>
    </row>
    <row r="712" spans="1:6" ht="14.1" customHeight="1" x14ac:dyDescent="0.2">
      <c r="A712" s="959">
        <f ca="1">IF($H712="UNIDADE CONSTRUTIVA",OFFSET(A712,-1,0)+1,LARGE(A$3:A711,1))</f>
        <v>0</v>
      </c>
      <c r="B712" s="959">
        <f t="shared" ca="1" si="115"/>
        <v>16</v>
      </c>
      <c r="C712" s="959">
        <f t="shared" ca="1" si="112"/>
        <v>1</v>
      </c>
      <c r="D712" s="960">
        <f t="shared" ca="1" si="113"/>
        <v>1</v>
      </c>
      <c r="E712" s="960">
        <f t="shared" ca="1" si="114"/>
        <v>1</v>
      </c>
      <c r="F712" s="209"/>
    </row>
    <row r="713" spans="1:6" ht="14.1" customHeight="1" x14ac:dyDescent="0.2">
      <c r="A713" s="959">
        <f ca="1">IF($H713="UNIDADE CONSTRUTIVA",OFFSET(A713,-1,0)+1,LARGE(A$3:A712,1))</f>
        <v>0</v>
      </c>
      <c r="B713" s="959">
        <f t="shared" ca="1" si="115"/>
        <v>16</v>
      </c>
      <c r="C713" s="959">
        <f t="shared" ca="1" si="112"/>
        <v>1</v>
      </c>
      <c r="D713" s="960">
        <f t="shared" ca="1" si="113"/>
        <v>1</v>
      </c>
      <c r="E713" s="960">
        <f t="shared" ca="1" si="114"/>
        <v>1</v>
      </c>
      <c r="F713" s="209"/>
    </row>
    <row r="714" spans="1:6" ht="14.1" customHeight="1" x14ac:dyDescent="0.2">
      <c r="A714" s="959">
        <f ca="1">IF($H714="UNIDADE CONSTRUTIVA",OFFSET(A714,-1,0)+1,LARGE(A$3:A713,1))</f>
        <v>0</v>
      </c>
      <c r="B714" s="959">
        <f t="shared" ca="1" si="115"/>
        <v>16</v>
      </c>
      <c r="C714" s="959">
        <f t="shared" ca="1" si="112"/>
        <v>1</v>
      </c>
      <c r="D714" s="960">
        <f t="shared" ca="1" si="113"/>
        <v>1</v>
      </c>
      <c r="E714" s="960">
        <f t="shared" ca="1" si="114"/>
        <v>1</v>
      </c>
      <c r="F714" s="209"/>
    </row>
    <row r="715" spans="1:6" ht="14.1" customHeight="1" x14ac:dyDescent="0.2">
      <c r="A715" s="959">
        <f ca="1">IF($H715="UNIDADE CONSTRUTIVA",OFFSET(A715,-1,0)+1,LARGE(A$3:A714,1))</f>
        <v>0</v>
      </c>
      <c r="B715" s="959">
        <f t="shared" ca="1" si="115"/>
        <v>16</v>
      </c>
      <c r="C715" s="959">
        <f t="shared" ca="1" si="112"/>
        <v>1</v>
      </c>
      <c r="D715" s="960">
        <f t="shared" ca="1" si="113"/>
        <v>1</v>
      </c>
      <c r="E715" s="960">
        <f t="shared" ca="1" si="114"/>
        <v>1</v>
      </c>
      <c r="F715" s="209"/>
    </row>
    <row r="716" spans="1:6" ht="14.1" customHeight="1" x14ac:dyDescent="0.2">
      <c r="A716" s="959">
        <f ca="1">IF($H716="UNIDADE CONSTRUTIVA",OFFSET(A716,-1,0)+1,LARGE(A$3:A715,1))</f>
        <v>0</v>
      </c>
      <c r="B716" s="959">
        <f t="shared" ca="1" si="115"/>
        <v>16</v>
      </c>
      <c r="C716" s="959">
        <f t="shared" ref="C716:C779" ca="1" si="116">IF(H716="CÉLULA CONSTRUTIVA",0,IF(H716="ETAPA",OFFSET(C716,-1,0)+1,OFFSET(C716,-1,0)))</f>
        <v>1</v>
      </c>
      <c r="D716" s="960">
        <f t="shared" ref="D716:D779" ca="1" si="117">IF(H716="ETAPA",0,IF(H716="SUBETAPA",OFFSET(D716,-1,0)+1,OFFSET(D716,-1,0)))</f>
        <v>1</v>
      </c>
      <c r="E716" s="960">
        <f t="shared" ref="E716:E779" ca="1" si="118">IF(H716="Subetapa",0,IF(H716="serviço",OFFSET(E716,-1,0)+1,OFFSET(E716,-1,0)))</f>
        <v>1</v>
      </c>
      <c r="F716" s="209"/>
    </row>
    <row r="717" spans="1:6" ht="14.1" customHeight="1" x14ac:dyDescent="0.2">
      <c r="A717" s="959">
        <f ca="1">IF($H717="UNIDADE CONSTRUTIVA",OFFSET(A717,-1,0)+1,LARGE(A$3:A716,1))</f>
        <v>0</v>
      </c>
      <c r="B717" s="959">
        <f t="shared" ca="1" si="115"/>
        <v>16</v>
      </c>
      <c r="C717" s="959">
        <f t="shared" ca="1" si="116"/>
        <v>1</v>
      </c>
      <c r="D717" s="960">
        <f t="shared" ca="1" si="117"/>
        <v>1</v>
      </c>
      <c r="E717" s="960">
        <f t="shared" ca="1" si="118"/>
        <v>1</v>
      </c>
      <c r="F717" s="209"/>
    </row>
    <row r="718" spans="1:6" ht="14.1" customHeight="1" x14ac:dyDescent="0.2">
      <c r="A718" s="959">
        <f ca="1">IF($H718="UNIDADE CONSTRUTIVA",OFFSET(A718,-1,0)+1,LARGE(A$3:A717,1))</f>
        <v>0</v>
      </c>
      <c r="B718" s="959">
        <f t="shared" ca="1" si="115"/>
        <v>16</v>
      </c>
      <c r="C718" s="959">
        <f t="shared" ca="1" si="116"/>
        <v>1</v>
      </c>
      <c r="D718" s="960">
        <f t="shared" ca="1" si="117"/>
        <v>1</v>
      </c>
      <c r="E718" s="960">
        <f t="shared" ca="1" si="118"/>
        <v>1</v>
      </c>
      <c r="F718" s="209"/>
    </row>
    <row r="719" spans="1:6" ht="14.1" customHeight="1" x14ac:dyDescent="0.2">
      <c r="A719" s="959">
        <f ca="1">IF($H719="UNIDADE CONSTRUTIVA",OFFSET(A719,-1,0)+1,LARGE(A$3:A718,1))</f>
        <v>0</v>
      </c>
      <c r="B719" s="959">
        <f t="shared" ca="1" si="115"/>
        <v>16</v>
      </c>
      <c r="C719" s="959">
        <f t="shared" ca="1" si="116"/>
        <v>1</v>
      </c>
      <c r="D719" s="960">
        <f t="shared" ca="1" si="117"/>
        <v>1</v>
      </c>
      <c r="E719" s="960">
        <f t="shared" ca="1" si="118"/>
        <v>1</v>
      </c>
      <c r="F719" s="209"/>
    </row>
    <row r="720" spans="1:6" ht="14.1" customHeight="1" x14ac:dyDescent="0.2">
      <c r="A720" s="959">
        <f ca="1">IF($H720="UNIDADE CONSTRUTIVA",OFFSET(A720,-1,0)+1,LARGE(A$3:A719,1))</f>
        <v>0</v>
      </c>
      <c r="B720" s="959">
        <f t="shared" ca="1" si="115"/>
        <v>16</v>
      </c>
      <c r="C720" s="959">
        <f t="shared" ca="1" si="116"/>
        <v>1</v>
      </c>
      <c r="D720" s="960">
        <f t="shared" ca="1" si="117"/>
        <v>1</v>
      </c>
      <c r="E720" s="960">
        <f t="shared" ca="1" si="118"/>
        <v>1</v>
      </c>
      <c r="F720" s="209"/>
    </row>
    <row r="721" spans="1:6" ht="14.1" customHeight="1" x14ac:dyDescent="0.2">
      <c r="A721" s="959">
        <f ca="1">IF($H721="UNIDADE CONSTRUTIVA",OFFSET(A721,-1,0)+1,LARGE(A$3:A720,1))</f>
        <v>0</v>
      </c>
      <c r="B721" s="959">
        <f t="shared" ca="1" si="115"/>
        <v>16</v>
      </c>
      <c r="C721" s="959">
        <f t="shared" ca="1" si="116"/>
        <v>1</v>
      </c>
      <c r="D721" s="960">
        <f t="shared" ca="1" si="117"/>
        <v>1</v>
      </c>
      <c r="E721" s="960">
        <f t="shared" ca="1" si="118"/>
        <v>1</v>
      </c>
      <c r="F721" s="209"/>
    </row>
    <row r="722" spans="1:6" ht="14.1" customHeight="1" x14ac:dyDescent="0.2">
      <c r="A722" s="959">
        <f ca="1">IF($H722="UNIDADE CONSTRUTIVA",OFFSET(A722,-1,0)+1,LARGE(A$3:A721,1))</f>
        <v>0</v>
      </c>
      <c r="B722" s="959">
        <f t="shared" ca="1" si="115"/>
        <v>16</v>
      </c>
      <c r="C722" s="959">
        <f t="shared" ca="1" si="116"/>
        <v>1</v>
      </c>
      <c r="D722" s="960">
        <f t="shared" ca="1" si="117"/>
        <v>1</v>
      </c>
      <c r="E722" s="960">
        <f t="shared" ca="1" si="118"/>
        <v>1</v>
      </c>
      <c r="F722" s="209"/>
    </row>
    <row r="723" spans="1:6" ht="14.1" customHeight="1" x14ac:dyDescent="0.2">
      <c r="A723" s="959">
        <f ca="1">IF($H723="UNIDADE CONSTRUTIVA",OFFSET(A723,-1,0)+1,LARGE(A$3:A722,1))</f>
        <v>0</v>
      </c>
      <c r="B723" s="959">
        <f t="shared" ca="1" si="115"/>
        <v>16</v>
      </c>
      <c r="C723" s="959">
        <f t="shared" ca="1" si="116"/>
        <v>1</v>
      </c>
      <c r="D723" s="960">
        <f t="shared" ca="1" si="117"/>
        <v>1</v>
      </c>
      <c r="E723" s="960">
        <f t="shared" ca="1" si="118"/>
        <v>1</v>
      </c>
      <c r="F723" s="209"/>
    </row>
    <row r="724" spans="1:6" ht="14.1" customHeight="1" x14ac:dyDescent="0.2">
      <c r="A724" s="959">
        <f ca="1">IF($H724="UNIDADE CONSTRUTIVA",OFFSET(A724,-1,0)+1,LARGE(A$3:A723,1))</f>
        <v>0</v>
      </c>
      <c r="B724" s="959">
        <f t="shared" ca="1" si="115"/>
        <v>16</v>
      </c>
      <c r="C724" s="959">
        <f t="shared" ca="1" si="116"/>
        <v>1</v>
      </c>
      <c r="D724" s="960">
        <f t="shared" ca="1" si="117"/>
        <v>1</v>
      </c>
      <c r="E724" s="960">
        <f t="shared" ca="1" si="118"/>
        <v>1</v>
      </c>
      <c r="F724" s="209"/>
    </row>
    <row r="725" spans="1:6" ht="14.1" customHeight="1" x14ac:dyDescent="0.2">
      <c r="A725" s="959">
        <f ca="1">IF($H725="UNIDADE CONSTRUTIVA",OFFSET(A725,-1,0)+1,LARGE(A$3:A724,1))</f>
        <v>0</v>
      </c>
      <c r="B725" s="959">
        <f t="shared" ca="1" si="115"/>
        <v>16</v>
      </c>
      <c r="C725" s="959">
        <f t="shared" ca="1" si="116"/>
        <v>1</v>
      </c>
      <c r="D725" s="960">
        <f t="shared" ca="1" si="117"/>
        <v>1</v>
      </c>
      <c r="E725" s="960">
        <f t="shared" ca="1" si="118"/>
        <v>1</v>
      </c>
      <c r="F725" s="209"/>
    </row>
    <row r="726" spans="1:6" ht="14.1" customHeight="1" x14ac:dyDescent="0.2">
      <c r="A726" s="959">
        <f ca="1">IF($H726="UNIDADE CONSTRUTIVA",OFFSET(A726,-1,0)+1,LARGE(A$3:A725,1))</f>
        <v>0</v>
      </c>
      <c r="B726" s="959">
        <f t="shared" ca="1" si="115"/>
        <v>16</v>
      </c>
      <c r="C726" s="959">
        <f t="shared" ca="1" si="116"/>
        <v>1</v>
      </c>
      <c r="D726" s="960">
        <f t="shared" ca="1" si="117"/>
        <v>1</v>
      </c>
      <c r="E726" s="960">
        <f t="shared" ca="1" si="118"/>
        <v>1</v>
      </c>
      <c r="F726" s="209"/>
    </row>
    <row r="727" spans="1:6" ht="14.1" customHeight="1" x14ac:dyDescent="0.2">
      <c r="A727" s="959">
        <f ca="1">IF($H727="UNIDADE CONSTRUTIVA",OFFSET(A727,-1,0)+1,LARGE(A$3:A726,1))</f>
        <v>0</v>
      </c>
      <c r="B727" s="959">
        <f t="shared" ca="1" si="115"/>
        <v>16</v>
      </c>
      <c r="C727" s="959">
        <f t="shared" ca="1" si="116"/>
        <v>1</v>
      </c>
      <c r="D727" s="960">
        <f t="shared" ca="1" si="117"/>
        <v>1</v>
      </c>
      <c r="E727" s="960">
        <f t="shared" ca="1" si="118"/>
        <v>1</v>
      </c>
      <c r="F727" s="209"/>
    </row>
    <row r="728" spans="1:6" ht="14.1" customHeight="1" x14ac:dyDescent="0.2">
      <c r="A728" s="959">
        <f ca="1">IF($H728="UNIDADE CONSTRUTIVA",OFFSET(A728,-1,0)+1,LARGE(A$3:A727,1))</f>
        <v>0</v>
      </c>
      <c r="B728" s="959">
        <f t="shared" ca="1" si="115"/>
        <v>16</v>
      </c>
      <c r="C728" s="959">
        <f t="shared" ca="1" si="116"/>
        <v>1</v>
      </c>
      <c r="D728" s="960">
        <f t="shared" ca="1" si="117"/>
        <v>1</v>
      </c>
      <c r="E728" s="960">
        <f t="shared" ca="1" si="118"/>
        <v>1</v>
      </c>
      <c r="F728" s="209"/>
    </row>
    <row r="729" spans="1:6" ht="14.1" customHeight="1" x14ac:dyDescent="0.2">
      <c r="A729" s="959">
        <f ca="1">IF($H729="UNIDADE CONSTRUTIVA",OFFSET(A729,-1,0)+1,LARGE(A$3:A728,1))</f>
        <v>0</v>
      </c>
      <c r="B729" s="959">
        <f t="shared" ca="1" si="115"/>
        <v>16</v>
      </c>
      <c r="C729" s="959">
        <f t="shared" ca="1" si="116"/>
        <v>1</v>
      </c>
      <c r="D729" s="960">
        <f t="shared" ca="1" si="117"/>
        <v>1</v>
      </c>
      <c r="E729" s="960">
        <f t="shared" ca="1" si="118"/>
        <v>1</v>
      </c>
      <c r="F729" s="209"/>
    </row>
    <row r="730" spans="1:6" ht="14.1" customHeight="1" x14ac:dyDescent="0.2">
      <c r="A730" s="959">
        <f ca="1">IF($H730="UNIDADE CONSTRUTIVA",OFFSET(A730,-1,0)+1,LARGE(A$3:A729,1))</f>
        <v>0</v>
      </c>
      <c r="B730" s="959">
        <f t="shared" ca="1" si="115"/>
        <v>16</v>
      </c>
      <c r="C730" s="959">
        <f t="shared" ca="1" si="116"/>
        <v>1</v>
      </c>
      <c r="D730" s="960">
        <f t="shared" ca="1" si="117"/>
        <v>1</v>
      </c>
      <c r="E730" s="960">
        <f t="shared" ca="1" si="118"/>
        <v>1</v>
      </c>
      <c r="F730" s="209"/>
    </row>
    <row r="731" spans="1:6" ht="14.1" customHeight="1" x14ac:dyDescent="0.2">
      <c r="A731" s="959">
        <f ca="1">IF($H731="UNIDADE CONSTRUTIVA",OFFSET(A731,-1,0)+1,LARGE(A$3:A730,1))</f>
        <v>0</v>
      </c>
      <c r="B731" s="959">
        <f t="shared" ca="1" si="115"/>
        <v>16</v>
      </c>
      <c r="C731" s="959">
        <f t="shared" ca="1" si="116"/>
        <v>1</v>
      </c>
      <c r="D731" s="960">
        <f t="shared" ca="1" si="117"/>
        <v>1</v>
      </c>
      <c r="E731" s="960">
        <f t="shared" ca="1" si="118"/>
        <v>1</v>
      </c>
      <c r="F731" s="209"/>
    </row>
    <row r="732" spans="1:6" ht="14.1" customHeight="1" x14ac:dyDescent="0.2">
      <c r="A732" s="959">
        <f ca="1">IF($H732="UNIDADE CONSTRUTIVA",OFFSET(A732,-1,0)+1,LARGE(A$3:A731,1))</f>
        <v>0</v>
      </c>
      <c r="B732" s="959">
        <f t="shared" ca="1" si="115"/>
        <v>16</v>
      </c>
      <c r="C732" s="959">
        <f t="shared" ca="1" si="116"/>
        <v>1</v>
      </c>
      <c r="D732" s="960">
        <f t="shared" ca="1" si="117"/>
        <v>1</v>
      </c>
      <c r="E732" s="960">
        <f t="shared" ca="1" si="118"/>
        <v>1</v>
      </c>
      <c r="F732" s="209"/>
    </row>
    <row r="733" spans="1:6" ht="14.1" customHeight="1" x14ac:dyDescent="0.2">
      <c r="A733" s="959">
        <f ca="1">IF($H733="UNIDADE CONSTRUTIVA",OFFSET(A733,-1,0)+1,LARGE(A$3:A732,1))</f>
        <v>0</v>
      </c>
      <c r="B733" s="959">
        <f t="shared" ca="1" si="115"/>
        <v>16</v>
      </c>
      <c r="C733" s="959">
        <f t="shared" ca="1" si="116"/>
        <v>1</v>
      </c>
      <c r="D733" s="960">
        <f t="shared" ca="1" si="117"/>
        <v>1</v>
      </c>
      <c r="E733" s="960">
        <f t="shared" ca="1" si="118"/>
        <v>1</v>
      </c>
      <c r="F733" s="209"/>
    </row>
    <row r="734" spans="1:6" ht="14.1" customHeight="1" x14ac:dyDescent="0.2">
      <c r="A734" s="959">
        <f ca="1">IF($H734="UNIDADE CONSTRUTIVA",OFFSET(A734,-1,0)+1,LARGE(A$3:A733,1))</f>
        <v>0</v>
      </c>
      <c r="B734" s="959">
        <f t="shared" ca="1" si="115"/>
        <v>16</v>
      </c>
      <c r="C734" s="959">
        <f t="shared" ca="1" si="116"/>
        <v>1</v>
      </c>
      <c r="D734" s="960">
        <f t="shared" ca="1" si="117"/>
        <v>1</v>
      </c>
      <c r="E734" s="960">
        <f t="shared" ca="1" si="118"/>
        <v>1</v>
      </c>
      <c r="F734" s="209"/>
    </row>
    <row r="735" spans="1:6" ht="14.1" customHeight="1" x14ac:dyDescent="0.2">
      <c r="A735" s="959">
        <f ca="1">IF($H735="UNIDADE CONSTRUTIVA",OFFSET(A735,-1,0)+1,LARGE(A$3:A734,1))</f>
        <v>0</v>
      </c>
      <c r="B735" s="959">
        <f t="shared" ca="1" si="115"/>
        <v>16</v>
      </c>
      <c r="C735" s="959">
        <f t="shared" ca="1" si="116"/>
        <v>1</v>
      </c>
      <c r="D735" s="960">
        <f t="shared" ca="1" si="117"/>
        <v>1</v>
      </c>
      <c r="E735" s="960">
        <f t="shared" ca="1" si="118"/>
        <v>1</v>
      </c>
      <c r="F735" s="209"/>
    </row>
    <row r="736" spans="1:6" ht="14.1" customHeight="1" x14ac:dyDescent="0.2">
      <c r="A736" s="959">
        <f ca="1">IF($H736="UNIDADE CONSTRUTIVA",OFFSET(A736,-1,0)+1,LARGE(A$3:A735,1))</f>
        <v>0</v>
      </c>
      <c r="B736" s="959">
        <f t="shared" ca="1" si="115"/>
        <v>16</v>
      </c>
      <c r="C736" s="959">
        <f t="shared" ca="1" si="116"/>
        <v>1</v>
      </c>
      <c r="D736" s="960">
        <f t="shared" ca="1" si="117"/>
        <v>1</v>
      </c>
      <c r="E736" s="960">
        <f t="shared" ca="1" si="118"/>
        <v>1</v>
      </c>
      <c r="F736" s="209"/>
    </row>
    <row r="737" spans="1:6" ht="14.1" customHeight="1" x14ac:dyDescent="0.2">
      <c r="A737" s="959">
        <f ca="1">IF($H737="UNIDADE CONSTRUTIVA",OFFSET(A737,-1,0)+1,LARGE(A$3:A736,1))</f>
        <v>0</v>
      </c>
      <c r="B737" s="959">
        <f t="shared" ca="1" si="115"/>
        <v>16</v>
      </c>
      <c r="C737" s="959">
        <f t="shared" ca="1" si="116"/>
        <v>1</v>
      </c>
      <c r="D737" s="960">
        <f t="shared" ca="1" si="117"/>
        <v>1</v>
      </c>
      <c r="E737" s="960">
        <f t="shared" ca="1" si="118"/>
        <v>1</v>
      </c>
      <c r="F737" s="209"/>
    </row>
    <row r="738" spans="1:6" ht="14.1" customHeight="1" x14ac:dyDescent="0.2">
      <c r="A738" s="959">
        <f ca="1">IF($H738="UNIDADE CONSTRUTIVA",OFFSET(A738,-1,0)+1,LARGE(A$3:A737,1))</f>
        <v>0</v>
      </c>
      <c r="B738" s="959">
        <f t="shared" ca="1" si="115"/>
        <v>16</v>
      </c>
      <c r="C738" s="959">
        <f t="shared" ca="1" si="116"/>
        <v>1</v>
      </c>
      <c r="D738" s="960">
        <f t="shared" ca="1" si="117"/>
        <v>1</v>
      </c>
      <c r="E738" s="960">
        <f t="shared" ca="1" si="118"/>
        <v>1</v>
      </c>
      <c r="F738" s="209"/>
    </row>
    <row r="739" spans="1:6" ht="14.1" customHeight="1" x14ac:dyDescent="0.2">
      <c r="A739" s="959">
        <f ca="1">IF($H739="UNIDADE CONSTRUTIVA",OFFSET(A739,-1,0)+1,LARGE(A$3:A738,1))</f>
        <v>0</v>
      </c>
      <c r="B739" s="959">
        <f t="shared" ca="1" si="115"/>
        <v>16</v>
      </c>
      <c r="C739" s="959">
        <f t="shared" ca="1" si="116"/>
        <v>1</v>
      </c>
      <c r="D739" s="960">
        <f t="shared" ca="1" si="117"/>
        <v>1</v>
      </c>
      <c r="E739" s="960">
        <f t="shared" ca="1" si="118"/>
        <v>1</v>
      </c>
      <c r="F739" s="209"/>
    </row>
    <row r="740" spans="1:6" ht="14.1" customHeight="1" x14ac:dyDescent="0.2">
      <c r="A740" s="959">
        <f ca="1">IF($H740="UNIDADE CONSTRUTIVA",OFFSET(A740,-1,0)+1,LARGE(A$3:A739,1))</f>
        <v>0</v>
      </c>
      <c r="B740" s="959">
        <f t="shared" ca="1" si="115"/>
        <v>16</v>
      </c>
      <c r="C740" s="959">
        <f t="shared" ca="1" si="116"/>
        <v>1</v>
      </c>
      <c r="D740" s="960">
        <f t="shared" ca="1" si="117"/>
        <v>1</v>
      </c>
      <c r="E740" s="960">
        <f t="shared" ca="1" si="118"/>
        <v>1</v>
      </c>
      <c r="F740" s="209"/>
    </row>
    <row r="741" spans="1:6" ht="14.1" customHeight="1" x14ac:dyDescent="0.2">
      <c r="A741" s="959">
        <f ca="1">IF($H741="UNIDADE CONSTRUTIVA",OFFSET(A741,-1,0)+1,LARGE(A$3:A740,1))</f>
        <v>0</v>
      </c>
      <c r="B741" s="959">
        <f t="shared" ca="1" si="115"/>
        <v>16</v>
      </c>
      <c r="C741" s="959">
        <f t="shared" ca="1" si="116"/>
        <v>1</v>
      </c>
      <c r="D741" s="960">
        <f t="shared" ca="1" si="117"/>
        <v>1</v>
      </c>
      <c r="E741" s="960">
        <f t="shared" ca="1" si="118"/>
        <v>1</v>
      </c>
      <c r="F741" s="209"/>
    </row>
    <row r="742" spans="1:6" ht="14.1" customHeight="1" x14ac:dyDescent="0.2">
      <c r="A742" s="959">
        <f ca="1">IF($H742="UNIDADE CONSTRUTIVA",OFFSET(A742,-1,0)+1,LARGE(A$3:A741,1))</f>
        <v>0</v>
      </c>
      <c r="B742" s="959">
        <f t="shared" ca="1" si="115"/>
        <v>16</v>
      </c>
      <c r="C742" s="959">
        <f t="shared" ca="1" si="116"/>
        <v>1</v>
      </c>
      <c r="D742" s="960">
        <f t="shared" ca="1" si="117"/>
        <v>1</v>
      </c>
      <c r="E742" s="960">
        <f t="shared" ca="1" si="118"/>
        <v>1</v>
      </c>
      <c r="F742" s="209"/>
    </row>
    <row r="743" spans="1:6" ht="14.1" customHeight="1" x14ac:dyDescent="0.2">
      <c r="A743" s="959">
        <f ca="1">IF($H743="UNIDADE CONSTRUTIVA",OFFSET(A743,-1,0)+1,LARGE(A$3:A742,1))</f>
        <v>0</v>
      </c>
      <c r="B743" s="959">
        <f t="shared" ca="1" si="115"/>
        <v>16</v>
      </c>
      <c r="C743" s="959">
        <f t="shared" ca="1" si="116"/>
        <v>1</v>
      </c>
      <c r="D743" s="960">
        <f t="shared" ca="1" si="117"/>
        <v>1</v>
      </c>
      <c r="E743" s="960">
        <f t="shared" ca="1" si="118"/>
        <v>1</v>
      </c>
      <c r="F743" s="209"/>
    </row>
    <row r="744" spans="1:6" ht="14.1" customHeight="1" x14ac:dyDescent="0.2">
      <c r="A744" s="959">
        <f ca="1">IF($H744="UNIDADE CONSTRUTIVA",OFFSET(A744,-1,0)+1,LARGE(A$3:A743,1))</f>
        <v>0</v>
      </c>
      <c r="B744" s="959">
        <f t="shared" ca="1" si="115"/>
        <v>16</v>
      </c>
      <c r="C744" s="959">
        <f t="shared" ca="1" si="116"/>
        <v>1</v>
      </c>
      <c r="D744" s="960">
        <f t="shared" ca="1" si="117"/>
        <v>1</v>
      </c>
      <c r="E744" s="960">
        <f t="shared" ca="1" si="118"/>
        <v>1</v>
      </c>
      <c r="F744" s="209"/>
    </row>
    <row r="745" spans="1:6" ht="14.1" customHeight="1" x14ac:dyDescent="0.2">
      <c r="A745" s="959">
        <f ca="1">IF($H745="UNIDADE CONSTRUTIVA",OFFSET(A745,-1,0)+1,LARGE(A$3:A744,1))</f>
        <v>0</v>
      </c>
      <c r="B745" s="959">
        <f t="shared" ca="1" si="115"/>
        <v>16</v>
      </c>
      <c r="C745" s="959">
        <f t="shared" ca="1" si="116"/>
        <v>1</v>
      </c>
      <c r="D745" s="960">
        <f t="shared" ca="1" si="117"/>
        <v>1</v>
      </c>
      <c r="E745" s="960">
        <f t="shared" ca="1" si="118"/>
        <v>1</v>
      </c>
      <c r="F745" s="209"/>
    </row>
    <row r="746" spans="1:6" ht="14.1" customHeight="1" x14ac:dyDescent="0.2">
      <c r="A746" s="959">
        <f ca="1">IF($H746="UNIDADE CONSTRUTIVA",OFFSET(A746,-1,0)+1,LARGE(A$3:A745,1))</f>
        <v>0</v>
      </c>
      <c r="B746" s="959">
        <f t="shared" ca="1" si="115"/>
        <v>16</v>
      </c>
      <c r="C746" s="959">
        <f t="shared" ca="1" si="116"/>
        <v>1</v>
      </c>
      <c r="D746" s="960">
        <f t="shared" ca="1" si="117"/>
        <v>1</v>
      </c>
      <c r="E746" s="960">
        <f t="shared" ca="1" si="118"/>
        <v>1</v>
      </c>
      <c r="F746" s="209"/>
    </row>
    <row r="747" spans="1:6" ht="14.1" customHeight="1" x14ac:dyDescent="0.2">
      <c r="A747" s="959">
        <f ca="1">IF($H747="UNIDADE CONSTRUTIVA",OFFSET(A747,-1,0)+1,LARGE(A$3:A746,1))</f>
        <v>0</v>
      </c>
      <c r="B747" s="959">
        <f t="shared" ca="1" si="115"/>
        <v>16</v>
      </c>
      <c r="C747" s="959">
        <f t="shared" ca="1" si="116"/>
        <v>1</v>
      </c>
      <c r="D747" s="960">
        <f t="shared" ca="1" si="117"/>
        <v>1</v>
      </c>
      <c r="E747" s="960">
        <f t="shared" ca="1" si="118"/>
        <v>1</v>
      </c>
      <c r="F747" s="209"/>
    </row>
    <row r="748" spans="1:6" ht="14.1" customHeight="1" x14ac:dyDescent="0.2">
      <c r="A748" s="959">
        <f ca="1">IF($H748="UNIDADE CONSTRUTIVA",OFFSET(A748,-1,0)+1,LARGE(A$3:A747,1))</f>
        <v>0</v>
      </c>
      <c r="B748" s="959">
        <f t="shared" ca="1" si="115"/>
        <v>16</v>
      </c>
      <c r="C748" s="959">
        <f t="shared" ca="1" si="116"/>
        <v>1</v>
      </c>
      <c r="D748" s="960">
        <f t="shared" ca="1" si="117"/>
        <v>1</v>
      </c>
      <c r="E748" s="960">
        <f t="shared" ca="1" si="118"/>
        <v>1</v>
      </c>
      <c r="F748" s="209"/>
    </row>
    <row r="749" spans="1:6" ht="14.1" customHeight="1" x14ac:dyDescent="0.2">
      <c r="A749" s="959">
        <f ca="1">IF($H749="UNIDADE CONSTRUTIVA",OFFSET(A749,-1,0)+1,LARGE(A$3:A748,1))</f>
        <v>0</v>
      </c>
      <c r="B749" s="959">
        <f t="shared" ca="1" si="115"/>
        <v>16</v>
      </c>
      <c r="C749" s="959">
        <f t="shared" ca="1" si="116"/>
        <v>1</v>
      </c>
      <c r="D749" s="960">
        <f t="shared" ca="1" si="117"/>
        <v>1</v>
      </c>
      <c r="E749" s="960">
        <f t="shared" ca="1" si="118"/>
        <v>1</v>
      </c>
      <c r="F749" s="209"/>
    </row>
    <row r="750" spans="1:6" ht="14.1" customHeight="1" x14ac:dyDescent="0.2">
      <c r="A750" s="959">
        <f ca="1">IF($H750="UNIDADE CONSTRUTIVA",OFFSET(A750,-1,0)+1,LARGE(A$3:A749,1))</f>
        <v>0</v>
      </c>
      <c r="B750" s="959">
        <f t="shared" ca="1" si="115"/>
        <v>16</v>
      </c>
      <c r="C750" s="959">
        <f t="shared" ca="1" si="116"/>
        <v>1</v>
      </c>
      <c r="D750" s="960">
        <f t="shared" ca="1" si="117"/>
        <v>1</v>
      </c>
      <c r="E750" s="960">
        <f t="shared" ca="1" si="118"/>
        <v>1</v>
      </c>
      <c r="F750" s="209"/>
    </row>
    <row r="751" spans="1:6" ht="14.1" customHeight="1" x14ac:dyDescent="0.2">
      <c r="A751" s="959">
        <f ca="1">IF($H751="UNIDADE CONSTRUTIVA",OFFSET(A751,-1,0)+1,LARGE(A$3:A750,1))</f>
        <v>0</v>
      </c>
      <c r="B751" s="959">
        <f t="shared" ca="1" si="115"/>
        <v>16</v>
      </c>
      <c r="C751" s="959">
        <f t="shared" ca="1" si="116"/>
        <v>1</v>
      </c>
      <c r="D751" s="960">
        <f t="shared" ca="1" si="117"/>
        <v>1</v>
      </c>
      <c r="E751" s="960">
        <f t="shared" ca="1" si="118"/>
        <v>1</v>
      </c>
      <c r="F751" s="209"/>
    </row>
    <row r="752" spans="1:6" ht="14.1" customHeight="1" x14ac:dyDescent="0.2">
      <c r="A752" s="959">
        <f ca="1">IF($H752="UNIDADE CONSTRUTIVA",OFFSET(A752,-1,0)+1,LARGE(A$3:A751,1))</f>
        <v>0</v>
      </c>
      <c r="B752" s="959">
        <f t="shared" ca="1" si="115"/>
        <v>16</v>
      </c>
      <c r="C752" s="959">
        <f t="shared" ca="1" si="116"/>
        <v>1</v>
      </c>
      <c r="D752" s="960">
        <f t="shared" ca="1" si="117"/>
        <v>1</v>
      </c>
      <c r="E752" s="960">
        <f t="shared" ca="1" si="118"/>
        <v>1</v>
      </c>
      <c r="F752" s="209"/>
    </row>
    <row r="753" spans="1:6" ht="14.1" customHeight="1" x14ac:dyDescent="0.2">
      <c r="A753" s="959">
        <f ca="1">IF($H753="UNIDADE CONSTRUTIVA",OFFSET(A753,-1,0)+1,LARGE(A$3:A752,1))</f>
        <v>0</v>
      </c>
      <c r="B753" s="959">
        <f t="shared" ca="1" si="115"/>
        <v>16</v>
      </c>
      <c r="C753" s="959">
        <f t="shared" ca="1" si="116"/>
        <v>1</v>
      </c>
      <c r="D753" s="960">
        <f t="shared" ca="1" si="117"/>
        <v>1</v>
      </c>
      <c r="E753" s="960">
        <f t="shared" ca="1" si="118"/>
        <v>1</v>
      </c>
      <c r="F753" s="209"/>
    </row>
    <row r="754" spans="1:6" ht="14.1" customHeight="1" x14ac:dyDescent="0.2">
      <c r="A754" s="959">
        <f ca="1">IF($H754="UNIDADE CONSTRUTIVA",OFFSET(A754,-1,0)+1,LARGE(A$3:A753,1))</f>
        <v>0</v>
      </c>
      <c r="B754" s="959">
        <f t="shared" ca="1" si="115"/>
        <v>16</v>
      </c>
      <c r="C754" s="959">
        <f t="shared" ca="1" si="116"/>
        <v>1</v>
      </c>
      <c r="D754" s="960">
        <f t="shared" ca="1" si="117"/>
        <v>1</v>
      </c>
      <c r="E754" s="960">
        <f t="shared" ca="1" si="118"/>
        <v>1</v>
      </c>
      <c r="F754" s="209"/>
    </row>
    <row r="755" spans="1:6" ht="14.1" customHeight="1" x14ac:dyDescent="0.2">
      <c r="A755" s="959">
        <f ca="1">IF($H755="UNIDADE CONSTRUTIVA",OFFSET(A755,-1,0)+1,LARGE(A$3:A754,1))</f>
        <v>0</v>
      </c>
      <c r="B755" s="959">
        <f t="shared" ca="1" si="115"/>
        <v>16</v>
      </c>
      <c r="C755" s="959">
        <f t="shared" ca="1" si="116"/>
        <v>1</v>
      </c>
      <c r="D755" s="960">
        <f t="shared" ca="1" si="117"/>
        <v>1</v>
      </c>
      <c r="E755" s="960">
        <f t="shared" ca="1" si="118"/>
        <v>1</v>
      </c>
      <c r="F755" s="209"/>
    </row>
    <row r="756" spans="1:6" ht="14.1" customHeight="1" x14ac:dyDescent="0.2">
      <c r="A756" s="959">
        <f ca="1">IF($H756="UNIDADE CONSTRUTIVA",OFFSET(A756,-1,0)+1,LARGE(A$3:A755,1))</f>
        <v>0</v>
      </c>
      <c r="B756" s="959">
        <f t="shared" ca="1" si="115"/>
        <v>16</v>
      </c>
      <c r="C756" s="959">
        <f t="shared" ca="1" si="116"/>
        <v>1</v>
      </c>
      <c r="D756" s="960">
        <f t="shared" ca="1" si="117"/>
        <v>1</v>
      </c>
      <c r="E756" s="960">
        <f t="shared" ca="1" si="118"/>
        <v>1</v>
      </c>
      <c r="F756" s="209"/>
    </row>
    <row r="757" spans="1:6" ht="14.1" customHeight="1" x14ac:dyDescent="0.2">
      <c r="A757" s="959">
        <f ca="1">IF($H757="UNIDADE CONSTRUTIVA",OFFSET(A757,-1,0)+1,LARGE(A$3:A756,1))</f>
        <v>0</v>
      </c>
      <c r="B757" s="959">
        <f t="shared" ca="1" si="115"/>
        <v>16</v>
      </c>
      <c r="C757" s="959">
        <f t="shared" ca="1" si="116"/>
        <v>1</v>
      </c>
      <c r="D757" s="960">
        <f t="shared" ca="1" si="117"/>
        <v>1</v>
      </c>
      <c r="E757" s="960">
        <f t="shared" ca="1" si="118"/>
        <v>1</v>
      </c>
      <c r="F757" s="209"/>
    </row>
    <row r="758" spans="1:6" ht="14.1" customHeight="1" x14ac:dyDescent="0.2">
      <c r="A758" s="959">
        <f ca="1">IF($H758="UNIDADE CONSTRUTIVA",OFFSET(A758,-1,0)+1,LARGE(A$3:A757,1))</f>
        <v>0</v>
      </c>
      <c r="B758" s="959">
        <f t="shared" ca="1" si="115"/>
        <v>16</v>
      </c>
      <c r="C758" s="959">
        <f t="shared" ca="1" si="116"/>
        <v>1</v>
      </c>
      <c r="D758" s="960">
        <f t="shared" ca="1" si="117"/>
        <v>1</v>
      </c>
      <c r="E758" s="960">
        <f t="shared" ca="1" si="118"/>
        <v>1</v>
      </c>
      <c r="F758" s="209"/>
    </row>
    <row r="759" spans="1:6" ht="14.1" customHeight="1" x14ac:dyDescent="0.2">
      <c r="A759" s="959">
        <f ca="1">IF($H759="UNIDADE CONSTRUTIVA",OFFSET(A759,-1,0)+1,LARGE(A$3:A758,1))</f>
        <v>0</v>
      </c>
      <c r="B759" s="959">
        <f t="shared" ca="1" si="115"/>
        <v>16</v>
      </c>
      <c r="C759" s="959">
        <f t="shared" ca="1" si="116"/>
        <v>1</v>
      </c>
      <c r="D759" s="960">
        <f t="shared" ca="1" si="117"/>
        <v>1</v>
      </c>
      <c r="E759" s="960">
        <f t="shared" ca="1" si="118"/>
        <v>1</v>
      </c>
      <c r="F759" s="209"/>
    </row>
    <row r="760" spans="1:6" ht="14.1" customHeight="1" x14ac:dyDescent="0.2">
      <c r="A760" s="959">
        <f ca="1">IF($H760="UNIDADE CONSTRUTIVA",OFFSET(A760,-1,0)+1,LARGE(A$3:A759,1))</f>
        <v>0</v>
      </c>
      <c r="B760" s="959">
        <f t="shared" ca="1" si="115"/>
        <v>16</v>
      </c>
      <c r="C760" s="959">
        <f t="shared" ca="1" si="116"/>
        <v>1</v>
      </c>
      <c r="D760" s="960">
        <f t="shared" ca="1" si="117"/>
        <v>1</v>
      </c>
      <c r="E760" s="960">
        <f t="shared" ca="1" si="118"/>
        <v>1</v>
      </c>
      <c r="F760" s="209"/>
    </row>
    <row r="761" spans="1:6" ht="14.1" customHeight="1" x14ac:dyDescent="0.2">
      <c r="A761" s="959">
        <f ca="1">IF($H761="UNIDADE CONSTRUTIVA",OFFSET(A761,-1,0)+1,LARGE(A$3:A760,1))</f>
        <v>0</v>
      </c>
      <c r="B761" s="959">
        <f t="shared" ca="1" si="115"/>
        <v>16</v>
      </c>
      <c r="C761" s="959">
        <f t="shared" ca="1" si="116"/>
        <v>1</v>
      </c>
      <c r="D761" s="960">
        <f t="shared" ca="1" si="117"/>
        <v>1</v>
      </c>
      <c r="E761" s="960">
        <f t="shared" ca="1" si="118"/>
        <v>1</v>
      </c>
      <c r="F761" s="209"/>
    </row>
    <row r="762" spans="1:6" ht="14.1" customHeight="1" x14ac:dyDescent="0.2">
      <c r="A762" s="959">
        <f ca="1">IF($H762="UNIDADE CONSTRUTIVA",OFFSET(A762,-1,0)+1,LARGE(A$3:A761,1))</f>
        <v>0</v>
      </c>
      <c r="B762" s="959">
        <f t="shared" ca="1" si="115"/>
        <v>16</v>
      </c>
      <c r="C762" s="959">
        <f t="shared" ca="1" si="116"/>
        <v>1</v>
      </c>
      <c r="D762" s="960">
        <f t="shared" ca="1" si="117"/>
        <v>1</v>
      </c>
      <c r="E762" s="960">
        <f t="shared" ca="1" si="118"/>
        <v>1</v>
      </c>
      <c r="F762" s="209"/>
    </row>
    <row r="763" spans="1:6" ht="14.1" customHeight="1" x14ac:dyDescent="0.2">
      <c r="A763" s="959">
        <f ca="1">IF($H763="UNIDADE CONSTRUTIVA",OFFSET(A763,-1,0)+1,LARGE(A$3:A762,1))</f>
        <v>0</v>
      </c>
      <c r="B763" s="959">
        <f t="shared" ca="1" si="115"/>
        <v>16</v>
      </c>
      <c r="C763" s="959">
        <f t="shared" ca="1" si="116"/>
        <v>1</v>
      </c>
      <c r="D763" s="960">
        <f t="shared" ca="1" si="117"/>
        <v>1</v>
      </c>
      <c r="E763" s="960">
        <f t="shared" ca="1" si="118"/>
        <v>1</v>
      </c>
      <c r="F763" s="209"/>
    </row>
    <row r="764" spans="1:6" ht="14.1" customHeight="1" x14ac:dyDescent="0.2">
      <c r="A764" s="959">
        <f ca="1">IF($H764="UNIDADE CONSTRUTIVA",OFFSET(A764,-1,0)+1,LARGE(A$3:A763,1))</f>
        <v>0</v>
      </c>
      <c r="B764" s="959">
        <f t="shared" ca="1" si="115"/>
        <v>16</v>
      </c>
      <c r="C764" s="959">
        <f t="shared" ca="1" si="116"/>
        <v>1</v>
      </c>
      <c r="D764" s="960">
        <f t="shared" ca="1" si="117"/>
        <v>1</v>
      </c>
      <c r="E764" s="960">
        <f t="shared" ca="1" si="118"/>
        <v>1</v>
      </c>
      <c r="F764" s="209"/>
    </row>
    <row r="765" spans="1:6" ht="14.1" customHeight="1" x14ac:dyDescent="0.2">
      <c r="A765" s="959">
        <f ca="1">IF($H765="UNIDADE CONSTRUTIVA",OFFSET(A765,-1,0)+1,LARGE(A$3:A764,1))</f>
        <v>0</v>
      </c>
      <c r="B765" s="959">
        <f t="shared" ca="1" si="115"/>
        <v>16</v>
      </c>
      <c r="C765" s="959">
        <f t="shared" ca="1" si="116"/>
        <v>1</v>
      </c>
      <c r="D765" s="960">
        <f t="shared" ca="1" si="117"/>
        <v>1</v>
      </c>
      <c r="E765" s="960">
        <f t="shared" ca="1" si="118"/>
        <v>1</v>
      </c>
      <c r="F765" s="209"/>
    </row>
    <row r="766" spans="1:6" ht="14.1" customHeight="1" x14ac:dyDescent="0.2">
      <c r="A766" s="959">
        <f ca="1">IF($H766="UNIDADE CONSTRUTIVA",OFFSET(A766,-1,0)+1,LARGE(A$3:A765,1))</f>
        <v>0</v>
      </c>
      <c r="B766" s="959">
        <f t="shared" ref="B766:B829" ca="1" si="119">IF(H766="UNIDADE CONSTRUTIVA",0,IF(H766="CÉLULA CONSTRUTIVA",OFFSET(B766,-1,0)+1,OFFSET(B766,-1,0)))</f>
        <v>16</v>
      </c>
      <c r="C766" s="959">
        <f t="shared" ca="1" si="116"/>
        <v>1</v>
      </c>
      <c r="D766" s="960">
        <f t="shared" ca="1" si="117"/>
        <v>1</v>
      </c>
      <c r="E766" s="960">
        <f t="shared" ca="1" si="118"/>
        <v>1</v>
      </c>
      <c r="F766" s="209"/>
    </row>
    <row r="767" spans="1:6" ht="14.1" customHeight="1" x14ac:dyDescent="0.2">
      <c r="A767" s="959">
        <f ca="1">IF($H767="UNIDADE CONSTRUTIVA",OFFSET(A767,-1,0)+1,LARGE(A$3:A766,1))</f>
        <v>0</v>
      </c>
      <c r="B767" s="959">
        <f t="shared" ca="1" si="119"/>
        <v>16</v>
      </c>
      <c r="C767" s="959">
        <f t="shared" ca="1" si="116"/>
        <v>1</v>
      </c>
      <c r="D767" s="960">
        <f t="shared" ca="1" si="117"/>
        <v>1</v>
      </c>
      <c r="E767" s="960">
        <f t="shared" ca="1" si="118"/>
        <v>1</v>
      </c>
      <c r="F767" s="209"/>
    </row>
    <row r="768" spans="1:6" ht="14.1" customHeight="1" x14ac:dyDescent="0.2">
      <c r="A768" s="959">
        <f ca="1">IF($H768="UNIDADE CONSTRUTIVA",OFFSET(A768,-1,0)+1,LARGE(A$3:A767,1))</f>
        <v>0</v>
      </c>
      <c r="B768" s="959">
        <f t="shared" ca="1" si="119"/>
        <v>16</v>
      </c>
      <c r="C768" s="959">
        <f t="shared" ca="1" si="116"/>
        <v>1</v>
      </c>
      <c r="D768" s="960">
        <f t="shared" ca="1" si="117"/>
        <v>1</v>
      </c>
      <c r="E768" s="960">
        <f t="shared" ca="1" si="118"/>
        <v>1</v>
      </c>
      <c r="F768" s="209"/>
    </row>
    <row r="769" spans="1:6" ht="14.1" customHeight="1" x14ac:dyDescent="0.2">
      <c r="A769" s="959">
        <f ca="1">IF($H769="UNIDADE CONSTRUTIVA",OFFSET(A769,-1,0)+1,LARGE(A$3:A768,1))</f>
        <v>0</v>
      </c>
      <c r="B769" s="959">
        <f t="shared" ca="1" si="119"/>
        <v>16</v>
      </c>
      <c r="C769" s="959">
        <f t="shared" ca="1" si="116"/>
        <v>1</v>
      </c>
      <c r="D769" s="960">
        <f t="shared" ca="1" si="117"/>
        <v>1</v>
      </c>
      <c r="E769" s="960">
        <f t="shared" ca="1" si="118"/>
        <v>1</v>
      </c>
      <c r="F769" s="209"/>
    </row>
    <row r="770" spans="1:6" ht="14.1" customHeight="1" x14ac:dyDescent="0.2">
      <c r="A770" s="959">
        <f ca="1">IF($H770="UNIDADE CONSTRUTIVA",OFFSET(A770,-1,0)+1,LARGE(A$3:A769,1))</f>
        <v>0</v>
      </c>
      <c r="B770" s="959">
        <f t="shared" ca="1" si="119"/>
        <v>16</v>
      </c>
      <c r="C770" s="959">
        <f t="shared" ca="1" si="116"/>
        <v>1</v>
      </c>
      <c r="D770" s="960">
        <f t="shared" ca="1" si="117"/>
        <v>1</v>
      </c>
      <c r="E770" s="960">
        <f t="shared" ca="1" si="118"/>
        <v>1</v>
      </c>
      <c r="F770" s="209"/>
    </row>
    <row r="771" spans="1:6" ht="14.1" customHeight="1" x14ac:dyDescent="0.2">
      <c r="A771" s="959">
        <f ca="1">IF($H771="UNIDADE CONSTRUTIVA",OFFSET(A771,-1,0)+1,LARGE(A$3:A770,1))</f>
        <v>0</v>
      </c>
      <c r="B771" s="959">
        <f t="shared" ca="1" si="119"/>
        <v>16</v>
      </c>
      <c r="C771" s="959">
        <f t="shared" ca="1" si="116"/>
        <v>1</v>
      </c>
      <c r="D771" s="960">
        <f t="shared" ca="1" si="117"/>
        <v>1</v>
      </c>
      <c r="E771" s="960">
        <f t="shared" ca="1" si="118"/>
        <v>1</v>
      </c>
      <c r="F771" s="209"/>
    </row>
    <row r="772" spans="1:6" ht="14.1" customHeight="1" x14ac:dyDescent="0.2">
      <c r="A772" s="959">
        <f ca="1">IF($H772="UNIDADE CONSTRUTIVA",OFFSET(A772,-1,0)+1,LARGE(A$3:A771,1))</f>
        <v>0</v>
      </c>
      <c r="B772" s="959">
        <f t="shared" ca="1" si="119"/>
        <v>16</v>
      </c>
      <c r="C772" s="959">
        <f t="shared" ca="1" si="116"/>
        <v>1</v>
      </c>
      <c r="D772" s="960">
        <f t="shared" ca="1" si="117"/>
        <v>1</v>
      </c>
      <c r="E772" s="960">
        <f t="shared" ca="1" si="118"/>
        <v>1</v>
      </c>
      <c r="F772" s="209"/>
    </row>
    <row r="773" spans="1:6" ht="14.1" customHeight="1" x14ac:dyDescent="0.2">
      <c r="A773" s="959">
        <f ca="1">IF($H773="UNIDADE CONSTRUTIVA",OFFSET(A773,-1,0)+1,LARGE(A$3:A772,1))</f>
        <v>0</v>
      </c>
      <c r="B773" s="959">
        <f t="shared" ca="1" si="119"/>
        <v>16</v>
      </c>
      <c r="C773" s="959">
        <f t="shared" ca="1" si="116"/>
        <v>1</v>
      </c>
      <c r="D773" s="960">
        <f t="shared" ca="1" si="117"/>
        <v>1</v>
      </c>
      <c r="E773" s="960">
        <f t="shared" ca="1" si="118"/>
        <v>1</v>
      </c>
      <c r="F773" s="209"/>
    </row>
    <row r="774" spans="1:6" ht="14.1" customHeight="1" x14ac:dyDescent="0.2">
      <c r="A774" s="959">
        <f ca="1">IF($H774="UNIDADE CONSTRUTIVA",OFFSET(A774,-1,0)+1,LARGE(A$3:A773,1))</f>
        <v>0</v>
      </c>
      <c r="B774" s="959">
        <f t="shared" ca="1" si="119"/>
        <v>16</v>
      </c>
      <c r="C774" s="959">
        <f t="shared" ca="1" si="116"/>
        <v>1</v>
      </c>
      <c r="D774" s="960">
        <f t="shared" ca="1" si="117"/>
        <v>1</v>
      </c>
      <c r="E774" s="960">
        <f t="shared" ca="1" si="118"/>
        <v>1</v>
      </c>
      <c r="F774" s="209"/>
    </row>
    <row r="775" spans="1:6" ht="14.1" customHeight="1" x14ac:dyDescent="0.2">
      <c r="A775" s="959">
        <f ca="1">IF($H775="UNIDADE CONSTRUTIVA",OFFSET(A775,-1,0)+1,LARGE(A$3:A774,1))</f>
        <v>0</v>
      </c>
      <c r="B775" s="959">
        <f t="shared" ca="1" si="119"/>
        <v>16</v>
      </c>
      <c r="C775" s="959">
        <f t="shared" ca="1" si="116"/>
        <v>1</v>
      </c>
      <c r="D775" s="960">
        <f t="shared" ca="1" si="117"/>
        <v>1</v>
      </c>
      <c r="E775" s="960">
        <f t="shared" ca="1" si="118"/>
        <v>1</v>
      </c>
      <c r="F775" s="209"/>
    </row>
    <row r="776" spans="1:6" ht="14.1" customHeight="1" x14ac:dyDescent="0.2">
      <c r="A776" s="959">
        <f ca="1">IF($H776="UNIDADE CONSTRUTIVA",OFFSET(A776,-1,0)+1,LARGE(A$3:A775,1))</f>
        <v>0</v>
      </c>
      <c r="B776" s="959">
        <f t="shared" ca="1" si="119"/>
        <v>16</v>
      </c>
      <c r="C776" s="959">
        <f t="shared" ca="1" si="116"/>
        <v>1</v>
      </c>
      <c r="D776" s="960">
        <f t="shared" ca="1" si="117"/>
        <v>1</v>
      </c>
      <c r="E776" s="960">
        <f t="shared" ca="1" si="118"/>
        <v>1</v>
      </c>
      <c r="F776" s="209"/>
    </row>
    <row r="777" spans="1:6" ht="14.1" customHeight="1" x14ac:dyDescent="0.2">
      <c r="A777" s="959">
        <f ca="1">IF($H777="UNIDADE CONSTRUTIVA",OFFSET(A777,-1,0)+1,LARGE(A$3:A776,1))</f>
        <v>0</v>
      </c>
      <c r="B777" s="959">
        <f t="shared" ca="1" si="119"/>
        <v>16</v>
      </c>
      <c r="C777" s="959">
        <f t="shared" ca="1" si="116"/>
        <v>1</v>
      </c>
      <c r="D777" s="960">
        <f t="shared" ca="1" si="117"/>
        <v>1</v>
      </c>
      <c r="E777" s="960">
        <f t="shared" ca="1" si="118"/>
        <v>1</v>
      </c>
      <c r="F777" s="209"/>
    </row>
    <row r="778" spans="1:6" ht="14.1" customHeight="1" x14ac:dyDescent="0.2">
      <c r="A778" s="959">
        <f ca="1">IF($H778="UNIDADE CONSTRUTIVA",OFFSET(A778,-1,0)+1,LARGE(A$3:A777,1))</f>
        <v>0</v>
      </c>
      <c r="B778" s="959">
        <f t="shared" ca="1" si="119"/>
        <v>16</v>
      </c>
      <c r="C778" s="959">
        <f t="shared" ca="1" si="116"/>
        <v>1</v>
      </c>
      <c r="D778" s="960">
        <f t="shared" ca="1" si="117"/>
        <v>1</v>
      </c>
      <c r="E778" s="960">
        <f t="shared" ca="1" si="118"/>
        <v>1</v>
      </c>
      <c r="F778" s="209"/>
    </row>
    <row r="779" spans="1:6" ht="14.1" customHeight="1" x14ac:dyDescent="0.2">
      <c r="A779" s="959">
        <f ca="1">IF($H779="UNIDADE CONSTRUTIVA",OFFSET(A779,-1,0)+1,LARGE(A$3:A778,1))</f>
        <v>0</v>
      </c>
      <c r="B779" s="959">
        <f t="shared" ca="1" si="119"/>
        <v>16</v>
      </c>
      <c r="C779" s="959">
        <f t="shared" ca="1" si="116"/>
        <v>1</v>
      </c>
      <c r="D779" s="960">
        <f t="shared" ca="1" si="117"/>
        <v>1</v>
      </c>
      <c r="E779" s="960">
        <f t="shared" ca="1" si="118"/>
        <v>1</v>
      </c>
      <c r="F779" s="209"/>
    </row>
    <row r="780" spans="1:6" ht="14.1" customHeight="1" x14ac:dyDescent="0.2">
      <c r="A780" s="959">
        <f ca="1">IF($H780="UNIDADE CONSTRUTIVA",OFFSET(A780,-1,0)+1,LARGE(A$3:A779,1))</f>
        <v>0</v>
      </c>
      <c r="B780" s="959">
        <f t="shared" ca="1" si="119"/>
        <v>16</v>
      </c>
      <c r="C780" s="959">
        <f t="shared" ref="C780:C843" ca="1" si="120">IF(H780="CÉLULA CONSTRUTIVA",0,IF(H780="ETAPA",OFFSET(C780,-1,0)+1,OFFSET(C780,-1,0)))</f>
        <v>1</v>
      </c>
      <c r="D780" s="960">
        <f t="shared" ref="D780:D843" ca="1" si="121">IF(H780="ETAPA",0,IF(H780="SUBETAPA",OFFSET(D780,-1,0)+1,OFFSET(D780,-1,0)))</f>
        <v>1</v>
      </c>
      <c r="E780" s="960">
        <f t="shared" ref="E780:E843" ca="1" si="122">IF(H780="Subetapa",0,IF(H780="serviço",OFFSET(E780,-1,0)+1,OFFSET(E780,-1,0)))</f>
        <v>1</v>
      </c>
      <c r="F780" s="209"/>
    </row>
    <row r="781" spans="1:6" ht="14.1" customHeight="1" x14ac:dyDescent="0.2">
      <c r="A781" s="959">
        <f ca="1">IF($H781="UNIDADE CONSTRUTIVA",OFFSET(A781,-1,0)+1,LARGE(A$3:A780,1))</f>
        <v>0</v>
      </c>
      <c r="B781" s="959">
        <f t="shared" ca="1" si="119"/>
        <v>16</v>
      </c>
      <c r="C781" s="959">
        <f t="shared" ca="1" si="120"/>
        <v>1</v>
      </c>
      <c r="D781" s="960">
        <f t="shared" ca="1" si="121"/>
        <v>1</v>
      </c>
      <c r="E781" s="960">
        <f t="shared" ca="1" si="122"/>
        <v>1</v>
      </c>
      <c r="F781" s="209"/>
    </row>
    <row r="782" spans="1:6" ht="14.1" customHeight="1" x14ac:dyDescent="0.2">
      <c r="A782" s="959">
        <f ca="1">IF($H782="UNIDADE CONSTRUTIVA",OFFSET(A782,-1,0)+1,LARGE(A$3:A781,1))</f>
        <v>0</v>
      </c>
      <c r="B782" s="959">
        <f t="shared" ca="1" si="119"/>
        <v>16</v>
      </c>
      <c r="C782" s="959">
        <f t="shared" ca="1" si="120"/>
        <v>1</v>
      </c>
      <c r="D782" s="960">
        <f t="shared" ca="1" si="121"/>
        <v>1</v>
      </c>
      <c r="E782" s="960">
        <f t="shared" ca="1" si="122"/>
        <v>1</v>
      </c>
      <c r="F782" s="209"/>
    </row>
    <row r="783" spans="1:6" ht="14.1" customHeight="1" x14ac:dyDescent="0.2">
      <c r="A783" s="959">
        <f ca="1">IF($H783="UNIDADE CONSTRUTIVA",OFFSET(A783,-1,0)+1,LARGE(A$3:A782,1))</f>
        <v>0</v>
      </c>
      <c r="B783" s="959">
        <f t="shared" ca="1" si="119"/>
        <v>16</v>
      </c>
      <c r="C783" s="959">
        <f t="shared" ca="1" si="120"/>
        <v>1</v>
      </c>
      <c r="D783" s="960">
        <f t="shared" ca="1" si="121"/>
        <v>1</v>
      </c>
      <c r="E783" s="960">
        <f t="shared" ca="1" si="122"/>
        <v>1</v>
      </c>
      <c r="F783" s="209"/>
    </row>
    <row r="784" spans="1:6" ht="14.1" customHeight="1" x14ac:dyDescent="0.2">
      <c r="A784" s="959">
        <f ca="1">IF($H784="UNIDADE CONSTRUTIVA",OFFSET(A784,-1,0)+1,LARGE(A$3:A783,1))</f>
        <v>0</v>
      </c>
      <c r="B784" s="959">
        <f t="shared" ca="1" si="119"/>
        <v>16</v>
      </c>
      <c r="C784" s="959">
        <f t="shared" ca="1" si="120"/>
        <v>1</v>
      </c>
      <c r="D784" s="960">
        <f t="shared" ca="1" si="121"/>
        <v>1</v>
      </c>
      <c r="E784" s="960">
        <f t="shared" ca="1" si="122"/>
        <v>1</v>
      </c>
      <c r="F784" s="209"/>
    </row>
    <row r="785" spans="1:6" ht="14.1" customHeight="1" x14ac:dyDescent="0.2">
      <c r="A785" s="959">
        <f ca="1">IF($H785="UNIDADE CONSTRUTIVA",OFFSET(A785,-1,0)+1,LARGE(A$3:A784,1))</f>
        <v>0</v>
      </c>
      <c r="B785" s="959">
        <f t="shared" ca="1" si="119"/>
        <v>16</v>
      </c>
      <c r="C785" s="959">
        <f t="shared" ca="1" si="120"/>
        <v>1</v>
      </c>
      <c r="D785" s="960">
        <f t="shared" ca="1" si="121"/>
        <v>1</v>
      </c>
      <c r="E785" s="960">
        <f t="shared" ca="1" si="122"/>
        <v>1</v>
      </c>
      <c r="F785" s="209"/>
    </row>
    <row r="786" spans="1:6" ht="14.1" customHeight="1" x14ac:dyDescent="0.2">
      <c r="A786" s="959">
        <f ca="1">IF($H786="UNIDADE CONSTRUTIVA",OFFSET(A786,-1,0)+1,LARGE(A$3:A785,1))</f>
        <v>0</v>
      </c>
      <c r="B786" s="959">
        <f t="shared" ca="1" si="119"/>
        <v>16</v>
      </c>
      <c r="C786" s="959">
        <f t="shared" ca="1" si="120"/>
        <v>1</v>
      </c>
      <c r="D786" s="960">
        <f t="shared" ca="1" si="121"/>
        <v>1</v>
      </c>
      <c r="E786" s="960">
        <f t="shared" ca="1" si="122"/>
        <v>1</v>
      </c>
      <c r="F786" s="209"/>
    </row>
    <row r="787" spans="1:6" ht="14.1" customHeight="1" x14ac:dyDescent="0.2">
      <c r="A787" s="959">
        <f ca="1">IF($H787="UNIDADE CONSTRUTIVA",OFFSET(A787,-1,0)+1,LARGE(A$3:A786,1))</f>
        <v>0</v>
      </c>
      <c r="B787" s="959">
        <f t="shared" ca="1" si="119"/>
        <v>16</v>
      </c>
      <c r="C787" s="959">
        <f t="shared" ca="1" si="120"/>
        <v>1</v>
      </c>
      <c r="D787" s="960">
        <f t="shared" ca="1" si="121"/>
        <v>1</v>
      </c>
      <c r="E787" s="960">
        <f t="shared" ca="1" si="122"/>
        <v>1</v>
      </c>
      <c r="F787" s="209"/>
    </row>
    <row r="788" spans="1:6" ht="14.1" customHeight="1" x14ac:dyDescent="0.2">
      <c r="A788" s="959">
        <f ca="1">IF($H788="UNIDADE CONSTRUTIVA",OFFSET(A788,-1,0)+1,LARGE(A$3:A787,1))</f>
        <v>0</v>
      </c>
      <c r="B788" s="959">
        <f t="shared" ca="1" si="119"/>
        <v>16</v>
      </c>
      <c r="C788" s="959">
        <f t="shared" ca="1" si="120"/>
        <v>1</v>
      </c>
      <c r="D788" s="960">
        <f t="shared" ca="1" si="121"/>
        <v>1</v>
      </c>
      <c r="E788" s="960">
        <f t="shared" ca="1" si="122"/>
        <v>1</v>
      </c>
      <c r="F788" s="209"/>
    </row>
    <row r="789" spans="1:6" ht="14.1" customHeight="1" x14ac:dyDescent="0.2">
      <c r="A789" s="959">
        <f ca="1">IF($H789="UNIDADE CONSTRUTIVA",OFFSET(A789,-1,0)+1,LARGE(A$3:A788,1))</f>
        <v>0</v>
      </c>
      <c r="B789" s="959">
        <f t="shared" ca="1" si="119"/>
        <v>16</v>
      </c>
      <c r="C789" s="959">
        <f t="shared" ca="1" si="120"/>
        <v>1</v>
      </c>
      <c r="D789" s="960">
        <f t="shared" ca="1" si="121"/>
        <v>1</v>
      </c>
      <c r="E789" s="960">
        <f t="shared" ca="1" si="122"/>
        <v>1</v>
      </c>
      <c r="F789" s="209"/>
    </row>
    <row r="790" spans="1:6" ht="14.1" customHeight="1" x14ac:dyDescent="0.2">
      <c r="A790" s="959">
        <f ca="1">IF($H790="UNIDADE CONSTRUTIVA",OFFSET(A790,-1,0)+1,LARGE(A$3:A789,1))</f>
        <v>0</v>
      </c>
      <c r="B790" s="959">
        <f t="shared" ca="1" si="119"/>
        <v>16</v>
      </c>
      <c r="C790" s="959">
        <f t="shared" ca="1" si="120"/>
        <v>1</v>
      </c>
      <c r="D790" s="960">
        <f t="shared" ca="1" si="121"/>
        <v>1</v>
      </c>
      <c r="E790" s="960">
        <f t="shared" ca="1" si="122"/>
        <v>1</v>
      </c>
      <c r="F790" s="209"/>
    </row>
    <row r="791" spans="1:6" ht="14.1" customHeight="1" x14ac:dyDescent="0.2">
      <c r="A791" s="959">
        <f ca="1">IF($H791="UNIDADE CONSTRUTIVA",OFFSET(A791,-1,0)+1,LARGE(A$3:A790,1))</f>
        <v>0</v>
      </c>
      <c r="B791" s="959">
        <f t="shared" ca="1" si="119"/>
        <v>16</v>
      </c>
      <c r="C791" s="959">
        <f t="shared" ca="1" si="120"/>
        <v>1</v>
      </c>
      <c r="D791" s="960">
        <f t="shared" ca="1" si="121"/>
        <v>1</v>
      </c>
      <c r="E791" s="960">
        <f t="shared" ca="1" si="122"/>
        <v>1</v>
      </c>
      <c r="F791" s="209"/>
    </row>
    <row r="792" spans="1:6" ht="14.1" customHeight="1" x14ac:dyDescent="0.2">
      <c r="A792" s="959">
        <f ca="1">IF($H792="UNIDADE CONSTRUTIVA",OFFSET(A792,-1,0)+1,LARGE(A$3:A791,1))</f>
        <v>0</v>
      </c>
      <c r="B792" s="959">
        <f t="shared" ca="1" si="119"/>
        <v>16</v>
      </c>
      <c r="C792" s="959">
        <f t="shared" ca="1" si="120"/>
        <v>1</v>
      </c>
      <c r="D792" s="960">
        <f t="shared" ca="1" si="121"/>
        <v>1</v>
      </c>
      <c r="E792" s="960">
        <f t="shared" ca="1" si="122"/>
        <v>1</v>
      </c>
      <c r="F792" s="209"/>
    </row>
    <row r="793" spans="1:6" ht="14.1" customHeight="1" x14ac:dyDescent="0.2">
      <c r="A793" s="959">
        <f ca="1">IF($H793="UNIDADE CONSTRUTIVA",OFFSET(A793,-1,0)+1,LARGE(A$3:A792,1))</f>
        <v>0</v>
      </c>
      <c r="B793" s="959">
        <f t="shared" ca="1" si="119"/>
        <v>16</v>
      </c>
      <c r="C793" s="959">
        <f t="shared" ca="1" si="120"/>
        <v>1</v>
      </c>
      <c r="D793" s="960">
        <f t="shared" ca="1" si="121"/>
        <v>1</v>
      </c>
      <c r="E793" s="960">
        <f t="shared" ca="1" si="122"/>
        <v>1</v>
      </c>
      <c r="F793" s="209"/>
    </row>
    <row r="794" spans="1:6" ht="14.1" customHeight="1" x14ac:dyDescent="0.2">
      <c r="A794" s="959">
        <f ca="1">IF($H794="UNIDADE CONSTRUTIVA",OFFSET(A794,-1,0)+1,LARGE(A$3:A793,1))</f>
        <v>0</v>
      </c>
      <c r="B794" s="959">
        <f t="shared" ca="1" si="119"/>
        <v>16</v>
      </c>
      <c r="C794" s="959">
        <f t="shared" ca="1" si="120"/>
        <v>1</v>
      </c>
      <c r="D794" s="960">
        <f t="shared" ca="1" si="121"/>
        <v>1</v>
      </c>
      <c r="E794" s="960">
        <f t="shared" ca="1" si="122"/>
        <v>1</v>
      </c>
      <c r="F794" s="209"/>
    </row>
    <row r="795" spans="1:6" ht="14.1" customHeight="1" x14ac:dyDescent="0.2">
      <c r="A795" s="959">
        <f ca="1">IF($H795="UNIDADE CONSTRUTIVA",OFFSET(A795,-1,0)+1,LARGE(A$3:A794,1))</f>
        <v>0</v>
      </c>
      <c r="B795" s="959">
        <f t="shared" ca="1" si="119"/>
        <v>16</v>
      </c>
      <c r="C795" s="959">
        <f t="shared" ca="1" si="120"/>
        <v>1</v>
      </c>
      <c r="D795" s="960">
        <f t="shared" ca="1" si="121"/>
        <v>1</v>
      </c>
      <c r="E795" s="960">
        <f t="shared" ca="1" si="122"/>
        <v>1</v>
      </c>
      <c r="F795" s="209"/>
    </row>
    <row r="796" spans="1:6" ht="14.1" customHeight="1" x14ac:dyDescent="0.2">
      <c r="A796" s="959">
        <f ca="1">IF($H796="UNIDADE CONSTRUTIVA",OFFSET(A796,-1,0)+1,LARGE(A$3:A795,1))</f>
        <v>0</v>
      </c>
      <c r="B796" s="959">
        <f t="shared" ca="1" si="119"/>
        <v>16</v>
      </c>
      <c r="C796" s="959">
        <f t="shared" ca="1" si="120"/>
        <v>1</v>
      </c>
      <c r="D796" s="960">
        <f t="shared" ca="1" si="121"/>
        <v>1</v>
      </c>
      <c r="E796" s="960">
        <f t="shared" ca="1" si="122"/>
        <v>1</v>
      </c>
      <c r="F796" s="209"/>
    </row>
    <row r="797" spans="1:6" ht="14.1" customHeight="1" x14ac:dyDescent="0.2">
      <c r="A797" s="959">
        <f ca="1">IF($H797="UNIDADE CONSTRUTIVA",OFFSET(A797,-1,0)+1,LARGE(A$3:A796,1))</f>
        <v>0</v>
      </c>
      <c r="B797" s="959">
        <f t="shared" ca="1" si="119"/>
        <v>16</v>
      </c>
      <c r="C797" s="959">
        <f t="shared" ca="1" si="120"/>
        <v>1</v>
      </c>
      <c r="D797" s="960">
        <f t="shared" ca="1" si="121"/>
        <v>1</v>
      </c>
      <c r="E797" s="960">
        <f t="shared" ca="1" si="122"/>
        <v>1</v>
      </c>
      <c r="F797" s="209"/>
    </row>
    <row r="798" spans="1:6" ht="14.1" customHeight="1" x14ac:dyDescent="0.2">
      <c r="A798" s="959">
        <f ca="1">IF($H798="UNIDADE CONSTRUTIVA",OFFSET(A798,-1,0)+1,LARGE(A$3:A797,1))</f>
        <v>0</v>
      </c>
      <c r="B798" s="959">
        <f t="shared" ca="1" si="119"/>
        <v>16</v>
      </c>
      <c r="C798" s="959">
        <f t="shared" ca="1" si="120"/>
        <v>1</v>
      </c>
      <c r="D798" s="960">
        <f t="shared" ca="1" si="121"/>
        <v>1</v>
      </c>
      <c r="E798" s="960">
        <f t="shared" ca="1" si="122"/>
        <v>1</v>
      </c>
      <c r="F798" s="209"/>
    </row>
    <row r="799" spans="1:6" ht="14.1" customHeight="1" x14ac:dyDescent="0.2">
      <c r="A799" s="959">
        <f ca="1">IF($H799="UNIDADE CONSTRUTIVA",OFFSET(A799,-1,0)+1,LARGE(A$3:A798,1))</f>
        <v>0</v>
      </c>
      <c r="B799" s="959">
        <f t="shared" ca="1" si="119"/>
        <v>16</v>
      </c>
      <c r="C799" s="959">
        <f t="shared" ca="1" si="120"/>
        <v>1</v>
      </c>
      <c r="D799" s="960">
        <f t="shared" ca="1" si="121"/>
        <v>1</v>
      </c>
      <c r="E799" s="960">
        <f t="shared" ca="1" si="122"/>
        <v>1</v>
      </c>
      <c r="F799" s="209"/>
    </row>
    <row r="800" spans="1:6" ht="14.1" customHeight="1" x14ac:dyDescent="0.2">
      <c r="A800" s="959">
        <f ca="1">IF($H800="UNIDADE CONSTRUTIVA",OFFSET(A800,-1,0)+1,LARGE(A$3:A799,1))</f>
        <v>0</v>
      </c>
      <c r="B800" s="959">
        <f t="shared" ca="1" si="119"/>
        <v>16</v>
      </c>
      <c r="C800" s="959">
        <f t="shared" ca="1" si="120"/>
        <v>1</v>
      </c>
      <c r="D800" s="960">
        <f t="shared" ca="1" si="121"/>
        <v>1</v>
      </c>
      <c r="E800" s="960">
        <f t="shared" ca="1" si="122"/>
        <v>1</v>
      </c>
      <c r="F800" s="209"/>
    </row>
    <row r="801" spans="1:6" ht="14.1" customHeight="1" x14ac:dyDescent="0.2">
      <c r="A801" s="959">
        <f ca="1">IF($H801="UNIDADE CONSTRUTIVA",OFFSET(A801,-1,0)+1,LARGE(A$3:A800,1))</f>
        <v>0</v>
      </c>
      <c r="B801" s="959">
        <f t="shared" ca="1" si="119"/>
        <v>16</v>
      </c>
      <c r="C801" s="959">
        <f t="shared" ca="1" si="120"/>
        <v>1</v>
      </c>
      <c r="D801" s="960">
        <f t="shared" ca="1" si="121"/>
        <v>1</v>
      </c>
      <c r="E801" s="960">
        <f t="shared" ca="1" si="122"/>
        <v>1</v>
      </c>
      <c r="F801" s="209"/>
    </row>
    <row r="802" spans="1:6" ht="14.1" customHeight="1" x14ac:dyDescent="0.2">
      <c r="A802" s="959">
        <f ca="1">IF($H802="UNIDADE CONSTRUTIVA",OFFSET(A802,-1,0)+1,LARGE(A$3:A801,1))</f>
        <v>0</v>
      </c>
      <c r="B802" s="959">
        <f t="shared" ca="1" si="119"/>
        <v>16</v>
      </c>
      <c r="C802" s="959">
        <f t="shared" ca="1" si="120"/>
        <v>1</v>
      </c>
      <c r="D802" s="960">
        <f t="shared" ca="1" si="121"/>
        <v>1</v>
      </c>
      <c r="E802" s="960">
        <f t="shared" ca="1" si="122"/>
        <v>1</v>
      </c>
      <c r="F802" s="209"/>
    </row>
    <row r="803" spans="1:6" ht="14.1" customHeight="1" x14ac:dyDescent="0.2">
      <c r="A803" s="959">
        <f ca="1">IF($H803="UNIDADE CONSTRUTIVA",OFFSET(A803,-1,0)+1,LARGE(A$3:A802,1))</f>
        <v>0</v>
      </c>
      <c r="B803" s="959">
        <f t="shared" ca="1" si="119"/>
        <v>16</v>
      </c>
      <c r="C803" s="959">
        <f t="shared" ca="1" si="120"/>
        <v>1</v>
      </c>
      <c r="D803" s="960">
        <f t="shared" ca="1" si="121"/>
        <v>1</v>
      </c>
      <c r="E803" s="960">
        <f t="shared" ca="1" si="122"/>
        <v>1</v>
      </c>
      <c r="F803" s="209"/>
    </row>
    <row r="804" spans="1:6" ht="14.1" customHeight="1" x14ac:dyDescent="0.2">
      <c r="A804" s="959">
        <f ca="1">IF($H804="UNIDADE CONSTRUTIVA",OFFSET(A804,-1,0)+1,LARGE(A$3:A803,1))</f>
        <v>0</v>
      </c>
      <c r="B804" s="959">
        <f t="shared" ca="1" si="119"/>
        <v>16</v>
      </c>
      <c r="C804" s="959">
        <f t="shared" ca="1" si="120"/>
        <v>1</v>
      </c>
      <c r="D804" s="960">
        <f t="shared" ca="1" si="121"/>
        <v>1</v>
      </c>
      <c r="E804" s="960">
        <f t="shared" ca="1" si="122"/>
        <v>1</v>
      </c>
      <c r="F804" s="209"/>
    </row>
    <row r="805" spans="1:6" ht="14.1" customHeight="1" x14ac:dyDescent="0.2">
      <c r="A805" s="959">
        <f ca="1">IF($H805="UNIDADE CONSTRUTIVA",OFFSET(A805,-1,0)+1,LARGE(A$3:A804,1))</f>
        <v>0</v>
      </c>
      <c r="B805" s="959">
        <f t="shared" ca="1" si="119"/>
        <v>16</v>
      </c>
      <c r="C805" s="959">
        <f t="shared" ca="1" si="120"/>
        <v>1</v>
      </c>
      <c r="D805" s="960">
        <f t="shared" ca="1" si="121"/>
        <v>1</v>
      </c>
      <c r="E805" s="960">
        <f t="shared" ca="1" si="122"/>
        <v>1</v>
      </c>
      <c r="F805" s="209"/>
    </row>
    <row r="806" spans="1:6" ht="14.1" customHeight="1" x14ac:dyDescent="0.2">
      <c r="A806" s="959">
        <f ca="1">IF($H806="UNIDADE CONSTRUTIVA",OFFSET(A806,-1,0)+1,LARGE(A$3:A805,1))</f>
        <v>0</v>
      </c>
      <c r="B806" s="959">
        <f t="shared" ca="1" si="119"/>
        <v>16</v>
      </c>
      <c r="C806" s="959">
        <f t="shared" ca="1" si="120"/>
        <v>1</v>
      </c>
      <c r="D806" s="960">
        <f t="shared" ca="1" si="121"/>
        <v>1</v>
      </c>
      <c r="E806" s="960">
        <f t="shared" ca="1" si="122"/>
        <v>1</v>
      </c>
      <c r="F806" s="209"/>
    </row>
    <row r="807" spans="1:6" ht="14.1" customHeight="1" x14ac:dyDescent="0.2">
      <c r="A807" s="959">
        <f ca="1">IF($H807="UNIDADE CONSTRUTIVA",OFFSET(A807,-1,0)+1,LARGE(A$3:A806,1))</f>
        <v>0</v>
      </c>
      <c r="B807" s="959">
        <f t="shared" ca="1" si="119"/>
        <v>16</v>
      </c>
      <c r="C807" s="959">
        <f t="shared" ca="1" si="120"/>
        <v>1</v>
      </c>
      <c r="D807" s="960">
        <f t="shared" ca="1" si="121"/>
        <v>1</v>
      </c>
      <c r="E807" s="960">
        <f t="shared" ca="1" si="122"/>
        <v>1</v>
      </c>
      <c r="F807" s="209"/>
    </row>
    <row r="808" spans="1:6" ht="14.1" customHeight="1" x14ac:dyDescent="0.2">
      <c r="A808" s="959">
        <f ca="1">IF($H808="UNIDADE CONSTRUTIVA",OFFSET(A808,-1,0)+1,LARGE(A$3:A807,1))</f>
        <v>0</v>
      </c>
      <c r="B808" s="959">
        <f t="shared" ca="1" si="119"/>
        <v>16</v>
      </c>
      <c r="C808" s="959">
        <f t="shared" ca="1" si="120"/>
        <v>1</v>
      </c>
      <c r="D808" s="960">
        <f t="shared" ca="1" si="121"/>
        <v>1</v>
      </c>
      <c r="E808" s="960">
        <f t="shared" ca="1" si="122"/>
        <v>1</v>
      </c>
      <c r="F808" s="209"/>
    </row>
    <row r="809" spans="1:6" ht="14.1" customHeight="1" x14ac:dyDescent="0.2">
      <c r="A809" s="959">
        <f ca="1">IF($H809="UNIDADE CONSTRUTIVA",OFFSET(A809,-1,0)+1,LARGE(A$3:A808,1))</f>
        <v>0</v>
      </c>
      <c r="B809" s="959">
        <f t="shared" ca="1" si="119"/>
        <v>16</v>
      </c>
      <c r="C809" s="959">
        <f t="shared" ca="1" si="120"/>
        <v>1</v>
      </c>
      <c r="D809" s="960">
        <f t="shared" ca="1" si="121"/>
        <v>1</v>
      </c>
      <c r="E809" s="960">
        <f t="shared" ca="1" si="122"/>
        <v>1</v>
      </c>
      <c r="F809" s="209"/>
    </row>
    <row r="810" spans="1:6" ht="14.1" customHeight="1" x14ac:dyDescent="0.2">
      <c r="A810" s="959">
        <f ca="1">IF($H810="UNIDADE CONSTRUTIVA",OFFSET(A810,-1,0)+1,LARGE(A$3:A809,1))</f>
        <v>0</v>
      </c>
      <c r="B810" s="959">
        <f t="shared" ca="1" si="119"/>
        <v>16</v>
      </c>
      <c r="C810" s="959">
        <f t="shared" ca="1" si="120"/>
        <v>1</v>
      </c>
      <c r="D810" s="960">
        <f t="shared" ca="1" si="121"/>
        <v>1</v>
      </c>
      <c r="E810" s="960">
        <f t="shared" ca="1" si="122"/>
        <v>1</v>
      </c>
      <c r="F810" s="209"/>
    </row>
    <row r="811" spans="1:6" ht="14.1" customHeight="1" x14ac:dyDescent="0.2">
      <c r="A811" s="959">
        <f ca="1">IF($H811="UNIDADE CONSTRUTIVA",OFFSET(A811,-1,0)+1,LARGE(A$3:A810,1))</f>
        <v>0</v>
      </c>
      <c r="B811" s="959">
        <f t="shared" ca="1" si="119"/>
        <v>16</v>
      </c>
      <c r="C811" s="959">
        <f t="shared" ca="1" si="120"/>
        <v>1</v>
      </c>
      <c r="D811" s="960">
        <f t="shared" ca="1" si="121"/>
        <v>1</v>
      </c>
      <c r="E811" s="960">
        <f t="shared" ca="1" si="122"/>
        <v>1</v>
      </c>
      <c r="F811" s="209"/>
    </row>
    <row r="812" spans="1:6" ht="14.1" customHeight="1" x14ac:dyDescent="0.2">
      <c r="A812" s="959">
        <f ca="1">IF($H812="UNIDADE CONSTRUTIVA",OFFSET(A812,-1,0)+1,LARGE(A$3:A811,1))</f>
        <v>0</v>
      </c>
      <c r="B812" s="959">
        <f t="shared" ca="1" si="119"/>
        <v>16</v>
      </c>
      <c r="C812" s="959">
        <f t="shared" ca="1" si="120"/>
        <v>1</v>
      </c>
      <c r="D812" s="960">
        <f t="shared" ca="1" si="121"/>
        <v>1</v>
      </c>
      <c r="E812" s="960">
        <f t="shared" ca="1" si="122"/>
        <v>1</v>
      </c>
      <c r="F812" s="209"/>
    </row>
    <row r="813" spans="1:6" ht="14.1" customHeight="1" x14ac:dyDescent="0.2">
      <c r="A813" s="959">
        <f ca="1">IF($H813="UNIDADE CONSTRUTIVA",OFFSET(A813,-1,0)+1,LARGE(A$3:A812,1))</f>
        <v>0</v>
      </c>
      <c r="B813" s="959">
        <f t="shared" ca="1" si="119"/>
        <v>16</v>
      </c>
      <c r="C813" s="959">
        <f t="shared" ca="1" si="120"/>
        <v>1</v>
      </c>
      <c r="D813" s="960">
        <f t="shared" ca="1" si="121"/>
        <v>1</v>
      </c>
      <c r="E813" s="960">
        <f t="shared" ca="1" si="122"/>
        <v>1</v>
      </c>
      <c r="F813" s="209"/>
    </row>
    <row r="814" spans="1:6" ht="14.1" customHeight="1" x14ac:dyDescent="0.2">
      <c r="A814" s="959">
        <f ca="1">IF($H814="UNIDADE CONSTRUTIVA",OFFSET(A814,-1,0)+1,LARGE(A$3:A813,1))</f>
        <v>0</v>
      </c>
      <c r="B814" s="959">
        <f t="shared" ca="1" si="119"/>
        <v>16</v>
      </c>
      <c r="C814" s="959">
        <f t="shared" ca="1" si="120"/>
        <v>1</v>
      </c>
      <c r="D814" s="960">
        <f t="shared" ca="1" si="121"/>
        <v>1</v>
      </c>
      <c r="E814" s="960">
        <f t="shared" ca="1" si="122"/>
        <v>1</v>
      </c>
      <c r="F814" s="209"/>
    </row>
    <row r="815" spans="1:6" ht="14.1" customHeight="1" x14ac:dyDescent="0.2">
      <c r="A815" s="959">
        <f ca="1">IF($H815="UNIDADE CONSTRUTIVA",OFFSET(A815,-1,0)+1,LARGE(A$3:A814,1))</f>
        <v>0</v>
      </c>
      <c r="B815" s="959">
        <f t="shared" ca="1" si="119"/>
        <v>16</v>
      </c>
      <c r="C815" s="959">
        <f t="shared" ca="1" si="120"/>
        <v>1</v>
      </c>
      <c r="D815" s="960">
        <f t="shared" ca="1" si="121"/>
        <v>1</v>
      </c>
      <c r="E815" s="960">
        <f t="shared" ca="1" si="122"/>
        <v>1</v>
      </c>
      <c r="F815" s="209"/>
    </row>
    <row r="816" spans="1:6" ht="14.1" customHeight="1" x14ac:dyDescent="0.2">
      <c r="A816" s="959">
        <f ca="1">IF($H816="UNIDADE CONSTRUTIVA",OFFSET(A816,-1,0)+1,LARGE(A$3:A815,1))</f>
        <v>0</v>
      </c>
      <c r="B816" s="959">
        <f t="shared" ca="1" si="119"/>
        <v>16</v>
      </c>
      <c r="C816" s="959">
        <f t="shared" ca="1" si="120"/>
        <v>1</v>
      </c>
      <c r="D816" s="960">
        <f t="shared" ca="1" si="121"/>
        <v>1</v>
      </c>
      <c r="E816" s="960">
        <f t="shared" ca="1" si="122"/>
        <v>1</v>
      </c>
      <c r="F816" s="209"/>
    </row>
    <row r="817" spans="1:6" ht="14.1" customHeight="1" x14ac:dyDescent="0.2">
      <c r="A817" s="959">
        <f ca="1">IF($H817="UNIDADE CONSTRUTIVA",OFFSET(A817,-1,0)+1,LARGE(A$3:A816,1))</f>
        <v>0</v>
      </c>
      <c r="B817" s="959">
        <f t="shared" ca="1" si="119"/>
        <v>16</v>
      </c>
      <c r="C817" s="959">
        <f t="shared" ca="1" si="120"/>
        <v>1</v>
      </c>
      <c r="D817" s="960">
        <f t="shared" ca="1" si="121"/>
        <v>1</v>
      </c>
      <c r="E817" s="960">
        <f t="shared" ca="1" si="122"/>
        <v>1</v>
      </c>
      <c r="F817" s="209"/>
    </row>
    <row r="818" spans="1:6" ht="14.1" customHeight="1" x14ac:dyDescent="0.2">
      <c r="A818" s="959">
        <f ca="1">IF($H818="UNIDADE CONSTRUTIVA",OFFSET(A818,-1,0)+1,LARGE(A$3:A817,1))</f>
        <v>0</v>
      </c>
      <c r="B818" s="959">
        <f t="shared" ca="1" si="119"/>
        <v>16</v>
      </c>
      <c r="C818" s="959">
        <f t="shared" ca="1" si="120"/>
        <v>1</v>
      </c>
      <c r="D818" s="960">
        <f t="shared" ca="1" si="121"/>
        <v>1</v>
      </c>
      <c r="E818" s="960">
        <f t="shared" ca="1" si="122"/>
        <v>1</v>
      </c>
      <c r="F818" s="209"/>
    </row>
    <row r="819" spans="1:6" ht="14.1" customHeight="1" x14ac:dyDescent="0.2">
      <c r="A819" s="959">
        <f ca="1">IF($H819="UNIDADE CONSTRUTIVA",OFFSET(A819,-1,0)+1,LARGE(A$3:A818,1))</f>
        <v>0</v>
      </c>
      <c r="B819" s="959">
        <f t="shared" ca="1" si="119"/>
        <v>16</v>
      </c>
      <c r="C819" s="959">
        <f t="shared" ca="1" si="120"/>
        <v>1</v>
      </c>
      <c r="D819" s="960">
        <f t="shared" ca="1" si="121"/>
        <v>1</v>
      </c>
      <c r="E819" s="960">
        <f t="shared" ca="1" si="122"/>
        <v>1</v>
      </c>
      <c r="F819" s="209"/>
    </row>
    <row r="820" spans="1:6" ht="14.1" customHeight="1" x14ac:dyDescent="0.2">
      <c r="A820" s="959">
        <f ca="1">IF($H820="UNIDADE CONSTRUTIVA",OFFSET(A820,-1,0)+1,LARGE(A$3:A819,1))</f>
        <v>0</v>
      </c>
      <c r="B820" s="959">
        <f t="shared" ca="1" si="119"/>
        <v>16</v>
      </c>
      <c r="C820" s="959">
        <f t="shared" ca="1" si="120"/>
        <v>1</v>
      </c>
      <c r="D820" s="960">
        <f t="shared" ca="1" si="121"/>
        <v>1</v>
      </c>
      <c r="E820" s="960">
        <f t="shared" ca="1" si="122"/>
        <v>1</v>
      </c>
      <c r="F820" s="209"/>
    </row>
    <row r="821" spans="1:6" ht="14.1" customHeight="1" x14ac:dyDescent="0.2">
      <c r="A821" s="959">
        <f ca="1">IF($H821="UNIDADE CONSTRUTIVA",OFFSET(A821,-1,0)+1,LARGE(A$3:A820,1))</f>
        <v>0</v>
      </c>
      <c r="B821" s="959">
        <f t="shared" ca="1" si="119"/>
        <v>16</v>
      </c>
      <c r="C821" s="959">
        <f t="shared" ca="1" si="120"/>
        <v>1</v>
      </c>
      <c r="D821" s="960">
        <f t="shared" ca="1" si="121"/>
        <v>1</v>
      </c>
      <c r="E821" s="960">
        <f t="shared" ca="1" si="122"/>
        <v>1</v>
      </c>
      <c r="F821" s="209"/>
    </row>
    <row r="822" spans="1:6" ht="14.1" customHeight="1" x14ac:dyDescent="0.2">
      <c r="A822" s="959">
        <f ca="1">IF($H822="UNIDADE CONSTRUTIVA",OFFSET(A822,-1,0)+1,LARGE(A$3:A821,1))</f>
        <v>0</v>
      </c>
      <c r="B822" s="959">
        <f t="shared" ca="1" si="119"/>
        <v>16</v>
      </c>
      <c r="C822" s="959">
        <f t="shared" ca="1" si="120"/>
        <v>1</v>
      </c>
      <c r="D822" s="960">
        <f t="shared" ca="1" si="121"/>
        <v>1</v>
      </c>
      <c r="E822" s="960">
        <f t="shared" ca="1" si="122"/>
        <v>1</v>
      </c>
      <c r="F822" s="209"/>
    </row>
    <row r="823" spans="1:6" ht="14.1" customHeight="1" x14ac:dyDescent="0.2">
      <c r="A823" s="959">
        <f ca="1">IF($H823="UNIDADE CONSTRUTIVA",OFFSET(A823,-1,0)+1,LARGE(A$3:A822,1))</f>
        <v>0</v>
      </c>
      <c r="B823" s="959">
        <f t="shared" ca="1" si="119"/>
        <v>16</v>
      </c>
      <c r="C823" s="959">
        <f t="shared" ca="1" si="120"/>
        <v>1</v>
      </c>
      <c r="D823" s="960">
        <f t="shared" ca="1" si="121"/>
        <v>1</v>
      </c>
      <c r="E823" s="960">
        <f t="shared" ca="1" si="122"/>
        <v>1</v>
      </c>
      <c r="F823" s="209"/>
    </row>
    <row r="824" spans="1:6" ht="14.1" customHeight="1" x14ac:dyDescent="0.2">
      <c r="A824" s="959">
        <f ca="1">IF($H824="UNIDADE CONSTRUTIVA",OFFSET(A824,-1,0)+1,LARGE(A$3:A823,1))</f>
        <v>0</v>
      </c>
      <c r="B824" s="959">
        <f t="shared" ca="1" si="119"/>
        <v>16</v>
      </c>
      <c r="C824" s="959">
        <f t="shared" ca="1" si="120"/>
        <v>1</v>
      </c>
      <c r="D824" s="960">
        <f t="shared" ca="1" si="121"/>
        <v>1</v>
      </c>
      <c r="E824" s="960">
        <f t="shared" ca="1" si="122"/>
        <v>1</v>
      </c>
      <c r="F824" s="209"/>
    </row>
    <row r="825" spans="1:6" ht="14.1" customHeight="1" x14ac:dyDescent="0.2">
      <c r="A825" s="959">
        <f ca="1">IF($H825="UNIDADE CONSTRUTIVA",OFFSET(A825,-1,0)+1,LARGE(A$3:A824,1))</f>
        <v>0</v>
      </c>
      <c r="B825" s="959">
        <f t="shared" ca="1" si="119"/>
        <v>16</v>
      </c>
      <c r="C825" s="959">
        <f t="shared" ca="1" si="120"/>
        <v>1</v>
      </c>
      <c r="D825" s="960">
        <f t="shared" ca="1" si="121"/>
        <v>1</v>
      </c>
      <c r="E825" s="960">
        <f t="shared" ca="1" si="122"/>
        <v>1</v>
      </c>
      <c r="F825" s="209"/>
    </row>
    <row r="826" spans="1:6" ht="14.1" customHeight="1" x14ac:dyDescent="0.2">
      <c r="A826" s="959">
        <f ca="1">IF($H826="UNIDADE CONSTRUTIVA",OFFSET(A826,-1,0)+1,LARGE(A$3:A825,1))</f>
        <v>0</v>
      </c>
      <c r="B826" s="959">
        <f t="shared" ca="1" si="119"/>
        <v>16</v>
      </c>
      <c r="C826" s="959">
        <f t="shared" ca="1" si="120"/>
        <v>1</v>
      </c>
      <c r="D826" s="960">
        <f t="shared" ca="1" si="121"/>
        <v>1</v>
      </c>
      <c r="E826" s="960">
        <f t="shared" ca="1" si="122"/>
        <v>1</v>
      </c>
      <c r="F826" s="209"/>
    </row>
    <row r="827" spans="1:6" ht="14.1" customHeight="1" x14ac:dyDescent="0.2">
      <c r="A827" s="959">
        <f ca="1">IF($H827="UNIDADE CONSTRUTIVA",OFFSET(A827,-1,0)+1,LARGE(A$3:A826,1))</f>
        <v>0</v>
      </c>
      <c r="B827" s="959">
        <f t="shared" ca="1" si="119"/>
        <v>16</v>
      </c>
      <c r="C827" s="959">
        <f t="shared" ca="1" si="120"/>
        <v>1</v>
      </c>
      <c r="D827" s="960">
        <f t="shared" ca="1" si="121"/>
        <v>1</v>
      </c>
      <c r="E827" s="960">
        <f t="shared" ca="1" si="122"/>
        <v>1</v>
      </c>
      <c r="F827" s="209"/>
    </row>
    <row r="828" spans="1:6" ht="14.1" customHeight="1" x14ac:dyDescent="0.2">
      <c r="A828" s="959">
        <f ca="1">IF($H828="UNIDADE CONSTRUTIVA",OFFSET(A828,-1,0)+1,LARGE(A$3:A827,1))</f>
        <v>0</v>
      </c>
      <c r="B828" s="959">
        <f t="shared" ca="1" si="119"/>
        <v>16</v>
      </c>
      <c r="C828" s="959">
        <f t="shared" ca="1" si="120"/>
        <v>1</v>
      </c>
      <c r="D828" s="960">
        <f t="shared" ca="1" si="121"/>
        <v>1</v>
      </c>
      <c r="E828" s="960">
        <f t="shared" ca="1" si="122"/>
        <v>1</v>
      </c>
      <c r="F828" s="209"/>
    </row>
    <row r="829" spans="1:6" ht="14.1" customHeight="1" x14ac:dyDescent="0.2">
      <c r="A829" s="959">
        <f ca="1">IF($H829="UNIDADE CONSTRUTIVA",OFFSET(A829,-1,0)+1,LARGE(A$3:A828,1))</f>
        <v>0</v>
      </c>
      <c r="B829" s="959">
        <f t="shared" ca="1" si="119"/>
        <v>16</v>
      </c>
      <c r="C829" s="959">
        <f t="shared" ca="1" si="120"/>
        <v>1</v>
      </c>
      <c r="D829" s="960">
        <f t="shared" ca="1" si="121"/>
        <v>1</v>
      </c>
      <c r="E829" s="960">
        <f t="shared" ca="1" si="122"/>
        <v>1</v>
      </c>
      <c r="F829" s="209"/>
    </row>
    <row r="830" spans="1:6" ht="14.1" customHeight="1" x14ac:dyDescent="0.2">
      <c r="A830" s="959">
        <f ca="1">IF($H830="UNIDADE CONSTRUTIVA",OFFSET(A830,-1,0)+1,LARGE(A$3:A829,1))</f>
        <v>0</v>
      </c>
      <c r="B830" s="959">
        <f t="shared" ref="B830:B891" ca="1" si="123">IF(H830="UNIDADE CONSTRUTIVA",0,IF(H830="CÉLULA CONSTRUTIVA",OFFSET(B830,-1,0)+1,OFFSET(B830,-1,0)))</f>
        <v>16</v>
      </c>
      <c r="C830" s="959">
        <f t="shared" ca="1" si="120"/>
        <v>1</v>
      </c>
      <c r="D830" s="960">
        <f t="shared" ca="1" si="121"/>
        <v>1</v>
      </c>
      <c r="E830" s="960">
        <f t="shared" ca="1" si="122"/>
        <v>1</v>
      </c>
      <c r="F830" s="209"/>
    </row>
    <row r="831" spans="1:6" ht="14.1" customHeight="1" x14ac:dyDescent="0.2">
      <c r="A831" s="959">
        <f ca="1">IF($H831="UNIDADE CONSTRUTIVA",OFFSET(A831,-1,0)+1,LARGE(A$3:A830,1))</f>
        <v>0</v>
      </c>
      <c r="B831" s="959">
        <f t="shared" ca="1" si="123"/>
        <v>16</v>
      </c>
      <c r="C831" s="959">
        <f t="shared" ca="1" si="120"/>
        <v>1</v>
      </c>
      <c r="D831" s="960">
        <f t="shared" ca="1" si="121"/>
        <v>1</v>
      </c>
      <c r="E831" s="960">
        <f t="shared" ca="1" si="122"/>
        <v>1</v>
      </c>
      <c r="F831" s="209"/>
    </row>
    <row r="832" spans="1:6" ht="14.1" customHeight="1" x14ac:dyDescent="0.2">
      <c r="A832" s="959">
        <f ca="1">IF($H832="UNIDADE CONSTRUTIVA",OFFSET(A832,-1,0)+1,LARGE(A$3:A831,1))</f>
        <v>0</v>
      </c>
      <c r="B832" s="959">
        <f t="shared" ca="1" si="123"/>
        <v>16</v>
      </c>
      <c r="C832" s="959">
        <f t="shared" ca="1" si="120"/>
        <v>1</v>
      </c>
      <c r="D832" s="960">
        <f t="shared" ca="1" si="121"/>
        <v>1</v>
      </c>
      <c r="E832" s="960">
        <f t="shared" ca="1" si="122"/>
        <v>1</v>
      </c>
      <c r="F832" s="209"/>
    </row>
    <row r="833" spans="1:6" ht="14.1" customHeight="1" x14ac:dyDescent="0.2">
      <c r="A833" s="959">
        <f ca="1">IF($H833="UNIDADE CONSTRUTIVA",OFFSET(A833,-1,0)+1,LARGE(A$3:A832,1))</f>
        <v>0</v>
      </c>
      <c r="B833" s="959">
        <f t="shared" ca="1" si="123"/>
        <v>16</v>
      </c>
      <c r="C833" s="959">
        <f t="shared" ca="1" si="120"/>
        <v>1</v>
      </c>
      <c r="D833" s="960">
        <f t="shared" ca="1" si="121"/>
        <v>1</v>
      </c>
      <c r="E833" s="960">
        <f t="shared" ca="1" si="122"/>
        <v>1</v>
      </c>
      <c r="F833" s="209"/>
    </row>
    <row r="834" spans="1:6" ht="14.1" customHeight="1" x14ac:dyDescent="0.2">
      <c r="A834" s="959">
        <f ca="1">IF($H834="UNIDADE CONSTRUTIVA",OFFSET(A834,-1,0)+1,LARGE(A$3:A833,1))</f>
        <v>0</v>
      </c>
      <c r="B834" s="959">
        <f t="shared" ca="1" si="123"/>
        <v>16</v>
      </c>
      <c r="C834" s="959">
        <f t="shared" ca="1" si="120"/>
        <v>1</v>
      </c>
      <c r="D834" s="960">
        <f t="shared" ca="1" si="121"/>
        <v>1</v>
      </c>
      <c r="E834" s="960">
        <f t="shared" ca="1" si="122"/>
        <v>1</v>
      </c>
    </row>
    <row r="835" spans="1:6" ht="14.1" customHeight="1" x14ac:dyDescent="0.2">
      <c r="A835" s="959">
        <f ca="1">IF($H835="UNIDADE CONSTRUTIVA",OFFSET(A835,-1,0)+1,LARGE(A$3:A834,1))</f>
        <v>0</v>
      </c>
      <c r="B835" s="959">
        <f t="shared" ca="1" si="123"/>
        <v>16</v>
      </c>
      <c r="C835" s="959">
        <f t="shared" ca="1" si="120"/>
        <v>1</v>
      </c>
      <c r="D835" s="960">
        <f t="shared" ca="1" si="121"/>
        <v>1</v>
      </c>
      <c r="E835" s="960">
        <f t="shared" ca="1" si="122"/>
        <v>1</v>
      </c>
    </row>
    <row r="836" spans="1:6" ht="14.1" customHeight="1" x14ac:dyDescent="0.2">
      <c r="A836" s="959">
        <f ca="1">IF($H836="UNIDADE CONSTRUTIVA",OFFSET(A836,-1,0)+1,LARGE(A$3:A835,1))</f>
        <v>0</v>
      </c>
      <c r="B836" s="959">
        <f t="shared" ca="1" si="123"/>
        <v>16</v>
      </c>
      <c r="C836" s="959">
        <f t="shared" ca="1" si="120"/>
        <v>1</v>
      </c>
      <c r="D836" s="960">
        <f t="shared" ca="1" si="121"/>
        <v>1</v>
      </c>
      <c r="E836" s="960">
        <f t="shared" ca="1" si="122"/>
        <v>1</v>
      </c>
    </row>
    <row r="837" spans="1:6" ht="14.1" customHeight="1" x14ac:dyDescent="0.2">
      <c r="A837" s="959">
        <f ca="1">IF($H837="UNIDADE CONSTRUTIVA",OFFSET(A837,-1,0)+1,LARGE(A$3:A836,1))</f>
        <v>0</v>
      </c>
      <c r="B837" s="959">
        <f t="shared" ca="1" si="123"/>
        <v>16</v>
      </c>
      <c r="C837" s="959">
        <f t="shared" ca="1" si="120"/>
        <v>1</v>
      </c>
      <c r="D837" s="960">
        <f t="shared" ca="1" si="121"/>
        <v>1</v>
      </c>
      <c r="E837" s="960">
        <f t="shared" ca="1" si="122"/>
        <v>1</v>
      </c>
    </row>
    <row r="838" spans="1:6" ht="14.1" customHeight="1" x14ac:dyDescent="0.2">
      <c r="A838" s="959">
        <f ca="1">IF($H838="UNIDADE CONSTRUTIVA",OFFSET(A838,-1,0)+1,LARGE(A$3:A837,1))</f>
        <v>0</v>
      </c>
      <c r="B838" s="959">
        <f t="shared" ca="1" si="123"/>
        <v>16</v>
      </c>
      <c r="C838" s="959">
        <f t="shared" ca="1" si="120"/>
        <v>1</v>
      </c>
      <c r="D838" s="960">
        <f t="shared" ca="1" si="121"/>
        <v>1</v>
      </c>
      <c r="E838" s="960">
        <f t="shared" ca="1" si="122"/>
        <v>1</v>
      </c>
    </row>
    <row r="839" spans="1:6" ht="14.1" customHeight="1" x14ac:dyDescent="0.2">
      <c r="A839" s="959">
        <f ca="1">IF($H839="UNIDADE CONSTRUTIVA",OFFSET(A839,-1,0)+1,LARGE(A$3:A838,1))</f>
        <v>0</v>
      </c>
      <c r="B839" s="959">
        <f t="shared" ca="1" si="123"/>
        <v>16</v>
      </c>
      <c r="C839" s="959">
        <f t="shared" ca="1" si="120"/>
        <v>1</v>
      </c>
      <c r="D839" s="960">
        <f t="shared" ca="1" si="121"/>
        <v>1</v>
      </c>
      <c r="E839" s="960">
        <f t="shared" ca="1" si="122"/>
        <v>1</v>
      </c>
    </row>
    <row r="840" spans="1:6" ht="14.1" customHeight="1" x14ac:dyDescent="0.2">
      <c r="A840" s="959">
        <f ca="1">IF($H840="UNIDADE CONSTRUTIVA",OFFSET(A840,-1,0)+1,LARGE(A$3:A839,1))</f>
        <v>0</v>
      </c>
      <c r="B840" s="959">
        <f t="shared" ca="1" si="123"/>
        <v>16</v>
      </c>
      <c r="C840" s="959">
        <f t="shared" ca="1" si="120"/>
        <v>1</v>
      </c>
      <c r="D840" s="960">
        <f t="shared" ca="1" si="121"/>
        <v>1</v>
      </c>
      <c r="E840" s="960">
        <f t="shared" ca="1" si="122"/>
        <v>1</v>
      </c>
    </row>
    <row r="841" spans="1:6" ht="14.1" customHeight="1" x14ac:dyDescent="0.2">
      <c r="A841" s="959">
        <f ca="1">IF($H841="UNIDADE CONSTRUTIVA",OFFSET(A841,-1,0)+1,LARGE(A$3:A840,1))</f>
        <v>0</v>
      </c>
      <c r="B841" s="959">
        <f t="shared" ca="1" si="123"/>
        <v>16</v>
      </c>
      <c r="C841" s="959">
        <f t="shared" ca="1" si="120"/>
        <v>1</v>
      </c>
      <c r="D841" s="960">
        <f t="shared" ca="1" si="121"/>
        <v>1</v>
      </c>
      <c r="E841" s="960">
        <f t="shared" ca="1" si="122"/>
        <v>1</v>
      </c>
    </row>
    <row r="842" spans="1:6" ht="14.1" customHeight="1" x14ac:dyDescent="0.2">
      <c r="A842" s="959">
        <f ca="1">IF($H842="UNIDADE CONSTRUTIVA",OFFSET(A842,-1,0)+1,LARGE(A$3:A841,1))</f>
        <v>0</v>
      </c>
      <c r="B842" s="959">
        <f t="shared" ca="1" si="123"/>
        <v>16</v>
      </c>
      <c r="C842" s="959">
        <f t="shared" ca="1" si="120"/>
        <v>1</v>
      </c>
      <c r="D842" s="960">
        <f t="shared" ca="1" si="121"/>
        <v>1</v>
      </c>
      <c r="E842" s="960">
        <f t="shared" ca="1" si="122"/>
        <v>1</v>
      </c>
    </row>
    <row r="843" spans="1:6" ht="14.1" customHeight="1" x14ac:dyDescent="0.2">
      <c r="A843" s="959">
        <f ca="1">IF($H843="UNIDADE CONSTRUTIVA",OFFSET(A843,-1,0)+1,LARGE(A$3:A842,1))</f>
        <v>0</v>
      </c>
      <c r="B843" s="959">
        <f t="shared" ca="1" si="123"/>
        <v>16</v>
      </c>
      <c r="C843" s="959">
        <f t="shared" ca="1" si="120"/>
        <v>1</v>
      </c>
      <c r="D843" s="960">
        <f t="shared" ca="1" si="121"/>
        <v>1</v>
      </c>
      <c r="E843" s="960">
        <f t="shared" ca="1" si="122"/>
        <v>1</v>
      </c>
    </row>
    <row r="844" spans="1:6" ht="14.1" customHeight="1" x14ac:dyDescent="0.2">
      <c r="A844" s="959">
        <f ca="1">IF($H844="UNIDADE CONSTRUTIVA",OFFSET(A844,-1,0)+1,LARGE(A$3:A843,1))</f>
        <v>0</v>
      </c>
      <c r="B844" s="959">
        <f t="shared" ca="1" si="123"/>
        <v>16</v>
      </c>
      <c r="C844" s="959">
        <f t="shared" ref="C844:C891" ca="1" si="124">IF(H844="CÉLULA CONSTRUTIVA",0,IF(H844="ETAPA",OFFSET(C844,-1,0)+1,OFFSET(C844,-1,0)))</f>
        <v>1</v>
      </c>
      <c r="D844" s="960">
        <f t="shared" ref="D844:D891" ca="1" si="125">IF(H844="ETAPA",0,IF(H844="SUBETAPA",OFFSET(D844,-1,0)+1,OFFSET(D844,-1,0)))</f>
        <v>1</v>
      </c>
      <c r="E844" s="960">
        <f t="shared" ref="E844:E891" ca="1" si="126">IF(H844="Subetapa",0,IF(H844="serviço",OFFSET(E844,-1,0)+1,OFFSET(E844,-1,0)))</f>
        <v>1</v>
      </c>
    </row>
    <row r="845" spans="1:6" ht="14.1" customHeight="1" x14ac:dyDescent="0.2">
      <c r="A845" s="959">
        <f ca="1">IF($H845="UNIDADE CONSTRUTIVA",OFFSET(A845,-1,0)+1,LARGE(A$3:A844,1))</f>
        <v>0</v>
      </c>
      <c r="B845" s="959">
        <f t="shared" ca="1" si="123"/>
        <v>16</v>
      </c>
      <c r="C845" s="959">
        <f t="shared" ca="1" si="124"/>
        <v>1</v>
      </c>
      <c r="D845" s="960">
        <f t="shared" ca="1" si="125"/>
        <v>1</v>
      </c>
      <c r="E845" s="960">
        <f t="shared" ca="1" si="126"/>
        <v>1</v>
      </c>
    </row>
    <row r="846" spans="1:6" ht="14.1" customHeight="1" x14ac:dyDescent="0.2">
      <c r="A846" s="959">
        <f ca="1">IF($H846="UNIDADE CONSTRUTIVA",OFFSET(A846,-1,0)+1,LARGE(A$3:A845,1))</f>
        <v>0</v>
      </c>
      <c r="B846" s="959">
        <f t="shared" ca="1" si="123"/>
        <v>16</v>
      </c>
      <c r="C846" s="959">
        <f t="shared" ca="1" si="124"/>
        <v>1</v>
      </c>
      <c r="D846" s="960">
        <f t="shared" ca="1" si="125"/>
        <v>1</v>
      </c>
      <c r="E846" s="960">
        <f t="shared" ca="1" si="126"/>
        <v>1</v>
      </c>
    </row>
    <row r="847" spans="1:6" ht="14.1" customHeight="1" x14ac:dyDescent="0.2">
      <c r="A847" s="959">
        <f ca="1">IF($H847="UNIDADE CONSTRUTIVA",OFFSET(A847,-1,0)+1,LARGE(A$3:A846,1))</f>
        <v>0</v>
      </c>
      <c r="B847" s="959">
        <f t="shared" ca="1" si="123"/>
        <v>16</v>
      </c>
      <c r="C847" s="959">
        <f t="shared" ca="1" si="124"/>
        <v>1</v>
      </c>
      <c r="D847" s="960">
        <f t="shared" ca="1" si="125"/>
        <v>1</v>
      </c>
      <c r="E847" s="960">
        <f t="shared" ca="1" si="126"/>
        <v>1</v>
      </c>
    </row>
    <row r="848" spans="1:6" ht="14.1" customHeight="1" x14ac:dyDescent="0.2">
      <c r="A848" s="959">
        <f ca="1">IF($H848="UNIDADE CONSTRUTIVA",OFFSET(A848,-1,0)+1,LARGE(A$3:A847,1))</f>
        <v>0</v>
      </c>
      <c r="B848" s="959">
        <f t="shared" ca="1" si="123"/>
        <v>16</v>
      </c>
      <c r="C848" s="959">
        <f t="shared" ca="1" si="124"/>
        <v>1</v>
      </c>
      <c r="D848" s="960">
        <f t="shared" ca="1" si="125"/>
        <v>1</v>
      </c>
      <c r="E848" s="960">
        <f t="shared" ca="1" si="126"/>
        <v>1</v>
      </c>
    </row>
    <row r="849" spans="1:5" ht="14.1" customHeight="1" x14ac:dyDescent="0.2">
      <c r="A849" s="959">
        <f ca="1">IF($H849="UNIDADE CONSTRUTIVA",OFFSET(A849,-1,0)+1,LARGE(A$3:A848,1))</f>
        <v>0</v>
      </c>
      <c r="B849" s="959">
        <f t="shared" ca="1" si="123"/>
        <v>16</v>
      </c>
      <c r="C849" s="959">
        <f t="shared" ca="1" si="124"/>
        <v>1</v>
      </c>
      <c r="D849" s="960">
        <f t="shared" ca="1" si="125"/>
        <v>1</v>
      </c>
      <c r="E849" s="960">
        <f t="shared" ca="1" si="126"/>
        <v>1</v>
      </c>
    </row>
    <row r="850" spans="1:5" ht="14.1" customHeight="1" x14ac:dyDescent="0.2">
      <c r="A850" s="959">
        <f ca="1">IF($H850="UNIDADE CONSTRUTIVA",OFFSET(A850,-1,0)+1,LARGE(A$3:A849,1))</f>
        <v>0</v>
      </c>
      <c r="B850" s="959">
        <f t="shared" ca="1" si="123"/>
        <v>16</v>
      </c>
      <c r="C850" s="959">
        <f t="shared" ca="1" si="124"/>
        <v>1</v>
      </c>
      <c r="D850" s="960">
        <f t="shared" ca="1" si="125"/>
        <v>1</v>
      </c>
      <c r="E850" s="960">
        <f t="shared" ca="1" si="126"/>
        <v>1</v>
      </c>
    </row>
    <row r="851" spans="1:5" ht="14.1" customHeight="1" x14ac:dyDescent="0.2">
      <c r="A851" s="959">
        <f ca="1">IF($H851="UNIDADE CONSTRUTIVA",OFFSET(A851,-1,0)+1,LARGE(A$3:A850,1))</f>
        <v>0</v>
      </c>
      <c r="B851" s="959">
        <f t="shared" ca="1" si="123"/>
        <v>16</v>
      </c>
      <c r="C851" s="959">
        <f t="shared" ca="1" si="124"/>
        <v>1</v>
      </c>
      <c r="D851" s="960">
        <f t="shared" ca="1" si="125"/>
        <v>1</v>
      </c>
      <c r="E851" s="960">
        <f t="shared" ca="1" si="126"/>
        <v>1</v>
      </c>
    </row>
    <row r="852" spans="1:5" ht="14.1" customHeight="1" x14ac:dyDescent="0.2">
      <c r="A852" s="959">
        <f ca="1">IF($H852="UNIDADE CONSTRUTIVA",OFFSET(A852,-1,0)+1,LARGE(A$3:A851,1))</f>
        <v>0</v>
      </c>
      <c r="B852" s="959">
        <f t="shared" ca="1" si="123"/>
        <v>16</v>
      </c>
      <c r="C852" s="959">
        <f t="shared" ca="1" si="124"/>
        <v>1</v>
      </c>
      <c r="D852" s="960">
        <f t="shared" ca="1" si="125"/>
        <v>1</v>
      </c>
      <c r="E852" s="960">
        <f t="shared" ca="1" si="126"/>
        <v>1</v>
      </c>
    </row>
    <row r="853" spans="1:5" ht="14.1" customHeight="1" x14ac:dyDescent="0.2">
      <c r="A853" s="959">
        <f ca="1">IF($H853="UNIDADE CONSTRUTIVA",OFFSET(A853,-1,0)+1,LARGE(A$3:A852,1))</f>
        <v>0</v>
      </c>
      <c r="B853" s="959">
        <f t="shared" ca="1" si="123"/>
        <v>16</v>
      </c>
      <c r="C853" s="959">
        <f t="shared" ca="1" si="124"/>
        <v>1</v>
      </c>
      <c r="D853" s="960">
        <f t="shared" ca="1" si="125"/>
        <v>1</v>
      </c>
      <c r="E853" s="960">
        <f t="shared" ca="1" si="126"/>
        <v>1</v>
      </c>
    </row>
    <row r="854" spans="1:5" ht="14.1" customHeight="1" x14ac:dyDescent="0.2">
      <c r="A854" s="959">
        <f ca="1">IF($H854="UNIDADE CONSTRUTIVA",OFFSET(A854,-1,0)+1,LARGE(A$3:A853,1))</f>
        <v>0</v>
      </c>
      <c r="B854" s="959">
        <f t="shared" ca="1" si="123"/>
        <v>16</v>
      </c>
      <c r="C854" s="959">
        <f t="shared" ca="1" si="124"/>
        <v>1</v>
      </c>
      <c r="D854" s="960">
        <f t="shared" ca="1" si="125"/>
        <v>1</v>
      </c>
      <c r="E854" s="960">
        <f t="shared" ca="1" si="126"/>
        <v>1</v>
      </c>
    </row>
    <row r="855" spans="1:5" ht="14.1" customHeight="1" x14ac:dyDescent="0.2">
      <c r="A855" s="959">
        <f ca="1">IF($H855="UNIDADE CONSTRUTIVA",OFFSET(A855,-1,0)+1,LARGE(A$3:A854,1))</f>
        <v>0</v>
      </c>
      <c r="B855" s="959">
        <f t="shared" ca="1" si="123"/>
        <v>16</v>
      </c>
      <c r="C855" s="959">
        <f t="shared" ca="1" si="124"/>
        <v>1</v>
      </c>
      <c r="D855" s="960">
        <f t="shared" ca="1" si="125"/>
        <v>1</v>
      </c>
      <c r="E855" s="960">
        <f t="shared" ca="1" si="126"/>
        <v>1</v>
      </c>
    </row>
    <row r="856" spans="1:5" ht="14.1" customHeight="1" x14ac:dyDescent="0.2">
      <c r="A856" s="959">
        <f ca="1">IF($H856="UNIDADE CONSTRUTIVA",OFFSET(A856,-1,0)+1,LARGE(A$3:A855,1))</f>
        <v>0</v>
      </c>
      <c r="B856" s="959">
        <f t="shared" ca="1" si="123"/>
        <v>16</v>
      </c>
      <c r="C856" s="959">
        <f t="shared" ca="1" si="124"/>
        <v>1</v>
      </c>
      <c r="D856" s="960">
        <f t="shared" ca="1" si="125"/>
        <v>1</v>
      </c>
      <c r="E856" s="960">
        <f t="shared" ca="1" si="126"/>
        <v>1</v>
      </c>
    </row>
    <row r="857" spans="1:5" ht="14.1" customHeight="1" x14ac:dyDescent="0.2">
      <c r="A857" s="959">
        <f ca="1">IF($H857="UNIDADE CONSTRUTIVA",OFFSET(A857,-1,0)+1,LARGE(A$3:A856,1))</f>
        <v>0</v>
      </c>
      <c r="B857" s="959">
        <f t="shared" ca="1" si="123"/>
        <v>16</v>
      </c>
      <c r="C857" s="959">
        <f t="shared" ca="1" si="124"/>
        <v>1</v>
      </c>
      <c r="D857" s="960">
        <f t="shared" ca="1" si="125"/>
        <v>1</v>
      </c>
      <c r="E857" s="960">
        <f t="shared" ca="1" si="126"/>
        <v>1</v>
      </c>
    </row>
    <row r="858" spans="1:5" ht="14.1" customHeight="1" x14ac:dyDescent="0.2">
      <c r="A858" s="959">
        <f ca="1">IF($H858="UNIDADE CONSTRUTIVA",OFFSET(A858,-1,0)+1,LARGE(A$3:A857,1))</f>
        <v>0</v>
      </c>
      <c r="B858" s="959">
        <f t="shared" ca="1" si="123"/>
        <v>16</v>
      </c>
      <c r="C858" s="959">
        <f t="shared" ca="1" si="124"/>
        <v>1</v>
      </c>
      <c r="D858" s="960">
        <f t="shared" ca="1" si="125"/>
        <v>1</v>
      </c>
      <c r="E858" s="960">
        <f t="shared" ca="1" si="126"/>
        <v>1</v>
      </c>
    </row>
    <row r="859" spans="1:5" ht="14.1" customHeight="1" x14ac:dyDescent="0.2">
      <c r="A859" s="959">
        <f ca="1">IF($H859="UNIDADE CONSTRUTIVA",OFFSET(A859,-1,0)+1,LARGE(A$3:A858,1))</f>
        <v>0</v>
      </c>
      <c r="B859" s="959">
        <f t="shared" ca="1" si="123"/>
        <v>16</v>
      </c>
      <c r="C859" s="959">
        <f t="shared" ca="1" si="124"/>
        <v>1</v>
      </c>
      <c r="D859" s="960">
        <f t="shared" ca="1" si="125"/>
        <v>1</v>
      </c>
      <c r="E859" s="960">
        <f t="shared" ca="1" si="126"/>
        <v>1</v>
      </c>
    </row>
    <row r="860" spans="1:5" ht="14.1" customHeight="1" x14ac:dyDescent="0.2">
      <c r="A860" s="959">
        <f ca="1">IF($H860="UNIDADE CONSTRUTIVA",OFFSET(A860,-1,0)+1,LARGE(A$3:A859,1))</f>
        <v>0</v>
      </c>
      <c r="B860" s="959">
        <f t="shared" ca="1" si="123"/>
        <v>16</v>
      </c>
      <c r="C860" s="959">
        <f t="shared" ca="1" si="124"/>
        <v>1</v>
      </c>
      <c r="D860" s="960">
        <f t="shared" ca="1" si="125"/>
        <v>1</v>
      </c>
      <c r="E860" s="960">
        <f t="shared" ca="1" si="126"/>
        <v>1</v>
      </c>
    </row>
    <row r="861" spans="1:5" ht="14.1" customHeight="1" x14ac:dyDescent="0.2">
      <c r="A861" s="959">
        <f ca="1">IF($H861="UNIDADE CONSTRUTIVA",OFFSET(A861,-1,0)+1,LARGE(A$3:A860,1))</f>
        <v>0</v>
      </c>
      <c r="B861" s="959">
        <f t="shared" ca="1" si="123"/>
        <v>16</v>
      </c>
      <c r="C861" s="959">
        <f t="shared" ca="1" si="124"/>
        <v>1</v>
      </c>
      <c r="D861" s="960">
        <f t="shared" ca="1" si="125"/>
        <v>1</v>
      </c>
      <c r="E861" s="960">
        <f t="shared" ca="1" si="126"/>
        <v>1</v>
      </c>
    </row>
    <row r="862" spans="1:5" ht="14.1" customHeight="1" x14ac:dyDescent="0.2">
      <c r="A862" s="959">
        <f ca="1">IF($H862="UNIDADE CONSTRUTIVA",OFFSET(A862,-1,0)+1,LARGE(A$3:A861,1))</f>
        <v>0</v>
      </c>
      <c r="B862" s="959">
        <f t="shared" ca="1" si="123"/>
        <v>16</v>
      </c>
      <c r="C862" s="959">
        <f t="shared" ca="1" si="124"/>
        <v>1</v>
      </c>
      <c r="D862" s="960">
        <f t="shared" ca="1" si="125"/>
        <v>1</v>
      </c>
      <c r="E862" s="960">
        <f t="shared" ca="1" si="126"/>
        <v>1</v>
      </c>
    </row>
    <row r="863" spans="1:5" ht="14.1" customHeight="1" x14ac:dyDescent="0.2">
      <c r="A863" s="959">
        <f ca="1">IF($H863="UNIDADE CONSTRUTIVA",OFFSET(A863,-1,0)+1,LARGE(A$3:A862,1))</f>
        <v>0</v>
      </c>
      <c r="B863" s="959">
        <f t="shared" ca="1" si="123"/>
        <v>16</v>
      </c>
      <c r="C863" s="959">
        <f t="shared" ca="1" si="124"/>
        <v>1</v>
      </c>
      <c r="D863" s="960">
        <f t="shared" ca="1" si="125"/>
        <v>1</v>
      </c>
      <c r="E863" s="960">
        <f t="shared" ca="1" si="126"/>
        <v>1</v>
      </c>
    </row>
    <row r="864" spans="1:5" ht="14.1" customHeight="1" x14ac:dyDescent="0.2">
      <c r="A864" s="959">
        <f ca="1">IF($H864="UNIDADE CONSTRUTIVA",OFFSET(A864,-1,0)+1,LARGE(A$3:A863,1))</f>
        <v>0</v>
      </c>
      <c r="B864" s="959">
        <f t="shared" ca="1" si="123"/>
        <v>16</v>
      </c>
      <c r="C864" s="959">
        <f t="shared" ca="1" si="124"/>
        <v>1</v>
      </c>
      <c r="D864" s="960">
        <f t="shared" ca="1" si="125"/>
        <v>1</v>
      </c>
      <c r="E864" s="960">
        <f t="shared" ca="1" si="126"/>
        <v>1</v>
      </c>
    </row>
    <row r="865" spans="1:5" ht="14.1" customHeight="1" x14ac:dyDescent="0.2">
      <c r="A865" s="959">
        <f ca="1">IF($H865="UNIDADE CONSTRUTIVA",OFFSET(A865,-1,0)+1,LARGE(A$3:A864,1))</f>
        <v>0</v>
      </c>
      <c r="B865" s="959">
        <f t="shared" ca="1" si="123"/>
        <v>16</v>
      </c>
      <c r="C865" s="959">
        <f t="shared" ca="1" si="124"/>
        <v>1</v>
      </c>
      <c r="D865" s="960">
        <f t="shared" ca="1" si="125"/>
        <v>1</v>
      </c>
      <c r="E865" s="960">
        <f t="shared" ca="1" si="126"/>
        <v>1</v>
      </c>
    </row>
    <row r="866" spans="1:5" ht="14.1" customHeight="1" x14ac:dyDescent="0.2">
      <c r="A866" s="959">
        <f ca="1">IF($H866="UNIDADE CONSTRUTIVA",OFFSET(A866,-1,0)+1,LARGE(A$3:A865,1))</f>
        <v>0</v>
      </c>
      <c r="B866" s="959">
        <f t="shared" ca="1" si="123"/>
        <v>16</v>
      </c>
      <c r="C866" s="959">
        <f t="shared" ca="1" si="124"/>
        <v>1</v>
      </c>
      <c r="D866" s="960">
        <f t="shared" ca="1" si="125"/>
        <v>1</v>
      </c>
      <c r="E866" s="960">
        <f t="shared" ca="1" si="126"/>
        <v>1</v>
      </c>
    </row>
    <row r="867" spans="1:5" ht="14.1" customHeight="1" x14ac:dyDescent="0.2">
      <c r="A867" s="959">
        <f ca="1">IF($H867="UNIDADE CONSTRUTIVA",OFFSET(A867,-1,0)+1,LARGE(A$3:A866,1))</f>
        <v>0</v>
      </c>
      <c r="B867" s="959">
        <f t="shared" ca="1" si="123"/>
        <v>16</v>
      </c>
      <c r="C867" s="959">
        <f t="shared" ca="1" si="124"/>
        <v>1</v>
      </c>
      <c r="D867" s="960">
        <f t="shared" ca="1" si="125"/>
        <v>1</v>
      </c>
      <c r="E867" s="960">
        <f t="shared" ca="1" si="126"/>
        <v>1</v>
      </c>
    </row>
    <row r="868" spans="1:5" ht="14.1" customHeight="1" x14ac:dyDescent="0.2">
      <c r="A868" s="959">
        <f ca="1">IF($H868="UNIDADE CONSTRUTIVA",OFFSET(A868,-1,0)+1,LARGE(A$3:A867,1))</f>
        <v>0</v>
      </c>
      <c r="B868" s="959">
        <f t="shared" ca="1" si="123"/>
        <v>16</v>
      </c>
      <c r="C868" s="959">
        <f t="shared" ca="1" si="124"/>
        <v>1</v>
      </c>
      <c r="D868" s="960">
        <f t="shared" ca="1" si="125"/>
        <v>1</v>
      </c>
      <c r="E868" s="960">
        <f t="shared" ca="1" si="126"/>
        <v>1</v>
      </c>
    </row>
    <row r="869" spans="1:5" ht="14.1" customHeight="1" x14ac:dyDescent="0.2">
      <c r="A869" s="959">
        <f ca="1">IF($H869="UNIDADE CONSTRUTIVA",OFFSET(A869,-1,0)+1,LARGE(A$3:A868,1))</f>
        <v>0</v>
      </c>
      <c r="B869" s="959">
        <f t="shared" ca="1" si="123"/>
        <v>16</v>
      </c>
      <c r="C869" s="959">
        <f t="shared" ca="1" si="124"/>
        <v>1</v>
      </c>
      <c r="D869" s="960">
        <f t="shared" ca="1" si="125"/>
        <v>1</v>
      </c>
      <c r="E869" s="960">
        <f t="shared" ca="1" si="126"/>
        <v>1</v>
      </c>
    </row>
    <row r="870" spans="1:5" ht="14.1" customHeight="1" x14ac:dyDescent="0.2">
      <c r="A870" s="959">
        <f ca="1">IF($H870="UNIDADE CONSTRUTIVA",OFFSET(A870,-1,0)+1,LARGE(A$3:A869,1))</f>
        <v>0</v>
      </c>
      <c r="B870" s="959">
        <f t="shared" ca="1" si="123"/>
        <v>16</v>
      </c>
      <c r="C870" s="959">
        <f t="shared" ca="1" si="124"/>
        <v>1</v>
      </c>
      <c r="D870" s="960">
        <f t="shared" ca="1" si="125"/>
        <v>1</v>
      </c>
      <c r="E870" s="960">
        <f t="shared" ca="1" si="126"/>
        <v>1</v>
      </c>
    </row>
    <row r="871" spans="1:5" ht="14.1" customHeight="1" x14ac:dyDescent="0.2">
      <c r="A871" s="959">
        <f ca="1">IF($H871="UNIDADE CONSTRUTIVA",OFFSET(A871,-1,0)+1,LARGE(A$3:A870,1))</f>
        <v>0</v>
      </c>
      <c r="B871" s="959">
        <f t="shared" ca="1" si="123"/>
        <v>16</v>
      </c>
      <c r="C871" s="959">
        <f t="shared" ca="1" si="124"/>
        <v>1</v>
      </c>
      <c r="D871" s="960">
        <f t="shared" ca="1" si="125"/>
        <v>1</v>
      </c>
      <c r="E871" s="960">
        <f t="shared" ca="1" si="126"/>
        <v>1</v>
      </c>
    </row>
    <row r="872" spans="1:5" ht="14.1" customHeight="1" x14ac:dyDescent="0.2">
      <c r="A872" s="959">
        <f ca="1">IF($H872="UNIDADE CONSTRUTIVA",OFFSET(A872,-1,0)+1,LARGE(A$3:A871,1))</f>
        <v>0</v>
      </c>
      <c r="B872" s="959">
        <f t="shared" ca="1" si="123"/>
        <v>16</v>
      </c>
      <c r="C872" s="959">
        <f t="shared" ca="1" si="124"/>
        <v>1</v>
      </c>
      <c r="D872" s="960">
        <f t="shared" ca="1" si="125"/>
        <v>1</v>
      </c>
      <c r="E872" s="960">
        <f t="shared" ca="1" si="126"/>
        <v>1</v>
      </c>
    </row>
    <row r="873" spans="1:5" ht="14.1" customHeight="1" x14ac:dyDescent="0.2">
      <c r="A873" s="959">
        <f ca="1">IF($H873="UNIDADE CONSTRUTIVA",OFFSET(A873,-1,0)+1,LARGE(A$3:A872,1))</f>
        <v>0</v>
      </c>
      <c r="B873" s="959">
        <f t="shared" ca="1" si="123"/>
        <v>16</v>
      </c>
      <c r="C873" s="959">
        <f t="shared" ca="1" si="124"/>
        <v>1</v>
      </c>
      <c r="D873" s="960">
        <f t="shared" ca="1" si="125"/>
        <v>1</v>
      </c>
      <c r="E873" s="960">
        <f t="shared" ca="1" si="126"/>
        <v>1</v>
      </c>
    </row>
    <row r="874" spans="1:5" ht="14.1" customHeight="1" x14ac:dyDescent="0.2">
      <c r="A874" s="959">
        <f ca="1">IF($H874="UNIDADE CONSTRUTIVA",OFFSET(A874,-1,0)+1,LARGE(A$3:A873,1))</f>
        <v>0</v>
      </c>
      <c r="B874" s="959">
        <f t="shared" ca="1" si="123"/>
        <v>16</v>
      </c>
      <c r="C874" s="959">
        <f t="shared" ca="1" si="124"/>
        <v>1</v>
      </c>
      <c r="D874" s="960">
        <f t="shared" ca="1" si="125"/>
        <v>1</v>
      </c>
      <c r="E874" s="960">
        <f t="shared" ca="1" si="126"/>
        <v>1</v>
      </c>
    </row>
    <row r="875" spans="1:5" ht="14.1" customHeight="1" x14ac:dyDescent="0.2">
      <c r="A875" s="959">
        <f ca="1">IF($H875="UNIDADE CONSTRUTIVA",OFFSET(A875,-1,0)+1,LARGE(A$3:A874,1))</f>
        <v>0</v>
      </c>
      <c r="B875" s="959">
        <f t="shared" ca="1" si="123"/>
        <v>16</v>
      </c>
      <c r="C875" s="959">
        <f t="shared" ca="1" si="124"/>
        <v>1</v>
      </c>
      <c r="D875" s="960">
        <f t="shared" ca="1" si="125"/>
        <v>1</v>
      </c>
      <c r="E875" s="960">
        <f t="shared" ca="1" si="126"/>
        <v>1</v>
      </c>
    </row>
    <row r="876" spans="1:5" ht="14.1" customHeight="1" x14ac:dyDescent="0.2">
      <c r="A876" s="959">
        <f ca="1">IF($H876="UNIDADE CONSTRUTIVA",OFFSET(A876,-1,0)+1,LARGE(A$3:A875,1))</f>
        <v>0</v>
      </c>
      <c r="B876" s="959">
        <f t="shared" ca="1" si="123"/>
        <v>16</v>
      </c>
      <c r="C876" s="959">
        <f t="shared" ca="1" si="124"/>
        <v>1</v>
      </c>
      <c r="D876" s="960">
        <f t="shared" ca="1" si="125"/>
        <v>1</v>
      </c>
      <c r="E876" s="960">
        <f t="shared" ca="1" si="126"/>
        <v>1</v>
      </c>
    </row>
    <row r="877" spans="1:5" ht="14.1" customHeight="1" x14ac:dyDescent="0.2">
      <c r="A877" s="959">
        <f ca="1">IF($H877="UNIDADE CONSTRUTIVA",OFFSET(A877,-1,0)+1,LARGE(A$3:A876,1))</f>
        <v>0</v>
      </c>
      <c r="B877" s="959">
        <f t="shared" ca="1" si="123"/>
        <v>16</v>
      </c>
      <c r="C877" s="959">
        <f t="shared" ca="1" si="124"/>
        <v>1</v>
      </c>
      <c r="D877" s="960">
        <f t="shared" ca="1" si="125"/>
        <v>1</v>
      </c>
      <c r="E877" s="960">
        <f t="shared" ca="1" si="126"/>
        <v>1</v>
      </c>
    </row>
    <row r="878" spans="1:5" ht="14.1" customHeight="1" x14ac:dyDescent="0.2">
      <c r="A878" s="959">
        <f ca="1">IF($H878="UNIDADE CONSTRUTIVA",OFFSET(A878,-1,0)+1,LARGE(A$3:A877,1))</f>
        <v>0</v>
      </c>
      <c r="B878" s="959">
        <f t="shared" ca="1" si="123"/>
        <v>16</v>
      </c>
      <c r="C878" s="959">
        <f t="shared" ca="1" si="124"/>
        <v>1</v>
      </c>
      <c r="D878" s="960">
        <f t="shared" ca="1" si="125"/>
        <v>1</v>
      </c>
      <c r="E878" s="960">
        <f t="shared" ca="1" si="126"/>
        <v>1</v>
      </c>
    </row>
    <row r="879" spans="1:5" ht="14.1" customHeight="1" x14ac:dyDescent="0.2">
      <c r="A879" s="959">
        <f ca="1">IF($H879="UNIDADE CONSTRUTIVA",OFFSET(A879,-1,0)+1,LARGE(A$3:A878,1))</f>
        <v>0</v>
      </c>
      <c r="B879" s="959">
        <f t="shared" ca="1" si="123"/>
        <v>16</v>
      </c>
      <c r="C879" s="959">
        <f t="shared" ca="1" si="124"/>
        <v>1</v>
      </c>
      <c r="D879" s="960">
        <f t="shared" ca="1" si="125"/>
        <v>1</v>
      </c>
      <c r="E879" s="960">
        <f t="shared" ca="1" si="126"/>
        <v>1</v>
      </c>
    </row>
    <row r="880" spans="1:5" ht="14.1" customHeight="1" x14ac:dyDescent="0.2">
      <c r="A880" s="959">
        <f ca="1">IF($H880="UNIDADE CONSTRUTIVA",OFFSET(A880,-1,0)+1,LARGE(A$3:A879,1))</f>
        <v>0</v>
      </c>
      <c r="B880" s="959">
        <f t="shared" ca="1" si="123"/>
        <v>16</v>
      </c>
      <c r="C880" s="959">
        <f t="shared" ca="1" si="124"/>
        <v>1</v>
      </c>
      <c r="D880" s="960">
        <f t="shared" ca="1" si="125"/>
        <v>1</v>
      </c>
      <c r="E880" s="960">
        <f t="shared" ca="1" si="126"/>
        <v>1</v>
      </c>
    </row>
    <row r="881" spans="1:5" ht="14.1" customHeight="1" x14ac:dyDescent="0.2">
      <c r="A881" s="959">
        <f ca="1">IF($H881="UNIDADE CONSTRUTIVA",OFFSET(A881,-1,0)+1,LARGE(A$3:A880,1))</f>
        <v>0</v>
      </c>
      <c r="B881" s="959">
        <f t="shared" ca="1" si="123"/>
        <v>16</v>
      </c>
      <c r="C881" s="959">
        <f t="shared" ca="1" si="124"/>
        <v>1</v>
      </c>
      <c r="D881" s="960">
        <f t="shared" ca="1" si="125"/>
        <v>1</v>
      </c>
      <c r="E881" s="960">
        <f t="shared" ca="1" si="126"/>
        <v>1</v>
      </c>
    </row>
    <row r="882" spans="1:5" ht="14.1" customHeight="1" x14ac:dyDescent="0.2">
      <c r="A882" s="959">
        <f ca="1">IF($H882="UNIDADE CONSTRUTIVA",OFFSET(A882,-1,0)+1,LARGE(A$3:A881,1))</f>
        <v>0</v>
      </c>
      <c r="B882" s="959">
        <f t="shared" ca="1" si="123"/>
        <v>16</v>
      </c>
      <c r="C882" s="959">
        <f t="shared" ca="1" si="124"/>
        <v>1</v>
      </c>
      <c r="D882" s="960">
        <f t="shared" ca="1" si="125"/>
        <v>1</v>
      </c>
      <c r="E882" s="960">
        <f t="shared" ca="1" si="126"/>
        <v>1</v>
      </c>
    </row>
    <row r="883" spans="1:5" ht="14.1" customHeight="1" x14ac:dyDescent="0.2">
      <c r="A883" s="959">
        <f ca="1">IF($H883="UNIDADE CONSTRUTIVA",OFFSET(A883,-1,0)+1,LARGE(A$3:A882,1))</f>
        <v>0</v>
      </c>
      <c r="B883" s="959">
        <f t="shared" ca="1" si="123"/>
        <v>16</v>
      </c>
      <c r="C883" s="959">
        <f t="shared" ca="1" si="124"/>
        <v>1</v>
      </c>
      <c r="D883" s="960">
        <f t="shared" ca="1" si="125"/>
        <v>1</v>
      </c>
      <c r="E883" s="960">
        <f t="shared" ca="1" si="126"/>
        <v>1</v>
      </c>
    </row>
    <row r="884" spans="1:5" ht="14.1" customHeight="1" x14ac:dyDescent="0.2">
      <c r="A884" s="959">
        <f ca="1">IF($H884="UNIDADE CONSTRUTIVA",OFFSET(A884,-1,0)+1,LARGE(A$3:A883,1))</f>
        <v>0</v>
      </c>
      <c r="B884" s="959">
        <f t="shared" ca="1" si="123"/>
        <v>16</v>
      </c>
      <c r="C884" s="959">
        <f t="shared" ca="1" si="124"/>
        <v>1</v>
      </c>
      <c r="D884" s="960">
        <f t="shared" ca="1" si="125"/>
        <v>1</v>
      </c>
      <c r="E884" s="960">
        <f t="shared" ca="1" si="126"/>
        <v>1</v>
      </c>
    </row>
    <row r="885" spans="1:5" ht="14.1" customHeight="1" x14ac:dyDescent="0.2">
      <c r="A885" s="959">
        <f ca="1">IF($H885="UNIDADE CONSTRUTIVA",OFFSET(A885,-1,0)+1,LARGE(A$3:A884,1))</f>
        <v>0</v>
      </c>
      <c r="B885" s="959">
        <f t="shared" ca="1" si="123"/>
        <v>16</v>
      </c>
      <c r="C885" s="959">
        <f t="shared" ca="1" si="124"/>
        <v>1</v>
      </c>
      <c r="D885" s="960">
        <f t="shared" ca="1" si="125"/>
        <v>1</v>
      </c>
      <c r="E885" s="960">
        <f t="shared" ca="1" si="126"/>
        <v>1</v>
      </c>
    </row>
    <row r="886" spans="1:5" ht="14.1" customHeight="1" x14ac:dyDescent="0.2">
      <c r="A886" s="959">
        <f ca="1">IF($H886="UNIDADE CONSTRUTIVA",OFFSET(A886,-1,0)+1,LARGE(A$3:A885,1))</f>
        <v>0</v>
      </c>
      <c r="B886" s="959">
        <f t="shared" ca="1" si="123"/>
        <v>16</v>
      </c>
      <c r="C886" s="959">
        <f t="shared" ca="1" si="124"/>
        <v>1</v>
      </c>
      <c r="D886" s="960">
        <f t="shared" ca="1" si="125"/>
        <v>1</v>
      </c>
      <c r="E886" s="960">
        <f t="shared" ca="1" si="126"/>
        <v>1</v>
      </c>
    </row>
    <row r="887" spans="1:5" ht="14.1" customHeight="1" x14ac:dyDescent="0.2">
      <c r="A887" s="959">
        <f ca="1">IF($H887="UNIDADE CONSTRUTIVA",OFFSET(A887,-1,0)+1,LARGE(A$3:A886,1))</f>
        <v>0</v>
      </c>
      <c r="B887" s="959">
        <f t="shared" ca="1" si="123"/>
        <v>16</v>
      </c>
      <c r="C887" s="959">
        <f t="shared" ca="1" si="124"/>
        <v>1</v>
      </c>
      <c r="D887" s="960">
        <f t="shared" ca="1" si="125"/>
        <v>1</v>
      </c>
      <c r="E887" s="960">
        <f t="shared" ca="1" si="126"/>
        <v>1</v>
      </c>
    </row>
    <row r="888" spans="1:5" ht="14.1" customHeight="1" x14ac:dyDescent="0.2">
      <c r="A888" s="959">
        <f ca="1">IF($H888="UNIDADE CONSTRUTIVA",OFFSET(A888,-1,0)+1,LARGE(A$3:A887,1))</f>
        <v>0</v>
      </c>
      <c r="B888" s="959">
        <f t="shared" ca="1" si="123"/>
        <v>16</v>
      </c>
      <c r="C888" s="959">
        <f t="shared" ca="1" si="124"/>
        <v>1</v>
      </c>
      <c r="D888" s="960">
        <f t="shared" ca="1" si="125"/>
        <v>1</v>
      </c>
      <c r="E888" s="960">
        <f t="shared" ca="1" si="126"/>
        <v>1</v>
      </c>
    </row>
    <row r="889" spans="1:5" ht="14.1" customHeight="1" x14ac:dyDescent="0.2">
      <c r="A889" s="959">
        <f ca="1">IF($H889="UNIDADE CONSTRUTIVA",OFFSET(A889,-1,0)+1,LARGE(A$3:A888,1))</f>
        <v>0</v>
      </c>
      <c r="B889" s="959">
        <f t="shared" ca="1" si="123"/>
        <v>16</v>
      </c>
      <c r="C889" s="959">
        <f t="shared" ca="1" si="124"/>
        <v>1</v>
      </c>
      <c r="D889" s="960">
        <f t="shared" ca="1" si="125"/>
        <v>1</v>
      </c>
      <c r="E889" s="960">
        <f t="shared" ca="1" si="126"/>
        <v>1</v>
      </c>
    </row>
    <row r="890" spans="1:5" ht="14.1" customHeight="1" x14ac:dyDescent="0.2">
      <c r="A890" s="959">
        <f ca="1">IF($H890="UNIDADE CONSTRUTIVA",OFFSET(A890,-1,0)+1,LARGE(A$3:A889,1))</f>
        <v>0</v>
      </c>
      <c r="B890" s="959">
        <f t="shared" ca="1" si="123"/>
        <v>16</v>
      </c>
      <c r="C890" s="959">
        <f t="shared" ca="1" si="124"/>
        <v>1</v>
      </c>
      <c r="D890" s="960">
        <f t="shared" ca="1" si="125"/>
        <v>1</v>
      </c>
      <c r="E890" s="960">
        <f t="shared" ca="1" si="126"/>
        <v>1</v>
      </c>
    </row>
    <row r="891" spans="1:5" ht="14.1" customHeight="1" x14ac:dyDescent="0.2">
      <c r="A891" s="959">
        <f ca="1">IF($H891="UNIDADE CONSTRUTIVA",OFFSET(A891,-1,0)+1,LARGE(A$3:A890,1))</f>
        <v>0</v>
      </c>
      <c r="B891" s="959">
        <f t="shared" ca="1" si="123"/>
        <v>16</v>
      </c>
      <c r="C891" s="959">
        <f t="shared" ca="1" si="124"/>
        <v>1</v>
      </c>
      <c r="D891" s="960">
        <f t="shared" ca="1" si="125"/>
        <v>1</v>
      </c>
      <c r="E891" s="960">
        <f t="shared" ca="1" si="126"/>
        <v>1</v>
      </c>
    </row>
  </sheetData>
  <autoFilter ref="G7:P257" xr:uid="{00000000-0009-0000-0000-000001000000}">
    <filterColumn colId="3" showButton="0"/>
  </autoFilter>
  <mergeCells count="1">
    <mergeCell ref="G6:P6"/>
  </mergeCells>
  <phoneticPr fontId="179" type="noConversion"/>
  <conditionalFormatting sqref="G19:G22 N113:P115 O59:P61 M85:P89 P90:P100 M91:P91 M93:P93 M95:P95 M97:P97 M99:P100 M242:P242 M239:P239 P83:P84 P119 P35:P45 O45:P45 G85:L100 M96:O96 M98:O98 G131:K135 P149:P150 I162:I163 P163 J204:P204 P206 O55:P55 P138 N156:P156 N142:P142 N126:P126 N222:P222 M8:P9 M76:P78 G23:K68 M104:P105 N46:N52 H19:H28 L19:L44 N23:N30 G74:L83 N116:O125 G123:I123 L46:L52 M56:N57 G113:L122 G126:L130 N127:O130 G216:K222 L219:L222 N74:O75 N203:O203 G155:H158 J155:L158 N157:O158 G188:H189 J191:L192 G191:H193 G198:H198 J198:N198 G200:H201 J200:L201 G203:H204 G206:H206 G84:O84 N200:O201">
    <cfRule type="expression" dxfId="1985" priority="7346">
      <formula>$H8="CÉLULA CONSTRUTIVA"</formula>
    </cfRule>
  </conditionalFormatting>
  <conditionalFormatting sqref="G125:H125 N38:P42 M38:M44 N43 N44:P44 M151:M173 M208:O210 N222:P222 L45:L52 M52:O52 M56:N57 L56:L68 G113:L120 M116:O122 K121:L121 G126:L126 N126:P126 G127:O130 N134:O137 G134:M140 G142:L142 G209:L210 G12:M13 M14:M20 J121:J122 M142:M147 O56 O57:P57 G14:L16 G41:L44 G45:K68 L55:P55 M104:P105 N139:O140 G216:K222 L219:L222">
    <cfRule type="expression" dxfId="1984" priority="2981">
      <formula>$H12="SUBETAPA"</formula>
    </cfRule>
  </conditionalFormatting>
  <conditionalFormatting sqref="G121:I123 G223:L233 G242:P242 G243:L245 G188:P188 P23:P31 M21:M30 G76:P89 N227:O233 H19:H30 L19:L40 N23:N30 G23:K40 K122 L122:L123 N123:O125 M123:M126">
    <cfRule type="expression" dxfId="1983" priority="1569">
      <formula>$H19="SUBETAPA"</formula>
    </cfRule>
  </conditionalFormatting>
  <conditionalFormatting sqref="G143:K143 G194:O194 I188:I189">
    <cfRule type="expression" dxfId="1982" priority="1549">
      <formula>$H143="CÉLULA CONSTRUTIVA"</formula>
    </cfRule>
  </conditionalFormatting>
  <conditionalFormatting sqref="G143:K143 G188:P188 G194:O194">
    <cfRule type="expression" dxfId="1981" priority="1550">
      <formula>$H143="ETAPA"</formula>
    </cfRule>
  </conditionalFormatting>
  <conditionalFormatting sqref="G145:K147 P213:P214 P23:P31 M79:P80 M74:M75">
    <cfRule type="expression" dxfId="1980" priority="2956">
      <formula>$H23="CÉLULA CONSTRUTIVA"</formula>
    </cfRule>
  </conditionalFormatting>
  <conditionalFormatting sqref="G166:K168">
    <cfRule type="expression" dxfId="1979" priority="1512">
      <formula>$H166="CÉLULA CONSTRUTIVA"</formula>
    </cfRule>
    <cfRule type="expression" dxfId="1978" priority="1513">
      <formula>$H166="ETAPA"</formula>
    </cfRule>
  </conditionalFormatting>
  <conditionalFormatting sqref="G169:K173">
    <cfRule type="expression" dxfId="1977" priority="2815">
      <formula>$H169="ETAPA"</formula>
    </cfRule>
    <cfRule type="expression" dxfId="1976" priority="2814">
      <formula>$H169="CÉLULA CONSTRUTIVA"</formula>
    </cfRule>
  </conditionalFormatting>
  <conditionalFormatting sqref="G177:K177">
    <cfRule type="expression" dxfId="1975" priority="1380">
      <formula>$H177="ETAPA"</formula>
    </cfRule>
    <cfRule type="expression" dxfId="1974" priority="1379">
      <formula>$H177="CÉLULA CONSTRUTIVA"</formula>
    </cfRule>
  </conditionalFormatting>
  <conditionalFormatting sqref="G179:K180 G182:K184">
    <cfRule type="expression" dxfId="1973" priority="1889">
      <formula>$H179="ETAPA"</formula>
    </cfRule>
    <cfRule type="expression" dxfId="1972" priority="1888">
      <formula>$H179="CÉLULA CONSTRUTIVA"</formula>
    </cfRule>
  </conditionalFormatting>
  <conditionalFormatting sqref="G186:K186">
    <cfRule type="expression" dxfId="1971" priority="1366">
      <formula>$H186="ETAPA"</formula>
    </cfRule>
    <cfRule type="expression" dxfId="1970" priority="1365">
      <formula>$H186="CÉLULA CONSTRUTIVA"</formula>
    </cfRule>
  </conditionalFormatting>
  <conditionalFormatting sqref="G195:K196">
    <cfRule type="expression" dxfId="1969" priority="2685">
      <formula>$H195="ETAPA"</formula>
    </cfRule>
    <cfRule type="expression" dxfId="1968" priority="2684">
      <formula>$H195="CÉLULA CONSTRUTIVA"</formula>
    </cfRule>
  </conditionalFormatting>
  <conditionalFormatting sqref="G207:K207 M207:M210">
    <cfRule type="expression" dxfId="1967" priority="2572">
      <formula>$H207="CÉLULA CONSTRUTIVA"</formula>
    </cfRule>
    <cfRule type="expression" dxfId="1966" priority="2573">
      <formula>$H207="ETAPA"</formula>
    </cfRule>
  </conditionalFormatting>
  <conditionalFormatting sqref="G212:K212">
    <cfRule type="expression" dxfId="1965" priority="6312">
      <formula>$H212="CÉLULA CONSTRUTIVA"</formula>
    </cfRule>
    <cfRule type="expression" dxfId="1964" priority="6313">
      <formula>$H212="ETAPA"</formula>
    </cfRule>
  </conditionalFormatting>
  <conditionalFormatting sqref="G246:K249 G121:J122 G231:L233 G242:P242 G243:L245">
    <cfRule type="expression" dxfId="1963" priority="1568">
      <formula>$H121="ETAPA"</formula>
    </cfRule>
  </conditionalFormatting>
  <conditionalFormatting sqref="G8:L18 P55 G162:H163">
    <cfRule type="expression" dxfId="1962" priority="6635">
      <formula>$H8="CÉLULA CONSTRUTIVA"</formula>
    </cfRule>
  </conditionalFormatting>
  <conditionalFormatting sqref="G10:L11">
    <cfRule type="expression" dxfId="1961" priority="1095">
      <formula>$H10="ETAPA"</formula>
    </cfRule>
  </conditionalFormatting>
  <conditionalFormatting sqref="G12:L18 P55 G162:H163">
    <cfRule type="expression" dxfId="1960" priority="6636">
      <formula>$H12="ETAPA"</formula>
    </cfRule>
  </conditionalFormatting>
  <conditionalFormatting sqref="G17:L18 G162:L163 J149:P150 O163:P163 P188:P189 J189:P189 P197:P198 J204:P204 P206 J151:L153 M95:P100 O46:O51 J123:K123 G144:L144 K145:K147 N151:O153 M239:P239 G131:K133 N161:N168 O45:P45 N160:O160 O162 G90:L100">
    <cfRule type="expression" dxfId="1959" priority="6637">
      <formula>$H17="SUBETAPA"</formula>
    </cfRule>
  </conditionalFormatting>
  <conditionalFormatting sqref="G104:L112">
    <cfRule type="expression" dxfId="1958" priority="1100">
      <formula>$H104="SUBETAPA"</formula>
    </cfRule>
    <cfRule type="expression" dxfId="1957" priority="1103">
      <formula>$H104="CÉLULA CONSTRUTIVA"</formula>
    </cfRule>
  </conditionalFormatting>
  <conditionalFormatting sqref="G104:L120">
    <cfRule type="expression" dxfId="1956" priority="1104">
      <formula>$H104="ETAPA"</formula>
    </cfRule>
  </conditionalFormatting>
  <conditionalFormatting sqref="G123:L123">
    <cfRule type="expression" dxfId="1955" priority="3011">
      <formula>$H123="ETAPA"</formula>
    </cfRule>
  </conditionalFormatting>
  <conditionalFormatting sqref="G124:L124 M113:M130 G125">
    <cfRule type="expression" dxfId="1954" priority="6955">
      <formula>$H113="CÉLULA CONSTRUTIVA"</formula>
    </cfRule>
  </conditionalFormatting>
  <conditionalFormatting sqref="G124:L124">
    <cfRule type="expression" dxfId="1953" priority="6954">
      <formula>$H124="SUBETAPA"</formula>
    </cfRule>
  </conditionalFormatting>
  <conditionalFormatting sqref="G141:L141 N141:O141">
    <cfRule type="expression" dxfId="1952" priority="1060">
      <formula>$H141="CÉLULA CONSTRUTIVA"</formula>
    </cfRule>
  </conditionalFormatting>
  <conditionalFormatting sqref="G144:L144">
    <cfRule type="expression" dxfId="1951" priority="2960">
      <formula>$H144="ETAPA"</formula>
    </cfRule>
    <cfRule type="expression" dxfId="1950" priority="2959">
      <formula>$H144="CÉLULA CONSTRUTIVA"</formula>
    </cfRule>
  </conditionalFormatting>
  <conditionalFormatting sqref="G154:L158">
    <cfRule type="expression" dxfId="1949" priority="2914">
      <formula>$H154="SUBETAPA"</formula>
    </cfRule>
  </conditionalFormatting>
  <conditionalFormatting sqref="G159:L161 O161:P161">
    <cfRule type="expression" dxfId="1948" priority="2034">
      <formula>$H159="ETAPA"</formula>
    </cfRule>
  </conditionalFormatting>
  <conditionalFormatting sqref="G159:L161">
    <cfRule type="expression" dxfId="1947" priority="2047">
      <formula>$H159="SUBETAPA"</formula>
    </cfRule>
  </conditionalFormatting>
  <conditionalFormatting sqref="G164:L165">
    <cfRule type="expression" dxfId="1946" priority="1969">
      <formula>$H164="CÉLULA CONSTRUTIVA"</formula>
    </cfRule>
    <cfRule type="expression" dxfId="1945" priority="1970">
      <formula>$H164="ETAPA"</formula>
    </cfRule>
    <cfRule type="expression" dxfId="1944" priority="1983">
      <formula>$H164="SUBETAPA"</formula>
    </cfRule>
  </conditionalFormatting>
  <conditionalFormatting sqref="G166:L168">
    <cfRule type="expression" dxfId="1943" priority="1508">
      <formula>$H166="SUBETAPA"</formula>
    </cfRule>
  </conditionalFormatting>
  <conditionalFormatting sqref="G169:L173">
    <cfRule type="expression" dxfId="1942" priority="2801">
      <formula>$H169="SUBETAPA"</formula>
    </cfRule>
  </conditionalFormatting>
  <conditionalFormatting sqref="G190:L192 G193:P193">
    <cfRule type="expression" dxfId="1941" priority="2720">
      <formula>$H190="SUBETAPA"</formula>
    </cfRule>
  </conditionalFormatting>
  <conditionalFormatting sqref="G194:L196">
    <cfRule type="expression" dxfId="1940" priority="2671">
      <formula>$H194="SUBETAPA"</formula>
    </cfRule>
  </conditionalFormatting>
  <conditionalFormatting sqref="G212:L212">
    <cfRule type="expression" dxfId="1939" priority="6299">
      <formula>$H212="SUBETAPA"</formula>
    </cfRule>
  </conditionalFormatting>
  <conditionalFormatting sqref="G213:L215">
    <cfRule type="expression" dxfId="1938" priority="2504">
      <formula>$H213="ETAPA"</formula>
    </cfRule>
    <cfRule type="expression" dxfId="1937" priority="2503">
      <formula>$H213="CÉLULA CONSTRUTIVA"</formula>
    </cfRule>
  </conditionalFormatting>
  <conditionalFormatting sqref="G223:L233 N38:P42 P43 N44:P44 M38:M44 N43 M151:M173 I155:I158">
    <cfRule type="expression" dxfId="1936" priority="2886">
      <formula>$H38="CÉLULA CONSTRUTIVA"</formula>
    </cfRule>
  </conditionalFormatting>
  <conditionalFormatting sqref="G226:L227">
    <cfRule type="expression" dxfId="1935" priority="2164">
      <formula>$H226="ETAPA"</formula>
    </cfRule>
  </conditionalFormatting>
  <conditionalFormatting sqref="G237:L241 N240:O241">
    <cfRule type="expression" dxfId="1934" priority="1295">
      <formula>$H237="SUBETAPA"</formula>
    </cfRule>
  </conditionalFormatting>
  <conditionalFormatting sqref="G237:L245 N237:O238">
    <cfRule type="expression" dxfId="1933" priority="2049">
      <formula>$H237="CÉLULA CONSTRUTIVA"</formula>
    </cfRule>
  </conditionalFormatting>
  <conditionalFormatting sqref="G241:L241 N241:O241">
    <cfRule type="expression" dxfId="1932" priority="1294">
      <formula>$H241="ETAPA"</formula>
    </cfRule>
  </conditionalFormatting>
  <conditionalFormatting sqref="G10:M11">
    <cfRule type="expression" dxfId="1931" priority="1075">
      <formula>$H10="SUBETAPA"</formula>
    </cfRule>
  </conditionalFormatting>
  <conditionalFormatting sqref="G69:M69 G70:L72 P231 P243 P245 J188:P189 P197:P198 J193:P193">
    <cfRule type="expression" dxfId="1930" priority="7107">
      <formula>$H69="CÉLULA CONSTRUTIVA"</formula>
    </cfRule>
  </conditionalFormatting>
  <conditionalFormatting sqref="G69:M69 G70:L72 P231 P243 P245">
    <cfRule type="expression" dxfId="1929" priority="7106">
      <formula>$H69="SUBETAPA"</formula>
    </cfRule>
  </conditionalFormatting>
  <conditionalFormatting sqref="G148:M148 G149:I153 J203:M203 M219:M233">
    <cfRule type="expression" dxfId="1928" priority="2919">
      <formula>$H148="ETAPA"</formula>
    </cfRule>
  </conditionalFormatting>
  <conditionalFormatting sqref="G148:M148 G149:I153 M203:O203 M219:M233">
    <cfRule type="expression" dxfId="1927" priority="2930">
      <formula>$H148="SUBETAPA"</formula>
    </cfRule>
  </conditionalFormatting>
  <conditionalFormatting sqref="G174:M176 G178:M178">
    <cfRule type="expression" dxfId="1926" priority="2782">
      <formula>$H174="ETAPA"</formula>
    </cfRule>
    <cfRule type="expression" dxfId="1925" priority="2781">
      <formula>$H174="CÉLULA CONSTRUTIVA"</formula>
    </cfRule>
    <cfRule type="expression" dxfId="1924" priority="2793">
      <formula>$H174="SUBETAPA"</formula>
    </cfRule>
  </conditionalFormatting>
  <conditionalFormatting sqref="G177:M177">
    <cfRule type="expression" dxfId="1923" priority="1375">
      <formula>$H177="SUBETAPA"</formula>
    </cfRule>
  </conditionalFormatting>
  <conditionalFormatting sqref="G179:M180 G182:M184">
    <cfRule type="expression" dxfId="1922" priority="1496">
      <formula>$H179="SUBETAPA"</formula>
    </cfRule>
  </conditionalFormatting>
  <conditionalFormatting sqref="G181:M181">
    <cfRule type="expression" dxfId="1921" priority="1334">
      <formula>$H181="CÉLULA CONSTRUTIVA"</formula>
    </cfRule>
    <cfRule type="expression" dxfId="1920" priority="1335">
      <formula>$H181="ETAPA"</formula>
    </cfRule>
    <cfRule type="expression" dxfId="1919" priority="1336">
      <formula>$H181="SUBETAPA"</formula>
    </cfRule>
  </conditionalFormatting>
  <conditionalFormatting sqref="G185:M185">
    <cfRule type="expression" dxfId="1918" priority="1372">
      <formula>$H185="SUBETAPA"</formula>
    </cfRule>
    <cfRule type="expression" dxfId="1917" priority="1370">
      <formula>$H185="CÉLULA CONSTRUTIVA"</formula>
    </cfRule>
    <cfRule type="expression" dxfId="1916" priority="1371">
      <formula>$H185="ETAPA"</formula>
    </cfRule>
  </conditionalFormatting>
  <conditionalFormatting sqref="G186:M186">
    <cfRule type="expression" dxfId="1915" priority="1361">
      <formula>$H186="SUBETAPA"</formula>
    </cfRule>
  </conditionalFormatting>
  <conditionalFormatting sqref="G187:M187 I189">
    <cfRule type="expression" dxfId="1914" priority="2725">
      <formula>$H187="ETAPA"</formula>
    </cfRule>
  </conditionalFormatting>
  <conditionalFormatting sqref="G187:M187">
    <cfRule type="expression" dxfId="1913" priority="2724">
      <formula>$H187="CÉLULA CONSTRUTIVA"</formula>
    </cfRule>
  </conditionalFormatting>
  <conditionalFormatting sqref="G190:M190">
    <cfRule type="expression" dxfId="1912" priority="1487">
      <formula>$H190="CÉLULA CONSTRUTIVA"</formula>
    </cfRule>
    <cfRule type="expression" dxfId="1911" priority="1488">
      <formula>$H190="ETAPA"</formula>
    </cfRule>
  </conditionalFormatting>
  <conditionalFormatting sqref="G197:M197 G198:N198 G200:L201 G203:L203 G204:I206 G199:M199 G202:M202">
    <cfRule type="expression" dxfId="1910" priority="2663">
      <formula>$H197="SUBETAPA"</formula>
    </cfRule>
  </conditionalFormatting>
  <conditionalFormatting sqref="G197:M197 I198 I200:I201 I203:I204">
    <cfRule type="expression" dxfId="1909" priority="2652">
      <formula>$H197="ETAPA"</formula>
    </cfRule>
    <cfRule type="expression" dxfId="1908" priority="2651">
      <formula>$H197="CÉLULA CONSTRUTIVA"</formula>
    </cfRule>
  </conditionalFormatting>
  <conditionalFormatting sqref="G205:M205">
    <cfRule type="expression" dxfId="1907" priority="1453">
      <formula>$H205="ETAPA"</formula>
    </cfRule>
    <cfRule type="expression" dxfId="1906" priority="1452">
      <formula>$H205="CÉLULA CONSTRUTIVA"</formula>
    </cfRule>
  </conditionalFormatting>
  <conditionalFormatting sqref="G207:M207">
    <cfRule type="expression" dxfId="1905" priority="2559">
      <formula>$H207="SUBETAPA"</formula>
    </cfRule>
  </conditionalFormatting>
  <conditionalFormatting sqref="G215:M215">
    <cfRule type="expression" dxfId="1904" priority="1412">
      <formula>$H215="SUBETAPA"</formula>
    </cfRule>
  </conditionalFormatting>
  <conditionalFormatting sqref="G187:N187 G189:I189">
    <cfRule type="expression" dxfId="1903" priority="2736">
      <formula>$H187="SUBETAPA"</formula>
    </cfRule>
  </conditionalFormatting>
  <conditionalFormatting sqref="G214:N214 G213:M213">
    <cfRule type="expression" dxfId="1902" priority="7223">
      <formula>$H213="SUBETAPA"</formula>
    </cfRule>
  </conditionalFormatting>
  <conditionalFormatting sqref="G141:O141">
    <cfRule type="expression" dxfId="1901" priority="1059">
      <formula>$H141="SUBETAPA"</formula>
    </cfRule>
  </conditionalFormatting>
  <conditionalFormatting sqref="G234:O234">
    <cfRule type="expression" dxfId="1900" priority="1321">
      <formula>$H234="ETAPA"</formula>
    </cfRule>
  </conditionalFormatting>
  <conditionalFormatting sqref="G234:O236 G246:K249">
    <cfRule type="expression" dxfId="1899" priority="1320">
      <formula>$H234="CÉLULA CONSTRUTIVA"</formula>
    </cfRule>
    <cfRule type="expression" dxfId="1898" priority="1319">
      <formula>$H234="SUBETAPA"</formula>
    </cfRule>
  </conditionalFormatting>
  <conditionalFormatting sqref="G8:P9 G19:G22 O35:P37 O45:P45 N46:N51 O53:P53 O55:P55 O59:P61 M76:P78 M83:P83 G84:O84 G85:P86 M87:P87 G87:L88 M88:O88 G89:P89 G90:L100 M91:P91 M93:P93 M95:P95 M96:O96 M97:P97 M98:O98 M99:P99 M100:O100 N104:P104 M104:M105 N113:P115 J131:K133 N142:O142 P149:P150 I162:I163 P163 G189:H189 J191:L192 G191:H193 G198:H198 J198:N198 G200:H201 J200:L201 N200:O201 N203:O203 G203:H204 J204:P204 G206:H206 P206 G216:K222 L219:L222 N222:P222 O73:P73 L71:L72 J189:P189 J193:O193 P198 J139:L140 J142:L142 N71:O72 M90:O90 M94:O94 P106 G223:L225 N240:O240 G141:K141">
    <cfRule type="expression" dxfId="1897" priority="7347">
      <formula>$H8="ETAPA"</formula>
    </cfRule>
  </conditionalFormatting>
  <conditionalFormatting sqref="G8:P9">
    <cfRule type="expression" dxfId="1896" priority="1632">
      <formula>$H8="SUBETAPA"</formula>
    </cfRule>
  </conditionalFormatting>
  <conditionalFormatting sqref="G73:P73 M35:P37 L53:P53 N45:N51 M66:P66 N69:P69">
    <cfRule type="expression" dxfId="1895" priority="3363">
      <formula>$H35="SUBETAPA"</formula>
    </cfRule>
  </conditionalFormatting>
  <conditionalFormatting sqref="G74:P75">
    <cfRule type="expression" dxfId="1894" priority="749">
      <formula>$H74="SUBETAPA"</formula>
    </cfRule>
  </conditionalFormatting>
  <conditionalFormatting sqref="G199:P199">
    <cfRule type="expression" dxfId="1893" priority="2637">
      <formula>$H199="ETAPA"</formula>
    </cfRule>
    <cfRule type="expression" dxfId="1892" priority="2636">
      <formula>$H199="CÉLULA CONSTRUTIVA"</formula>
    </cfRule>
  </conditionalFormatting>
  <conditionalFormatting sqref="G202:P202">
    <cfRule type="expression" dxfId="1891" priority="2623">
      <formula>$H202="CÉLULA CONSTRUTIVA"</formula>
    </cfRule>
    <cfRule type="expression" dxfId="1890" priority="2624">
      <formula>$H202="ETAPA"</formula>
    </cfRule>
  </conditionalFormatting>
  <conditionalFormatting sqref="G250:P253">
    <cfRule type="expression" dxfId="1889" priority="15">
      <formula>$H250="CÉLULA CONSTRUTIVA"</formula>
    </cfRule>
    <cfRule type="expression" dxfId="1888" priority="16">
      <formula>$H250="ETAPA"</formula>
    </cfRule>
    <cfRule type="expression" dxfId="1887" priority="14">
      <formula>$H250="SUBETAPA"</formula>
    </cfRule>
  </conditionalFormatting>
  <conditionalFormatting sqref="H32 N58:O58">
    <cfRule type="expression" dxfId="1886" priority="3380">
      <formula>$H32="ETAPA"</formula>
    </cfRule>
    <cfRule type="expression" dxfId="1885" priority="3379">
      <formula>$H32="CÉLULA CONSTRUTIVA"</formula>
    </cfRule>
  </conditionalFormatting>
  <conditionalFormatting sqref="H32">
    <cfRule type="expression" dxfId="1884" priority="3378">
      <formula>$H32="SUBETAPA"</formula>
    </cfRule>
  </conditionalFormatting>
  <conditionalFormatting sqref="H52 O30:P30 P206:P207 P211 G101:M103">
    <cfRule type="expression" dxfId="1883" priority="3183">
      <formula>$H30="SUBETAPA"</formula>
    </cfRule>
  </conditionalFormatting>
  <conditionalFormatting sqref="H125:L125">
    <cfRule type="expression" dxfId="1882" priority="2978">
      <formula>$H125="CÉLULA CONSTRUTIVA"</formula>
    </cfRule>
    <cfRule type="expression" dxfId="1881" priority="2980">
      <formula>$H125="ETAPA"</formula>
    </cfRule>
  </conditionalFormatting>
  <conditionalFormatting sqref="I191:I193">
    <cfRule type="expression" dxfId="1880" priority="2709">
      <formula>$H191="ETAPA"</formula>
    </cfRule>
    <cfRule type="expression" dxfId="1879" priority="2708">
      <formula>$H191="CÉLULA CONSTRUTIVA"</formula>
    </cfRule>
  </conditionalFormatting>
  <conditionalFormatting sqref="I19:K21 I22 K22">
    <cfRule type="expression" dxfId="1878" priority="7217">
      <formula>$H19="ETAPA"</formula>
    </cfRule>
  </conditionalFormatting>
  <conditionalFormatting sqref="I19:K22">
    <cfRule type="expression" dxfId="1877" priority="1257">
      <formula>$H19="CÉLULA CONSTRUTIVA"</formula>
    </cfRule>
    <cfRule type="expression" dxfId="1876" priority="1256">
      <formula>$H19="SUBETAPA"</formula>
    </cfRule>
  </conditionalFormatting>
  <conditionalFormatting sqref="I125:L125">
    <cfRule type="expression" dxfId="1875" priority="2977">
      <formula>$H125="SUBETAPA"</formula>
    </cfRule>
  </conditionalFormatting>
  <conditionalFormatting sqref="I206:O206">
    <cfRule type="expression" dxfId="1874" priority="1432">
      <formula>$H206="ETAPA"</formula>
    </cfRule>
    <cfRule type="expression" dxfId="1873" priority="1431">
      <formula>$H206="CÉLULA CONSTRUTIVA"</formula>
    </cfRule>
  </conditionalFormatting>
  <conditionalFormatting sqref="J22">
    <cfRule type="expression" dxfId="1872" priority="1255">
      <formula>$H22="ETAPA"</formula>
    </cfRule>
  </conditionalFormatting>
  <conditionalFormatting sqref="J139:J140">
    <cfRule type="expression" dxfId="1871" priority="1552">
      <formula>$H139="ETAPA"</formula>
    </cfRule>
  </conditionalFormatting>
  <conditionalFormatting sqref="J123:L123">
    <cfRule type="expression" dxfId="1870" priority="3007">
      <formula>$H123="CÉLULA CONSTRUTIVA"</formula>
    </cfRule>
  </conditionalFormatting>
  <conditionalFormatting sqref="J141:L141">
    <cfRule type="expression" dxfId="1869" priority="1073">
      <formula>#REF!="CÉLULA CONSTRUTIVA"</formula>
    </cfRule>
    <cfRule type="expression" dxfId="1868" priority="1074">
      <formula>#REF!="ETAPA"</formula>
    </cfRule>
    <cfRule type="expression" dxfId="1867" priority="1072">
      <formula>#REF!="SUBETAPA"</formula>
    </cfRule>
  </conditionalFormatting>
  <conditionalFormatting sqref="J203:M203 G148:M148 G149:I153 M219:M233">
    <cfRule type="expression" dxfId="1866" priority="2918">
      <formula>$H148="CÉLULA CONSTRUTIVA"</formula>
    </cfRule>
  </conditionalFormatting>
  <conditionalFormatting sqref="J205:O205">
    <cfRule type="expression" dxfId="1865" priority="1454">
      <formula>$H205="SUBETAPA"</formula>
    </cfRule>
  </conditionalFormatting>
  <conditionalFormatting sqref="J206:O206">
    <cfRule type="expression" dxfId="1864" priority="1429">
      <formula>$H206="SUBETAPA"</formula>
    </cfRule>
  </conditionalFormatting>
  <conditionalFormatting sqref="J149:P150 J151:L153 J162:L163 O163:P163 P189 P198 P206">
    <cfRule type="expression" dxfId="1863" priority="4797">
      <formula>$H149="ETAPA"</formula>
    </cfRule>
  </conditionalFormatting>
  <conditionalFormatting sqref="J149:P150 O163:P163 J151:L153 J162:L163">
    <cfRule type="expression" dxfId="1862" priority="4796">
      <formula>$H149="CÉLULA CONSTRUTIVA"</formula>
    </cfRule>
  </conditionalFormatting>
  <conditionalFormatting sqref="K110">
    <cfRule type="expression" dxfId="1861" priority="1102">
      <formula>$H110="ETAPA"</formula>
    </cfRule>
    <cfRule type="expression" dxfId="1860" priority="1101">
      <formula>$H110="CÉLULA CONSTRUTIVA"</formula>
    </cfRule>
  </conditionalFormatting>
  <conditionalFormatting sqref="K143">
    <cfRule type="expression" dxfId="1859" priority="1551">
      <formula>$H143="SUBETAPA"</formula>
    </cfRule>
  </conditionalFormatting>
  <conditionalFormatting sqref="L56:L68">
    <cfRule type="expression" dxfId="1858" priority="6382">
      <formula>$H56="CÉLULA CONSTRUTIVA"</formula>
    </cfRule>
  </conditionalFormatting>
  <conditionalFormatting sqref="L68:L70">
    <cfRule type="expression" dxfId="1857" priority="6383">
      <formula>$H68="ETAPA"</formula>
    </cfRule>
  </conditionalFormatting>
  <conditionalFormatting sqref="L138 N138:P138">
    <cfRule type="expression" dxfId="1856" priority="4896">
      <formula>$H138="ETAPA"</formula>
    </cfRule>
  </conditionalFormatting>
  <conditionalFormatting sqref="L141 N141:O141">
    <cfRule type="expression" dxfId="1855" priority="1061">
      <formula>$H141="ETAPA"</formula>
    </cfRule>
  </conditionalFormatting>
  <conditionalFormatting sqref="L143 G143:J143">
    <cfRule type="expression" dxfId="1854" priority="1539">
      <formula>$H143="SUBETAPA"</formula>
    </cfRule>
  </conditionalFormatting>
  <conditionalFormatting sqref="L143">
    <cfRule type="expression" dxfId="1853" priority="1536">
      <formula>$H143="ETAPA"</formula>
    </cfRule>
    <cfRule type="expression" dxfId="1852" priority="1535">
      <formula>$H143="CÉLULA CONSTRUTIVA"</formula>
    </cfRule>
  </conditionalFormatting>
  <conditionalFormatting sqref="L145:L147 G145:J147">
    <cfRule type="expression" dxfId="1851" priority="2943">
      <formula>$H145="SUBETAPA"</formula>
    </cfRule>
  </conditionalFormatting>
  <conditionalFormatting sqref="L145:L147">
    <cfRule type="expression" dxfId="1850" priority="2940">
      <formula>$H145="ETAPA"</formula>
    </cfRule>
    <cfRule type="expression" dxfId="1849" priority="2939">
      <formula>$H145="CÉLULA CONSTRUTIVA"</formula>
    </cfRule>
  </conditionalFormatting>
  <conditionalFormatting sqref="L166:L173">
    <cfRule type="expression" dxfId="1848" priority="2797">
      <formula>$H166="CÉLULA CONSTRUTIVA"</formula>
    </cfRule>
    <cfRule type="expression" dxfId="1847" priority="2798">
      <formula>$H166="ETAPA"</formula>
    </cfRule>
  </conditionalFormatting>
  <conditionalFormatting sqref="L207">
    <cfRule type="expression" dxfId="1846" priority="2555">
      <formula>$H207="CÉLULA CONSTRUTIVA"</formula>
    </cfRule>
    <cfRule type="expression" dxfId="1845" priority="2556">
      <formula>$H207="ETAPA"</formula>
    </cfRule>
  </conditionalFormatting>
  <conditionalFormatting sqref="L212">
    <cfRule type="expression" dxfId="1844" priority="6295">
      <formula>$H212="CÉLULA CONSTRUTIVA"</formula>
    </cfRule>
    <cfRule type="expression" dxfId="1843" priority="6296">
      <formula>$H212="ETAPA"</formula>
    </cfRule>
  </conditionalFormatting>
  <conditionalFormatting sqref="L131:M131">
    <cfRule type="expression" dxfId="1842" priority="6379">
      <formula>$H131="ETAPA"</formula>
    </cfRule>
  </conditionalFormatting>
  <conditionalFormatting sqref="L177:M177">
    <cfRule type="expression" dxfId="1841" priority="1373">
      <formula>$H177="CÉLULA CONSTRUTIVA"</formula>
    </cfRule>
    <cfRule type="expression" dxfId="1840" priority="1374">
      <formula>$H177="ETAPA"</formula>
    </cfRule>
  </conditionalFormatting>
  <conditionalFormatting sqref="L179:M180 L182:M184">
    <cfRule type="expression" dxfId="1839" priority="1495">
      <formula>$H179="ETAPA"</formula>
    </cfRule>
    <cfRule type="expression" dxfId="1838" priority="1494">
      <formula>$H179="CÉLULA CONSTRUTIVA"</formula>
    </cfRule>
  </conditionalFormatting>
  <conditionalFormatting sqref="L186:M186">
    <cfRule type="expression" dxfId="1837" priority="1360">
      <formula>$H186="ETAPA"</formula>
    </cfRule>
    <cfRule type="expression" dxfId="1836" priority="1359">
      <formula>$H186="CÉLULA CONSTRUTIVA"</formula>
    </cfRule>
  </conditionalFormatting>
  <conditionalFormatting sqref="L195:M196">
    <cfRule type="expression" dxfId="1835" priority="1479">
      <formula>$H195="ETAPA"</formula>
    </cfRule>
    <cfRule type="expression" dxfId="1834" priority="1478">
      <formula>$H195="CÉLULA CONSTRUTIVA"</formula>
    </cfRule>
  </conditionalFormatting>
  <conditionalFormatting sqref="L216:M218">
    <cfRule type="expression" dxfId="1833" priority="2401">
      <formula>$H216="ETAPA"</formula>
    </cfRule>
    <cfRule type="expression" dxfId="1832" priority="2400">
      <formula>$H216="CÉLULA CONSTRUTIVA"</formula>
    </cfRule>
    <cfRule type="expression" dxfId="1831" priority="2399">
      <formula>$H216="SUBETAPA"</formula>
    </cfRule>
  </conditionalFormatting>
  <conditionalFormatting sqref="L131:N131 L132:P133 L134:L135 N134:O137">
    <cfRule type="expression" dxfId="1830" priority="3308">
      <formula>$H131="CÉLULA CONSTRUTIVA"</formula>
    </cfRule>
  </conditionalFormatting>
  <conditionalFormatting sqref="L131:N131 L132:P133">
    <cfRule type="expression" dxfId="1829" priority="3307">
      <formula>$H131="SUBETAPA"</formula>
    </cfRule>
  </conditionalFormatting>
  <conditionalFormatting sqref="L54:O54">
    <cfRule type="expression" dxfId="1828" priority="1643">
      <formula>$H54="SUBETAPA"</formula>
    </cfRule>
  </conditionalFormatting>
  <conditionalFormatting sqref="L54:P54">
    <cfRule type="expression" dxfId="1827" priority="877">
      <formula>$H54="ETAPA"</formula>
    </cfRule>
    <cfRule type="expression" dxfId="1826" priority="876">
      <formula>$H54="CÉLULA CONSTRUTIVA"</formula>
    </cfRule>
  </conditionalFormatting>
  <conditionalFormatting sqref="L132:P133 L134:L135 N134:O135">
    <cfRule type="expression" dxfId="1825" priority="3309">
      <formula>$H132="ETAPA"</formula>
    </cfRule>
  </conditionalFormatting>
  <conditionalFormatting sqref="L246:P248">
    <cfRule type="expression" dxfId="1824" priority="56">
      <formula>$H246="SUBETAPA"</formula>
    </cfRule>
    <cfRule type="expression" dxfId="1823" priority="57">
      <formula>$H246="CÉLULA CONSTRUTIVA"</formula>
    </cfRule>
    <cfRule type="expression" dxfId="1822" priority="58">
      <formula>$H246="ETAPA"</formula>
    </cfRule>
  </conditionalFormatting>
  <conditionalFormatting sqref="M10:M18">
    <cfRule type="expression" dxfId="1821" priority="1964">
      <formula>$H10="ETAPA"</formula>
    </cfRule>
    <cfRule type="expression" dxfId="1820" priority="1963">
      <formula>$H10="CÉLULA CONSTRUTIVA"</formula>
    </cfRule>
  </conditionalFormatting>
  <conditionalFormatting sqref="M34">
    <cfRule type="expression" dxfId="1819" priority="1654">
      <formula>$H34="ETAPA"</formula>
    </cfRule>
    <cfRule type="expression" dxfId="1818" priority="1653">
      <formula>$H34="CÉLULA CONSTRUTIVA"</formula>
    </cfRule>
  </conditionalFormatting>
  <conditionalFormatting sqref="M45">
    <cfRule type="expression" dxfId="1817" priority="6660">
      <formula>$H45="SUBETAPA"</formula>
    </cfRule>
  </conditionalFormatting>
  <conditionalFormatting sqref="M46:M51">
    <cfRule type="expression" dxfId="1816" priority="1648">
      <formula>$H46="ETAPA"</formula>
    </cfRule>
    <cfRule type="expression" dxfId="1815" priority="1649">
      <formula>$H46="SUBETAPA"</formula>
    </cfRule>
  </conditionalFormatting>
  <conditionalFormatting sqref="M46:M52">
    <cfRule type="expression" dxfId="1814" priority="1647">
      <formula>$H46="CÉLULA CONSTRUTIVA"</formula>
    </cfRule>
  </conditionalFormatting>
  <conditionalFormatting sqref="M56">
    <cfRule type="expression" dxfId="1813" priority="1260">
      <formula>$H56="CÉLULA CONSTRUTIVA"</formula>
    </cfRule>
  </conditionalFormatting>
  <conditionalFormatting sqref="M58">
    <cfRule type="expression" dxfId="1812" priority="1639">
      <formula>$H58="ETAPA"</formula>
    </cfRule>
    <cfRule type="expression" dxfId="1811" priority="1638">
      <formula>$H58="CÉLULA CONSTRUTIVA"</formula>
    </cfRule>
  </conditionalFormatting>
  <conditionalFormatting sqref="M62:M65">
    <cfRule type="expression" dxfId="1810" priority="1635">
      <formula>$H62="CÉLULA CONSTRUTIVA"</formula>
    </cfRule>
    <cfRule type="expression" dxfId="1809" priority="1636">
      <formula>$H62="ETAPA"</formula>
    </cfRule>
  </conditionalFormatting>
  <conditionalFormatting sqref="M67:M68">
    <cfRule type="expression" dxfId="1808" priority="1591">
      <formula>$H67="CÉLULA CONSTRUTIVA"</formula>
    </cfRule>
    <cfRule type="expression" dxfId="1807" priority="1592">
      <formula>$H67="ETAPA"</formula>
    </cfRule>
  </conditionalFormatting>
  <conditionalFormatting sqref="M69">
    <cfRule type="expression" dxfId="1806" priority="7194">
      <formula>$H69="ETAPA"</formula>
    </cfRule>
  </conditionalFormatting>
  <conditionalFormatting sqref="M70">
    <cfRule type="expression" dxfId="1805" priority="1590">
      <formula>$H70="SUBETAPA"</formula>
    </cfRule>
  </conditionalFormatting>
  <conditionalFormatting sqref="M70:M72">
    <cfRule type="expression" dxfId="1804" priority="1582">
      <formula>$H70="CÉLULA CONSTRUTIVA"</formula>
    </cfRule>
  </conditionalFormatting>
  <conditionalFormatting sqref="M71:M72">
    <cfRule type="expression" dxfId="1803" priority="1584">
      <formula>$H71="SUBETAPA"</formula>
    </cfRule>
    <cfRule type="expression" dxfId="1802" priority="1583">
      <formula>$H71="ETAPA"</formula>
    </cfRule>
  </conditionalFormatting>
  <conditionalFormatting sqref="M113:M115 G124:L124 G125">
    <cfRule type="expression" dxfId="1801" priority="6956">
      <formula>$H113="ETAPA"</formula>
    </cfRule>
  </conditionalFormatting>
  <conditionalFormatting sqref="M134:M147">
    <cfRule type="expression" dxfId="1800" priority="1057">
      <formula>$H134="CÉLULA CONSTRUTIVA"</formula>
    </cfRule>
    <cfRule type="expression" dxfId="1799" priority="1058">
      <formula>$H134="ETAPA"</formula>
    </cfRule>
  </conditionalFormatting>
  <conditionalFormatting sqref="M190">
    <cfRule type="expression" dxfId="1798" priority="1489">
      <formula>$H190="SUBETAPA"</formula>
    </cfRule>
  </conditionalFormatting>
  <conditionalFormatting sqref="M191:M192">
    <cfRule type="expression" dxfId="1797" priority="1484">
      <formula>$H191="CÉLULA CONSTRUTIVA"</formula>
    </cfRule>
    <cfRule type="expression" dxfId="1796" priority="1485">
      <formula>$H191="ETAPA"</formula>
    </cfRule>
    <cfRule type="expression" dxfId="1795" priority="1486">
      <formula>$H191="SUBETAPA"</formula>
    </cfRule>
  </conditionalFormatting>
  <conditionalFormatting sqref="M195:M196">
    <cfRule type="expression" dxfId="1794" priority="1480">
      <formula>$H195="SUBETAPA"</formula>
    </cfRule>
  </conditionalFormatting>
  <conditionalFormatting sqref="M200:M201">
    <cfRule type="expression" dxfId="1793" priority="1472">
      <formula>$H200="CÉLULA CONSTRUTIVA"</formula>
    </cfRule>
    <cfRule type="expression" dxfId="1792" priority="1473">
      <formula>$H200="ETAPA"</formula>
    </cfRule>
  </conditionalFormatting>
  <conditionalFormatting sqref="M212">
    <cfRule type="expression" dxfId="1791" priority="1389">
      <formula>$H212="SUBETAPA"</formula>
    </cfRule>
  </conditionalFormatting>
  <conditionalFormatting sqref="M212:M213">
    <cfRule type="expression" dxfId="1790" priority="1388">
      <formula>$H212="ETAPA"</formula>
    </cfRule>
    <cfRule type="expression" dxfId="1789" priority="1387">
      <formula>$H212="CÉLULA CONSTRUTIVA"</formula>
    </cfRule>
  </conditionalFormatting>
  <conditionalFormatting sqref="M237:M238">
    <cfRule type="expression" dxfId="1788" priority="1325">
      <formula>$H237="CÉLULA CONSTRUTIVA"</formula>
    </cfRule>
    <cfRule type="expression" dxfId="1787" priority="1326">
      <formula>$H237="ETAPA"</formula>
    </cfRule>
  </conditionalFormatting>
  <conditionalFormatting sqref="M240:M241">
    <cfRule type="expression" dxfId="1786" priority="1304">
      <formula>$H240="SUBETAPA"</formula>
    </cfRule>
    <cfRule type="expression" dxfId="1785" priority="1303">
      <formula>$H240="ETAPA"</formula>
    </cfRule>
  </conditionalFormatting>
  <conditionalFormatting sqref="M35:N37 L45:N45 L53:N53 L55:N55 M59:N61 M66:P66 N69:P69 L73:N73 N139:O140">
    <cfRule type="expression" dxfId="1784" priority="3365">
      <formula>$H35="ETAPA"</formula>
    </cfRule>
  </conditionalFormatting>
  <conditionalFormatting sqref="M52:N52 K121:L122 N227:O228 J228:L228 J230 M56:N57 L46:L52 L56:L68 N116:O121 N126:P126 G126:L130 G131:I135 J134:K135 G136:L137 N136:O137 J138:K138 G138:I140 G142:I142 N155:O155 G155:H158 J155:L158 J209:J210">
    <cfRule type="expression" dxfId="1783" priority="2066">
      <formula>$H46="ETAPA"</formula>
    </cfRule>
  </conditionalFormatting>
  <conditionalFormatting sqref="M107:N109">
    <cfRule type="expression" dxfId="1782" priority="3052">
      <formula>$H107="ETAPA"</formula>
    </cfRule>
    <cfRule type="expression" dxfId="1781" priority="3051">
      <formula>$H107="CÉLULA CONSTRUTIVA"</formula>
    </cfRule>
  </conditionalFormatting>
  <conditionalFormatting sqref="M111:N111">
    <cfRule type="expression" dxfId="1780" priority="1113">
      <formula>$H111="CÉLULA CONSTRUTIVA"</formula>
    </cfRule>
    <cfRule type="expression" dxfId="1779" priority="1114">
      <formula>$H111="ETAPA"</formula>
    </cfRule>
  </conditionalFormatting>
  <conditionalFormatting sqref="M31:O33">
    <cfRule type="expression" dxfId="1778" priority="1261">
      <formula>$H31="SUBETAPA"</formula>
    </cfRule>
    <cfRule type="expression" dxfId="1777" priority="1262">
      <formula>$H31="CÉLULA CONSTRUTIVA"</formula>
    </cfRule>
    <cfRule type="expression" dxfId="1776" priority="1263">
      <formula>$H31="ETAPA"</formula>
    </cfRule>
  </conditionalFormatting>
  <conditionalFormatting sqref="M34:O34">
    <cfRule type="expression" dxfId="1775" priority="1655">
      <formula>$H34="SUBETAPA"</formula>
    </cfRule>
  </conditionalFormatting>
  <conditionalFormatting sqref="M58:O58 M59:P61">
    <cfRule type="expression" dxfId="1774" priority="1640">
      <formula>$H58="SUBETAPA"</formula>
    </cfRule>
  </conditionalFormatting>
  <conditionalFormatting sqref="M62:O65">
    <cfRule type="expression" dxfId="1773" priority="1637">
      <formula>$H62="SUBETAPA"</formula>
    </cfRule>
  </conditionalFormatting>
  <conditionalFormatting sqref="M67:O68">
    <cfRule type="expression" dxfId="1772" priority="1593">
      <formula>$H67="SUBETAPA"</formula>
    </cfRule>
  </conditionalFormatting>
  <conditionalFormatting sqref="M70:O70">
    <cfRule type="expression" dxfId="1771" priority="1589">
      <formula>$H70="ETAPA"</formula>
    </cfRule>
  </conditionalFormatting>
  <conditionalFormatting sqref="M107:O107">
    <cfRule type="expression" dxfId="1770" priority="1557">
      <formula>$H107="SUBETAPA"</formula>
    </cfRule>
  </conditionalFormatting>
  <conditionalFormatting sqref="M194:O194">
    <cfRule type="expression" dxfId="1769" priority="1483">
      <formula>$H194="SUBETAPA"</formula>
    </cfRule>
  </conditionalFormatting>
  <conditionalFormatting sqref="M200:O201">
    <cfRule type="expression" dxfId="1768" priority="1474">
      <formula>$H200="SUBETAPA"</formula>
    </cfRule>
  </conditionalFormatting>
  <conditionalFormatting sqref="M237:O238">
    <cfRule type="expression" dxfId="1767" priority="1327">
      <formula>$H237="SUBETAPA"</formula>
    </cfRule>
  </conditionalFormatting>
  <conditionalFormatting sqref="M240:O241">
    <cfRule type="expression" dxfId="1766" priority="1302">
      <formula>$H240="CÉLULA CONSTRUTIVA"</formula>
    </cfRule>
  </conditionalFormatting>
  <conditionalFormatting sqref="M244:O244 M239:P239">
    <cfRule type="expression" dxfId="1765" priority="2075">
      <formula>$H239="ETAPA"</formula>
    </cfRule>
  </conditionalFormatting>
  <conditionalFormatting sqref="M21:P22">
    <cfRule type="expression" dxfId="1764" priority="997">
      <formula>$H21="CÉLULA CONSTRUTIVA"</formula>
    </cfRule>
    <cfRule type="expression" dxfId="1763" priority="998">
      <formula>$H21="ETAPA"</formula>
    </cfRule>
  </conditionalFormatting>
  <conditionalFormatting sqref="M35:P37 L45:N45 L53:P53 M66:P66 N69:P69 G73:P73 L55:N55 N139:O140 M59:N61">
    <cfRule type="expression" dxfId="1762" priority="3364">
      <formula>$H35="CÉLULA CONSTRUTIVA"</formula>
    </cfRule>
  </conditionalFormatting>
  <conditionalFormatting sqref="M81:P82">
    <cfRule type="expression" dxfId="1761" priority="6842">
      <formula>$H81="ETAPA"</formula>
    </cfRule>
  </conditionalFormatting>
  <conditionalFormatting sqref="M81:P83">
    <cfRule type="expression" dxfId="1760" priority="6841">
      <formula>$H81="CÉLULA CONSTRUTIVA"</formula>
    </cfRule>
  </conditionalFormatting>
  <conditionalFormatting sqref="M90:P94 P87:P88">
    <cfRule type="expression" dxfId="1759" priority="3460">
      <formula>$H87="SUBETAPA"</formula>
    </cfRule>
  </conditionalFormatting>
  <conditionalFormatting sqref="M92:P92">
    <cfRule type="expression" dxfId="1758" priority="1218">
      <formula>$H92="CÉLULA CONSTRUTIVA"</formula>
    </cfRule>
    <cfRule type="expression" dxfId="1757" priority="1230">
      <formula>$H92="ETAPA"</formula>
    </cfRule>
  </conditionalFormatting>
  <conditionalFormatting sqref="M106:P106">
    <cfRule type="expression" dxfId="1756" priority="3254">
      <formula>$H106="SUBETAPA"</formula>
    </cfRule>
    <cfRule type="expression" dxfId="1755" priority="3256">
      <formula>$H106="ETAPA"</formula>
    </cfRule>
    <cfRule type="expression" dxfId="1754" priority="3255">
      <formula>$H106="CÉLULA CONSTRUTIVA"</formula>
    </cfRule>
  </conditionalFormatting>
  <conditionalFormatting sqref="M108:P109">
    <cfRule type="expression" dxfId="1753" priority="3050">
      <formula>$H108="SUBETAPA"</formula>
    </cfRule>
  </conditionalFormatting>
  <conditionalFormatting sqref="M110:P110 M112:P112">
    <cfRule type="expression" dxfId="1752" priority="3133">
      <formula>$H110="ETAPA"</formula>
    </cfRule>
    <cfRule type="expression" dxfId="1751" priority="3132">
      <formula>$H110="CÉLULA CONSTRUTIVA"</formula>
    </cfRule>
  </conditionalFormatting>
  <conditionalFormatting sqref="M110:P110 M112:P115">
    <cfRule type="expression" dxfId="1750" priority="3131">
      <formula>$H110="SUBETAPA"</formula>
    </cfRule>
  </conditionalFormatting>
  <conditionalFormatting sqref="M111:P111">
    <cfRule type="expression" dxfId="1749" priority="1112">
      <formula>$H111="SUBETAPA"</formula>
    </cfRule>
  </conditionalFormatting>
  <conditionalFormatting sqref="M214:P214">
    <cfRule type="expression" dxfId="1748" priority="4171">
      <formula>$H214="CÉLULA CONSTRUTIVA"</formula>
    </cfRule>
    <cfRule type="expression" dxfId="1747" priority="4172">
      <formula>$H214="ETAPA"</formula>
    </cfRule>
  </conditionalFormatting>
  <conditionalFormatting sqref="M243:P243 P234:P236">
    <cfRule type="expression" dxfId="1746" priority="2205">
      <formula>$H234="SUBETAPA"</formula>
    </cfRule>
  </conditionalFormatting>
  <conditionalFormatting sqref="M244:P244">
    <cfRule type="expression" dxfId="1745" priority="77">
      <formula>$H244="SUBETAPA"</formula>
    </cfRule>
    <cfRule type="expression" dxfId="1744" priority="78">
      <formula>$H244="CÉLULA CONSTRUTIVA"</formula>
    </cfRule>
  </conditionalFormatting>
  <conditionalFormatting sqref="M245:P245">
    <cfRule type="expression" dxfId="1743" priority="2098">
      <formula>$H245="ETAPA"</formula>
    </cfRule>
    <cfRule type="expression" dxfId="1742" priority="2096">
      <formula>$H245="SUBETAPA"</formula>
    </cfRule>
    <cfRule type="expression" dxfId="1741" priority="2097">
      <formula>$H245="CÉLULA CONSTRUTIVA"</formula>
    </cfRule>
  </conditionalFormatting>
  <conditionalFormatting sqref="M249:P249">
    <cfRule type="expression" dxfId="1740" priority="35">
      <formula>$H249="SUBETAPA"</formula>
    </cfRule>
    <cfRule type="expression" dxfId="1739" priority="36">
      <formula>$H249="CÉLULA CONSTRUTIVA"</formula>
    </cfRule>
    <cfRule type="expression" dxfId="1738" priority="37">
      <formula>$H249="ETAPA"</formula>
    </cfRule>
  </conditionalFormatting>
  <conditionalFormatting sqref="N101:N102">
    <cfRule type="expression" dxfId="1737" priority="3180">
      <formula>$H101="ETAPA"</formula>
    </cfRule>
    <cfRule type="expression" dxfId="1736" priority="3179">
      <formula>$H101="CÉLULA CONSTRUTIVA"</formula>
    </cfRule>
  </conditionalFormatting>
  <conditionalFormatting sqref="N103 N105:P105">
    <cfRule type="expression" dxfId="1735" priority="3177">
      <formula>$H103="ETAPA"</formula>
    </cfRule>
  </conditionalFormatting>
  <conditionalFormatting sqref="N103">
    <cfRule type="expression" dxfId="1734" priority="3176">
      <formula>$H103="CÉLULA CONSTRUTIVA"</formula>
    </cfRule>
  </conditionalFormatting>
  <conditionalFormatting sqref="N161:N186">
    <cfRule type="expression" dxfId="1733" priority="1873">
      <formula>$H161="ETAPA"</formula>
    </cfRule>
    <cfRule type="expression" dxfId="1732" priority="1872">
      <formula>$H161="CÉLULA CONSTRUTIVA"</formula>
    </cfRule>
  </conditionalFormatting>
  <conditionalFormatting sqref="N169:N186">
    <cfRule type="expression" dxfId="1731" priority="1871">
      <formula>$H169="SUBETAPA"</formula>
    </cfRule>
  </conditionalFormatting>
  <conditionalFormatting sqref="N195:N197">
    <cfRule type="expression" dxfId="1730" priority="2650">
      <formula>$H195="ETAPA"</formula>
    </cfRule>
    <cfRule type="expression" dxfId="1729" priority="2649">
      <formula>$H195="CÉLULA CONSTRUTIVA"</formula>
    </cfRule>
    <cfRule type="expression" dxfId="1728" priority="2648">
      <formula>$H195="SUBETAPA"</formula>
    </cfRule>
  </conditionalFormatting>
  <conditionalFormatting sqref="N216:N217">
    <cfRule type="expression" dxfId="1727" priority="2238">
      <formula>$H216="CÉLULA CONSTRUTIVA"</formula>
    </cfRule>
    <cfRule type="expression" dxfId="1726" priority="2239">
      <formula>$H216="ETAPA"</formula>
    </cfRule>
  </conditionalFormatting>
  <conditionalFormatting sqref="N34:O34">
    <cfRule type="expression" dxfId="1725" priority="4460">
      <formula>$H34="CÉLULA CONSTRUTIVA"</formula>
    </cfRule>
    <cfRule type="expression" dxfId="1724" priority="4461">
      <formula>$H34="ETAPA"</formula>
    </cfRule>
  </conditionalFormatting>
  <conditionalFormatting sqref="N62:O65">
    <cfRule type="expression" dxfId="1723" priority="4776">
      <formula>$H62="ETAPA"</formula>
    </cfRule>
    <cfRule type="expression" dxfId="1722" priority="4775">
      <formula>$H62="CÉLULA CONSTRUTIVA"</formula>
    </cfRule>
  </conditionalFormatting>
  <conditionalFormatting sqref="N67:O68">
    <cfRule type="expression" dxfId="1721" priority="4755">
      <formula>$H67="ETAPA"</formula>
    </cfRule>
    <cfRule type="expression" dxfId="1720" priority="4754">
      <formula>$H67="CÉLULA CONSTRUTIVA"</formula>
    </cfRule>
  </conditionalFormatting>
  <conditionalFormatting sqref="N70:O72">
    <cfRule type="expression" dxfId="1719" priority="4733">
      <formula>$H70="CÉLULA CONSTRUTIVA"</formula>
    </cfRule>
    <cfRule type="expression" dxfId="1718" priority="4732">
      <formula>$H70="SUBETAPA"</formula>
    </cfRule>
  </conditionalFormatting>
  <conditionalFormatting sqref="N102:O102">
    <cfRule type="expression" dxfId="1717" priority="3178">
      <formula>$H102="SUBETAPA"</formula>
    </cfRule>
  </conditionalFormatting>
  <conditionalFormatting sqref="N127:O131">
    <cfRule type="expression" dxfId="1716" priority="1507">
      <formula>$H127="ETAPA"</formula>
    </cfRule>
  </conditionalFormatting>
  <conditionalFormatting sqref="N143:O148">
    <cfRule type="expression" dxfId="1715" priority="1500">
      <formula>$H143="SUBETAPA"</formula>
    </cfRule>
    <cfRule type="expression" dxfId="1714" priority="1502">
      <formula>$H143="CÉLULA CONSTRUTIVA"</formula>
    </cfRule>
    <cfRule type="expression" dxfId="1713" priority="1503">
      <formula>$H143="ETAPA"</formula>
    </cfRule>
  </conditionalFormatting>
  <conditionalFormatting sqref="N151:O154 G154:L154">
    <cfRule type="expression" dxfId="1712" priority="2901">
      <formula>$H151="ETAPA"</formula>
    </cfRule>
  </conditionalFormatting>
  <conditionalFormatting sqref="N151:O155 G154:L154">
    <cfRule type="expression" dxfId="1711" priority="2900">
      <formula>$H151="CÉLULA CONSTRUTIVA"</formula>
    </cfRule>
  </conditionalFormatting>
  <conditionalFormatting sqref="N154:O155 N156:P156 N157:O158 N159:P159">
    <cfRule type="expression" dxfId="1710" priority="2851">
      <formula>$H154="SUBETAPA"</formula>
    </cfRule>
  </conditionalFormatting>
  <conditionalFormatting sqref="N190:O192">
    <cfRule type="expression" dxfId="1709" priority="1848">
      <formula>$H190="ETAPA"</formula>
    </cfRule>
  </conditionalFormatting>
  <conditionalFormatting sqref="N205:O205">
    <cfRule type="expression" dxfId="1708" priority="2576">
      <formula>$H205="ETAPA"</formula>
    </cfRule>
    <cfRule type="expression" dxfId="1707" priority="2575">
      <formula>$H205="CÉLULA CONSTRUTIVA"</formula>
    </cfRule>
  </conditionalFormatting>
  <conditionalFormatting sqref="N212:O213">
    <cfRule type="expression" dxfId="1706" priority="1427">
      <formula>$H212="CÉLULA CONSTRUTIVA"</formula>
    </cfRule>
    <cfRule type="expression" dxfId="1705" priority="1428">
      <formula>$H212="ETAPA"</formula>
    </cfRule>
    <cfRule type="expression" dxfId="1704" priority="1425">
      <formula>$H212="SUBETAPA"</formula>
    </cfRule>
  </conditionalFormatting>
  <conditionalFormatting sqref="N227:O233">
    <cfRule type="expression" dxfId="1703" priority="2163">
      <formula>$H227="CÉLULA CONSTRUTIVA"</formula>
    </cfRule>
  </conditionalFormatting>
  <conditionalFormatting sqref="N237:O238 G237:L240">
    <cfRule type="expression" dxfId="1702" priority="2050">
      <formula>$H237="ETAPA"</formula>
    </cfRule>
  </conditionalFormatting>
  <conditionalFormatting sqref="N10:P10">
    <cfRule type="expression" dxfId="1701" priority="1078">
      <formula>$H10="ETAPA"</formula>
    </cfRule>
    <cfRule type="expression" dxfId="1700" priority="1076">
      <formula>$H10="SUBETAPA"</formula>
    </cfRule>
    <cfRule type="expression" dxfId="1699" priority="1077">
      <formula>$H10="CÉLULA CONSTRUTIVA"</formula>
    </cfRule>
  </conditionalFormatting>
  <conditionalFormatting sqref="N11:P12">
    <cfRule type="expression" dxfId="1698" priority="1092">
      <formula>$H11="SUBETAPA"</formula>
    </cfRule>
    <cfRule type="expression" dxfId="1697" priority="1093">
      <formula>$H11="CÉLULA CONSTRUTIVA"</formula>
    </cfRule>
    <cfRule type="expression" dxfId="1696" priority="1094">
      <formula>$H11="ETAPA"</formula>
    </cfRule>
  </conditionalFormatting>
  <conditionalFormatting sqref="N13:P14 M19:M20 M22:M23">
    <cfRule type="expression" dxfId="1695" priority="5886">
      <formula>$H13="ETAPA"</formula>
    </cfRule>
  </conditionalFormatting>
  <conditionalFormatting sqref="N13:P14 M22:M30 M19:M20">
    <cfRule type="expression" dxfId="1694" priority="5885">
      <formula>$H13="CÉLULA CONSTRUTIVA"</formula>
    </cfRule>
  </conditionalFormatting>
  <conditionalFormatting sqref="N13:P14">
    <cfRule type="expression" dxfId="1693" priority="5884">
      <formula>$H13="SUBETAPA"</formula>
    </cfRule>
  </conditionalFormatting>
  <conditionalFormatting sqref="N15:P17">
    <cfRule type="expression" dxfId="1692" priority="1039">
      <formula>$H15="CÉLULA CONSTRUTIVA"</formula>
    </cfRule>
    <cfRule type="expression" dxfId="1691" priority="1038">
      <formula>$H15="SUBETAPA"</formula>
    </cfRule>
    <cfRule type="expression" dxfId="1690" priority="1040">
      <formula>$H15="ETAPA"</formula>
    </cfRule>
  </conditionalFormatting>
  <conditionalFormatting sqref="N18:P20">
    <cfRule type="expression" dxfId="1689" priority="1017">
      <formula>$H18="SUBETAPA"</formula>
    </cfRule>
    <cfRule type="expression" dxfId="1688" priority="1019">
      <formula>$H18="ETAPA"</formula>
    </cfRule>
    <cfRule type="expression" dxfId="1687" priority="1018">
      <formula>$H18="CÉLULA CONSTRUTIVA"</formula>
    </cfRule>
  </conditionalFormatting>
  <conditionalFormatting sqref="N21:P22">
    <cfRule type="expression" dxfId="1686" priority="996">
      <formula>$H21="SUBETAPA"</formula>
    </cfRule>
  </conditionalFormatting>
  <conditionalFormatting sqref="N38:P42 M38:M44 N43 P43 N44:P44 M151:M173 I155:I158 G228:I228 G229:L229 N229:O230">
    <cfRule type="expression" dxfId="1685" priority="2887">
      <formula>$H38="ETAPA"</formula>
    </cfRule>
  </conditionalFormatting>
  <conditionalFormatting sqref="N101:P101">
    <cfRule type="expression" dxfId="1684" priority="1560">
      <formula>$H101="SUBETAPA"</formula>
    </cfRule>
  </conditionalFormatting>
  <conditionalFormatting sqref="N103:P103">
    <cfRule type="expression" dxfId="1683" priority="3175">
      <formula>$H103="SUBETAPA"</formula>
    </cfRule>
  </conditionalFormatting>
  <conditionalFormatting sqref="N138:P138 G136:L140 G142:L142">
    <cfRule type="expression" dxfId="1682" priority="4895">
      <formula>$H136="CÉLULA CONSTRUTIVA"</formula>
    </cfRule>
  </conditionalFormatting>
  <conditionalFormatting sqref="N138:P138">
    <cfRule type="expression" dxfId="1681" priority="4894">
      <formula>$H138="SUBETAPA"</formula>
    </cfRule>
  </conditionalFormatting>
  <conditionalFormatting sqref="N142:P142 P138">
    <cfRule type="expression" dxfId="1680" priority="2945">
      <formula>$H138="SUBETAPA"</formula>
    </cfRule>
  </conditionalFormatting>
  <conditionalFormatting sqref="N156:P158">
    <cfRule type="expression" dxfId="1679" priority="562">
      <formula>$H156="ETAPA"</formula>
    </cfRule>
  </conditionalFormatting>
  <conditionalFormatting sqref="N159:P159">
    <cfRule type="expression" dxfId="1678" priority="2853">
      <formula>$H159="ETAPA"</formula>
    </cfRule>
    <cfRule type="expression" dxfId="1677" priority="2852">
      <formula>$H159="CÉLULA CONSTRUTIVA"</formula>
    </cfRule>
  </conditionalFormatting>
  <conditionalFormatting sqref="N160:P160">
    <cfRule type="expression" dxfId="1676" priority="540">
      <formula>$H160="CÉLULA CONSTRUTIVA"</formula>
    </cfRule>
    <cfRule type="expression" dxfId="1675" priority="541">
      <formula>$H160="ETAPA"</formula>
    </cfRule>
  </conditionalFormatting>
  <conditionalFormatting sqref="N190:P192">
    <cfRule type="expression" dxfId="1674" priority="372">
      <formula>$H190="CÉLULA CONSTRUTIVA"</formula>
    </cfRule>
    <cfRule type="expression" dxfId="1673" priority="371">
      <formula>$H190="SUBETAPA"</formula>
    </cfRule>
  </conditionalFormatting>
  <conditionalFormatting sqref="N199:P199">
    <cfRule type="expression" dxfId="1672" priority="2635">
      <formula>$H199="SUBETAPA"</formula>
    </cfRule>
  </conditionalFormatting>
  <conditionalFormatting sqref="N202:P202">
    <cfRule type="expression" dxfId="1671" priority="2622">
      <formula>$H202="SUBETAPA"</formula>
    </cfRule>
  </conditionalFormatting>
  <conditionalFormatting sqref="N207:P207">
    <cfRule type="expression" dxfId="1670" priority="2541">
      <formula>$H207="ETAPA"</formula>
    </cfRule>
    <cfRule type="expression" dxfId="1669" priority="2540">
      <formula>$H207="CÉLULA CONSTRUTIVA"</formula>
    </cfRule>
    <cfRule type="expression" dxfId="1668" priority="2539">
      <formula>$H207="SUBETAPA"</formula>
    </cfRule>
  </conditionalFormatting>
  <conditionalFormatting sqref="N218:P221">
    <cfRule type="expression" dxfId="1667" priority="192">
      <formula>$H218="ETAPA"</formula>
    </cfRule>
    <cfRule type="expression" dxfId="1666" priority="191">
      <formula>$H218="CÉLULA CONSTRUTIVA"</formula>
    </cfRule>
    <cfRule type="expression" dxfId="1665" priority="190">
      <formula>$H218="SUBETAPA"</formula>
    </cfRule>
  </conditionalFormatting>
  <conditionalFormatting sqref="N223:P226">
    <cfRule type="expression" dxfId="1664" priority="182">
      <formula>$H223="SUBETAPA"</formula>
    </cfRule>
    <cfRule type="expression" dxfId="1663" priority="184">
      <formula>$H223="ETAPA"</formula>
    </cfRule>
    <cfRule type="expression" dxfId="1662" priority="183">
      <formula>$H223="CÉLULA CONSTRUTIVA"</formula>
    </cfRule>
  </conditionalFormatting>
  <conditionalFormatting sqref="N231:P233">
    <cfRule type="expression" dxfId="1661" priority="142">
      <formula>$H231="ETAPA"</formula>
    </cfRule>
  </conditionalFormatting>
  <conditionalFormatting sqref="O23">
    <cfRule type="expression" dxfId="1660" priority="1275">
      <formula>$H23="ETAPA"</formula>
    </cfRule>
    <cfRule type="expression" dxfId="1659" priority="1274">
      <formula>$H23="CÉLULA CONSTRUTIVA"</formula>
    </cfRule>
    <cfRule type="expression" dxfId="1658" priority="1273">
      <formula>$H23="SUBETAPA"</formula>
    </cfRule>
  </conditionalFormatting>
  <conditionalFormatting sqref="O35">
    <cfRule type="expression" dxfId="1657" priority="1633">
      <formula>$H35="SUBETAPA"</formula>
    </cfRule>
  </conditionalFormatting>
  <conditionalFormatting sqref="O43">
    <cfRule type="expression" dxfId="1656" priority="7429">
      <formula>#REF!="CÉLULA CONSTRUTIVA"</formula>
    </cfRule>
    <cfRule type="expression" dxfId="1655" priority="7431">
      <formula>#REF!="SUBETAPA"</formula>
    </cfRule>
    <cfRule type="expression" dxfId="1654" priority="7430">
      <formula>#REF!="ETAPA"</formula>
    </cfRule>
  </conditionalFormatting>
  <conditionalFormatting sqref="O76">
    <cfRule type="expression" dxfId="1653" priority="1564">
      <formula>$H76="SUBETAPA"</formula>
    </cfRule>
  </conditionalFormatting>
  <conditionalFormatting sqref="O107">
    <cfRule type="expression" dxfId="1652" priority="1559">
      <formula>$H107="ETAPA"</formula>
    </cfRule>
    <cfRule type="expression" dxfId="1651" priority="1558">
      <formula>$H107="CÉLULA CONSTRUTIVA"</formula>
    </cfRule>
  </conditionalFormatting>
  <conditionalFormatting sqref="O113">
    <cfRule type="expression" dxfId="1650" priority="1556">
      <formula>$H113="SUBETAPA"</formula>
    </cfRule>
  </conditionalFormatting>
  <conditionalFormatting sqref="O186:O187">
    <cfRule type="expression" dxfId="1649" priority="1462">
      <formula>$H186="ETAPA"</formula>
    </cfRule>
    <cfRule type="expression" dxfId="1648" priority="1459">
      <formula>$H186="SUBETAPA"</formula>
    </cfRule>
    <cfRule type="expression" dxfId="1647" priority="1461">
      <formula>$H186="CÉLULA CONSTRUTIVA"</formula>
    </cfRule>
  </conditionalFormatting>
  <conditionalFormatting sqref="O195:O198">
    <cfRule type="expression" dxfId="1646" priority="1457">
      <formula>$H195="CÉLULA CONSTRUTIVA"</formula>
    </cfRule>
    <cfRule type="expression" dxfId="1645" priority="1455">
      <formula>$H195="SUBETAPA"</formula>
    </cfRule>
    <cfRule type="expression" dxfId="1644" priority="1458">
      <formula>$H195="ETAPA"</formula>
    </cfRule>
  </conditionalFormatting>
  <conditionalFormatting sqref="O24:P29 M215:N215">
    <cfRule type="expression" dxfId="1643" priority="1278">
      <formula>$H24="ETAPA"</formula>
    </cfRule>
    <cfRule type="expression" dxfId="1642" priority="1277">
      <formula>$H24="CÉLULA CONSTRUTIVA"</formula>
    </cfRule>
  </conditionalFormatting>
  <conditionalFormatting sqref="O24:P29 N215:N217">
    <cfRule type="expression" dxfId="1641" priority="1276">
      <formula>$H24="SUBETAPA"</formula>
    </cfRule>
  </conditionalFormatting>
  <conditionalFormatting sqref="O30:P30 H52 G101:M103 P206:P207 P211 O46:O52 N208:O210 G209:L210 N187">
    <cfRule type="expression" dxfId="1640" priority="3184">
      <formula>$H30="CÉLULA CONSTRUTIVA"</formula>
    </cfRule>
  </conditionalFormatting>
  <conditionalFormatting sqref="O30:P30 O46:O52 H52 G101:M103 N187 P206:P207 N208:O210 G209:I210 K209:L210 P211 G230:I230 K230:L230">
    <cfRule type="expression" dxfId="1639" priority="3185">
      <formula>$H30="ETAPA"</formula>
    </cfRule>
  </conditionalFormatting>
  <conditionalFormatting sqref="O56:P57">
    <cfRule type="expression" dxfId="1638" priority="856">
      <formula>$H56="ETAPA"</formula>
    </cfRule>
    <cfRule type="expression" dxfId="1637" priority="855">
      <formula>$H56="CÉLULA CONSTRUTIVA"</formula>
    </cfRule>
  </conditionalFormatting>
  <conditionalFormatting sqref="O85:P85">
    <cfRule type="expression" dxfId="1636" priority="1563">
      <formula>$H85="SUBETAPA"</formula>
    </cfRule>
  </conditionalFormatting>
  <conditionalFormatting sqref="O101:P101">
    <cfRule type="expression" dxfId="1635" priority="1562">
      <formula>$H101="ETAPA"</formula>
    </cfRule>
    <cfRule type="expression" dxfId="1634" priority="1561">
      <formula>$H101="CÉLULA CONSTRUTIVA"</formula>
    </cfRule>
  </conditionalFormatting>
  <conditionalFormatting sqref="O102:P102">
    <cfRule type="expression" dxfId="1633" priority="3285">
      <formula>$H102="ETAPA"</formula>
    </cfRule>
  </conditionalFormatting>
  <conditionalFormatting sqref="O102:P103">
    <cfRule type="expression" dxfId="1632" priority="3187">
      <formula>$H102="CÉLULA CONSTRUTIVA"</formula>
    </cfRule>
  </conditionalFormatting>
  <conditionalFormatting sqref="O103:P103">
    <cfRule type="expression" dxfId="1631" priority="3188">
      <formula>$H103="ETAPA"</formula>
    </cfRule>
  </conditionalFormatting>
  <conditionalFormatting sqref="O108:P109 O111:P111 P115 L19:L44 G23:K75 M116:M130 N122:O125 H19:H28 N23:N30 M24:M30 G76:L83">
    <cfRule type="expression" dxfId="1630" priority="3163">
      <formula>$H19="ETAPA"</formula>
    </cfRule>
  </conditionalFormatting>
  <conditionalFormatting sqref="O108:P109 O111:P111">
    <cfRule type="expression" dxfId="1629" priority="3162">
      <formula>$H108="CÉLULA CONSTRUTIVA"</formula>
    </cfRule>
  </conditionalFormatting>
  <conditionalFormatting sqref="O131:P131">
    <cfRule type="expression" dxfId="1628" priority="1506">
      <formula>$H131="CÉLULA CONSTRUTIVA"</formula>
    </cfRule>
    <cfRule type="expression" dxfId="1627" priority="1504">
      <formula>$H131="SUBETAPA"</formula>
    </cfRule>
  </conditionalFormatting>
  <conditionalFormatting sqref="O161:P161 G159:L161">
    <cfRule type="expression" dxfId="1626" priority="2033">
      <formula>$H159="CÉLULA CONSTRUTIVA"</formula>
    </cfRule>
  </conditionalFormatting>
  <conditionalFormatting sqref="O161:P161">
    <cfRule type="expression" dxfId="1625" priority="2032">
      <formula>$H161="SUBETAPA"</formula>
    </cfRule>
  </conditionalFormatting>
  <conditionalFormatting sqref="O162:P162">
    <cfRule type="expression" dxfId="1624" priority="519">
      <formula>$H162="CÉLULA CONSTRUTIVA"</formula>
    </cfRule>
    <cfRule type="expression" dxfId="1623" priority="520">
      <formula>$H162="ETAPA"</formula>
    </cfRule>
  </conditionalFormatting>
  <conditionalFormatting sqref="O164:P164">
    <cfRule type="expression" dxfId="1622" priority="486">
      <formula>$H164="ETAPA"</formula>
    </cfRule>
    <cfRule type="expression" dxfId="1621" priority="485">
      <formula>$H164="CÉLULA CONSTRUTIVA"</formula>
    </cfRule>
    <cfRule type="expression" dxfId="1620" priority="484">
      <formula>$H164="SUBETAPA"</formula>
    </cfRule>
  </conditionalFormatting>
  <conditionalFormatting sqref="O165:P165">
    <cfRule type="expression" dxfId="1619" priority="2825">
      <formula>$H165="SUBETAPA"</formula>
    </cfRule>
    <cfRule type="expression" dxfId="1618" priority="2827">
      <formula>$H165="ETAPA"</formula>
    </cfRule>
    <cfRule type="expression" dxfId="1617" priority="2826">
      <formula>$H165="CÉLULA CONSTRUTIVA"</formula>
    </cfRule>
  </conditionalFormatting>
  <conditionalFormatting sqref="O166:P176">
    <cfRule type="expression" dxfId="1616" priority="477">
      <formula>$H166="CÉLULA CONSTRUTIVA"</formula>
    </cfRule>
    <cfRule type="expression" dxfId="1615" priority="478">
      <formula>$H166="ETAPA"</formula>
    </cfRule>
    <cfRule type="expression" dxfId="1614" priority="476">
      <formula>$H166="SUBETAPA"</formula>
    </cfRule>
  </conditionalFormatting>
  <conditionalFormatting sqref="O177:P178">
    <cfRule type="expression" dxfId="1613" priority="457">
      <formula>$H177="ETAPA"</formula>
    </cfRule>
    <cfRule type="expression" dxfId="1612" priority="455">
      <formula>$H177="SUBETAPA"</formula>
    </cfRule>
    <cfRule type="expression" dxfId="1611" priority="456">
      <formula>$H177="CÉLULA CONSTRUTIVA"</formula>
    </cfRule>
  </conditionalFormatting>
  <conditionalFormatting sqref="O179:P181">
    <cfRule type="expression" dxfId="1610" priority="436">
      <formula>$H179="ETAPA"</formula>
    </cfRule>
    <cfRule type="expression" dxfId="1609" priority="435">
      <formula>$H179="CÉLULA CONSTRUTIVA"</formula>
    </cfRule>
    <cfRule type="expression" dxfId="1608" priority="434">
      <formula>$H179="SUBETAPA"</formula>
    </cfRule>
  </conditionalFormatting>
  <conditionalFormatting sqref="O182:P185">
    <cfRule type="expression" dxfId="1607" priority="415">
      <formula>$H182="ETAPA"</formula>
    </cfRule>
    <cfRule type="expression" dxfId="1606" priority="414">
      <formula>$H182="CÉLULA CONSTRUTIVA"</formula>
    </cfRule>
    <cfRule type="expression" dxfId="1605" priority="413">
      <formula>$H182="SUBETAPA"</formula>
    </cfRule>
  </conditionalFormatting>
  <conditionalFormatting sqref="O211:P211">
    <cfRule type="expression" dxfId="1604" priority="7282">
      <formula>$H211="ETAPA"</formula>
    </cfRule>
    <cfRule type="expression" dxfId="1603" priority="7281">
      <formula>$H211="CÉLULA CONSTRUTIVA"</formula>
    </cfRule>
    <cfRule type="expression" dxfId="1602" priority="7280">
      <formula>$H211="SUBETAPA"</formula>
    </cfRule>
  </conditionalFormatting>
  <conditionalFormatting sqref="O214:P214">
    <cfRule type="expression" dxfId="1601" priority="4170">
      <formula>$H214="SUBETAPA"</formula>
    </cfRule>
  </conditionalFormatting>
  <conditionalFormatting sqref="O215:P216">
    <cfRule type="expression" dxfId="1600" priority="224">
      <formula>$H215="SUBETAPA"</formula>
    </cfRule>
    <cfRule type="expression" dxfId="1599" priority="225">
      <formula>$H215="CÉLULA CONSTRUTIVA"</formula>
    </cfRule>
    <cfRule type="expression" dxfId="1598" priority="226">
      <formula>$H215="ETAPA"</formula>
    </cfRule>
  </conditionalFormatting>
  <conditionalFormatting sqref="O217:P217">
    <cfRule type="expression" dxfId="1597" priority="2405">
      <formula>$H217="ETAPA"</formula>
    </cfRule>
    <cfRule type="expression" dxfId="1596" priority="2404">
      <formula>$H217="CÉLULA CONSTRUTIVA"</formula>
    </cfRule>
    <cfRule type="expression" dxfId="1595" priority="2403">
      <formula>$H217="SUBETAPA"</formula>
    </cfRule>
  </conditionalFormatting>
  <conditionalFormatting sqref="P1:P5 P35:P37 P45 P53 P55 P59:P61 P83 P85:P87 P89 P91 P93 P95 P97 P99 P114:P115 P242">
    <cfRule type="containsText" dxfId="1594" priority="7353" operator="containsText" text="Pendente">
      <formula>NOT(ISERROR(SEARCH("Pendente",P1)))</formula>
    </cfRule>
  </conditionalFormatting>
  <conditionalFormatting sqref="P1:P5 P35:P45 P53 P55 P59:P61 P83 P85:P87 P89 P91 P93 P95 P97 P99 P114:P115 P138 P142">
    <cfRule type="containsText" dxfId="1593" priority="7354" operator="containsText" text="Finalizado">
      <formula>NOT(ISERROR(SEARCH("Finalizado",P1)))</formula>
    </cfRule>
    <cfRule type="containsText" dxfId="1592" priority="7355" operator="containsText" text="em andamento">
      <formula>NOT(ISERROR(SEARCH("em andamento",P1)))</formula>
    </cfRule>
  </conditionalFormatting>
  <conditionalFormatting sqref="P7:P16 P24:P30 P38:P44 P138 P142">
    <cfRule type="containsText" dxfId="1591" priority="4568" operator="containsText" text="N/A">
      <formula>NOT(ISERROR(SEARCH("N/A",P7)))</formula>
    </cfRule>
    <cfRule type="containsText" dxfId="1590" priority="4567" operator="containsText" text="Lançado">
      <formula>NOT(ISERROR(SEARCH("Lançado",P7)))</formula>
    </cfRule>
  </conditionalFormatting>
  <conditionalFormatting sqref="P7:P16 P38:P44 P138 P142">
    <cfRule type="containsText" dxfId="1589" priority="4569" operator="containsText" text="Pendente">
      <formula>NOT(ISERROR(SEARCH("Pendente",P7)))</formula>
    </cfRule>
  </conditionalFormatting>
  <conditionalFormatting sqref="P7:P16 P226 P231">
    <cfRule type="containsText" dxfId="1588" priority="4571" operator="containsText" text="em andamento">
      <formula>NOT(ISERROR(SEARCH("em andamento",P7)))</formula>
    </cfRule>
  </conditionalFormatting>
  <conditionalFormatting sqref="P7:P16 P231 P226">
    <cfRule type="containsText" dxfId="1587" priority="4570" operator="containsText" text="Finalizado">
      <formula>NOT(ISERROR(SEARCH("Finalizado",P7)))</formula>
    </cfRule>
  </conditionalFormatting>
  <conditionalFormatting sqref="P11">
    <cfRule type="expression" dxfId="1586" priority="1079">
      <formula>$H11="SUBETAPA"</formula>
    </cfRule>
    <cfRule type="containsText" dxfId="1585" priority="1089" operator="containsText" text="Pendente">
      <formula>NOT(ISERROR(SEARCH("Pendente",P11)))</formula>
    </cfRule>
    <cfRule type="containsText" dxfId="1584" priority="1088" operator="containsText" text="N/A">
      <formula>NOT(ISERROR(SEARCH("N/A",P11)))</formula>
    </cfRule>
    <cfRule type="containsText" dxfId="1583" priority="1087" operator="containsText" text="Lançado">
      <formula>NOT(ISERROR(SEARCH("Lançado",P11)))</formula>
    </cfRule>
    <cfRule type="containsText" dxfId="1582" priority="1086" operator="containsText" text="em andamento">
      <formula>NOT(ISERROR(SEARCH("em andamento",P11)))</formula>
    </cfRule>
    <cfRule type="containsText" dxfId="1581" priority="1085" operator="containsText" text="Finalizado">
      <formula>NOT(ISERROR(SEARCH("Finalizado",P11)))</formula>
    </cfRule>
    <cfRule type="containsText" dxfId="1580" priority="1084" operator="containsText" text="Pendente">
      <formula>NOT(ISERROR(SEARCH("Pendente",P11)))</formula>
    </cfRule>
    <cfRule type="containsText" dxfId="1579" priority="1083" operator="containsText" text="N/A">
      <formula>NOT(ISERROR(SEARCH("N/A",P11)))</formula>
    </cfRule>
    <cfRule type="containsText" dxfId="1578" priority="1082" operator="containsText" text="Lançado">
      <formula>NOT(ISERROR(SEARCH("Lançado",P11)))</formula>
    </cfRule>
    <cfRule type="expression" dxfId="1577" priority="1081">
      <formula>$H11="ETAPA"</formula>
    </cfRule>
    <cfRule type="expression" dxfId="1576" priority="1080">
      <formula>$H11="CÉLULA CONSTRUTIVA"</formula>
    </cfRule>
    <cfRule type="containsText" dxfId="1575" priority="1091" operator="containsText" text="em andamento">
      <formula>NOT(ISERROR(SEARCH("em andamento",P11)))</formula>
    </cfRule>
    <cfRule type="containsText" dxfId="1574" priority="1090" operator="containsText" text="Finalizado">
      <formula>NOT(ISERROR(SEARCH("Finalizado",P11)))</formula>
    </cfRule>
  </conditionalFormatting>
  <conditionalFormatting sqref="P13:P14 P24:P30 P38:P44">
    <cfRule type="containsText" dxfId="1573" priority="4562" operator="containsText" text="Finalizado">
      <formula>NOT(ISERROR(SEARCH("Finalizado",P13)))</formula>
    </cfRule>
    <cfRule type="containsText" dxfId="1572" priority="4561" operator="containsText" text="Pendente">
      <formula>NOT(ISERROR(SEARCH("Pendente",P13)))</formula>
    </cfRule>
    <cfRule type="containsText" dxfId="1571" priority="4557" operator="containsText" text="Finalizado">
      <formula>NOT(ISERROR(SEARCH("Finalizado",P13)))</formula>
    </cfRule>
    <cfRule type="containsText" dxfId="1570" priority="4558" operator="containsText" text="em andamento">
      <formula>NOT(ISERROR(SEARCH("em andamento",P13)))</formula>
    </cfRule>
    <cfRule type="containsText" dxfId="1569" priority="4559" operator="containsText" text="Lançado">
      <formula>NOT(ISERROR(SEARCH("Lançado",P13)))</formula>
    </cfRule>
    <cfRule type="containsText" dxfId="1568" priority="4563" operator="containsText" text="em andamento">
      <formula>NOT(ISERROR(SEARCH("em andamento",P13)))</formula>
    </cfRule>
    <cfRule type="containsText" dxfId="1567" priority="4560" operator="containsText" text="N/A">
      <formula>NOT(ISERROR(SEARCH("N/A",P13)))</formula>
    </cfRule>
  </conditionalFormatting>
  <conditionalFormatting sqref="P13:P14 P38:P44 P24:P30">
    <cfRule type="containsText" dxfId="1566" priority="4556" operator="containsText" text="Pendente">
      <formula>NOT(ISERROR(SEARCH("Pendente",P13)))</formula>
    </cfRule>
  </conditionalFormatting>
  <conditionalFormatting sqref="P13:P14 P38:P44">
    <cfRule type="containsText" dxfId="1565" priority="4555" operator="containsText" text="N/A">
      <formula>NOT(ISERROR(SEARCH("N/A",P13)))</formula>
    </cfRule>
    <cfRule type="containsText" dxfId="1564" priority="4554" operator="containsText" text="Lançado">
      <formula>NOT(ISERROR(SEARCH("Lançado",P13)))</formula>
    </cfRule>
  </conditionalFormatting>
  <conditionalFormatting sqref="P13:P14">
    <cfRule type="expression" dxfId="1563" priority="1056">
      <formula>$H13="ETAPA"</formula>
    </cfRule>
    <cfRule type="expression" dxfId="1562" priority="1055">
      <formula>$H13="CÉLULA CONSTRUTIVA"</formula>
    </cfRule>
    <cfRule type="expression" dxfId="1561" priority="4552">
      <formula>$H13="CÉLULA CONSTRUTIVA"</formula>
    </cfRule>
    <cfRule type="expression" dxfId="1560" priority="4553">
      <formula>$H13="ETAPA"</formula>
    </cfRule>
    <cfRule type="expression" dxfId="1559" priority="1054">
      <formula>$H13="SUBETAPA"</formula>
    </cfRule>
    <cfRule type="containsText" dxfId="1558" priority="1053" operator="containsText" text="em andamento">
      <formula>NOT(ISERROR(SEARCH("em andamento",P13)))</formula>
    </cfRule>
    <cfRule type="containsText" dxfId="1557" priority="1052" operator="containsText" text="Finalizado">
      <formula>NOT(ISERROR(SEARCH("Finalizado",P13)))</formula>
    </cfRule>
    <cfRule type="expression" dxfId="1556" priority="1041">
      <formula>$H13="SUBETAPA"</formula>
    </cfRule>
    <cfRule type="expression" dxfId="1555" priority="1042">
      <formula>$H13="CÉLULA CONSTRUTIVA"</formula>
    </cfRule>
    <cfRule type="expression" dxfId="1554" priority="4551">
      <formula>$H13="SUBETAPA"</formula>
    </cfRule>
    <cfRule type="containsText" dxfId="1553" priority="1044" operator="containsText" text="Lançado">
      <formula>NOT(ISERROR(SEARCH("Lançado",P13)))</formula>
    </cfRule>
    <cfRule type="containsText" dxfId="1552" priority="1045" operator="containsText" text="N/A">
      <formula>NOT(ISERROR(SEARCH("N/A",P13)))</formula>
    </cfRule>
    <cfRule type="containsText" dxfId="1551" priority="1046" operator="containsText" text="Pendente">
      <formula>NOT(ISERROR(SEARCH("Pendente",P13)))</formula>
    </cfRule>
    <cfRule type="expression" dxfId="1550" priority="1043">
      <formula>$H13="ETAPA"</formula>
    </cfRule>
    <cfRule type="containsText" dxfId="1549" priority="1048" operator="containsText" text="em andamento">
      <formula>NOT(ISERROR(SEARCH("em andamento",P13)))</formula>
    </cfRule>
    <cfRule type="containsText" dxfId="1548" priority="1049" operator="containsText" text="Lançado">
      <formula>NOT(ISERROR(SEARCH("Lançado",P13)))</formula>
    </cfRule>
    <cfRule type="containsText" dxfId="1547" priority="1050" operator="containsText" text="N/A">
      <formula>NOT(ISERROR(SEARCH("N/A",P13)))</formula>
    </cfRule>
    <cfRule type="containsText" dxfId="1546" priority="1051" operator="containsText" text="Pendente">
      <formula>NOT(ISERROR(SEARCH("Pendente",P13)))</formula>
    </cfRule>
    <cfRule type="containsText" dxfId="1545" priority="1047" operator="containsText" text="Finalizado">
      <formula>NOT(ISERROR(SEARCH("Finalizado",P13)))</formula>
    </cfRule>
  </conditionalFormatting>
  <conditionalFormatting sqref="P16">
    <cfRule type="containsText" dxfId="1544" priority="1032" operator="containsText" text="em andamento">
      <formula>NOT(ISERROR(SEARCH("em andamento",P16)))</formula>
    </cfRule>
    <cfRule type="containsText" dxfId="1543" priority="1033" operator="containsText" text="Lançado">
      <formula>NOT(ISERROR(SEARCH("Lançado",P16)))</formula>
    </cfRule>
    <cfRule type="containsText" dxfId="1542" priority="1034" operator="containsText" text="N/A">
      <formula>NOT(ISERROR(SEARCH("N/A",P16)))</formula>
    </cfRule>
    <cfRule type="containsText" dxfId="1541" priority="1035" operator="containsText" text="Pendente">
      <formula>NOT(ISERROR(SEARCH("Pendente",P16)))</formula>
    </cfRule>
    <cfRule type="containsText" dxfId="1540" priority="1036" operator="containsText" text="Finalizado">
      <formula>NOT(ISERROR(SEARCH("Finalizado",P16)))</formula>
    </cfRule>
    <cfRule type="containsText" dxfId="1539" priority="1037" operator="containsText" text="em andamento">
      <formula>NOT(ISERROR(SEARCH("em andamento",P16)))</formula>
    </cfRule>
    <cfRule type="expression" dxfId="1538" priority="1026">
      <formula>$H16="CÉLULA CONSTRUTIVA"</formula>
    </cfRule>
    <cfRule type="expression" dxfId="1537" priority="1025">
      <formula>$H16="SUBETAPA"</formula>
    </cfRule>
    <cfRule type="expression" dxfId="1536" priority="1027">
      <formula>$H16="ETAPA"</formula>
    </cfRule>
    <cfRule type="containsText" dxfId="1535" priority="1028" operator="containsText" text="Lançado">
      <formula>NOT(ISERROR(SEARCH("Lançado",P16)))</formula>
    </cfRule>
    <cfRule type="containsText" dxfId="1534" priority="1029" operator="containsText" text="N/A">
      <formula>NOT(ISERROR(SEARCH("N/A",P16)))</formula>
    </cfRule>
    <cfRule type="containsText" dxfId="1533" priority="1030" operator="containsText" text="Pendente">
      <formula>NOT(ISERROR(SEARCH("Pendente",P16)))</formula>
    </cfRule>
    <cfRule type="containsText" dxfId="1532" priority="1031" operator="containsText" text="Finalizado">
      <formula>NOT(ISERROR(SEARCH("Finalizado",P16)))</formula>
    </cfRule>
  </conditionalFormatting>
  <conditionalFormatting sqref="P17">
    <cfRule type="containsText" dxfId="1531" priority="3358" operator="containsText" text="Lançado">
      <formula>NOT(ISERROR(SEARCH("Lançado",P17)))</formula>
    </cfRule>
    <cfRule type="containsText" dxfId="1530" priority="3359" operator="containsText" text="N/A">
      <formula>NOT(ISERROR(SEARCH("N/A",P17)))</formula>
    </cfRule>
    <cfRule type="containsText" dxfId="1529" priority="3360" operator="containsText" text="Pendente">
      <formula>NOT(ISERROR(SEARCH("Pendente",P17)))</formula>
    </cfRule>
    <cfRule type="containsText" dxfId="1528" priority="3361" operator="containsText" text="Finalizado">
      <formula>NOT(ISERROR(SEARCH("Finalizado",P17)))</formula>
    </cfRule>
    <cfRule type="containsText" dxfId="1527" priority="3362" operator="containsText" text="em andamento">
      <formula>NOT(ISERROR(SEARCH("em andamento",P17)))</formula>
    </cfRule>
  </conditionalFormatting>
  <conditionalFormatting sqref="P18">
    <cfRule type="containsText" dxfId="1526" priority="1022" operator="containsText" text="Pendente">
      <formula>NOT(ISERROR(SEARCH("Pendente",P18)))</formula>
    </cfRule>
    <cfRule type="containsText" dxfId="1525" priority="1021" operator="containsText" text="N/A">
      <formula>NOT(ISERROR(SEARCH("N/A",P18)))</formula>
    </cfRule>
    <cfRule type="containsText" dxfId="1524" priority="1020" operator="containsText" text="Lançado">
      <formula>NOT(ISERROR(SEARCH("Lançado",P18)))</formula>
    </cfRule>
    <cfRule type="containsText" dxfId="1523" priority="1016" operator="containsText" text="em andamento">
      <formula>NOT(ISERROR(SEARCH("em andamento",P18)))</formula>
    </cfRule>
    <cfRule type="containsText" dxfId="1522" priority="1015" operator="containsText" text="Finalizado">
      <formula>NOT(ISERROR(SEARCH("Finalizado",P18)))</formula>
    </cfRule>
    <cfRule type="expression" dxfId="1521" priority="1004">
      <formula>$H18="SUBETAPA"</formula>
    </cfRule>
    <cfRule type="containsText" dxfId="1520" priority="1014" operator="containsText" text="Pendente">
      <formula>NOT(ISERROR(SEARCH("Pendente",P18)))</formula>
    </cfRule>
    <cfRule type="containsText" dxfId="1519" priority="1008" operator="containsText" text="N/A">
      <formula>NOT(ISERROR(SEARCH("N/A",P18)))</formula>
    </cfRule>
    <cfRule type="containsText" dxfId="1518" priority="1013" operator="containsText" text="N/A">
      <formula>NOT(ISERROR(SEARCH("N/A",P18)))</formula>
    </cfRule>
    <cfRule type="containsText" dxfId="1517" priority="1012" operator="containsText" text="Lançado">
      <formula>NOT(ISERROR(SEARCH("Lançado",P18)))</formula>
    </cfRule>
    <cfRule type="containsText" dxfId="1516" priority="1011" operator="containsText" text="em andamento">
      <formula>NOT(ISERROR(SEARCH("em andamento",P18)))</formula>
    </cfRule>
    <cfRule type="containsText" dxfId="1515" priority="1010" operator="containsText" text="Finalizado">
      <formula>NOT(ISERROR(SEARCH("Finalizado",P18)))</formula>
    </cfRule>
    <cfRule type="containsText" dxfId="1514" priority="1009" operator="containsText" text="Pendente">
      <formula>NOT(ISERROR(SEARCH("Pendente",P18)))</formula>
    </cfRule>
    <cfRule type="containsText" dxfId="1513" priority="1007" operator="containsText" text="Lançado">
      <formula>NOT(ISERROR(SEARCH("Lançado",P18)))</formula>
    </cfRule>
    <cfRule type="expression" dxfId="1512" priority="1005">
      <formula>$H18="CÉLULA CONSTRUTIVA"</formula>
    </cfRule>
    <cfRule type="expression" dxfId="1511" priority="1006">
      <formula>$H18="ETAPA"</formula>
    </cfRule>
    <cfRule type="containsText" dxfId="1510" priority="1024" operator="containsText" text="em andamento">
      <formula>NOT(ISERROR(SEARCH("em andamento",P18)))</formula>
    </cfRule>
    <cfRule type="containsText" dxfId="1509" priority="1023" operator="containsText" text="Finalizado">
      <formula>NOT(ISERROR(SEARCH("Finalizado",P18)))</formula>
    </cfRule>
  </conditionalFormatting>
  <conditionalFormatting sqref="P19:P20 P57 P76:P84 P119 P123">
    <cfRule type="containsText" dxfId="1508" priority="4548" operator="containsText" text="Pendente">
      <formula>NOT(ISERROR(SEARCH("Pendente",P19)))</formula>
    </cfRule>
    <cfRule type="containsText" dxfId="1507" priority="4550" operator="containsText" text="em andamento">
      <formula>NOT(ISERROR(SEARCH("em andamento",P19)))</formula>
    </cfRule>
    <cfRule type="containsText" dxfId="1506" priority="4549" operator="containsText" text="Finalizado">
      <formula>NOT(ISERROR(SEARCH("Finalizado",P19)))</formula>
    </cfRule>
  </conditionalFormatting>
  <conditionalFormatting sqref="P21:P22">
    <cfRule type="containsText" dxfId="1505" priority="1000" operator="containsText" text="N/A">
      <formula>NOT(ISERROR(SEARCH("N/A",P21)))</formula>
    </cfRule>
    <cfRule type="containsText" dxfId="1504" priority="995" operator="containsText" text="em andamento">
      <formula>NOT(ISERROR(SEARCH("em andamento",P21)))</formula>
    </cfRule>
    <cfRule type="containsText" dxfId="1503" priority="999" operator="containsText" text="Lançado">
      <formula>NOT(ISERROR(SEARCH("Lançado",P21)))</formula>
    </cfRule>
    <cfRule type="containsText" dxfId="1502" priority="1001" operator="containsText" text="Pendente">
      <formula>NOT(ISERROR(SEARCH("Pendente",P21)))</formula>
    </cfRule>
    <cfRule type="containsText" dxfId="1501" priority="1002" operator="containsText" text="Finalizado">
      <formula>NOT(ISERROR(SEARCH("Finalizado",P21)))</formula>
    </cfRule>
    <cfRule type="containsText" dxfId="1500" priority="1003" operator="containsText" text="em andamento">
      <formula>NOT(ISERROR(SEARCH("em andamento",P21)))</formula>
    </cfRule>
    <cfRule type="expression" dxfId="1499" priority="983">
      <formula>$H21="SUBETAPA"</formula>
    </cfRule>
    <cfRule type="expression" dxfId="1498" priority="984">
      <formula>$H21="CÉLULA CONSTRUTIVA"</formula>
    </cfRule>
    <cfRule type="containsText" dxfId="1497" priority="986" operator="containsText" text="Lançado">
      <formula>NOT(ISERROR(SEARCH("Lançado",P21)))</formula>
    </cfRule>
    <cfRule type="containsText" dxfId="1496" priority="987" operator="containsText" text="N/A">
      <formula>NOT(ISERROR(SEARCH("N/A",P21)))</formula>
    </cfRule>
    <cfRule type="containsText" dxfId="1495" priority="988" operator="containsText" text="Pendente">
      <formula>NOT(ISERROR(SEARCH("Pendente",P21)))</formula>
    </cfRule>
    <cfRule type="containsText" dxfId="1494" priority="989" operator="containsText" text="Finalizado">
      <formula>NOT(ISERROR(SEARCH("Finalizado",P21)))</formula>
    </cfRule>
    <cfRule type="containsText" dxfId="1493" priority="990" operator="containsText" text="em andamento">
      <formula>NOT(ISERROR(SEARCH("em andamento",P21)))</formula>
    </cfRule>
    <cfRule type="containsText" dxfId="1492" priority="991" operator="containsText" text="Lançado">
      <formula>NOT(ISERROR(SEARCH("Lançado",P21)))</formula>
    </cfRule>
    <cfRule type="containsText" dxfId="1491" priority="992" operator="containsText" text="N/A">
      <formula>NOT(ISERROR(SEARCH("N/A",P21)))</formula>
    </cfRule>
    <cfRule type="containsText" dxfId="1490" priority="993" operator="containsText" text="Pendente">
      <formula>NOT(ISERROR(SEARCH("Pendente",P21)))</formula>
    </cfRule>
    <cfRule type="containsText" dxfId="1489" priority="994" operator="containsText" text="Finalizado">
      <formula>NOT(ISERROR(SEARCH("Finalizado",P21)))</formula>
    </cfRule>
    <cfRule type="expression" dxfId="1488" priority="985">
      <formula>$H21="ETAPA"</formula>
    </cfRule>
  </conditionalFormatting>
  <conditionalFormatting sqref="P23:P31 L74:O75 M79:P80 G145:K147 P213:P214">
    <cfRule type="expression" dxfId="1487" priority="2957">
      <formula>$H23="ETAPA"</formula>
    </cfRule>
  </conditionalFormatting>
  <conditionalFormatting sqref="P23:P31">
    <cfRule type="containsText" dxfId="1486" priority="4529" operator="containsText" text="em andamento">
      <formula>NOT(ISERROR(SEARCH("em andamento",P23)))</formula>
    </cfRule>
    <cfRule type="containsText" dxfId="1485" priority="4525" operator="containsText" text="Lançado">
      <formula>NOT(ISERROR(SEARCH("Lançado",P23)))</formula>
    </cfRule>
    <cfRule type="containsText" dxfId="1484" priority="4526" operator="containsText" text="N/A">
      <formula>NOT(ISERROR(SEARCH("N/A",P23)))</formula>
    </cfRule>
    <cfRule type="containsText" dxfId="1483" priority="4527" operator="containsText" text="Pendente">
      <formula>NOT(ISERROR(SEARCH("Pendente",P23)))</formula>
    </cfRule>
    <cfRule type="containsText" dxfId="1482" priority="4528" operator="containsText" text="Finalizado">
      <formula>NOT(ISERROR(SEARCH("Finalizado",P23)))</formula>
    </cfRule>
  </conditionalFormatting>
  <conditionalFormatting sqref="P24:P30">
    <cfRule type="expression" dxfId="1481" priority="979">
      <formula>$H24="ETAPA"</formula>
    </cfRule>
    <cfRule type="containsText" dxfId="1480" priority="980" operator="containsText" text="Pendente">
      <formula>NOT(ISERROR(SEARCH("Pendente",P24)))</formula>
    </cfRule>
    <cfRule type="containsText" dxfId="1479" priority="981" operator="containsText" text="Finalizado">
      <formula>NOT(ISERROR(SEARCH("Finalizado",P24)))</formula>
    </cfRule>
    <cfRule type="containsText" dxfId="1478" priority="982" operator="containsText" text="em andamento">
      <formula>NOT(ISERROR(SEARCH("em andamento",P24)))</formula>
    </cfRule>
    <cfRule type="expression" dxfId="1477" priority="964">
      <formula>$H24="SUBETAPA"</formula>
    </cfRule>
    <cfRule type="expression" dxfId="1476" priority="965">
      <formula>$H24="CÉLULA CONSTRUTIVA"</formula>
    </cfRule>
    <cfRule type="expression" dxfId="1475" priority="966">
      <formula>$H24="ETAPA"</formula>
    </cfRule>
    <cfRule type="containsText" dxfId="1474" priority="967" operator="containsText" text="Lançado">
      <formula>NOT(ISERROR(SEARCH("Lançado",P24)))</formula>
    </cfRule>
    <cfRule type="containsText" dxfId="1473" priority="968" operator="containsText" text="N/A">
      <formula>NOT(ISERROR(SEARCH("N/A",P24)))</formula>
    </cfRule>
    <cfRule type="containsText" dxfId="1472" priority="969" operator="containsText" text="Pendente">
      <formula>NOT(ISERROR(SEARCH("Pendente",P24)))</formula>
    </cfRule>
    <cfRule type="containsText" dxfId="1471" priority="971" operator="containsText" text="em andamento">
      <formula>NOT(ISERROR(SEARCH("em andamento",P24)))</formula>
    </cfRule>
    <cfRule type="containsText" dxfId="1470" priority="970" operator="containsText" text="Finalizado">
      <formula>NOT(ISERROR(SEARCH("Finalizado",P24)))</formula>
    </cfRule>
    <cfRule type="containsText" dxfId="1469" priority="973" operator="containsText" text="N/A">
      <formula>NOT(ISERROR(SEARCH("N/A",P24)))</formula>
    </cfRule>
    <cfRule type="containsText" dxfId="1468" priority="974" operator="containsText" text="Pendente">
      <formula>NOT(ISERROR(SEARCH("Pendente",P24)))</formula>
    </cfRule>
    <cfRule type="containsText" dxfId="1467" priority="975" operator="containsText" text="Finalizado">
      <formula>NOT(ISERROR(SEARCH("Finalizado",P24)))</formula>
    </cfRule>
    <cfRule type="containsText" dxfId="1466" priority="976" operator="containsText" text="em andamento">
      <formula>NOT(ISERROR(SEARCH("em andamento",P24)))</formula>
    </cfRule>
    <cfRule type="expression" dxfId="1465" priority="977">
      <formula>$H24="SUBETAPA"</formula>
    </cfRule>
    <cfRule type="containsText" dxfId="1464" priority="972" operator="containsText" text="Lançado">
      <formula>NOT(ISERROR(SEARCH("Lançado",P24)))</formula>
    </cfRule>
    <cfRule type="expression" dxfId="1463" priority="978">
      <formula>$H24="CÉLULA CONSTRUTIVA"</formula>
    </cfRule>
  </conditionalFormatting>
  <conditionalFormatting sqref="P32">
    <cfRule type="containsText" dxfId="1462" priority="959" operator="containsText" text="Lançado">
      <formula>NOT(ISERROR(SEARCH("Lançado",P32)))</formula>
    </cfRule>
    <cfRule type="containsText" dxfId="1461" priority="960" operator="containsText" text="N/A">
      <formula>NOT(ISERROR(SEARCH("N/A",P32)))</formula>
    </cfRule>
    <cfRule type="containsText" dxfId="1460" priority="962" operator="containsText" text="Finalizado">
      <formula>NOT(ISERROR(SEARCH("Finalizado",P32)))</formula>
    </cfRule>
    <cfRule type="containsText" dxfId="1459" priority="963" operator="containsText" text="em andamento">
      <formula>NOT(ISERROR(SEARCH("em andamento",P32)))</formula>
    </cfRule>
    <cfRule type="expression" dxfId="1458" priority="944">
      <formula>$H32="CÉLULA CONSTRUTIVA"</formula>
    </cfRule>
    <cfRule type="expression" dxfId="1457" priority="943">
      <formula>$H32="SUBETAPA"</formula>
    </cfRule>
    <cfRule type="containsText" dxfId="1456" priority="954" operator="containsText" text="Finalizado">
      <formula>NOT(ISERROR(SEARCH("Finalizado",P32)))</formula>
    </cfRule>
    <cfRule type="containsText" dxfId="1455" priority="961" operator="containsText" text="Pendente">
      <formula>NOT(ISERROR(SEARCH("Pendente",P32)))</formula>
    </cfRule>
    <cfRule type="containsText" dxfId="1454" priority="953" operator="containsText" text="Pendente">
      <formula>NOT(ISERROR(SEARCH("Pendente",P32)))</formula>
    </cfRule>
    <cfRule type="containsText" dxfId="1453" priority="952" operator="containsText" text="N/A">
      <formula>NOT(ISERROR(SEARCH("N/A",P32)))</formula>
    </cfRule>
    <cfRule type="containsText" dxfId="1452" priority="951" operator="containsText" text="Lançado">
      <formula>NOT(ISERROR(SEARCH("Lançado",P32)))</formula>
    </cfRule>
    <cfRule type="containsText" dxfId="1451" priority="950" operator="containsText" text="em andamento">
      <formula>NOT(ISERROR(SEARCH("em andamento",P32)))</formula>
    </cfRule>
    <cfRule type="containsText" dxfId="1450" priority="949" operator="containsText" text="Finalizado">
      <formula>NOT(ISERROR(SEARCH("Finalizado",P32)))</formula>
    </cfRule>
    <cfRule type="containsText" dxfId="1449" priority="955" operator="containsText" text="em andamento">
      <formula>NOT(ISERROR(SEARCH("em andamento",P32)))</formula>
    </cfRule>
    <cfRule type="containsText" dxfId="1448" priority="948" operator="containsText" text="Pendente">
      <formula>NOT(ISERROR(SEARCH("Pendente",P32)))</formula>
    </cfRule>
    <cfRule type="containsText" dxfId="1447" priority="947" operator="containsText" text="N/A">
      <formula>NOT(ISERROR(SEARCH("N/A",P32)))</formula>
    </cfRule>
    <cfRule type="containsText" dxfId="1446" priority="946" operator="containsText" text="Lançado">
      <formula>NOT(ISERROR(SEARCH("Lançado",P32)))</formula>
    </cfRule>
    <cfRule type="expression" dxfId="1445" priority="945">
      <formula>$H32="ETAPA"</formula>
    </cfRule>
  </conditionalFormatting>
  <conditionalFormatting sqref="P32:P33">
    <cfRule type="expression" dxfId="1444" priority="957">
      <formula>$H32="CÉLULA CONSTRUTIVA"</formula>
    </cfRule>
    <cfRule type="expression" dxfId="1443" priority="958">
      <formula>$H32="ETAPA"</formula>
    </cfRule>
    <cfRule type="expression" dxfId="1442" priority="956">
      <formula>$H32="SUBETAPA"</formula>
    </cfRule>
  </conditionalFormatting>
  <conditionalFormatting sqref="P33">
    <cfRule type="containsText" dxfId="1441" priority="4465" operator="containsText" text="Finalizado">
      <formula>NOT(ISERROR(SEARCH("Finalizado",P33)))</formula>
    </cfRule>
    <cfRule type="containsText" dxfId="1440" priority="4462" operator="containsText" text="Lançado">
      <formula>NOT(ISERROR(SEARCH("Lançado",P33)))</formula>
    </cfRule>
    <cfRule type="containsText" dxfId="1439" priority="4463" operator="containsText" text="N/A">
      <formula>NOT(ISERROR(SEARCH("N/A",P33)))</formula>
    </cfRule>
    <cfRule type="containsText" dxfId="1438" priority="4464" operator="containsText" text="Pendente">
      <formula>NOT(ISERROR(SEARCH("Pendente",P33)))</formula>
    </cfRule>
    <cfRule type="containsText" dxfId="1437" priority="4466" operator="containsText" text="em andamento">
      <formula>NOT(ISERROR(SEARCH("em andamento",P33)))</formula>
    </cfRule>
  </conditionalFormatting>
  <conditionalFormatting sqref="P34">
    <cfRule type="expression" dxfId="1436" priority="924">
      <formula>$H34="ETAPA"</formula>
    </cfRule>
    <cfRule type="containsText" dxfId="1435" priority="925" operator="containsText" text="Lançado">
      <formula>NOT(ISERROR(SEARCH("Lançado",P34)))</formula>
    </cfRule>
    <cfRule type="containsText" dxfId="1434" priority="926" operator="containsText" text="N/A">
      <formula>NOT(ISERROR(SEARCH("N/A",P34)))</formula>
    </cfRule>
    <cfRule type="containsText" dxfId="1433" priority="927" operator="containsText" text="Pendente">
      <formula>NOT(ISERROR(SEARCH("Pendente",P34)))</formula>
    </cfRule>
    <cfRule type="containsText" dxfId="1432" priority="928" operator="containsText" text="Finalizado">
      <formula>NOT(ISERROR(SEARCH("Finalizado",P34)))</formula>
    </cfRule>
    <cfRule type="containsText" dxfId="1431" priority="929" operator="containsText" text="em andamento">
      <formula>NOT(ISERROR(SEARCH("em andamento",P34)))</formula>
    </cfRule>
    <cfRule type="containsText" dxfId="1430" priority="931" operator="containsText" text="N/A">
      <formula>NOT(ISERROR(SEARCH("N/A",P34)))</formula>
    </cfRule>
    <cfRule type="containsText" dxfId="1429" priority="930" operator="containsText" text="Lançado">
      <formula>NOT(ISERROR(SEARCH("Lançado",P34)))</formula>
    </cfRule>
    <cfRule type="containsText" dxfId="1428" priority="941" operator="containsText" text="Finalizado">
      <formula>NOT(ISERROR(SEARCH("Finalizado",P34)))</formula>
    </cfRule>
    <cfRule type="containsText" dxfId="1427" priority="940" operator="containsText" text="Pendente">
      <formula>NOT(ISERROR(SEARCH("Pendente",P34)))</formula>
    </cfRule>
    <cfRule type="containsText" dxfId="1426" priority="939" operator="containsText" text="N/A">
      <formula>NOT(ISERROR(SEARCH("N/A",P34)))</formula>
    </cfRule>
    <cfRule type="containsText" dxfId="1425" priority="938" operator="containsText" text="Lançado">
      <formula>NOT(ISERROR(SEARCH("Lançado",P34)))</formula>
    </cfRule>
    <cfRule type="containsText" dxfId="1424" priority="933" operator="containsText" text="Finalizado">
      <formula>NOT(ISERROR(SEARCH("Finalizado",P34)))</formula>
    </cfRule>
    <cfRule type="expression" dxfId="1423" priority="936">
      <formula>$H34="CÉLULA CONSTRUTIVA"</formula>
    </cfRule>
    <cfRule type="containsText" dxfId="1422" priority="934" operator="containsText" text="em andamento">
      <formula>NOT(ISERROR(SEARCH("em andamento",P34)))</formula>
    </cfRule>
    <cfRule type="containsText" dxfId="1421" priority="942" operator="containsText" text="em andamento">
      <formula>NOT(ISERROR(SEARCH("em andamento",P34)))</formula>
    </cfRule>
    <cfRule type="expression" dxfId="1420" priority="922">
      <formula>$H34="SUBETAPA"</formula>
    </cfRule>
    <cfRule type="containsText" dxfId="1419" priority="932" operator="containsText" text="Pendente">
      <formula>NOT(ISERROR(SEARCH("Pendente",P34)))</formula>
    </cfRule>
    <cfRule type="expression" dxfId="1418" priority="923">
      <formula>$H34="CÉLULA CONSTRUTIVA"</formula>
    </cfRule>
  </conditionalFormatting>
  <conditionalFormatting sqref="P34:P44">
    <cfRule type="expression" dxfId="1417" priority="935">
      <formula>$H34="SUBETAPA"</formula>
    </cfRule>
  </conditionalFormatting>
  <conditionalFormatting sqref="P34:P45">
    <cfRule type="expression" dxfId="1416" priority="937">
      <formula>$H34="ETAPA"</formula>
    </cfRule>
  </conditionalFormatting>
  <conditionalFormatting sqref="P35:P37 P45 P53 P55 P59:P61 P83 P85:P87 P89 P91 P93 P95 P97 P99 P114:P115 P156 P69 P1:P5">
    <cfRule type="containsText" dxfId="1415" priority="7351" operator="containsText" text="Lançado">
      <formula>NOT(ISERROR(SEARCH("Lançado",P1)))</formula>
    </cfRule>
    <cfRule type="containsText" dxfId="1414" priority="7352" operator="containsText" text="N/A">
      <formula>NOT(ISERROR(SEARCH("N/A",P1)))</formula>
    </cfRule>
  </conditionalFormatting>
  <conditionalFormatting sqref="P38:P44">
    <cfRule type="containsText" dxfId="1413" priority="921" operator="containsText" text="em andamento">
      <formula>NOT(ISERROR(SEARCH("em andamento",P38)))</formula>
    </cfRule>
    <cfRule type="containsText" dxfId="1412" priority="920" operator="containsText" text="Finalizado">
      <formula>NOT(ISERROR(SEARCH("Finalizado",P38)))</formula>
    </cfRule>
    <cfRule type="expression" dxfId="1411" priority="919">
      <formula>$H38="ETAPA"</formula>
    </cfRule>
    <cfRule type="expression" dxfId="1410" priority="918">
      <formula>$H38="CÉLULA CONSTRUTIVA"</formula>
    </cfRule>
    <cfRule type="expression" dxfId="1409" priority="917">
      <formula>$H38="SUBETAPA"</formula>
    </cfRule>
    <cfRule type="containsText" dxfId="1408" priority="915" operator="containsText" text="Finalizado">
      <formula>NOT(ISERROR(SEARCH("Finalizado",P38)))</formula>
    </cfRule>
    <cfRule type="containsText" dxfId="1407" priority="914" operator="containsText" text="Pendente">
      <formula>NOT(ISERROR(SEARCH("Pendente",P38)))</formula>
    </cfRule>
    <cfRule type="containsText" dxfId="1406" priority="913" operator="containsText" text="N/A">
      <formula>NOT(ISERROR(SEARCH("N/A",P38)))</formula>
    </cfRule>
    <cfRule type="containsText" dxfId="1405" priority="912" operator="containsText" text="Lançado">
      <formula>NOT(ISERROR(SEARCH("Lançado",P38)))</formula>
    </cfRule>
    <cfRule type="containsText" dxfId="1404" priority="911" operator="containsText" text="em andamento">
      <formula>NOT(ISERROR(SEARCH("em andamento",P38)))</formula>
    </cfRule>
    <cfRule type="containsText" dxfId="1403" priority="909" operator="containsText" text="Pendente">
      <formula>NOT(ISERROR(SEARCH("Pendente",P38)))</formula>
    </cfRule>
    <cfRule type="containsText" dxfId="1402" priority="908" operator="containsText" text="N/A">
      <formula>NOT(ISERROR(SEARCH("N/A",P38)))</formula>
    </cfRule>
    <cfRule type="containsText" dxfId="1401" priority="907" operator="containsText" text="Lançado">
      <formula>NOT(ISERROR(SEARCH("Lançado",P38)))</formula>
    </cfRule>
    <cfRule type="expression" dxfId="1400" priority="906">
      <formula>$H38="ETAPA"</formula>
    </cfRule>
    <cfRule type="expression" dxfId="1399" priority="905">
      <formula>$H38="CÉLULA CONSTRUTIVA"</formula>
    </cfRule>
    <cfRule type="containsText" dxfId="1398" priority="910" operator="containsText" text="Finalizado">
      <formula>NOT(ISERROR(SEARCH("Finalizado",P38)))</formula>
    </cfRule>
    <cfRule type="containsText" dxfId="1397" priority="916" operator="containsText" text="em andamento">
      <formula>NOT(ISERROR(SEARCH("em andamento",P38)))</formula>
    </cfRule>
    <cfRule type="expression" dxfId="1396" priority="904">
      <formula>$H38="SUBETAPA"</formula>
    </cfRule>
  </conditionalFormatting>
  <conditionalFormatting sqref="P46:P52">
    <cfRule type="expression" dxfId="1395" priority="883">
      <formula>$H46="SUBETAPA"</formula>
    </cfRule>
    <cfRule type="containsText" dxfId="1394" priority="901" operator="containsText" text="Pendente">
      <formula>NOT(ISERROR(SEARCH("Pendente",P46)))</formula>
    </cfRule>
    <cfRule type="containsText" dxfId="1393" priority="900" operator="containsText" text="N/A">
      <formula>NOT(ISERROR(SEARCH("N/A",P46)))</formula>
    </cfRule>
    <cfRule type="containsText" dxfId="1392" priority="899" operator="containsText" text="Lançado">
      <formula>NOT(ISERROR(SEARCH("Lançado",P46)))</formula>
    </cfRule>
    <cfRule type="expression" dxfId="1391" priority="896">
      <formula>$H46="SUBETAPA"</formula>
    </cfRule>
    <cfRule type="containsText" dxfId="1390" priority="895" operator="containsText" text="em andamento">
      <formula>NOT(ISERROR(SEARCH("em andamento",P46)))</formula>
    </cfRule>
    <cfRule type="containsText" dxfId="1389" priority="894" operator="containsText" text="Finalizado">
      <formula>NOT(ISERROR(SEARCH("Finalizado",P46)))</formula>
    </cfRule>
    <cfRule type="containsText" dxfId="1388" priority="893" operator="containsText" text="Pendente">
      <formula>NOT(ISERROR(SEARCH("Pendente",P46)))</formula>
    </cfRule>
    <cfRule type="containsText" dxfId="1387" priority="903" operator="containsText" text="em andamento">
      <formula>NOT(ISERROR(SEARCH("em andamento",P46)))</formula>
    </cfRule>
    <cfRule type="expression" dxfId="1386" priority="884">
      <formula>$H46="CÉLULA CONSTRUTIVA"</formula>
    </cfRule>
    <cfRule type="expression" dxfId="1385" priority="885">
      <formula>$H46="ETAPA"</formula>
    </cfRule>
    <cfRule type="containsText" dxfId="1384" priority="886" operator="containsText" text="Lançado">
      <formula>NOT(ISERROR(SEARCH("Lançado",P46)))</formula>
    </cfRule>
    <cfRule type="containsText" dxfId="1383" priority="887" operator="containsText" text="N/A">
      <formula>NOT(ISERROR(SEARCH("N/A",P46)))</formula>
    </cfRule>
    <cfRule type="containsText" dxfId="1382" priority="888" operator="containsText" text="Pendente">
      <formula>NOT(ISERROR(SEARCH("Pendente",P46)))</formula>
    </cfRule>
    <cfRule type="containsText" dxfId="1381" priority="889" operator="containsText" text="Finalizado">
      <formula>NOT(ISERROR(SEARCH("Finalizado",P46)))</formula>
    </cfRule>
    <cfRule type="containsText" dxfId="1380" priority="890" operator="containsText" text="em andamento">
      <formula>NOT(ISERROR(SEARCH("em andamento",P46)))</formula>
    </cfRule>
    <cfRule type="containsText" dxfId="1379" priority="891" operator="containsText" text="Lançado">
      <formula>NOT(ISERROR(SEARCH("Lançado",P46)))</formula>
    </cfRule>
    <cfRule type="containsText" dxfId="1378" priority="892" operator="containsText" text="N/A">
      <formula>NOT(ISERROR(SEARCH("N/A",P46)))</formula>
    </cfRule>
    <cfRule type="containsText" dxfId="1377" priority="902" operator="containsText" text="Finalizado">
      <formula>NOT(ISERROR(SEARCH("Finalizado",P46)))</formula>
    </cfRule>
  </conditionalFormatting>
  <conditionalFormatting sqref="P46:P53">
    <cfRule type="expression" dxfId="1376" priority="898">
      <formula>$H46="ETAPA"</formula>
    </cfRule>
    <cfRule type="expression" dxfId="1375" priority="897">
      <formula>$H46="CÉLULA CONSTRUTIVA"</formula>
    </cfRule>
  </conditionalFormatting>
  <conditionalFormatting sqref="P54">
    <cfRule type="containsText" dxfId="1374" priority="871" operator="containsText" text="N/A">
      <formula>NOT(ISERROR(SEARCH("N/A",P54)))</formula>
    </cfRule>
    <cfRule type="containsText" dxfId="1373" priority="872" operator="containsText" text="Pendente">
      <formula>NOT(ISERROR(SEARCH("Pendente",P54)))</formula>
    </cfRule>
    <cfRule type="containsText" dxfId="1372" priority="873" operator="containsText" text="Finalizado">
      <formula>NOT(ISERROR(SEARCH("Finalizado",P54)))</formula>
    </cfRule>
    <cfRule type="containsText" dxfId="1371" priority="874" operator="containsText" text="em andamento">
      <formula>NOT(ISERROR(SEARCH("em andamento",P54)))</formula>
    </cfRule>
    <cfRule type="expression" dxfId="1370" priority="875">
      <formula>$H54="SUBETAPA"</formula>
    </cfRule>
    <cfRule type="containsText" dxfId="1369" priority="878" operator="containsText" text="Lançado">
      <formula>NOT(ISERROR(SEARCH("Lançado",P54)))</formula>
    </cfRule>
    <cfRule type="containsText" dxfId="1368" priority="879" operator="containsText" text="N/A">
      <formula>NOT(ISERROR(SEARCH("N/A",P54)))</formula>
    </cfRule>
    <cfRule type="containsText" dxfId="1367" priority="881" operator="containsText" text="Finalizado">
      <formula>NOT(ISERROR(SEARCH("Finalizado",P54)))</formula>
    </cfRule>
    <cfRule type="containsText" dxfId="1366" priority="882" operator="containsText" text="em andamento">
      <formula>NOT(ISERROR(SEARCH("em andamento",P54)))</formula>
    </cfRule>
    <cfRule type="containsText" dxfId="1365" priority="880" operator="containsText" text="Pendente">
      <formula>NOT(ISERROR(SEARCH("Pendente",P54)))</formula>
    </cfRule>
    <cfRule type="containsText" dxfId="1364" priority="865" operator="containsText" text="Lançado">
      <formula>NOT(ISERROR(SEARCH("Lançado",P54)))</formula>
    </cfRule>
    <cfRule type="expression" dxfId="1363" priority="863">
      <formula>$H54="CÉLULA CONSTRUTIVA"</formula>
    </cfRule>
    <cfRule type="expression" dxfId="1362" priority="862">
      <formula>$H54="SUBETAPA"</formula>
    </cfRule>
    <cfRule type="expression" dxfId="1361" priority="864">
      <formula>$H54="ETAPA"</formula>
    </cfRule>
    <cfRule type="containsText" dxfId="1360" priority="866" operator="containsText" text="N/A">
      <formula>NOT(ISERROR(SEARCH("N/A",P54)))</formula>
    </cfRule>
    <cfRule type="containsText" dxfId="1359" priority="867" operator="containsText" text="Pendente">
      <formula>NOT(ISERROR(SEARCH("Pendente",P54)))</formula>
    </cfRule>
    <cfRule type="containsText" dxfId="1358" priority="868" operator="containsText" text="Finalizado">
      <formula>NOT(ISERROR(SEARCH("Finalizado",P54)))</formula>
    </cfRule>
    <cfRule type="containsText" dxfId="1357" priority="869" operator="containsText" text="em andamento">
      <formula>NOT(ISERROR(SEARCH("em andamento",P54)))</formula>
    </cfRule>
    <cfRule type="containsText" dxfId="1356" priority="870" operator="containsText" text="Lançado">
      <formula>NOT(ISERROR(SEARCH("Lançado",P54)))</formula>
    </cfRule>
  </conditionalFormatting>
  <conditionalFormatting sqref="P56">
    <cfRule type="containsText" dxfId="1355" priority="849" operator="containsText" text="Lançado">
      <formula>NOT(ISERROR(SEARCH("Lançado",P56)))</formula>
    </cfRule>
    <cfRule type="expression" dxfId="1354" priority="843">
      <formula>$H56="ETAPA"</formula>
    </cfRule>
    <cfRule type="containsText" dxfId="1353" priority="852" operator="containsText" text="Finalizado">
      <formula>NOT(ISERROR(SEARCH("Finalizado",P56)))</formula>
    </cfRule>
    <cfRule type="containsText" dxfId="1352" priority="851" operator="containsText" text="Pendente">
      <formula>NOT(ISERROR(SEARCH("Pendente",P56)))</formula>
    </cfRule>
    <cfRule type="containsText" dxfId="1351" priority="850" operator="containsText" text="N/A">
      <formula>NOT(ISERROR(SEARCH("N/A",P56)))</formula>
    </cfRule>
    <cfRule type="containsText" dxfId="1350" priority="845" operator="containsText" text="N/A">
      <formula>NOT(ISERROR(SEARCH("N/A",P56)))</formula>
    </cfRule>
    <cfRule type="containsText" dxfId="1349" priority="848" operator="containsText" text="em andamento">
      <formula>NOT(ISERROR(SEARCH("em andamento",P56)))</formula>
    </cfRule>
    <cfRule type="containsText" dxfId="1348" priority="847" operator="containsText" text="Finalizado">
      <formula>NOT(ISERROR(SEARCH("Finalizado",P56)))</formula>
    </cfRule>
    <cfRule type="containsText" dxfId="1347" priority="857" operator="containsText" text="Lançado">
      <formula>NOT(ISERROR(SEARCH("Lançado",P56)))</formula>
    </cfRule>
    <cfRule type="containsText" dxfId="1346" priority="846" operator="containsText" text="Pendente">
      <formula>NOT(ISERROR(SEARCH("Pendente",P56)))</formula>
    </cfRule>
    <cfRule type="containsText" dxfId="1345" priority="858" operator="containsText" text="N/A">
      <formula>NOT(ISERROR(SEARCH("N/A",P56)))</formula>
    </cfRule>
    <cfRule type="expression" dxfId="1344" priority="854">
      <formula>$H56="SUBETAPA"</formula>
    </cfRule>
    <cfRule type="containsText" dxfId="1343" priority="860" operator="containsText" text="Finalizado">
      <formula>NOT(ISERROR(SEARCH("Finalizado",P56)))</formula>
    </cfRule>
    <cfRule type="containsText" dxfId="1342" priority="861" operator="containsText" text="em andamento">
      <formula>NOT(ISERROR(SEARCH("em andamento",P56)))</formula>
    </cfRule>
    <cfRule type="expression" dxfId="1341" priority="841">
      <formula>$H56="SUBETAPA"</formula>
    </cfRule>
    <cfRule type="expression" dxfId="1340" priority="842">
      <formula>$H56="CÉLULA CONSTRUTIVA"</formula>
    </cfRule>
    <cfRule type="containsText" dxfId="1339" priority="844" operator="containsText" text="Lançado">
      <formula>NOT(ISERROR(SEARCH("Lançado",P56)))</formula>
    </cfRule>
    <cfRule type="containsText" dxfId="1338" priority="853" operator="containsText" text="em andamento">
      <formula>NOT(ISERROR(SEARCH("em andamento",P56)))</formula>
    </cfRule>
    <cfRule type="containsText" dxfId="1337" priority="859" operator="containsText" text="Pendente">
      <formula>NOT(ISERROR(SEARCH("Pendente",P56)))</formula>
    </cfRule>
  </conditionalFormatting>
  <conditionalFormatting sqref="P58">
    <cfRule type="containsText" dxfId="1336" priority="832" operator="containsText" text="em andamento">
      <formula>NOT(ISERROR(SEARCH("em andamento",P58)))</formula>
    </cfRule>
    <cfRule type="containsText" dxfId="1335" priority="831" operator="containsText" text="Finalizado">
      <formula>NOT(ISERROR(SEARCH("Finalizado",P58)))</formula>
    </cfRule>
    <cfRule type="containsText" dxfId="1334" priority="827" operator="containsText" text="em andamento">
      <formula>NOT(ISERROR(SEARCH("em andamento",P58)))</formula>
    </cfRule>
    <cfRule type="containsText" dxfId="1333" priority="830" operator="containsText" text="Pendente">
      <formula>NOT(ISERROR(SEARCH("Pendente",P58)))</formula>
    </cfRule>
    <cfRule type="containsText" dxfId="1332" priority="829" operator="containsText" text="N/A">
      <formula>NOT(ISERROR(SEARCH("N/A",P58)))</formula>
    </cfRule>
    <cfRule type="containsText" dxfId="1331" priority="828" operator="containsText" text="Lançado">
      <formula>NOT(ISERROR(SEARCH("Lançado",P58)))</formula>
    </cfRule>
    <cfRule type="containsText" dxfId="1330" priority="826" operator="containsText" text="Finalizado">
      <formula>NOT(ISERROR(SEARCH("Finalizado",P58)))</formula>
    </cfRule>
    <cfRule type="containsText" dxfId="1329" priority="836" operator="containsText" text="Lançado">
      <formula>NOT(ISERROR(SEARCH("Lançado",P58)))</formula>
    </cfRule>
    <cfRule type="containsText" dxfId="1328" priority="837" operator="containsText" text="N/A">
      <formula>NOT(ISERROR(SEARCH("N/A",P58)))</formula>
    </cfRule>
    <cfRule type="containsText" dxfId="1327" priority="838" operator="containsText" text="Pendente">
      <formula>NOT(ISERROR(SEARCH("Pendente",P58)))</formula>
    </cfRule>
    <cfRule type="containsText" dxfId="1326" priority="839" operator="containsText" text="Finalizado">
      <formula>NOT(ISERROR(SEARCH("Finalizado",P58)))</formula>
    </cfRule>
    <cfRule type="containsText" dxfId="1325" priority="840" operator="containsText" text="em andamento">
      <formula>NOT(ISERROR(SEARCH("em andamento",P58)))</formula>
    </cfRule>
    <cfRule type="containsText" dxfId="1324" priority="824" operator="containsText" text="N/A">
      <formula>NOT(ISERROR(SEARCH("N/A",P58)))</formula>
    </cfRule>
    <cfRule type="containsText" dxfId="1323" priority="823" operator="containsText" text="Lançado">
      <formula>NOT(ISERROR(SEARCH("Lançado",P58)))</formula>
    </cfRule>
    <cfRule type="expression" dxfId="1322" priority="834">
      <formula>$H58="CÉLULA CONSTRUTIVA"</formula>
    </cfRule>
    <cfRule type="expression" dxfId="1321" priority="822">
      <formula>$H58="ETAPA"</formula>
    </cfRule>
    <cfRule type="expression" dxfId="1320" priority="820">
      <formula>$H58="SUBETAPA"</formula>
    </cfRule>
    <cfRule type="expression" dxfId="1319" priority="835">
      <formula>$H58="ETAPA"</formula>
    </cfRule>
    <cfRule type="containsText" dxfId="1318" priority="825" operator="containsText" text="Pendente">
      <formula>NOT(ISERROR(SEARCH("Pendente",P58)))</formula>
    </cfRule>
    <cfRule type="expression" dxfId="1317" priority="821">
      <formula>$H58="CÉLULA CONSTRUTIVA"</formula>
    </cfRule>
  </conditionalFormatting>
  <conditionalFormatting sqref="P58:P60">
    <cfRule type="expression" dxfId="1316" priority="833">
      <formula>$H58="SUBETAPA"</formula>
    </cfRule>
  </conditionalFormatting>
  <conditionalFormatting sqref="P59:P60">
    <cfRule type="expression" dxfId="1315" priority="7335">
      <formula>$H59="ETAPA"</formula>
    </cfRule>
    <cfRule type="expression" dxfId="1314" priority="7334">
      <formula>$H59="CÉLULA CONSTRUTIVA"</formula>
    </cfRule>
  </conditionalFormatting>
  <conditionalFormatting sqref="P62:P65">
    <cfRule type="containsText" dxfId="1313" priority="804" operator="containsText" text="Pendente">
      <formula>NOT(ISERROR(SEARCH("Pendente",P62)))</formula>
    </cfRule>
    <cfRule type="containsText" dxfId="1312" priority="806" operator="containsText" text="em andamento">
      <formula>NOT(ISERROR(SEARCH("em andamento",P62)))</formula>
    </cfRule>
    <cfRule type="containsText" dxfId="1311" priority="807" operator="containsText" text="Lançado">
      <formula>NOT(ISERROR(SEARCH("Lançado",P62)))</formula>
    </cfRule>
    <cfRule type="containsText" dxfId="1310" priority="808" operator="containsText" text="N/A">
      <formula>NOT(ISERROR(SEARCH("N/A",P62)))</formula>
    </cfRule>
    <cfRule type="containsText" dxfId="1309" priority="809" operator="containsText" text="Pendente">
      <formula>NOT(ISERROR(SEARCH("Pendente",P62)))</formula>
    </cfRule>
    <cfRule type="containsText" dxfId="1308" priority="810" operator="containsText" text="Finalizado">
      <formula>NOT(ISERROR(SEARCH("Finalizado",P62)))</formula>
    </cfRule>
    <cfRule type="containsText" dxfId="1307" priority="811" operator="containsText" text="em andamento">
      <formula>NOT(ISERROR(SEARCH("em andamento",P62)))</formula>
    </cfRule>
    <cfRule type="expression" dxfId="1306" priority="812">
      <formula>$H62="SUBETAPA"</formula>
    </cfRule>
    <cfRule type="expression" dxfId="1305" priority="813">
      <formula>$H62="CÉLULA CONSTRUTIVA"</formula>
    </cfRule>
    <cfRule type="expression" dxfId="1304" priority="814">
      <formula>$H62="ETAPA"</formula>
    </cfRule>
    <cfRule type="containsText" dxfId="1303" priority="815" operator="containsText" text="Lançado">
      <formula>NOT(ISERROR(SEARCH("Lançado",P62)))</formula>
    </cfRule>
    <cfRule type="containsText" dxfId="1302" priority="816" operator="containsText" text="N/A">
      <formula>NOT(ISERROR(SEARCH("N/A",P62)))</formula>
    </cfRule>
    <cfRule type="containsText" dxfId="1301" priority="817" operator="containsText" text="Pendente">
      <formula>NOT(ISERROR(SEARCH("Pendente",P62)))</formula>
    </cfRule>
    <cfRule type="containsText" dxfId="1300" priority="818" operator="containsText" text="Finalizado">
      <formula>NOT(ISERROR(SEARCH("Finalizado",P62)))</formula>
    </cfRule>
    <cfRule type="containsText" dxfId="1299" priority="819" operator="containsText" text="em andamento">
      <formula>NOT(ISERROR(SEARCH("em andamento",P62)))</formula>
    </cfRule>
    <cfRule type="containsText" dxfId="1298" priority="805" operator="containsText" text="Finalizado">
      <formula>NOT(ISERROR(SEARCH("Finalizado",P62)))</formula>
    </cfRule>
    <cfRule type="expression" dxfId="1297" priority="799">
      <formula>$H62="SUBETAPA"</formula>
    </cfRule>
    <cfRule type="expression" dxfId="1296" priority="800">
      <formula>$H62="CÉLULA CONSTRUTIVA"</formula>
    </cfRule>
    <cfRule type="expression" dxfId="1295" priority="801">
      <formula>$H62="ETAPA"</formula>
    </cfRule>
    <cfRule type="containsText" dxfId="1294" priority="802" operator="containsText" text="Lançado">
      <formula>NOT(ISERROR(SEARCH("Lançado",P62)))</formula>
    </cfRule>
    <cfRule type="containsText" dxfId="1293" priority="803" operator="containsText" text="N/A">
      <formula>NOT(ISERROR(SEARCH("N/A",P62)))</formula>
    </cfRule>
  </conditionalFormatting>
  <conditionalFormatting sqref="P66 P73 P126">
    <cfRule type="containsText" dxfId="1292" priority="4781" operator="containsText" text="em andamento">
      <formula>NOT(ISERROR(SEARCH("em andamento",P66)))</formula>
    </cfRule>
  </conditionalFormatting>
  <conditionalFormatting sqref="P66 P126 P73">
    <cfRule type="containsText" dxfId="1291" priority="4780" operator="containsText" text="Finalizado">
      <formula>NOT(ISERROR(SEARCH("Finalizado",P66)))</formula>
    </cfRule>
  </conditionalFormatting>
  <conditionalFormatting sqref="P66 P126 P222 P226">
    <cfRule type="containsText" dxfId="1290" priority="4779" operator="containsText" text="Pendente">
      <formula>NOT(ISERROR(SEARCH("Pendente",P66)))</formula>
    </cfRule>
  </conditionalFormatting>
  <conditionalFormatting sqref="P67:P68">
    <cfRule type="containsText" dxfId="1289" priority="787" operator="containsText" text="N/A">
      <formula>NOT(ISERROR(SEARCH("N/A",P67)))</formula>
    </cfRule>
    <cfRule type="containsText" dxfId="1288" priority="790" operator="containsText" text="em andamento">
      <formula>NOT(ISERROR(SEARCH("em andamento",P67)))</formula>
    </cfRule>
    <cfRule type="containsText" dxfId="1287" priority="789" operator="containsText" text="Finalizado">
      <formula>NOT(ISERROR(SEARCH("Finalizado",P67)))</formula>
    </cfRule>
    <cfRule type="containsText" dxfId="1286" priority="788" operator="containsText" text="Pendente">
      <formula>NOT(ISERROR(SEARCH("Pendente",P67)))</formula>
    </cfRule>
    <cfRule type="expression" dxfId="1285" priority="792">
      <formula>$H67="CÉLULA CONSTRUTIVA"</formula>
    </cfRule>
    <cfRule type="containsText" dxfId="1284" priority="786" operator="containsText" text="Lançado">
      <formula>NOT(ISERROR(SEARCH("Lançado",P67)))</formula>
    </cfRule>
    <cfRule type="containsText" dxfId="1283" priority="785" operator="containsText" text="em andamento">
      <formula>NOT(ISERROR(SEARCH("em andamento",P67)))</formula>
    </cfRule>
    <cfRule type="containsText" dxfId="1282" priority="784" operator="containsText" text="Finalizado">
      <formula>NOT(ISERROR(SEARCH("Finalizado",P67)))</formula>
    </cfRule>
    <cfRule type="containsText" dxfId="1281" priority="783" operator="containsText" text="Pendente">
      <formula>NOT(ISERROR(SEARCH("Pendente",P67)))</formula>
    </cfRule>
    <cfRule type="containsText" dxfId="1280" priority="782" operator="containsText" text="N/A">
      <formula>NOT(ISERROR(SEARCH("N/A",P67)))</formula>
    </cfRule>
    <cfRule type="containsText" dxfId="1279" priority="795" operator="containsText" text="N/A">
      <formula>NOT(ISERROR(SEARCH("N/A",P67)))</formula>
    </cfRule>
    <cfRule type="expression" dxfId="1278" priority="780">
      <formula>$H67="ETAPA"</formula>
    </cfRule>
    <cfRule type="containsText" dxfId="1277" priority="794" operator="containsText" text="Lançado">
      <formula>NOT(ISERROR(SEARCH("Lançado",P67)))</formula>
    </cfRule>
    <cfRule type="containsText" dxfId="1276" priority="781" operator="containsText" text="Lançado">
      <formula>NOT(ISERROR(SEARCH("Lançado",P67)))</formula>
    </cfRule>
    <cfRule type="expression" dxfId="1275" priority="779">
      <formula>$H67="CÉLULA CONSTRUTIVA"</formula>
    </cfRule>
    <cfRule type="expression" dxfId="1274" priority="778">
      <formula>$H67="SUBETAPA"</formula>
    </cfRule>
    <cfRule type="expression" dxfId="1273" priority="791">
      <formula>$H67="SUBETAPA"</formula>
    </cfRule>
    <cfRule type="expression" dxfId="1272" priority="793">
      <formula>$H67="ETAPA"</formula>
    </cfRule>
    <cfRule type="containsText" dxfId="1271" priority="796" operator="containsText" text="Pendente">
      <formula>NOT(ISERROR(SEARCH("Pendente",P67)))</formula>
    </cfRule>
    <cfRule type="containsText" dxfId="1270" priority="797" operator="containsText" text="Finalizado">
      <formula>NOT(ISERROR(SEARCH("Finalizado",P67)))</formula>
    </cfRule>
    <cfRule type="containsText" dxfId="1269" priority="798" operator="containsText" text="em andamento">
      <formula>NOT(ISERROR(SEARCH("em andamento",P67)))</formula>
    </cfRule>
  </conditionalFormatting>
  <conditionalFormatting sqref="P69">
    <cfRule type="containsText" dxfId="1268" priority="4758" operator="containsText" text="Pendente">
      <formula>NOT(ISERROR(SEARCH("Pendente",P69)))</formula>
    </cfRule>
    <cfRule type="containsText" dxfId="1267" priority="4759" operator="containsText" text="Finalizado">
      <formula>NOT(ISERROR(SEARCH("Finalizado",P69)))</formula>
    </cfRule>
    <cfRule type="containsText" dxfId="1266" priority="4760" operator="containsText" text="em andamento">
      <formula>NOT(ISERROR(SEARCH("em andamento",P69)))</formula>
    </cfRule>
  </conditionalFormatting>
  <conditionalFormatting sqref="P70:P72">
    <cfRule type="containsText" dxfId="1265" priority="761" operator="containsText" text="N/A">
      <formula>NOT(ISERROR(SEARCH("N/A",P70)))</formula>
    </cfRule>
    <cfRule type="containsText" dxfId="1264" priority="762" operator="containsText" text="Pendente">
      <formula>NOT(ISERROR(SEARCH("Pendente",P70)))</formula>
    </cfRule>
    <cfRule type="containsText" dxfId="1263" priority="777" operator="containsText" text="em andamento">
      <formula>NOT(ISERROR(SEARCH("em andamento",P70)))</formula>
    </cfRule>
    <cfRule type="containsText" dxfId="1262" priority="776" operator="containsText" text="Finalizado">
      <formula>NOT(ISERROR(SEARCH("Finalizado",P70)))</formula>
    </cfRule>
    <cfRule type="containsText" dxfId="1261" priority="775" operator="containsText" text="Pendente">
      <formula>NOT(ISERROR(SEARCH("Pendente",P70)))</formula>
    </cfRule>
    <cfRule type="containsText" dxfId="1260" priority="774" operator="containsText" text="N/A">
      <formula>NOT(ISERROR(SEARCH("N/A",P70)))</formula>
    </cfRule>
    <cfRule type="containsText" dxfId="1259" priority="773" operator="containsText" text="Lançado">
      <formula>NOT(ISERROR(SEARCH("Lançado",P70)))</formula>
    </cfRule>
    <cfRule type="expression" dxfId="1258" priority="772">
      <formula>$H70="ETAPA"</formula>
    </cfRule>
    <cfRule type="expression" dxfId="1257" priority="771">
      <formula>$H70="CÉLULA CONSTRUTIVA"</formula>
    </cfRule>
    <cfRule type="expression" dxfId="1256" priority="770">
      <formula>$H70="SUBETAPA"</formula>
    </cfRule>
    <cfRule type="containsText" dxfId="1255" priority="769" operator="containsText" text="em andamento">
      <formula>NOT(ISERROR(SEARCH("em andamento",P70)))</formula>
    </cfRule>
    <cfRule type="containsText" dxfId="1254" priority="768" operator="containsText" text="Finalizado">
      <formula>NOT(ISERROR(SEARCH("Finalizado",P70)))</formula>
    </cfRule>
    <cfRule type="containsText" dxfId="1253" priority="767" operator="containsText" text="Pendente">
      <formula>NOT(ISERROR(SEARCH("Pendente",P70)))</formula>
    </cfRule>
    <cfRule type="containsText" dxfId="1252" priority="766" operator="containsText" text="N/A">
      <formula>NOT(ISERROR(SEARCH("N/A",P70)))</formula>
    </cfRule>
    <cfRule type="containsText" dxfId="1251" priority="765" operator="containsText" text="Lançado">
      <formula>NOT(ISERROR(SEARCH("Lançado",P70)))</formula>
    </cfRule>
    <cfRule type="containsText" dxfId="1250" priority="764" operator="containsText" text="em andamento">
      <formula>NOT(ISERROR(SEARCH("em andamento",P70)))</formula>
    </cfRule>
    <cfRule type="expression" dxfId="1249" priority="757">
      <formula>$H70="SUBETAPA"</formula>
    </cfRule>
    <cfRule type="expression" dxfId="1248" priority="758">
      <formula>$H70="CÉLULA CONSTRUTIVA"</formula>
    </cfRule>
    <cfRule type="expression" dxfId="1247" priority="759">
      <formula>$H70="ETAPA"</formula>
    </cfRule>
    <cfRule type="containsText" dxfId="1246" priority="763" operator="containsText" text="Finalizado">
      <formula>NOT(ISERROR(SEARCH("Finalizado",P70)))</formula>
    </cfRule>
    <cfRule type="containsText" dxfId="1245" priority="760" operator="containsText" text="Lançado">
      <formula>NOT(ISERROR(SEARCH("Lançado",P70)))</formula>
    </cfRule>
  </conditionalFormatting>
  <conditionalFormatting sqref="P73 P242">
    <cfRule type="containsText" dxfId="1244" priority="7219" operator="containsText" text="N/A">
      <formula>NOT(ISERROR(SEARCH("N/A",P73)))</formula>
    </cfRule>
    <cfRule type="containsText" dxfId="1243" priority="7218" operator="containsText" text="Lançado">
      <formula>NOT(ISERROR(SEARCH("Lançado",P73)))</formula>
    </cfRule>
  </conditionalFormatting>
  <conditionalFormatting sqref="P73">
    <cfRule type="containsText" dxfId="1242" priority="7220" operator="containsText" text="Pendente">
      <formula>NOT(ISERROR(SEARCH("Pendente",P73)))</formula>
    </cfRule>
  </conditionalFormatting>
  <conditionalFormatting sqref="P74:P75">
    <cfRule type="containsText" dxfId="1241" priority="742" operator="containsText" text="Finalizado">
      <formula>NOT(ISERROR(SEARCH("Finalizado",P74)))</formula>
    </cfRule>
    <cfRule type="containsText" dxfId="1240" priority="743" operator="containsText" text="em andamento">
      <formula>NOT(ISERROR(SEARCH("em andamento",P74)))</formula>
    </cfRule>
    <cfRule type="containsText" dxfId="1239" priority="744" operator="containsText" text="Lançado">
      <formula>NOT(ISERROR(SEARCH("Lançado",P74)))</formula>
    </cfRule>
    <cfRule type="containsText" dxfId="1238" priority="745" operator="containsText" text="N/A">
      <formula>NOT(ISERROR(SEARCH("N/A",P74)))</formula>
    </cfRule>
    <cfRule type="containsText" dxfId="1237" priority="747" operator="containsText" text="Finalizado">
      <formula>NOT(ISERROR(SEARCH("Finalizado",P74)))</formula>
    </cfRule>
    <cfRule type="containsText" dxfId="1236" priority="748" operator="containsText" text="em andamento">
      <formula>NOT(ISERROR(SEARCH("em andamento",P74)))</formula>
    </cfRule>
    <cfRule type="containsText" dxfId="1235" priority="746" operator="containsText" text="Pendente">
      <formula>NOT(ISERROR(SEARCH("Pendente",P74)))</formula>
    </cfRule>
    <cfRule type="expression" dxfId="1234" priority="736">
      <formula>$H74="SUBETAPA"</formula>
    </cfRule>
    <cfRule type="containsText" dxfId="1233" priority="752" operator="containsText" text="Lançado">
      <formula>NOT(ISERROR(SEARCH("Lançado",P74)))</formula>
    </cfRule>
    <cfRule type="containsText" dxfId="1232" priority="753" operator="containsText" text="N/A">
      <formula>NOT(ISERROR(SEARCH("N/A",P74)))</formula>
    </cfRule>
    <cfRule type="containsText" dxfId="1231" priority="754" operator="containsText" text="Pendente">
      <formula>NOT(ISERROR(SEARCH("Pendente",P74)))</formula>
    </cfRule>
    <cfRule type="containsText" dxfId="1230" priority="755" operator="containsText" text="Finalizado">
      <formula>NOT(ISERROR(SEARCH("Finalizado",P74)))</formula>
    </cfRule>
    <cfRule type="containsText" dxfId="1229" priority="756" operator="containsText" text="em andamento">
      <formula>NOT(ISERROR(SEARCH("em andamento",P74)))</formula>
    </cfRule>
    <cfRule type="expression" dxfId="1228" priority="737">
      <formula>$H74="CÉLULA CONSTRUTIVA"</formula>
    </cfRule>
    <cfRule type="expression" dxfId="1227" priority="738">
      <formula>$H74="ETAPA"</formula>
    </cfRule>
    <cfRule type="expression" dxfId="1226" priority="751">
      <formula>$H74="ETAPA"</formula>
    </cfRule>
    <cfRule type="expression" dxfId="1225" priority="750">
      <formula>$H74="CÉLULA CONSTRUTIVA"</formula>
    </cfRule>
    <cfRule type="containsText" dxfId="1224" priority="739" operator="containsText" text="Lançado">
      <formula>NOT(ISERROR(SEARCH("Lançado",P74)))</formula>
    </cfRule>
    <cfRule type="containsText" dxfId="1223" priority="740" operator="containsText" text="N/A">
      <formula>NOT(ISERROR(SEARCH("N/A",P74)))</formula>
    </cfRule>
    <cfRule type="containsText" dxfId="1222" priority="741" operator="containsText" text="Pendente">
      <formula>NOT(ISERROR(SEARCH("Pendente",P74)))</formula>
    </cfRule>
  </conditionalFormatting>
  <conditionalFormatting sqref="P82">
    <cfRule type="expression" dxfId="1221" priority="1098">
      <formula>$H82="CÉLULA CONSTRUTIVA"</formula>
    </cfRule>
    <cfRule type="expression" dxfId="1220" priority="1099">
      <formula>$H82="ETAPA"</formula>
    </cfRule>
  </conditionalFormatting>
  <conditionalFormatting sqref="P84">
    <cfRule type="expression" dxfId="1219" priority="6818">
      <formula>$H84="ETAPA"</formula>
    </cfRule>
    <cfRule type="expression" dxfId="1218" priority="1096">
      <formula>$H84="CÉLULA CONSTRUTIVA"</formula>
    </cfRule>
    <cfRule type="expression" dxfId="1217" priority="1097">
      <formula>$H84="ETAPA"</formula>
    </cfRule>
  </conditionalFormatting>
  <conditionalFormatting sqref="P84:P85">
    <cfRule type="containsText" dxfId="1216" priority="6821" operator="containsText" text="Pendente">
      <formula>NOT(ISERROR(SEARCH("Pendente",P84)))</formula>
    </cfRule>
    <cfRule type="containsText" dxfId="1215" priority="6822" operator="containsText" text="Finalizado">
      <formula>NOT(ISERROR(SEARCH("Finalizado",P84)))</formula>
    </cfRule>
    <cfRule type="containsText" dxfId="1214" priority="6823" operator="containsText" text="em andamento">
      <formula>NOT(ISERROR(SEARCH("em andamento",P84)))</formula>
    </cfRule>
    <cfRule type="containsText" dxfId="1213" priority="6819" operator="containsText" text="Lançado">
      <formula>NOT(ISERROR(SEARCH("Lançado",P84)))</formula>
    </cfRule>
    <cfRule type="containsText" dxfId="1212" priority="6820" operator="containsText" text="N/A">
      <formula>NOT(ISERROR(SEARCH("N/A",P84)))</formula>
    </cfRule>
  </conditionalFormatting>
  <conditionalFormatting sqref="P85 P87 P91 P93 P95 P97 P99">
    <cfRule type="containsText" dxfId="1211" priority="7313" operator="containsText" text="em andamento">
      <formula>NOT(ISERROR(SEARCH("em andamento",P85)))</formula>
    </cfRule>
  </conditionalFormatting>
  <conditionalFormatting sqref="P85 P91 P93 P95 P97 P99">
    <cfRule type="containsText" dxfId="1210" priority="7312" operator="containsText" text="Finalizado">
      <formula>NOT(ISERROR(SEARCH("Finalizado",P85)))</formula>
    </cfRule>
    <cfRule type="containsText" dxfId="1209" priority="7311" operator="containsText" text="Pendente">
      <formula>NOT(ISERROR(SEARCH("Pendente",P85)))</formula>
    </cfRule>
  </conditionalFormatting>
  <conditionalFormatting sqref="P85 P95 P97 P99 P91 P93">
    <cfRule type="containsText" dxfId="1208" priority="7310" operator="containsText" text="N/A">
      <formula>NOT(ISERROR(SEARCH("N/A",P85)))</formula>
    </cfRule>
    <cfRule type="containsText" dxfId="1207" priority="7309" operator="containsText" text="Lançado">
      <formula>NOT(ISERROR(SEARCH("Lançado",P85)))</formula>
    </cfRule>
  </conditionalFormatting>
  <conditionalFormatting sqref="P87:P88 M90:P90 M94:P94 P85">
    <cfRule type="expression" dxfId="1206" priority="3461">
      <formula>$H85="CÉLULA CONSTRUTIVA"</formula>
    </cfRule>
  </conditionalFormatting>
  <conditionalFormatting sqref="P87:P88 P100">
    <cfRule type="containsText" dxfId="1205" priority="3861" operator="containsText" text="Finalizado">
      <formula>NOT(ISERROR(SEARCH("Finalizado",P87)))</formula>
    </cfRule>
    <cfRule type="containsText" dxfId="1204" priority="3858" operator="containsText" text="Lançado">
      <formula>NOT(ISERROR(SEARCH("Lançado",P87)))</formula>
    </cfRule>
    <cfRule type="containsText" dxfId="1203" priority="3859" operator="containsText" text="N/A">
      <formula>NOT(ISERROR(SEARCH("N/A",P87)))</formula>
    </cfRule>
    <cfRule type="containsText" dxfId="1202" priority="3860" operator="containsText" text="Pendente">
      <formula>NOT(ISERROR(SEARCH("Pendente",P87)))</formula>
    </cfRule>
  </conditionalFormatting>
  <conditionalFormatting sqref="P88 P100">
    <cfRule type="containsText" dxfId="1201" priority="3854" operator="containsText" text="em andamento">
      <formula>NOT(ISERROR(SEARCH("em andamento",P88)))</formula>
    </cfRule>
    <cfRule type="containsText" dxfId="1200" priority="3851" operator="containsText" text="N/A">
      <formula>NOT(ISERROR(SEARCH("N/A",P88)))</formula>
    </cfRule>
    <cfRule type="containsText" dxfId="1199" priority="3852" operator="containsText" text="Pendente">
      <formula>NOT(ISERROR(SEARCH("Pendente",P88)))</formula>
    </cfRule>
    <cfRule type="containsText" dxfId="1198" priority="3853" operator="containsText" text="Finalizado">
      <formula>NOT(ISERROR(SEARCH("Finalizado",P88)))</formula>
    </cfRule>
    <cfRule type="expression" dxfId="1197" priority="3857">
      <formula>$H88="ETAPA"</formula>
    </cfRule>
    <cfRule type="containsText" dxfId="1196" priority="3850" operator="containsText" text="Lançado">
      <formula>NOT(ISERROR(SEARCH("Lançado",P88)))</formula>
    </cfRule>
    <cfRule type="containsText" dxfId="1195" priority="3862" operator="containsText" text="em andamento">
      <formula>NOT(ISERROR(SEARCH("em andamento",P88)))</formula>
    </cfRule>
  </conditionalFormatting>
  <conditionalFormatting sqref="P88">
    <cfRule type="expression" dxfId="1194" priority="3844">
      <formula>$H88="ETAPA"</formula>
    </cfRule>
    <cfRule type="containsText" dxfId="1193" priority="3845" operator="containsText" text="Lançado">
      <formula>NOT(ISERROR(SEARCH("Lançado",P88)))</formula>
    </cfRule>
    <cfRule type="containsText" dxfId="1192" priority="3846" operator="containsText" text="N/A">
      <formula>NOT(ISERROR(SEARCH("N/A",P88)))</formula>
    </cfRule>
    <cfRule type="containsText" dxfId="1191" priority="3847" operator="containsText" text="Pendente">
      <formula>NOT(ISERROR(SEARCH("Pendente",P88)))</formula>
    </cfRule>
    <cfRule type="containsText" dxfId="1190" priority="3848" operator="containsText" text="Finalizado">
      <formula>NOT(ISERROR(SEARCH("Finalizado",P88)))</formula>
    </cfRule>
    <cfRule type="containsText" dxfId="1189" priority="3849" operator="containsText" text="em andamento">
      <formula>NOT(ISERROR(SEARCH("em andamento",P88)))</formula>
    </cfRule>
  </conditionalFormatting>
  <conditionalFormatting sqref="P90 P92 P94 P96 P98">
    <cfRule type="containsText" dxfId="1188" priority="3329" operator="containsText" text="Finalizado">
      <formula>NOT(ISERROR(SEARCH("Finalizado",P90)))</formula>
    </cfRule>
    <cfRule type="containsText" dxfId="1187" priority="3328" operator="containsText" text="Pendente">
      <formula>NOT(ISERROR(SEARCH("Pendente",P90)))</formula>
    </cfRule>
    <cfRule type="containsText" dxfId="1186" priority="3327" operator="containsText" text="N/A">
      <formula>NOT(ISERROR(SEARCH("N/A",P90)))</formula>
    </cfRule>
    <cfRule type="containsText" dxfId="1185" priority="3326" operator="containsText" text="Lançado">
      <formula>NOT(ISERROR(SEARCH("Lançado",P90)))</formula>
    </cfRule>
    <cfRule type="expression" dxfId="1184" priority="3325">
      <formula>$H90="ETAPA"</formula>
    </cfRule>
    <cfRule type="containsText" dxfId="1183" priority="3331" operator="containsText" text="Lançado">
      <formula>NOT(ISERROR(SEARCH("Lançado",P90)))</formula>
    </cfRule>
    <cfRule type="containsText" dxfId="1182" priority="3341" operator="containsText" text="Pendente">
      <formula>NOT(ISERROR(SEARCH("Pendente",P90)))</formula>
    </cfRule>
    <cfRule type="containsText" dxfId="1181" priority="3330" operator="containsText" text="em andamento">
      <formula>NOT(ISERROR(SEARCH("em andamento",P90)))</formula>
    </cfRule>
    <cfRule type="containsText" dxfId="1180" priority="3343" operator="containsText" text="em andamento">
      <formula>NOT(ISERROR(SEARCH("em andamento",P90)))</formula>
    </cfRule>
    <cfRule type="containsText" dxfId="1179" priority="3342" operator="containsText" text="Finalizado">
      <formula>NOT(ISERROR(SEARCH("Finalizado",P90)))</formula>
    </cfRule>
    <cfRule type="containsText" dxfId="1178" priority="3340" operator="containsText" text="N/A">
      <formula>NOT(ISERROR(SEARCH("N/A",P90)))</formula>
    </cfRule>
    <cfRule type="containsText" dxfId="1177" priority="3339" operator="containsText" text="Lançado">
      <formula>NOT(ISERROR(SEARCH("Lançado",P90)))</formula>
    </cfRule>
    <cfRule type="expression" dxfId="1176" priority="3338">
      <formula>$H90="ETAPA"</formula>
    </cfRule>
    <cfRule type="containsText" dxfId="1175" priority="3335" operator="containsText" text="em andamento">
      <formula>NOT(ISERROR(SEARCH("em andamento",P90)))</formula>
    </cfRule>
    <cfRule type="containsText" dxfId="1174" priority="3334" operator="containsText" text="Finalizado">
      <formula>NOT(ISERROR(SEARCH("Finalizado",P90)))</formula>
    </cfRule>
    <cfRule type="containsText" dxfId="1173" priority="3333" operator="containsText" text="Pendente">
      <formula>NOT(ISERROR(SEARCH("Pendente",P90)))</formula>
    </cfRule>
    <cfRule type="containsText" dxfId="1172" priority="3332" operator="containsText" text="N/A">
      <formula>NOT(ISERROR(SEARCH("N/A",P90)))</formula>
    </cfRule>
  </conditionalFormatting>
  <conditionalFormatting sqref="P90">
    <cfRule type="containsText" dxfId="1171" priority="1247" operator="containsText" text="em andamento">
      <formula>NOT(ISERROR(SEARCH("em andamento",P90)))</formula>
    </cfRule>
    <cfRule type="containsText" dxfId="1170" priority="1246" operator="containsText" text="Finalizado">
      <formula>NOT(ISERROR(SEARCH("Finalizado",P90)))</formula>
    </cfRule>
    <cfRule type="containsText" dxfId="1169" priority="1242" operator="containsText" text="em andamento">
      <formula>NOT(ISERROR(SEARCH("em andamento",P90)))</formula>
    </cfRule>
    <cfRule type="containsText" dxfId="1168" priority="1244" operator="containsText" text="N/A">
      <formula>NOT(ISERROR(SEARCH("N/A",P90)))</formula>
    </cfRule>
    <cfRule type="containsText" dxfId="1167" priority="1243" operator="containsText" text="Lançado">
      <formula>NOT(ISERROR(SEARCH("Lançado",P90)))</formula>
    </cfRule>
    <cfRule type="containsText" dxfId="1166" priority="1245" operator="containsText" text="Pendente">
      <formula>NOT(ISERROR(SEARCH("Pendente",P90)))</formula>
    </cfRule>
    <cfRule type="expression" dxfId="1165" priority="1248">
      <formula>$H90="ETAPA"</formula>
    </cfRule>
    <cfRule type="containsText" dxfId="1164" priority="1252" operator="containsText" text="Finalizado">
      <formula>NOT(ISERROR(SEARCH("Finalizado",P90)))</formula>
    </cfRule>
    <cfRule type="containsText" dxfId="1163" priority="1253" operator="containsText" text="em andamento">
      <formula>NOT(ISERROR(SEARCH("em andamento",P90)))</formula>
    </cfRule>
    <cfRule type="expression" dxfId="1162" priority="1254">
      <formula>$H90="SUBETAPA"</formula>
    </cfRule>
    <cfRule type="containsText" dxfId="1161" priority="1249" operator="containsText" text="Lançado">
      <formula>NOT(ISERROR(SEARCH("Lançado",P90)))</formula>
    </cfRule>
    <cfRule type="expression" dxfId="1160" priority="1237">
      <formula>$H90="ETAPA"</formula>
    </cfRule>
    <cfRule type="containsText" dxfId="1159" priority="1238" operator="containsText" text="Lançado">
      <formula>NOT(ISERROR(SEARCH("Lançado",P90)))</formula>
    </cfRule>
    <cfRule type="containsText" dxfId="1158" priority="1239" operator="containsText" text="N/A">
      <formula>NOT(ISERROR(SEARCH("N/A",P90)))</formula>
    </cfRule>
    <cfRule type="containsText" dxfId="1157" priority="1251" operator="containsText" text="Pendente">
      <formula>NOT(ISERROR(SEARCH("Pendente",P90)))</formula>
    </cfRule>
    <cfRule type="containsText" dxfId="1156" priority="1240" operator="containsText" text="Pendente">
      <formula>NOT(ISERROR(SEARCH("Pendente",P90)))</formula>
    </cfRule>
    <cfRule type="containsText" dxfId="1155" priority="1241" operator="containsText" text="Finalizado">
      <formula>NOT(ISERROR(SEARCH("Finalizado",P90)))</formula>
    </cfRule>
    <cfRule type="containsText" dxfId="1154" priority="1250" operator="containsText" text="N/A">
      <formula>NOT(ISERROR(SEARCH("N/A",P90)))</formula>
    </cfRule>
  </conditionalFormatting>
  <conditionalFormatting sqref="P92">
    <cfRule type="containsText" dxfId="1153" priority="1227" operator="containsText" text="Pendente">
      <formula>NOT(ISERROR(SEARCH("Pendente",P92)))</formula>
    </cfRule>
    <cfRule type="containsText" dxfId="1152" priority="1228" operator="containsText" text="Finalizado">
      <formula>NOT(ISERROR(SEARCH("Finalizado",P92)))</formula>
    </cfRule>
    <cfRule type="containsText" dxfId="1151" priority="1229" operator="containsText" text="em andamento">
      <formula>NOT(ISERROR(SEARCH("em andamento",P92)))</formula>
    </cfRule>
    <cfRule type="containsText" dxfId="1150" priority="1231" operator="containsText" text="Lançado">
      <formula>NOT(ISERROR(SEARCH("Lançado",P92)))</formula>
    </cfRule>
    <cfRule type="containsText" dxfId="1149" priority="1232" operator="containsText" text="N/A">
      <formula>NOT(ISERROR(SEARCH("N/A",P92)))</formula>
    </cfRule>
    <cfRule type="containsText" dxfId="1148" priority="1233" operator="containsText" text="Pendente">
      <formula>NOT(ISERROR(SEARCH("Pendente",P92)))</formula>
    </cfRule>
    <cfRule type="containsText" dxfId="1147" priority="1234" operator="containsText" text="Finalizado">
      <formula>NOT(ISERROR(SEARCH("Finalizado",P92)))</formula>
    </cfRule>
    <cfRule type="containsText" dxfId="1146" priority="1235" operator="containsText" text="em andamento">
      <formula>NOT(ISERROR(SEARCH("em andamento",P92)))</formula>
    </cfRule>
    <cfRule type="expression" dxfId="1145" priority="1236">
      <formula>$H92="SUBETAPA"</formula>
    </cfRule>
    <cfRule type="expression" dxfId="1144" priority="1219">
      <formula>$H92="ETAPA"</formula>
    </cfRule>
    <cfRule type="containsText" dxfId="1143" priority="1220" operator="containsText" text="Lançado">
      <formula>NOT(ISERROR(SEARCH("Lançado",P92)))</formula>
    </cfRule>
    <cfRule type="containsText" dxfId="1142" priority="1221" operator="containsText" text="N/A">
      <formula>NOT(ISERROR(SEARCH("N/A",P92)))</formula>
    </cfRule>
    <cfRule type="containsText" dxfId="1141" priority="1222" operator="containsText" text="Pendente">
      <formula>NOT(ISERROR(SEARCH("Pendente",P92)))</formula>
    </cfRule>
    <cfRule type="containsText" dxfId="1140" priority="1223" operator="containsText" text="Finalizado">
      <formula>NOT(ISERROR(SEARCH("Finalizado",P92)))</formula>
    </cfRule>
    <cfRule type="containsText" dxfId="1139" priority="1224" operator="containsText" text="em andamento">
      <formula>NOT(ISERROR(SEARCH("em andamento",P92)))</formula>
    </cfRule>
    <cfRule type="containsText" dxfId="1138" priority="1225" operator="containsText" text="Lançado">
      <formula>NOT(ISERROR(SEARCH("Lançado",P92)))</formula>
    </cfRule>
    <cfRule type="containsText" dxfId="1137" priority="1226" operator="containsText" text="N/A">
      <formula>NOT(ISERROR(SEARCH("N/A",P92)))</formula>
    </cfRule>
  </conditionalFormatting>
  <conditionalFormatting sqref="P94">
    <cfRule type="containsText" dxfId="1136" priority="1204" operator="containsText" text="Finalizado">
      <formula>NOT(ISERROR(SEARCH("Finalizado",P94)))</formula>
    </cfRule>
    <cfRule type="containsText" dxfId="1135" priority="1205" operator="containsText" text="em andamento">
      <formula>NOT(ISERROR(SEARCH("em andamento",P94)))</formula>
    </cfRule>
    <cfRule type="containsText" dxfId="1134" priority="1206" operator="containsText" text="Lançado">
      <formula>NOT(ISERROR(SEARCH("Lançado",P94)))</formula>
    </cfRule>
    <cfRule type="containsText" dxfId="1133" priority="1210" operator="containsText" text="em andamento">
      <formula>NOT(ISERROR(SEARCH("em andamento",P94)))</formula>
    </cfRule>
    <cfRule type="containsText" dxfId="1132" priority="1209" operator="containsText" text="Finalizado">
      <formula>NOT(ISERROR(SEARCH("Finalizado",P94)))</formula>
    </cfRule>
    <cfRule type="containsText" dxfId="1131" priority="1208" operator="containsText" text="Pendente">
      <formula>NOT(ISERROR(SEARCH("Pendente",P94)))</formula>
    </cfRule>
    <cfRule type="containsText" dxfId="1130" priority="1207" operator="containsText" text="N/A">
      <formula>NOT(ISERROR(SEARCH("N/A",P94)))</formula>
    </cfRule>
    <cfRule type="containsText" dxfId="1129" priority="1202" operator="containsText" text="N/A">
      <formula>NOT(ISERROR(SEARCH("N/A",P94)))</formula>
    </cfRule>
    <cfRule type="expression" dxfId="1128" priority="1200">
      <formula>$H94="ETAPA"</formula>
    </cfRule>
    <cfRule type="containsText" dxfId="1127" priority="1203" operator="containsText" text="Pendente">
      <formula>NOT(ISERROR(SEARCH("Pendente",P94)))</formula>
    </cfRule>
    <cfRule type="expression" dxfId="1126" priority="1211">
      <formula>$H94="ETAPA"</formula>
    </cfRule>
    <cfRule type="containsText" dxfId="1125" priority="1212" operator="containsText" text="Lançado">
      <formula>NOT(ISERROR(SEARCH("Lançado",P94)))</formula>
    </cfRule>
    <cfRule type="containsText" dxfId="1124" priority="1213" operator="containsText" text="N/A">
      <formula>NOT(ISERROR(SEARCH("N/A",P94)))</formula>
    </cfRule>
    <cfRule type="containsText" dxfId="1123" priority="1214" operator="containsText" text="Pendente">
      <formula>NOT(ISERROR(SEARCH("Pendente",P94)))</formula>
    </cfRule>
    <cfRule type="containsText" dxfId="1122" priority="1215" operator="containsText" text="Finalizado">
      <formula>NOT(ISERROR(SEARCH("Finalizado",P94)))</formula>
    </cfRule>
    <cfRule type="containsText" dxfId="1121" priority="1216" operator="containsText" text="em andamento">
      <formula>NOT(ISERROR(SEARCH("em andamento",P94)))</formula>
    </cfRule>
    <cfRule type="expression" dxfId="1120" priority="1217">
      <formula>$H94="SUBETAPA"</formula>
    </cfRule>
    <cfRule type="containsText" dxfId="1119" priority="1201" operator="containsText" text="Lançado">
      <formula>NOT(ISERROR(SEARCH("Lançado",P94)))</formula>
    </cfRule>
  </conditionalFormatting>
  <conditionalFormatting sqref="P96 P98 P90 P92 P94">
    <cfRule type="expression" dxfId="1118" priority="3324">
      <formula>$H90="CÉLULA CONSTRUTIVA"</formula>
    </cfRule>
  </conditionalFormatting>
  <conditionalFormatting sqref="P96 P98">
    <cfRule type="expression" dxfId="1117" priority="3323">
      <formula>$H96="SUBETAPA"</formula>
    </cfRule>
  </conditionalFormatting>
  <conditionalFormatting sqref="P96">
    <cfRule type="containsText" dxfId="1116" priority="1185" operator="containsText" text="N/A">
      <formula>NOT(ISERROR(SEARCH("N/A",P96)))</formula>
    </cfRule>
    <cfRule type="containsText" dxfId="1115" priority="1192" operator="containsText" text="Finalizado">
      <formula>NOT(ISERROR(SEARCH("Finalizado",P96)))</formula>
    </cfRule>
    <cfRule type="containsText" dxfId="1114" priority="1199" operator="containsText" text="em andamento">
      <formula>NOT(ISERROR(SEARCH("em andamento",P96)))</formula>
    </cfRule>
    <cfRule type="containsText" dxfId="1113" priority="1198" operator="containsText" text="Finalizado">
      <formula>NOT(ISERROR(SEARCH("Finalizado",P96)))</formula>
    </cfRule>
    <cfRule type="containsText" dxfId="1112" priority="1197" operator="containsText" text="Pendente">
      <formula>NOT(ISERROR(SEARCH("Pendente",P96)))</formula>
    </cfRule>
    <cfRule type="containsText" dxfId="1111" priority="1196" operator="containsText" text="N/A">
      <formula>NOT(ISERROR(SEARCH("N/A",P96)))</formula>
    </cfRule>
    <cfRule type="containsText" dxfId="1110" priority="1195" operator="containsText" text="Lançado">
      <formula>NOT(ISERROR(SEARCH("Lançado",P96)))</formula>
    </cfRule>
    <cfRule type="expression" dxfId="1109" priority="1194">
      <formula>$H96="ETAPA"</formula>
    </cfRule>
    <cfRule type="containsText" dxfId="1108" priority="1193" operator="containsText" text="em andamento">
      <formula>NOT(ISERROR(SEARCH("em andamento",P96)))</formula>
    </cfRule>
    <cfRule type="containsText" dxfId="1107" priority="1190" operator="containsText" text="N/A">
      <formula>NOT(ISERROR(SEARCH("N/A",P96)))</formula>
    </cfRule>
    <cfRule type="containsText" dxfId="1106" priority="1189" operator="containsText" text="Lançado">
      <formula>NOT(ISERROR(SEARCH("Lançado",P96)))</formula>
    </cfRule>
    <cfRule type="containsText" dxfId="1105" priority="1188" operator="containsText" text="em andamento">
      <formula>NOT(ISERROR(SEARCH("em andamento",P96)))</formula>
    </cfRule>
    <cfRule type="containsText" dxfId="1104" priority="1187" operator="containsText" text="Finalizado">
      <formula>NOT(ISERROR(SEARCH("Finalizado",P96)))</formula>
    </cfRule>
    <cfRule type="containsText" dxfId="1103" priority="1186" operator="containsText" text="Pendente">
      <formula>NOT(ISERROR(SEARCH("Pendente",P96)))</formula>
    </cfRule>
    <cfRule type="containsText" dxfId="1102" priority="1184" operator="containsText" text="Lançado">
      <formula>NOT(ISERROR(SEARCH("Lançado",P96)))</formula>
    </cfRule>
    <cfRule type="expression" dxfId="1101" priority="1183">
      <formula>$H96="ETAPA"</formula>
    </cfRule>
    <cfRule type="expression" dxfId="1100" priority="1182">
      <formula>$H96="CÉLULA CONSTRUTIVA"</formula>
    </cfRule>
    <cfRule type="expression" dxfId="1099" priority="1181">
      <formula>$H96="SUBETAPA"</formula>
    </cfRule>
    <cfRule type="containsText" dxfId="1098" priority="1191" operator="containsText" text="Pendente">
      <formula>NOT(ISERROR(SEARCH("Pendente",P96)))</formula>
    </cfRule>
  </conditionalFormatting>
  <conditionalFormatting sqref="P98">
    <cfRule type="containsText" dxfId="1097" priority="1179" operator="containsText" text="Finalizado">
      <formula>NOT(ISERROR(SEARCH("Finalizado",P98)))</formula>
    </cfRule>
    <cfRule type="containsText" dxfId="1096" priority="1178" operator="containsText" text="Pendente">
      <formula>NOT(ISERROR(SEARCH("Pendente",P98)))</formula>
    </cfRule>
    <cfRule type="containsText" dxfId="1095" priority="1177" operator="containsText" text="N/A">
      <formula>NOT(ISERROR(SEARCH("N/A",P98)))</formula>
    </cfRule>
    <cfRule type="containsText" dxfId="1094" priority="1176" operator="containsText" text="Lançado">
      <formula>NOT(ISERROR(SEARCH("Lançado",P98)))</formula>
    </cfRule>
    <cfRule type="expression" dxfId="1093" priority="1175">
      <formula>$H98="ETAPA"</formula>
    </cfRule>
    <cfRule type="containsText" dxfId="1092" priority="1174" operator="containsText" text="em andamento">
      <formula>NOT(ISERROR(SEARCH("em andamento",P98)))</formula>
    </cfRule>
    <cfRule type="expression" dxfId="1091" priority="1164">
      <formula>$H98="ETAPA"</formula>
    </cfRule>
    <cfRule type="containsText" dxfId="1090" priority="1165" operator="containsText" text="Lançado">
      <formula>NOT(ISERROR(SEARCH("Lançado",P98)))</formula>
    </cfRule>
    <cfRule type="containsText" dxfId="1089" priority="1166" operator="containsText" text="N/A">
      <formula>NOT(ISERROR(SEARCH("N/A",P98)))</formula>
    </cfRule>
    <cfRule type="containsText" dxfId="1088" priority="1167" operator="containsText" text="Pendente">
      <formula>NOT(ISERROR(SEARCH("Pendente",P98)))</formula>
    </cfRule>
    <cfRule type="containsText" dxfId="1087" priority="1168" operator="containsText" text="Finalizado">
      <formula>NOT(ISERROR(SEARCH("Finalizado",P98)))</formula>
    </cfRule>
    <cfRule type="containsText" dxfId="1086" priority="1169" operator="containsText" text="em andamento">
      <formula>NOT(ISERROR(SEARCH("em andamento",P98)))</formula>
    </cfRule>
    <cfRule type="expression" dxfId="1085" priority="1163">
      <formula>$H98="CÉLULA CONSTRUTIVA"</formula>
    </cfRule>
    <cfRule type="expression" dxfId="1084" priority="1162">
      <formula>$H98="SUBETAPA"</formula>
    </cfRule>
    <cfRule type="containsText" dxfId="1083" priority="1173" operator="containsText" text="Finalizado">
      <formula>NOT(ISERROR(SEARCH("Finalizado",P98)))</formula>
    </cfRule>
    <cfRule type="containsText" dxfId="1082" priority="1170" operator="containsText" text="Lançado">
      <formula>NOT(ISERROR(SEARCH("Lançado",P98)))</formula>
    </cfRule>
    <cfRule type="containsText" dxfId="1081" priority="1171" operator="containsText" text="N/A">
      <formula>NOT(ISERROR(SEARCH("N/A",P98)))</formula>
    </cfRule>
    <cfRule type="containsText" dxfId="1080" priority="1172" operator="containsText" text="Pendente">
      <formula>NOT(ISERROR(SEARCH("Pendente",P98)))</formula>
    </cfRule>
    <cfRule type="containsText" dxfId="1079" priority="1180" operator="containsText" text="em andamento">
      <formula>NOT(ISERROR(SEARCH("em andamento",P98)))</formula>
    </cfRule>
  </conditionalFormatting>
  <conditionalFormatting sqref="P100">
    <cfRule type="containsText" dxfId="1078" priority="1158" operator="containsText" text="N/A">
      <formula>NOT(ISERROR(SEARCH("N/A",P100)))</formula>
    </cfRule>
    <cfRule type="containsText" dxfId="1077" priority="1161" operator="containsText" text="em andamento">
      <formula>NOT(ISERROR(SEARCH("em andamento",P100)))</formula>
    </cfRule>
    <cfRule type="expression" dxfId="1076" priority="1156">
      <formula>$H100="ETAPA"</formula>
    </cfRule>
    <cfRule type="expression" dxfId="1075" priority="1155">
      <formula>$H100="CÉLULA CONSTRUTIVA"</formula>
    </cfRule>
    <cfRule type="containsText" dxfId="1074" priority="1160" operator="containsText" text="Finalizado">
      <formula>NOT(ISERROR(SEARCH("Finalizado",P100)))</formula>
    </cfRule>
    <cfRule type="expression" dxfId="1073" priority="1154">
      <formula>$H100="SUBETAPA"</formula>
    </cfRule>
    <cfRule type="containsText" dxfId="1072" priority="1159" operator="containsText" text="Pendente">
      <formula>NOT(ISERROR(SEARCH("Pendente",P100)))</formula>
    </cfRule>
    <cfRule type="containsText" dxfId="1071" priority="1157" operator="containsText" text="Lançado">
      <formula>NOT(ISERROR(SEARCH("Lançado",P100)))</formula>
    </cfRule>
  </conditionalFormatting>
  <conditionalFormatting sqref="P100:P101">
    <cfRule type="expression" dxfId="1070" priority="3278">
      <formula>$H100="ETAPA"</formula>
    </cfRule>
  </conditionalFormatting>
  <conditionalFormatting sqref="P100:P102">
    <cfRule type="containsText" dxfId="1069" priority="3290" operator="containsText" text="em andamento">
      <formula>NOT(ISERROR(SEARCH("em andamento",P100)))</formula>
    </cfRule>
    <cfRule type="containsText" dxfId="1068" priority="3289" operator="containsText" text="Finalizado">
      <formula>NOT(ISERROR(SEARCH("Finalizado",P100)))</formula>
    </cfRule>
    <cfRule type="containsText" dxfId="1067" priority="3288" operator="containsText" text="Pendente">
      <formula>NOT(ISERROR(SEARCH("Pendente",P100)))</formula>
    </cfRule>
    <cfRule type="containsText" dxfId="1066" priority="3287" operator="containsText" text="N/A">
      <formula>NOT(ISERROR(SEARCH("N/A",P100)))</formula>
    </cfRule>
    <cfRule type="containsText" dxfId="1065" priority="3286" operator="containsText" text="Lançado">
      <formula>NOT(ISERROR(SEARCH("Lançado",P100)))</formula>
    </cfRule>
  </conditionalFormatting>
  <conditionalFormatting sqref="P101">
    <cfRule type="expression" dxfId="1064" priority="3268">
      <formula>$H101="CÉLULA CONSTRUTIVA"</formula>
    </cfRule>
    <cfRule type="expression" dxfId="1063" priority="3269">
      <formula>$H101="ETAPA"</formula>
    </cfRule>
    <cfRule type="containsText" dxfId="1062" priority="3270" operator="containsText" text="Lançado">
      <formula>NOT(ISERROR(SEARCH("Lançado",P101)))</formula>
    </cfRule>
    <cfRule type="containsText" dxfId="1061" priority="3271" operator="containsText" text="N/A">
      <formula>NOT(ISERROR(SEARCH("N/A",P101)))</formula>
    </cfRule>
    <cfRule type="containsText" dxfId="1060" priority="3272" operator="containsText" text="Pendente">
      <formula>NOT(ISERROR(SEARCH("Pendente",P101)))</formula>
    </cfRule>
    <cfRule type="containsText" dxfId="1059" priority="3273" operator="containsText" text="Finalizado">
      <formula>NOT(ISERROR(SEARCH("Finalizado",P101)))</formula>
    </cfRule>
    <cfRule type="containsText" dxfId="1058" priority="3274" operator="containsText" text="em andamento">
      <formula>NOT(ISERROR(SEARCH("em andamento",P101)))</formula>
    </cfRule>
    <cfRule type="expression" dxfId="1057" priority="3276">
      <formula>$H101="ETAPA"</formula>
    </cfRule>
    <cfRule type="expression" dxfId="1056" priority="3277">
      <formula>$H101="CÉLULA CONSTRUTIVA"</formula>
    </cfRule>
    <cfRule type="containsText" dxfId="1055" priority="3279" operator="containsText" text="Lançado">
      <formula>NOT(ISERROR(SEARCH("Lançado",P101)))</formula>
    </cfRule>
    <cfRule type="containsText" dxfId="1054" priority="3280" operator="containsText" text="N/A">
      <formula>NOT(ISERROR(SEARCH("N/A",P101)))</formula>
    </cfRule>
    <cfRule type="containsText" dxfId="1053" priority="3281" operator="containsText" text="Pendente">
      <formula>NOT(ISERROR(SEARCH("Pendente",P101)))</formula>
    </cfRule>
    <cfRule type="containsText" dxfId="1052" priority="3282" operator="containsText" text="Finalizado">
      <formula>NOT(ISERROR(SEARCH("Finalizado",P101)))</formula>
    </cfRule>
    <cfRule type="containsText" dxfId="1051" priority="3283" operator="containsText" text="em andamento">
      <formula>NOT(ISERROR(SEARCH("em andamento",P101)))</formula>
    </cfRule>
    <cfRule type="expression" dxfId="1050" priority="3275">
      <formula>$H101="CÉLULA CONSTRUTIVA"</formula>
    </cfRule>
  </conditionalFormatting>
  <conditionalFormatting sqref="P101:P102">
    <cfRule type="expression" dxfId="1049" priority="3284">
      <formula>$H101="SUBETAPA"</formula>
    </cfRule>
  </conditionalFormatting>
  <conditionalFormatting sqref="P103">
    <cfRule type="containsText" dxfId="1048" priority="3191" operator="containsText" text="Pendente">
      <formula>NOT(ISERROR(SEARCH("Pendente",P103)))</formula>
    </cfRule>
    <cfRule type="containsText" dxfId="1047" priority="3192" operator="containsText" text="Finalizado">
      <formula>NOT(ISERROR(SEARCH("Finalizado",P103)))</formula>
    </cfRule>
    <cfRule type="containsText" dxfId="1046" priority="3193" operator="containsText" text="em andamento">
      <formula>NOT(ISERROR(SEARCH("em andamento",P103)))</formula>
    </cfRule>
    <cfRule type="containsText" dxfId="1045" priority="3189" operator="containsText" text="Lançado">
      <formula>NOT(ISERROR(SEARCH("Lançado",P103)))</formula>
    </cfRule>
    <cfRule type="containsText" dxfId="1044" priority="3190" operator="containsText" text="N/A">
      <formula>NOT(ISERROR(SEARCH("N/A",P103)))</formula>
    </cfRule>
  </conditionalFormatting>
  <conditionalFormatting sqref="P104">
    <cfRule type="containsText" dxfId="1043" priority="3225" operator="containsText" text="Pendente">
      <formula>NOT(ISERROR(SEARCH("Pendente",P104)))</formula>
    </cfRule>
    <cfRule type="containsText" dxfId="1042" priority="3224" operator="containsText" text="N/A">
      <formula>NOT(ISERROR(SEARCH("N/A",P104)))</formula>
    </cfRule>
    <cfRule type="containsText" dxfId="1041" priority="3223" operator="containsText" text="Lançado">
      <formula>NOT(ISERROR(SEARCH("Lançado",P104)))</formula>
    </cfRule>
    <cfRule type="containsText" dxfId="1040" priority="3211" operator="containsText" text="Finalizado">
      <formula>NOT(ISERROR(SEARCH("Finalizado",P104)))</formula>
    </cfRule>
    <cfRule type="containsText" dxfId="1039" priority="3208" operator="containsText" text="Lançado">
      <formula>NOT(ISERROR(SEARCH("Lançado",P104)))</formula>
    </cfRule>
    <cfRule type="expression" dxfId="1038" priority="3370">
      <formula>$H104="CÉLULA CONSTRUTIVA"</formula>
    </cfRule>
    <cfRule type="expression" dxfId="1037" priority="3369">
      <formula>$H104="SUBETAPA"</formula>
    </cfRule>
    <cfRule type="containsText" dxfId="1036" priority="3221" operator="containsText" text="Finalizado">
      <formula>NOT(ISERROR(SEARCH("Finalizado",P104)))</formula>
    </cfRule>
    <cfRule type="containsText" dxfId="1035" priority="3212" operator="containsText" text="em andamento">
      <formula>NOT(ISERROR(SEARCH("em andamento",P104)))</formula>
    </cfRule>
    <cfRule type="expression" dxfId="1034" priority="3194">
      <formula>$H104="ETAPA"</formula>
    </cfRule>
    <cfRule type="containsText" dxfId="1033" priority="3195" operator="containsText" text="Lançado">
      <formula>NOT(ISERROR(SEARCH("Lançado",P104)))</formula>
    </cfRule>
    <cfRule type="containsText" dxfId="1032" priority="3196" operator="containsText" text="N/A">
      <formula>NOT(ISERROR(SEARCH("N/A",P104)))</formula>
    </cfRule>
    <cfRule type="containsText" dxfId="1031" priority="3197" operator="containsText" text="Pendente">
      <formula>NOT(ISERROR(SEARCH("Pendente",P104)))</formula>
    </cfRule>
    <cfRule type="containsText" dxfId="1030" priority="3198" operator="containsText" text="Finalizado">
      <formula>NOT(ISERROR(SEARCH("Finalizado",P104)))</formula>
    </cfRule>
    <cfRule type="containsText" dxfId="1029" priority="3199" operator="containsText" text="em andamento">
      <formula>NOT(ISERROR(SEARCH("em andamento",P104)))</formula>
    </cfRule>
    <cfRule type="containsText" dxfId="1028" priority="3200" operator="containsText" text="Lançado">
      <formula>NOT(ISERROR(SEARCH("Lançado",P104)))</formula>
    </cfRule>
    <cfRule type="containsText" dxfId="1027" priority="3201" operator="containsText" text="N/A">
      <formula>NOT(ISERROR(SEARCH("N/A",P104)))</formula>
    </cfRule>
    <cfRule type="containsText" dxfId="1026" priority="3222" operator="containsText" text="em andamento">
      <formula>NOT(ISERROR(SEARCH("em andamento",P104)))</formula>
    </cfRule>
    <cfRule type="containsText" dxfId="1025" priority="3202" operator="containsText" text="Pendente">
      <formula>NOT(ISERROR(SEARCH("Pendente",P104)))</formula>
    </cfRule>
    <cfRule type="containsText" dxfId="1024" priority="3220" operator="containsText" text="Pendente">
      <formula>NOT(ISERROR(SEARCH("Pendente",P104)))</formula>
    </cfRule>
    <cfRule type="containsText" dxfId="1023" priority="3203" operator="containsText" text="Finalizado">
      <formula>NOT(ISERROR(SEARCH("Finalizado",P104)))</formula>
    </cfRule>
    <cfRule type="containsText" dxfId="1022" priority="3219" operator="containsText" text="N/A">
      <formula>NOT(ISERROR(SEARCH("N/A",P104)))</formula>
    </cfRule>
    <cfRule type="containsText" dxfId="1021" priority="3218" operator="containsText" text="Lançado">
      <formula>NOT(ISERROR(SEARCH("Lançado",P104)))</formula>
    </cfRule>
    <cfRule type="expression" dxfId="1020" priority="3217">
      <formula>$H104="ETAPA"</formula>
    </cfRule>
    <cfRule type="containsText" dxfId="1019" priority="3204" operator="containsText" text="em andamento">
      <formula>NOT(ISERROR(SEARCH("em andamento",P104)))</formula>
    </cfRule>
    <cfRule type="expression" dxfId="1018" priority="3205">
      <formula>$H104="SUBETAPA"</formula>
    </cfRule>
    <cfRule type="expression" dxfId="1017" priority="3206">
      <formula>$H104="CÉLULA CONSTRUTIVA"</formula>
    </cfRule>
    <cfRule type="containsText" dxfId="1016" priority="3209" operator="containsText" text="N/A">
      <formula>NOT(ISERROR(SEARCH("N/A",P104)))</formula>
    </cfRule>
    <cfRule type="containsText" dxfId="1015" priority="3210" operator="containsText" text="Pendente">
      <formula>NOT(ISERROR(SEARCH("Pendente",P104)))</formula>
    </cfRule>
    <cfRule type="containsText" dxfId="1014" priority="3235" operator="containsText" text="em andamento">
      <formula>NOT(ISERROR(SEARCH("em andamento",P104)))</formula>
    </cfRule>
    <cfRule type="containsText" dxfId="1013" priority="3234" operator="containsText" text="Finalizado">
      <formula>NOT(ISERROR(SEARCH("Finalizado",P104)))</formula>
    </cfRule>
    <cfRule type="containsText" dxfId="1012" priority="3233" operator="containsText" text="Pendente">
      <formula>NOT(ISERROR(SEARCH("Pendente",P104)))</formula>
    </cfRule>
    <cfRule type="containsText" dxfId="1011" priority="3232" operator="containsText" text="N/A">
      <formula>NOT(ISERROR(SEARCH("N/A",P104)))</formula>
    </cfRule>
    <cfRule type="containsText" dxfId="1010" priority="3231" operator="containsText" text="Lançado">
      <formula>NOT(ISERROR(SEARCH("Lançado",P104)))</formula>
    </cfRule>
    <cfRule type="expression" dxfId="1009" priority="3230">
      <formula>$H104="ETAPA"</formula>
    </cfRule>
    <cfRule type="containsText" dxfId="1008" priority="3227" operator="containsText" text="em andamento">
      <formula>NOT(ISERROR(SEARCH("em andamento",P104)))</formula>
    </cfRule>
    <cfRule type="containsText" dxfId="1007" priority="3226" operator="containsText" text="Finalizado">
      <formula>NOT(ISERROR(SEARCH("Finalizado",P104)))</formula>
    </cfRule>
  </conditionalFormatting>
  <conditionalFormatting sqref="P105:P106">
    <cfRule type="containsText" dxfId="1006" priority="3250" operator="containsText" text="em andamento">
      <formula>NOT(ISERROR(SEARCH("em andamento",P105)))</formula>
    </cfRule>
    <cfRule type="containsText" dxfId="1005" priority="3248" operator="containsText" text="Pendente">
      <formula>NOT(ISERROR(SEARCH("Pendente",P105)))</formula>
    </cfRule>
    <cfRule type="containsText" dxfId="1004" priority="3247" operator="containsText" text="N/A">
      <formula>NOT(ISERROR(SEARCH("N/A",P105)))</formula>
    </cfRule>
    <cfRule type="containsText" dxfId="1003" priority="3246" operator="containsText" text="Lançado">
      <formula>NOT(ISERROR(SEARCH("Lançado",P105)))</formula>
    </cfRule>
    <cfRule type="containsText" dxfId="1002" priority="3249" operator="containsText" text="Finalizado">
      <formula>NOT(ISERROR(SEARCH("Finalizado",P105)))</formula>
    </cfRule>
  </conditionalFormatting>
  <conditionalFormatting sqref="P106">
    <cfRule type="containsText" dxfId="1001" priority="1129" operator="containsText" text="Lançado">
      <formula>NOT(ISERROR(SEARCH("Lançado",P106)))</formula>
    </cfRule>
    <cfRule type="containsText" dxfId="1000" priority="1130" operator="containsText" text="N/A">
      <formula>NOT(ISERROR(SEARCH("N/A",P106)))</formula>
    </cfRule>
    <cfRule type="containsText" dxfId="999" priority="1131" operator="containsText" text="Pendente">
      <formula>NOT(ISERROR(SEARCH("Pendente",P106)))</formula>
    </cfRule>
    <cfRule type="containsText" dxfId="998" priority="1123" operator="containsText" text="N/A">
      <formula>NOT(ISERROR(SEARCH("N/A",P106)))</formula>
    </cfRule>
    <cfRule type="containsText" dxfId="997" priority="1150" operator="containsText" text="em andamento">
      <formula>NOT(ISERROR(SEARCH("em andamento",P106)))</formula>
    </cfRule>
    <cfRule type="containsText" dxfId="996" priority="1124" operator="containsText" text="Pendente">
      <formula>NOT(ISERROR(SEARCH("Pendente",P106)))</formula>
    </cfRule>
    <cfRule type="containsText" dxfId="995" priority="3241" operator="containsText" text="Lançado">
      <formula>NOT(ISERROR(SEARCH("Lançado",P106)))</formula>
    </cfRule>
    <cfRule type="containsText" dxfId="994" priority="3242" operator="containsText" text="N/A">
      <formula>NOT(ISERROR(SEARCH("N/A",P106)))</formula>
    </cfRule>
    <cfRule type="containsText" dxfId="993" priority="1125" operator="containsText" text="Finalizado">
      <formula>NOT(ISERROR(SEARCH("Finalizado",P106)))</formula>
    </cfRule>
    <cfRule type="containsText" dxfId="992" priority="3243" operator="containsText" text="Pendente">
      <formula>NOT(ISERROR(SEARCH("Pendente",P106)))</formula>
    </cfRule>
    <cfRule type="containsText" dxfId="991" priority="3244" operator="containsText" text="Finalizado">
      <formula>NOT(ISERROR(SEARCH("Finalizado",P106)))</formula>
    </cfRule>
    <cfRule type="containsText" dxfId="990" priority="3245" operator="containsText" text="em andamento">
      <formula>NOT(ISERROR(SEARCH("em andamento",P106)))</formula>
    </cfRule>
    <cfRule type="expression" dxfId="989" priority="3293">
      <formula>$H106="CÉLULA CONSTRUTIVA"</formula>
    </cfRule>
    <cfRule type="containsText" dxfId="988" priority="1142" operator="containsText" text="Pendente">
      <formula>NOT(ISERROR(SEARCH("Pendente",P106)))</formula>
    </cfRule>
    <cfRule type="containsText" dxfId="987" priority="1143" operator="containsText" text="Finalizado">
      <formula>NOT(ISERROR(SEARCH("Finalizado",P106)))</formula>
    </cfRule>
    <cfRule type="containsText" dxfId="986" priority="1144" operator="containsText" text="em andamento">
      <formula>NOT(ISERROR(SEARCH("em andamento",P106)))</formula>
    </cfRule>
    <cfRule type="expression" dxfId="985" priority="1145">
      <formula>$H106="ETAPA"</formula>
    </cfRule>
    <cfRule type="containsText" dxfId="984" priority="1146" operator="containsText" text="Lançado">
      <formula>NOT(ISERROR(SEARCH("Lançado",P106)))</formula>
    </cfRule>
    <cfRule type="containsText" dxfId="983" priority="1147" operator="containsText" text="N/A">
      <formula>NOT(ISERROR(SEARCH("N/A",P106)))</formula>
    </cfRule>
    <cfRule type="containsText" dxfId="982" priority="1148" operator="containsText" text="Pendente">
      <formula>NOT(ISERROR(SEARCH("Pendente",P106)))</formula>
    </cfRule>
    <cfRule type="containsText" dxfId="981" priority="1149" operator="containsText" text="Finalizado">
      <formula>NOT(ISERROR(SEARCH("Finalizado",P106)))</formula>
    </cfRule>
    <cfRule type="expression" dxfId="980" priority="3292">
      <formula>$H106="SUBETAPA"</formula>
    </cfRule>
    <cfRule type="containsText" dxfId="979" priority="1136" operator="containsText" text="N/A">
      <formula>NOT(ISERROR(SEARCH("N/A",P106)))</formula>
    </cfRule>
    <cfRule type="containsText" dxfId="978" priority="1135" operator="containsText" text="Lançado">
      <formula>NOT(ISERROR(SEARCH("Lançado",P106)))</formula>
    </cfRule>
    <cfRule type="expression" dxfId="977" priority="1134">
      <formula>$H106="ETAPA"</formula>
    </cfRule>
    <cfRule type="containsText" dxfId="976" priority="1133" operator="containsText" text="em andamento">
      <formula>NOT(ISERROR(SEARCH("em andamento",P106)))</formula>
    </cfRule>
    <cfRule type="containsText" dxfId="975" priority="1132" operator="containsText" text="Finalizado">
      <formula>NOT(ISERROR(SEARCH("Finalizado",P106)))</formula>
    </cfRule>
    <cfRule type="containsText" dxfId="974" priority="1126" operator="containsText" text="em andamento">
      <formula>NOT(ISERROR(SEARCH("em andamento",P106)))</formula>
    </cfRule>
    <cfRule type="containsText" dxfId="973" priority="1120" operator="containsText" text="Finalizado">
      <formula>NOT(ISERROR(SEARCH("Finalizado",P106)))</formula>
    </cfRule>
    <cfRule type="expression" dxfId="972" priority="1128">
      <formula>$H106="CÉLULA CONSTRUTIVA"</formula>
    </cfRule>
    <cfRule type="containsText" dxfId="971" priority="1140" operator="containsText" text="Lançado">
      <formula>NOT(ISERROR(SEARCH("Lançado",P106)))</formula>
    </cfRule>
    <cfRule type="containsText" dxfId="970" priority="1141" operator="containsText" text="N/A">
      <formula>NOT(ISERROR(SEARCH("N/A",P106)))</formula>
    </cfRule>
    <cfRule type="containsText" dxfId="969" priority="1137" operator="containsText" text="Pendente">
      <formula>NOT(ISERROR(SEARCH("Pendente",P106)))</formula>
    </cfRule>
    <cfRule type="containsText" dxfId="968" priority="1138" operator="containsText" text="Finalizado">
      <formula>NOT(ISERROR(SEARCH("Finalizado",P106)))</formula>
    </cfRule>
    <cfRule type="containsText" dxfId="967" priority="1139" operator="containsText" text="em andamento">
      <formula>NOT(ISERROR(SEARCH("em andamento",P106)))</formula>
    </cfRule>
    <cfRule type="expression" dxfId="966" priority="1152">
      <formula>$H106="CÉLULA CONSTRUTIVA"</formula>
    </cfRule>
    <cfRule type="expression" dxfId="965" priority="1127">
      <formula>$H106="SUBETAPA"</formula>
    </cfRule>
    <cfRule type="expression" dxfId="964" priority="1115">
      <formula>$H106="SUBETAPA"</formula>
    </cfRule>
    <cfRule type="expression" dxfId="963" priority="1116">
      <formula>$H106="ETAPA"</formula>
    </cfRule>
    <cfRule type="containsText" dxfId="962" priority="1117" operator="containsText" text="Lançado">
      <formula>NOT(ISERROR(SEARCH("Lançado",P106)))</formula>
    </cfRule>
    <cfRule type="containsText" dxfId="961" priority="1118" operator="containsText" text="N/A">
      <formula>NOT(ISERROR(SEARCH("N/A",P106)))</formula>
    </cfRule>
    <cfRule type="containsText" dxfId="960" priority="1119" operator="containsText" text="Pendente">
      <formula>NOT(ISERROR(SEARCH("Pendente",P106)))</formula>
    </cfRule>
    <cfRule type="containsText" dxfId="959" priority="1121" operator="containsText" text="em andamento">
      <formula>NOT(ISERROR(SEARCH("em andamento",P106)))</formula>
    </cfRule>
    <cfRule type="containsText" dxfId="958" priority="1122" operator="containsText" text="Lançado">
      <formula>NOT(ISERROR(SEARCH("Lançado",P106)))</formula>
    </cfRule>
  </conditionalFormatting>
  <conditionalFormatting sqref="P106:P107">
    <cfRule type="containsText" dxfId="957" priority="3055" operator="containsText" text="Lançado">
      <formula>NOT(ISERROR(SEARCH("Lançado",P106)))</formula>
    </cfRule>
    <cfRule type="containsText" dxfId="956" priority="3056" operator="containsText" text="N/A">
      <formula>NOT(ISERROR(SEARCH("N/A",P106)))</formula>
    </cfRule>
    <cfRule type="containsText" dxfId="955" priority="3158" operator="containsText" text="em andamento">
      <formula>NOT(ISERROR(SEARCH("em andamento",P106)))</formula>
    </cfRule>
    <cfRule type="containsText" dxfId="954" priority="3157" operator="containsText" text="Finalizado">
      <formula>NOT(ISERROR(SEARCH("Finalizado",P106)))</formula>
    </cfRule>
    <cfRule type="containsText" dxfId="953" priority="3156" operator="containsText" text="Pendente">
      <formula>NOT(ISERROR(SEARCH("Pendente",P106)))</formula>
    </cfRule>
  </conditionalFormatting>
  <conditionalFormatting sqref="P106:P108">
    <cfRule type="expression" dxfId="952" priority="1151">
      <formula>$H106="SUBETAPA"</formula>
    </cfRule>
  </conditionalFormatting>
  <conditionalFormatting sqref="P107:P108">
    <cfRule type="expression" dxfId="951" priority="3161">
      <formula>$H107="ETAPA"</formula>
    </cfRule>
    <cfRule type="expression" dxfId="950" priority="3160">
      <formula>$H107="CÉLULA CONSTRUTIVA"</formula>
    </cfRule>
  </conditionalFormatting>
  <conditionalFormatting sqref="P108">
    <cfRule type="containsText" dxfId="949" priority="3168" operator="containsText" text="em andamento">
      <formula>NOT(ISERROR(SEARCH("em andamento",P108)))</formula>
    </cfRule>
    <cfRule type="containsText" dxfId="948" priority="3167" operator="containsText" text="Finalizado">
      <formula>NOT(ISERROR(SEARCH("Finalizado",P108)))</formula>
    </cfRule>
    <cfRule type="containsText" dxfId="947" priority="3166" operator="containsText" text="Pendente">
      <formula>NOT(ISERROR(SEARCH("Pendente",P108)))</formula>
    </cfRule>
    <cfRule type="containsText" dxfId="946" priority="3164" operator="containsText" text="Lançado">
      <formula>NOT(ISERROR(SEARCH("Lançado",P108)))</formula>
    </cfRule>
    <cfRule type="containsText" dxfId="945" priority="3165" operator="containsText" text="N/A">
      <formula>NOT(ISERROR(SEARCH("N/A",P108)))</formula>
    </cfRule>
  </conditionalFormatting>
  <conditionalFormatting sqref="P109:P112">
    <cfRule type="containsText" dxfId="944" priority="3138" operator="containsText" text="em andamento">
      <formula>NOT(ISERROR(SEARCH("em andamento",P109)))</formula>
    </cfRule>
    <cfRule type="containsText" dxfId="943" priority="3137" operator="containsText" text="Finalizado">
      <formula>NOT(ISERROR(SEARCH("Finalizado",P109)))</formula>
    </cfRule>
    <cfRule type="containsText" dxfId="942" priority="3136" operator="containsText" text="Pendente">
      <formula>NOT(ISERROR(SEARCH("Pendente",P109)))</formula>
    </cfRule>
    <cfRule type="containsText" dxfId="941" priority="3135" operator="containsText" text="N/A">
      <formula>NOT(ISERROR(SEARCH("N/A",P109)))</formula>
    </cfRule>
    <cfRule type="containsText" dxfId="940" priority="3134" operator="containsText" text="Lançado">
      <formula>NOT(ISERROR(SEARCH("Lançado",P109)))</formula>
    </cfRule>
  </conditionalFormatting>
  <conditionalFormatting sqref="P110 P112">
    <cfRule type="containsText" dxfId="939" priority="3130" operator="containsText" text="em andamento">
      <formula>NOT(ISERROR(SEARCH("em andamento",P110)))</formula>
    </cfRule>
    <cfRule type="containsText" dxfId="938" priority="3121" operator="containsText" text="Lançado">
      <formula>NOT(ISERROR(SEARCH("Lançado",P110)))</formula>
    </cfRule>
    <cfRule type="containsText" dxfId="937" priority="3122" operator="containsText" text="N/A">
      <formula>NOT(ISERROR(SEARCH("N/A",P110)))</formula>
    </cfRule>
    <cfRule type="containsText" dxfId="936" priority="3123" operator="containsText" text="Pendente">
      <formula>NOT(ISERROR(SEARCH("Pendente",P110)))</formula>
    </cfRule>
    <cfRule type="containsText" dxfId="935" priority="3125" operator="containsText" text="em andamento">
      <formula>NOT(ISERROR(SEARCH("em andamento",P110)))</formula>
    </cfRule>
    <cfRule type="containsText" dxfId="934" priority="3126" operator="containsText" text="Lançado">
      <formula>NOT(ISERROR(SEARCH("Lançado",P110)))</formula>
    </cfRule>
    <cfRule type="containsText" dxfId="933" priority="3127" operator="containsText" text="N/A">
      <formula>NOT(ISERROR(SEARCH("N/A",P110)))</formula>
    </cfRule>
    <cfRule type="containsText" dxfId="932" priority="3128" operator="containsText" text="Pendente">
      <formula>NOT(ISERROR(SEARCH("Pendente",P110)))</formula>
    </cfRule>
    <cfRule type="containsText" dxfId="931" priority="3124" operator="containsText" text="Finalizado">
      <formula>NOT(ISERROR(SEARCH("Finalizado",P110)))</formula>
    </cfRule>
    <cfRule type="containsText" dxfId="930" priority="3129" operator="containsText" text="Finalizado">
      <formula>NOT(ISERROR(SEARCH("Finalizado",P110)))</formula>
    </cfRule>
    <cfRule type="expression" dxfId="929" priority="3120">
      <formula>$H110="ETAPA"</formula>
    </cfRule>
    <cfRule type="expression" dxfId="928" priority="3119">
      <formula>$H110="CÉLULA CONSTRUTIVA"</formula>
    </cfRule>
    <cfRule type="expression" dxfId="927" priority="3118">
      <formula>$H110="SUBETAPA"</formula>
    </cfRule>
  </conditionalFormatting>
  <conditionalFormatting sqref="P113 G19:G22">
    <cfRule type="expression" dxfId="926" priority="7345">
      <formula>$H19="SUBETAPA"</formula>
    </cfRule>
  </conditionalFormatting>
  <conditionalFormatting sqref="P113 P211">
    <cfRule type="containsText" dxfId="925" priority="7285" operator="containsText" text="Pendente">
      <formula>NOT(ISERROR(SEARCH("Pendente",P113)))</formula>
    </cfRule>
    <cfRule type="containsText" dxfId="924" priority="7286" operator="containsText" text="Finalizado">
      <formula>NOT(ISERROR(SEARCH("Finalizado",P113)))</formula>
    </cfRule>
    <cfRule type="containsText" dxfId="923" priority="7287" operator="containsText" text="em andamento">
      <formula>NOT(ISERROR(SEARCH("em andamento",P113)))</formula>
    </cfRule>
  </conditionalFormatting>
  <conditionalFormatting sqref="P113">
    <cfRule type="expression" dxfId="922" priority="7279">
      <formula>$H113="ETAPA"</formula>
    </cfRule>
    <cfRule type="expression" dxfId="921" priority="7278">
      <formula>$H113="CÉLULA CONSTRUTIVA"</formula>
    </cfRule>
  </conditionalFormatting>
  <conditionalFormatting sqref="P115:P119">
    <cfRule type="expression" dxfId="920" priority="728">
      <formula>$H115="SUBETAPA"</formula>
    </cfRule>
  </conditionalFormatting>
  <conditionalFormatting sqref="P116:P118">
    <cfRule type="containsText" dxfId="919" priority="727" operator="containsText" text="em andamento">
      <formula>NOT(ISERROR(SEARCH("em andamento",P116)))</formula>
    </cfRule>
    <cfRule type="containsText" dxfId="918" priority="720" operator="containsText" text="Pendente">
      <formula>NOT(ISERROR(SEARCH("Pendente",P116)))</formula>
    </cfRule>
    <cfRule type="containsText" dxfId="917" priority="726" operator="containsText" text="Finalizado">
      <formula>NOT(ISERROR(SEARCH("Finalizado",P116)))</formula>
    </cfRule>
    <cfRule type="containsText" dxfId="916" priority="725" operator="containsText" text="Pendente">
      <formula>NOT(ISERROR(SEARCH("Pendente",P116)))</formula>
    </cfRule>
    <cfRule type="containsText" dxfId="915" priority="724" operator="containsText" text="N/A">
      <formula>NOT(ISERROR(SEARCH("N/A",P116)))</formula>
    </cfRule>
    <cfRule type="containsText" dxfId="914" priority="723" operator="containsText" text="Lançado">
      <formula>NOT(ISERROR(SEARCH("Lançado",P116)))</formula>
    </cfRule>
    <cfRule type="containsText" dxfId="913" priority="722" operator="containsText" text="em andamento">
      <formula>NOT(ISERROR(SEARCH("em andamento",P116)))</formula>
    </cfRule>
    <cfRule type="containsText" dxfId="912" priority="721" operator="containsText" text="Finalizado">
      <formula>NOT(ISERROR(SEARCH("Finalizado",P116)))</formula>
    </cfRule>
    <cfRule type="containsText" dxfId="911" priority="719" operator="containsText" text="N/A">
      <formula>NOT(ISERROR(SEARCH("N/A",P116)))</formula>
    </cfRule>
    <cfRule type="containsText" dxfId="910" priority="718" operator="containsText" text="Lançado">
      <formula>NOT(ISERROR(SEARCH("Lançado",P116)))</formula>
    </cfRule>
    <cfRule type="expression" dxfId="909" priority="717">
      <formula>$H116="ETAPA"</formula>
    </cfRule>
    <cfRule type="expression" dxfId="908" priority="716">
      <formula>$H116="CÉLULA CONSTRUTIVA"</formula>
    </cfRule>
    <cfRule type="expression" dxfId="907" priority="715">
      <formula>$H116="SUBETAPA"</formula>
    </cfRule>
    <cfRule type="expression" dxfId="906" priority="729">
      <formula>$H116="CÉLULA CONSTRUTIVA"</formula>
    </cfRule>
    <cfRule type="containsText" dxfId="905" priority="735" operator="containsText" text="em andamento">
      <formula>NOT(ISERROR(SEARCH("em andamento",P116)))</formula>
    </cfRule>
    <cfRule type="containsText" dxfId="904" priority="733" operator="containsText" text="Pendente">
      <formula>NOT(ISERROR(SEARCH("Pendente",P116)))</formula>
    </cfRule>
    <cfRule type="containsText" dxfId="903" priority="734" operator="containsText" text="Finalizado">
      <formula>NOT(ISERROR(SEARCH("Finalizado",P116)))</formula>
    </cfRule>
  </conditionalFormatting>
  <conditionalFormatting sqref="P116:P119">
    <cfRule type="containsText" dxfId="902" priority="731" operator="containsText" text="Lançado">
      <formula>NOT(ISERROR(SEARCH("Lançado",P116)))</formula>
    </cfRule>
    <cfRule type="expression" dxfId="901" priority="730">
      <formula>$H116="ETAPA"</formula>
    </cfRule>
    <cfRule type="containsText" dxfId="900" priority="732" operator="containsText" text="N/A">
      <formula>NOT(ISERROR(SEARCH("N/A",P116)))</formula>
    </cfRule>
  </conditionalFormatting>
  <conditionalFormatting sqref="P119">
    <cfRule type="expression" dxfId="899" priority="6752">
      <formula>$H119="SUBETAPA"</formula>
    </cfRule>
  </conditionalFormatting>
  <conditionalFormatting sqref="P120:P122">
    <cfRule type="containsText" dxfId="898" priority="706" operator="containsText" text="em andamento">
      <formula>NOT(ISERROR(SEARCH("em andamento",P120)))</formula>
    </cfRule>
    <cfRule type="containsText" dxfId="897" priority="705" operator="containsText" text="Finalizado">
      <formula>NOT(ISERROR(SEARCH("Finalizado",P120)))</formula>
    </cfRule>
    <cfRule type="containsText" dxfId="896" priority="704" operator="containsText" text="Pendente">
      <formula>NOT(ISERROR(SEARCH("Pendente",P120)))</formula>
    </cfRule>
    <cfRule type="containsText" dxfId="895" priority="703" operator="containsText" text="N/A">
      <formula>NOT(ISERROR(SEARCH("N/A",P120)))</formula>
    </cfRule>
    <cfRule type="containsText" dxfId="894" priority="702" operator="containsText" text="Lançado">
      <formula>NOT(ISERROR(SEARCH("Lançado",P120)))</formula>
    </cfRule>
    <cfRule type="containsText" dxfId="893" priority="701" operator="containsText" text="em andamento">
      <formula>NOT(ISERROR(SEARCH("em andamento",P120)))</formula>
    </cfRule>
    <cfRule type="containsText" dxfId="892" priority="700" operator="containsText" text="Finalizado">
      <formula>NOT(ISERROR(SEARCH("Finalizado",P120)))</formula>
    </cfRule>
    <cfRule type="containsText" dxfId="891" priority="699" operator="containsText" text="Pendente">
      <formula>NOT(ISERROR(SEARCH("Pendente",P120)))</formula>
    </cfRule>
    <cfRule type="containsText" dxfId="890" priority="698" operator="containsText" text="N/A">
      <formula>NOT(ISERROR(SEARCH("N/A",P120)))</formula>
    </cfRule>
    <cfRule type="containsText" dxfId="889" priority="697" operator="containsText" text="Lançado">
      <formula>NOT(ISERROR(SEARCH("Lançado",P120)))</formula>
    </cfRule>
    <cfRule type="expression" dxfId="888" priority="696">
      <formula>$H120="ETAPA"</formula>
    </cfRule>
    <cfRule type="expression" dxfId="887" priority="695">
      <formula>$H120="CÉLULA CONSTRUTIVA"</formula>
    </cfRule>
    <cfRule type="containsText" dxfId="886" priority="713" operator="containsText" text="Finalizado">
      <formula>NOT(ISERROR(SEARCH("Finalizado",P120)))</formula>
    </cfRule>
    <cfRule type="containsText" dxfId="885" priority="712" operator="containsText" text="Pendente">
      <formula>NOT(ISERROR(SEARCH("Pendente",P120)))</formula>
    </cfRule>
    <cfRule type="containsText" dxfId="884" priority="711" operator="containsText" text="N/A">
      <formula>NOT(ISERROR(SEARCH("N/A",P120)))</formula>
    </cfRule>
    <cfRule type="containsText" dxfId="883" priority="714" operator="containsText" text="em andamento">
      <formula>NOT(ISERROR(SEARCH("em andamento",P120)))</formula>
    </cfRule>
    <cfRule type="containsText" dxfId="882" priority="710" operator="containsText" text="Lançado">
      <formula>NOT(ISERROR(SEARCH("Lançado",P120)))</formula>
    </cfRule>
    <cfRule type="expression" dxfId="881" priority="694">
      <formula>$H120="SUBETAPA"</formula>
    </cfRule>
  </conditionalFormatting>
  <conditionalFormatting sqref="P120:P123">
    <cfRule type="expression" dxfId="880" priority="709">
      <formula>$H120="ETAPA"</formula>
    </cfRule>
    <cfRule type="expression" dxfId="879" priority="708">
      <formula>$H120="CÉLULA CONSTRUTIVA"</formula>
    </cfRule>
    <cfRule type="expression" dxfId="878" priority="707">
      <formula>$H120="SUBETAPA"</formula>
    </cfRule>
  </conditionalFormatting>
  <conditionalFormatting sqref="P123 P57 P76:P84 P19:P20">
    <cfRule type="containsText" dxfId="877" priority="4547" operator="containsText" text="N/A">
      <formula>NOT(ISERROR(SEARCH("N/A",P19)))</formula>
    </cfRule>
    <cfRule type="containsText" dxfId="876" priority="4546" operator="containsText" text="Lançado">
      <formula>NOT(ISERROR(SEARCH("Lançado",P19)))</formula>
    </cfRule>
  </conditionalFormatting>
  <conditionalFormatting sqref="P123 P231">
    <cfRule type="containsText" dxfId="875" priority="2990" operator="containsText" text="em andamento">
      <formula>NOT(ISERROR(SEARCH("em andamento",P123)))</formula>
    </cfRule>
    <cfRule type="containsText" dxfId="874" priority="2991" operator="containsText" text="Lançado">
      <formula>NOT(ISERROR(SEARCH("Lançado",P123)))</formula>
    </cfRule>
    <cfRule type="containsText" dxfId="873" priority="2992" operator="containsText" text="N/A">
      <formula>NOT(ISERROR(SEARCH("N/A",P123)))</formula>
    </cfRule>
    <cfRule type="containsText" dxfId="872" priority="2993" operator="containsText" text="Pendente">
      <formula>NOT(ISERROR(SEARCH("Pendente",P123)))</formula>
    </cfRule>
    <cfRule type="containsText" dxfId="871" priority="2994" operator="containsText" text="Finalizado">
      <formula>NOT(ISERROR(SEARCH("Finalizado",P123)))</formula>
    </cfRule>
    <cfRule type="containsText" dxfId="870" priority="2989" operator="containsText" text="Finalizado">
      <formula>NOT(ISERROR(SEARCH("Finalizado",P123)))</formula>
    </cfRule>
    <cfRule type="containsText" dxfId="869" priority="2995" operator="containsText" text="em andamento">
      <formula>NOT(ISERROR(SEARCH("em andamento",P123)))</formula>
    </cfRule>
    <cfRule type="containsText" dxfId="868" priority="2986" operator="containsText" text="Lançado">
      <formula>NOT(ISERROR(SEARCH("Lançado",P123)))</formula>
    </cfRule>
    <cfRule type="containsText" dxfId="867" priority="2987" operator="containsText" text="N/A">
      <formula>NOT(ISERROR(SEARCH("N/A",P123)))</formula>
    </cfRule>
    <cfRule type="containsText" dxfId="866" priority="2988" operator="containsText" text="Pendente">
      <formula>NOT(ISERROR(SEARCH("Pendente",P123)))</formula>
    </cfRule>
  </conditionalFormatting>
  <conditionalFormatting sqref="P123">
    <cfRule type="expression" dxfId="865" priority="2996">
      <formula>$H123="SUBETAPA"</formula>
    </cfRule>
    <cfRule type="expression" dxfId="864" priority="2997">
      <formula>$H123="CÉLULA CONSTRUTIVA"</formula>
    </cfRule>
    <cfRule type="expression" dxfId="863" priority="2998">
      <formula>$H123="ETAPA"</formula>
    </cfRule>
  </conditionalFormatting>
  <conditionalFormatting sqref="P124:P125">
    <cfRule type="containsText" dxfId="862" priority="677" operator="containsText" text="N/A">
      <formula>NOT(ISERROR(SEARCH("N/A",P124)))</formula>
    </cfRule>
    <cfRule type="containsText" dxfId="861" priority="676" operator="containsText" text="Lançado">
      <formula>NOT(ISERROR(SEARCH("Lançado",P124)))</formula>
    </cfRule>
    <cfRule type="expression" dxfId="860" priority="675">
      <formula>$H124="ETAPA"</formula>
    </cfRule>
    <cfRule type="expression" dxfId="859" priority="674">
      <formula>$H124="CÉLULA CONSTRUTIVA"</formula>
    </cfRule>
    <cfRule type="expression" dxfId="858" priority="673">
      <formula>$H124="SUBETAPA"</formula>
    </cfRule>
    <cfRule type="containsText" dxfId="857" priority="693" operator="containsText" text="em andamento">
      <formula>NOT(ISERROR(SEARCH("em andamento",P124)))</formula>
    </cfRule>
    <cfRule type="containsText" dxfId="856" priority="692" operator="containsText" text="Finalizado">
      <formula>NOT(ISERROR(SEARCH("Finalizado",P124)))</formula>
    </cfRule>
    <cfRule type="containsText" dxfId="855" priority="691" operator="containsText" text="Pendente">
      <formula>NOT(ISERROR(SEARCH("Pendente",P124)))</formula>
    </cfRule>
    <cfRule type="containsText" dxfId="854" priority="690" operator="containsText" text="N/A">
      <formula>NOT(ISERROR(SEARCH("N/A",P124)))</formula>
    </cfRule>
    <cfRule type="containsText" dxfId="853" priority="689" operator="containsText" text="Lançado">
      <formula>NOT(ISERROR(SEARCH("Lançado",P124)))</formula>
    </cfRule>
    <cfRule type="expression" dxfId="852" priority="688">
      <formula>$H124="ETAPA"</formula>
    </cfRule>
    <cfRule type="expression" dxfId="851" priority="687">
      <formula>$H124="CÉLULA CONSTRUTIVA"</formula>
    </cfRule>
    <cfRule type="expression" dxfId="850" priority="686">
      <formula>$H124="SUBETAPA"</formula>
    </cfRule>
    <cfRule type="containsText" dxfId="849" priority="685" operator="containsText" text="em andamento">
      <formula>NOT(ISERROR(SEARCH("em andamento",P124)))</formula>
    </cfRule>
    <cfRule type="containsText" dxfId="848" priority="684" operator="containsText" text="Finalizado">
      <formula>NOT(ISERROR(SEARCH("Finalizado",P124)))</formula>
    </cfRule>
    <cfRule type="containsText" dxfId="847" priority="683" operator="containsText" text="Pendente">
      <formula>NOT(ISERROR(SEARCH("Pendente",P124)))</formula>
    </cfRule>
    <cfRule type="containsText" dxfId="846" priority="682" operator="containsText" text="N/A">
      <formula>NOT(ISERROR(SEARCH("N/A",P124)))</formula>
    </cfRule>
    <cfRule type="containsText" dxfId="845" priority="681" operator="containsText" text="Lançado">
      <formula>NOT(ISERROR(SEARCH("Lançado",P124)))</formula>
    </cfRule>
    <cfRule type="containsText" dxfId="844" priority="680" operator="containsText" text="em andamento">
      <formula>NOT(ISERROR(SEARCH("em andamento",P124)))</formula>
    </cfRule>
    <cfRule type="containsText" dxfId="843" priority="679" operator="containsText" text="Finalizado">
      <formula>NOT(ISERROR(SEARCH("Finalizado",P124)))</formula>
    </cfRule>
    <cfRule type="containsText" dxfId="842" priority="678" operator="containsText" text="Pendente">
      <formula>NOT(ISERROR(SEARCH("Pendente",P124)))</formula>
    </cfRule>
  </conditionalFormatting>
  <conditionalFormatting sqref="P127:P130">
    <cfRule type="containsText" dxfId="841" priority="668" operator="containsText" text="Lançado">
      <formula>NOT(ISERROR(SEARCH("Lançado",P127)))</formula>
    </cfRule>
    <cfRule type="containsText" dxfId="840" priority="659" operator="containsText" text="em andamento">
      <formula>NOT(ISERROR(SEARCH("em andamento",P127)))</formula>
    </cfRule>
    <cfRule type="containsText" dxfId="839" priority="658" operator="containsText" text="Finalizado">
      <formula>NOT(ISERROR(SEARCH("Finalizado",P127)))</formula>
    </cfRule>
    <cfRule type="containsText" dxfId="838" priority="671" operator="containsText" text="Finalizado">
      <formula>NOT(ISERROR(SEARCH("Finalizado",P127)))</formula>
    </cfRule>
    <cfRule type="containsText" dxfId="837" priority="670" operator="containsText" text="Pendente">
      <formula>NOT(ISERROR(SEARCH("Pendente",P127)))</formula>
    </cfRule>
    <cfRule type="containsText" dxfId="836" priority="669" operator="containsText" text="N/A">
      <formula>NOT(ISERROR(SEARCH("N/A",P127)))</formula>
    </cfRule>
    <cfRule type="expression" dxfId="835" priority="667">
      <formula>$H127="ETAPA"</formula>
    </cfRule>
    <cfRule type="expression" dxfId="834" priority="666">
      <formula>$H127="CÉLULA CONSTRUTIVA"</formula>
    </cfRule>
    <cfRule type="containsText" dxfId="833" priority="657" operator="containsText" text="Pendente">
      <formula>NOT(ISERROR(SEARCH("Pendente",P127)))</formula>
    </cfRule>
    <cfRule type="containsText" dxfId="832" priority="656" operator="containsText" text="N/A">
      <formula>NOT(ISERROR(SEARCH("N/A",P127)))</formula>
    </cfRule>
    <cfRule type="containsText" dxfId="831" priority="655" operator="containsText" text="Lançado">
      <formula>NOT(ISERROR(SEARCH("Lançado",P127)))</formula>
    </cfRule>
    <cfRule type="expression" dxfId="830" priority="654">
      <formula>$H127="ETAPA"</formula>
    </cfRule>
    <cfRule type="expression" dxfId="829" priority="653">
      <formula>$H127="CÉLULA CONSTRUTIVA"</formula>
    </cfRule>
    <cfRule type="expression" dxfId="828" priority="652">
      <formula>$H127="SUBETAPA"</formula>
    </cfRule>
    <cfRule type="expression" dxfId="827" priority="665">
      <formula>$H127="SUBETAPA"</formula>
    </cfRule>
    <cfRule type="containsText" dxfId="826" priority="664" operator="containsText" text="em andamento">
      <formula>NOT(ISERROR(SEARCH("em andamento",P127)))</formula>
    </cfRule>
    <cfRule type="containsText" dxfId="825" priority="663" operator="containsText" text="Finalizado">
      <formula>NOT(ISERROR(SEARCH("Finalizado",P127)))</formula>
    </cfRule>
    <cfRule type="containsText" dxfId="824" priority="662" operator="containsText" text="Pendente">
      <formula>NOT(ISERROR(SEARCH("Pendente",P127)))</formula>
    </cfRule>
    <cfRule type="containsText" dxfId="823" priority="661" operator="containsText" text="N/A">
      <formula>NOT(ISERROR(SEARCH("N/A",P127)))</formula>
    </cfRule>
    <cfRule type="containsText" dxfId="822" priority="660" operator="containsText" text="Lançado">
      <formula>NOT(ISERROR(SEARCH("Lançado",P127)))</formula>
    </cfRule>
    <cfRule type="containsText" dxfId="821" priority="672" operator="containsText" text="em andamento">
      <formula>NOT(ISERROR(SEARCH("em andamento",P127)))</formula>
    </cfRule>
  </conditionalFormatting>
  <conditionalFormatting sqref="P131:P133">
    <cfRule type="containsText" dxfId="820" priority="4918" operator="containsText" text="Lançado">
      <formula>NOT(ISERROR(SEARCH("Lançado",P131)))</formula>
    </cfRule>
    <cfRule type="containsText" dxfId="819" priority="4919" operator="containsText" text="N/A">
      <formula>NOT(ISERROR(SEARCH("N/A",P131)))</formula>
    </cfRule>
    <cfRule type="containsText" dxfId="818" priority="4920" operator="containsText" text="Pendente">
      <formula>NOT(ISERROR(SEARCH("Pendente",P131)))</formula>
    </cfRule>
    <cfRule type="containsText" dxfId="817" priority="4922" operator="containsText" text="em andamento">
      <formula>NOT(ISERROR(SEARCH("em andamento",P131)))</formula>
    </cfRule>
    <cfRule type="expression" dxfId="816" priority="4917">
      <formula>$H131="ETAPA"</formula>
    </cfRule>
    <cfRule type="containsText" dxfId="815" priority="4921" operator="containsText" text="Finalizado">
      <formula>NOT(ISERROR(SEARCH("Finalizado",P131)))</formula>
    </cfRule>
  </conditionalFormatting>
  <conditionalFormatting sqref="P132:P133 P138">
    <cfRule type="containsText" dxfId="814" priority="3314" operator="containsText" text="em andamento">
      <formula>NOT(ISERROR(SEARCH("em andamento",P132)))</formula>
    </cfRule>
    <cfRule type="containsText" dxfId="813" priority="3313" operator="containsText" text="Finalizado">
      <formula>NOT(ISERROR(SEARCH("Finalizado",P132)))</formula>
    </cfRule>
    <cfRule type="containsText" dxfId="812" priority="3312" operator="containsText" text="Pendente">
      <formula>NOT(ISERROR(SEARCH("Pendente",P132)))</formula>
    </cfRule>
    <cfRule type="containsText" dxfId="811" priority="3311" operator="containsText" text="N/A">
      <formula>NOT(ISERROR(SEARCH("N/A",P132)))</formula>
    </cfRule>
    <cfRule type="containsText" dxfId="810" priority="3310" operator="containsText" text="Lançado">
      <formula>NOT(ISERROR(SEARCH("Lançado",P132)))</formula>
    </cfRule>
  </conditionalFormatting>
  <conditionalFormatting sqref="P132:P133">
    <cfRule type="containsText" dxfId="809" priority="4913" operator="containsText" text="Finalizado">
      <formula>NOT(ISERROR(SEARCH("Finalizado",P132)))</formula>
    </cfRule>
    <cfRule type="containsText" dxfId="808" priority="4914" operator="containsText" text="em andamento">
      <formula>NOT(ISERROR(SEARCH("em andamento",P132)))</formula>
    </cfRule>
    <cfRule type="containsText" dxfId="807" priority="4912" operator="containsText" text="Pendente">
      <formula>NOT(ISERROR(SEARCH("Pendente",P132)))</formula>
    </cfRule>
    <cfRule type="expression" dxfId="806" priority="4916">
      <formula>$H132="CÉLULA CONSTRUTIVA"</formula>
    </cfRule>
    <cfRule type="containsText" dxfId="805" priority="4910" operator="containsText" text="Lançado">
      <formula>NOT(ISERROR(SEARCH("Lançado",P132)))</formula>
    </cfRule>
    <cfRule type="containsText" dxfId="804" priority="4911" operator="containsText" text="N/A">
      <formula>NOT(ISERROR(SEARCH("N/A",P132)))</formula>
    </cfRule>
    <cfRule type="expression" dxfId="803" priority="4915">
      <formula>$H132="SUBETAPA"</formula>
    </cfRule>
  </conditionalFormatting>
  <conditionalFormatting sqref="P134:P137">
    <cfRule type="containsText" dxfId="802" priority="640" operator="containsText" text="N/A">
      <formula>NOT(ISERROR(SEARCH("N/A",P134)))</formula>
    </cfRule>
    <cfRule type="containsText" dxfId="801" priority="639" operator="containsText" text="Lançado">
      <formula>NOT(ISERROR(SEARCH("Lançado",P134)))</formula>
    </cfRule>
    <cfRule type="containsText" dxfId="800" priority="637" operator="containsText" text="Finalizado">
      <formula>NOT(ISERROR(SEARCH("Finalizado",P134)))</formula>
    </cfRule>
    <cfRule type="containsText" dxfId="799" priority="636" operator="containsText" text="Pendente">
      <formula>NOT(ISERROR(SEARCH("Pendente",P134)))</formula>
    </cfRule>
    <cfRule type="containsText" dxfId="798" priority="635" operator="containsText" text="N/A">
      <formula>NOT(ISERROR(SEARCH("N/A",P134)))</formula>
    </cfRule>
    <cfRule type="containsText" dxfId="797" priority="634" operator="containsText" text="Lançado">
      <formula>NOT(ISERROR(SEARCH("Lançado",P134)))</formula>
    </cfRule>
    <cfRule type="expression" dxfId="796" priority="633">
      <formula>$H134="ETAPA"</formula>
    </cfRule>
    <cfRule type="expression" dxfId="795" priority="632">
      <formula>$H134="CÉLULA CONSTRUTIVA"</formula>
    </cfRule>
    <cfRule type="expression" dxfId="794" priority="631">
      <formula>$H134="SUBETAPA"</formula>
    </cfRule>
    <cfRule type="containsText" dxfId="793" priority="638" operator="containsText" text="em andamento">
      <formula>NOT(ISERROR(SEARCH("em andamento",P134)))</formula>
    </cfRule>
    <cfRule type="containsText" dxfId="792" priority="651" operator="containsText" text="em andamento">
      <formula>NOT(ISERROR(SEARCH("em andamento",P134)))</formula>
    </cfRule>
    <cfRule type="containsText" dxfId="791" priority="650" operator="containsText" text="Finalizado">
      <formula>NOT(ISERROR(SEARCH("Finalizado",P134)))</formula>
    </cfRule>
    <cfRule type="containsText" dxfId="790" priority="649" operator="containsText" text="Pendente">
      <formula>NOT(ISERROR(SEARCH("Pendente",P134)))</formula>
    </cfRule>
    <cfRule type="containsText" dxfId="789" priority="648" operator="containsText" text="N/A">
      <formula>NOT(ISERROR(SEARCH("N/A",P134)))</formula>
    </cfRule>
    <cfRule type="containsText" dxfId="788" priority="647" operator="containsText" text="Lançado">
      <formula>NOT(ISERROR(SEARCH("Lançado",P134)))</formula>
    </cfRule>
    <cfRule type="expression" dxfId="787" priority="645">
      <formula>$H134="CÉLULA CONSTRUTIVA"</formula>
    </cfRule>
    <cfRule type="expression" dxfId="786" priority="644">
      <formula>$H134="SUBETAPA"</formula>
    </cfRule>
    <cfRule type="containsText" dxfId="785" priority="643" operator="containsText" text="em andamento">
      <formula>NOT(ISERROR(SEARCH("em andamento",P134)))</formula>
    </cfRule>
    <cfRule type="containsText" dxfId="784" priority="642" operator="containsText" text="Finalizado">
      <formula>NOT(ISERROR(SEARCH("Finalizado",P134)))</formula>
    </cfRule>
    <cfRule type="containsText" dxfId="783" priority="641" operator="containsText" text="Pendente">
      <formula>NOT(ISERROR(SEARCH("Pendente",P134)))</formula>
    </cfRule>
  </conditionalFormatting>
  <conditionalFormatting sqref="P134:P138">
    <cfRule type="expression" dxfId="782" priority="646">
      <formula>$H134="ETAPA"</formula>
    </cfRule>
  </conditionalFormatting>
  <conditionalFormatting sqref="P139:P141">
    <cfRule type="expression" dxfId="781" priority="623">
      <formula>$H139="SUBETAPA"</formula>
    </cfRule>
    <cfRule type="containsText" dxfId="780" priority="615" operator="containsText" text="Pendente">
      <formula>NOT(ISERROR(SEARCH("Pendente",P139)))</formula>
    </cfRule>
    <cfRule type="containsText" dxfId="779" priority="622" operator="containsText" text="em andamento">
      <formula>NOT(ISERROR(SEARCH("em andamento",P139)))</formula>
    </cfRule>
    <cfRule type="containsText" dxfId="778" priority="614" operator="containsText" text="N/A">
      <formula>NOT(ISERROR(SEARCH("N/A",P139)))</formula>
    </cfRule>
    <cfRule type="expression" dxfId="777" priority="610">
      <formula>$H139="SUBETAPA"</formula>
    </cfRule>
    <cfRule type="containsText" dxfId="776" priority="616" operator="containsText" text="Finalizado">
      <formula>NOT(ISERROR(SEARCH("Finalizado",P139)))</formula>
    </cfRule>
    <cfRule type="expression" dxfId="775" priority="611">
      <formula>$H139="CÉLULA CONSTRUTIVA"</formula>
    </cfRule>
    <cfRule type="expression" dxfId="774" priority="612">
      <formula>$H139="ETAPA"</formula>
    </cfRule>
    <cfRule type="containsText" dxfId="773" priority="613" operator="containsText" text="Lançado">
      <formula>NOT(ISERROR(SEARCH("Lançado",P139)))</formula>
    </cfRule>
    <cfRule type="containsText" dxfId="772" priority="621" operator="containsText" text="Finalizado">
      <formula>NOT(ISERROR(SEARCH("Finalizado",P139)))</formula>
    </cfRule>
    <cfRule type="containsText" dxfId="771" priority="620" operator="containsText" text="Pendente">
      <formula>NOT(ISERROR(SEARCH("Pendente",P139)))</formula>
    </cfRule>
    <cfRule type="containsText" dxfId="770" priority="619" operator="containsText" text="N/A">
      <formula>NOT(ISERROR(SEARCH("N/A",P139)))</formula>
    </cfRule>
    <cfRule type="containsText" dxfId="769" priority="618" operator="containsText" text="Lançado">
      <formula>NOT(ISERROR(SEARCH("Lançado",P139)))</formula>
    </cfRule>
    <cfRule type="containsText" dxfId="768" priority="617" operator="containsText" text="em andamento">
      <formula>NOT(ISERROR(SEARCH("em andamento",P139)))</formula>
    </cfRule>
    <cfRule type="expression" dxfId="767" priority="624">
      <formula>$H139="CÉLULA CONSTRUTIVA"</formula>
    </cfRule>
  </conditionalFormatting>
  <conditionalFormatting sqref="P139:P142">
    <cfRule type="expression" dxfId="766" priority="625">
      <formula>$H139="ETAPA"</formula>
    </cfRule>
    <cfRule type="containsText" dxfId="765" priority="629" operator="containsText" text="Finalizado">
      <formula>NOT(ISERROR(SEARCH("Finalizado",P139)))</formula>
    </cfRule>
    <cfRule type="containsText" dxfId="764" priority="630" operator="containsText" text="em andamento">
      <formula>NOT(ISERROR(SEARCH("em andamento",P139)))</formula>
    </cfRule>
    <cfRule type="containsText" dxfId="763" priority="628" operator="containsText" text="Pendente">
      <formula>NOT(ISERROR(SEARCH("Pendente",P139)))</formula>
    </cfRule>
    <cfRule type="containsText" dxfId="762" priority="627" operator="containsText" text="N/A">
      <formula>NOT(ISERROR(SEARCH("N/A",P139)))</formula>
    </cfRule>
    <cfRule type="containsText" dxfId="761" priority="626" operator="containsText" text="Lançado">
      <formula>NOT(ISERROR(SEARCH("Lançado",P139)))</formula>
    </cfRule>
  </conditionalFormatting>
  <conditionalFormatting sqref="P142 P149:P150 P163 P188:P189 P198 P204 P206">
    <cfRule type="containsText" dxfId="760" priority="4849" operator="containsText" text="Pendente">
      <formula>NOT(ISERROR(SEARCH("Pendente",P142)))</formula>
    </cfRule>
    <cfRule type="containsText" dxfId="759" priority="4851" operator="containsText" text="em andamento">
      <formula>NOT(ISERROR(SEARCH("em andamento",P142)))</formula>
    </cfRule>
    <cfRule type="containsText" dxfId="758" priority="4850" operator="containsText" text="Finalizado">
      <formula>NOT(ISERROR(SEARCH("Finalizado",P142)))</formula>
    </cfRule>
  </conditionalFormatting>
  <conditionalFormatting sqref="P143:P147">
    <cfRule type="containsText" dxfId="757" priority="605" operator="containsText" text="Lançado">
      <formula>NOT(ISERROR(SEARCH("Lançado",P143)))</formula>
    </cfRule>
    <cfRule type="expression" dxfId="756" priority="590">
      <formula>$H143="CÉLULA CONSTRUTIVA"</formula>
    </cfRule>
    <cfRule type="containsText" dxfId="755" priority="606" operator="containsText" text="N/A">
      <formula>NOT(ISERROR(SEARCH("N/A",P143)))</formula>
    </cfRule>
    <cfRule type="containsText" dxfId="754" priority="607" operator="containsText" text="Pendente">
      <formula>NOT(ISERROR(SEARCH("Pendente",P143)))</formula>
    </cfRule>
    <cfRule type="containsText" dxfId="753" priority="609" operator="containsText" text="em andamento">
      <formula>NOT(ISERROR(SEARCH("em andamento",P143)))</formula>
    </cfRule>
    <cfRule type="containsText" dxfId="752" priority="608" operator="containsText" text="Finalizado">
      <formula>NOT(ISERROR(SEARCH("Finalizado",P143)))</formula>
    </cfRule>
    <cfRule type="containsText" dxfId="751" priority="601" operator="containsText" text="em andamento">
      <formula>NOT(ISERROR(SEARCH("em andamento",P143)))</formula>
    </cfRule>
    <cfRule type="containsText" dxfId="750" priority="600" operator="containsText" text="Finalizado">
      <formula>NOT(ISERROR(SEARCH("Finalizado",P143)))</formula>
    </cfRule>
    <cfRule type="containsText" dxfId="749" priority="599" operator="containsText" text="Pendente">
      <formula>NOT(ISERROR(SEARCH("Pendente",P143)))</formula>
    </cfRule>
    <cfRule type="containsText" dxfId="748" priority="598" operator="containsText" text="N/A">
      <formula>NOT(ISERROR(SEARCH("N/A",P143)))</formula>
    </cfRule>
    <cfRule type="containsText" dxfId="747" priority="597" operator="containsText" text="Lançado">
      <formula>NOT(ISERROR(SEARCH("Lançado",P143)))</formula>
    </cfRule>
    <cfRule type="containsText" dxfId="746" priority="596" operator="containsText" text="em andamento">
      <formula>NOT(ISERROR(SEARCH("em andamento",P143)))</formula>
    </cfRule>
    <cfRule type="containsText" dxfId="745" priority="595" operator="containsText" text="Finalizado">
      <formula>NOT(ISERROR(SEARCH("Finalizado",P143)))</formula>
    </cfRule>
    <cfRule type="containsText" dxfId="744" priority="594" operator="containsText" text="Pendente">
      <formula>NOT(ISERROR(SEARCH("Pendente",P143)))</formula>
    </cfRule>
    <cfRule type="containsText" dxfId="743" priority="593" operator="containsText" text="N/A">
      <formula>NOT(ISERROR(SEARCH("N/A",P143)))</formula>
    </cfRule>
    <cfRule type="containsText" dxfId="742" priority="592" operator="containsText" text="Lançado">
      <formula>NOT(ISERROR(SEARCH("Lançado",P143)))</formula>
    </cfRule>
    <cfRule type="expression" dxfId="741" priority="591">
      <formula>$H143="ETAPA"</formula>
    </cfRule>
    <cfRule type="expression" dxfId="740" priority="589">
      <formula>$H143="SUBETAPA"</formula>
    </cfRule>
  </conditionalFormatting>
  <conditionalFormatting sqref="P143:P150">
    <cfRule type="expression" dxfId="739" priority="602">
      <formula>$H143="SUBETAPA"</formula>
    </cfRule>
    <cfRule type="expression" dxfId="738" priority="604">
      <formula>$H143="ETAPA"</formula>
    </cfRule>
    <cfRule type="expression" dxfId="737" priority="603">
      <formula>$H143="CÉLULA CONSTRUTIVA"</formula>
    </cfRule>
  </conditionalFormatting>
  <conditionalFormatting sqref="P148:P150">
    <cfRule type="containsText" dxfId="736" priority="2926" operator="containsText" text="Finalizado">
      <formula>NOT(ISERROR(SEARCH("Finalizado",P148)))</formula>
    </cfRule>
    <cfRule type="containsText" dxfId="735" priority="2927" operator="containsText" text="em andamento">
      <formula>NOT(ISERROR(SEARCH("em andamento",P148)))</formula>
    </cfRule>
    <cfRule type="containsText" dxfId="734" priority="2925" operator="containsText" text="Pendente">
      <formula>NOT(ISERROR(SEARCH("Pendente",P148)))</formula>
    </cfRule>
    <cfRule type="containsText" dxfId="733" priority="2923" operator="containsText" text="Lançado">
      <formula>NOT(ISERROR(SEARCH("Lançado",P148)))</formula>
    </cfRule>
    <cfRule type="containsText" dxfId="732" priority="2924" operator="containsText" text="N/A">
      <formula>NOT(ISERROR(SEARCH("N/A",P148)))</formula>
    </cfRule>
  </conditionalFormatting>
  <conditionalFormatting sqref="P149:P150 P156 P163 P188:P189 P198 P204 P206">
    <cfRule type="containsText" dxfId="731" priority="4859" operator="containsText" text="em andamento">
      <formula>NOT(ISERROR(SEARCH("em andamento",P149)))</formula>
    </cfRule>
    <cfRule type="containsText" dxfId="730" priority="4858" operator="containsText" text="Finalizado">
      <formula>NOT(ISERROR(SEARCH("Finalizado",P149)))</formula>
    </cfRule>
    <cfRule type="containsText" dxfId="729" priority="4857" operator="containsText" text="Pendente">
      <formula>NOT(ISERROR(SEARCH("Pendente",P149)))</formula>
    </cfRule>
    <cfRule type="containsText" dxfId="728" priority="4845" operator="containsText" text="Finalizado">
      <formula>NOT(ISERROR(SEARCH("Finalizado",P149)))</formula>
    </cfRule>
    <cfRule type="containsText" dxfId="727" priority="4846" operator="containsText" text="em andamento">
      <formula>NOT(ISERROR(SEARCH("em andamento",P149)))</formula>
    </cfRule>
    <cfRule type="containsText" dxfId="726" priority="4844" operator="containsText" text="Pendente">
      <formula>NOT(ISERROR(SEARCH("Pendente",P149)))</formula>
    </cfRule>
    <cfRule type="containsText" dxfId="725" priority="4794" operator="containsText" text="em andamento">
      <formula>NOT(ISERROR(SEARCH("em andamento",P149)))</formula>
    </cfRule>
    <cfRule type="containsText" dxfId="724" priority="4793" operator="containsText" text="Finalizado">
      <formula>NOT(ISERROR(SEARCH("Finalizado",P149)))</formula>
    </cfRule>
  </conditionalFormatting>
  <conditionalFormatting sqref="P149:P150 P163 P188:P189 P198 P204 P206 P142">
    <cfRule type="containsText" dxfId="723" priority="4848" operator="containsText" text="N/A">
      <formula>NOT(ISERROR(SEARCH("N/A",P142)))</formula>
    </cfRule>
    <cfRule type="containsText" dxfId="722" priority="4847" operator="containsText" text="Lançado">
      <formula>NOT(ISERROR(SEARCH("Lançado",P142)))</formula>
    </cfRule>
  </conditionalFormatting>
  <conditionalFormatting sqref="P149:P150 P163 P188:P189 P198 P204 P206 P156">
    <cfRule type="containsText" dxfId="721" priority="4856" operator="containsText" text="N/A">
      <formula>NOT(ISERROR(SEARCH("N/A",P149)))</formula>
    </cfRule>
    <cfRule type="containsText" dxfId="720" priority="4855" operator="containsText" text="Lançado">
      <formula>NOT(ISERROR(SEARCH("Lançado",P149)))</formula>
    </cfRule>
    <cfRule type="containsText" dxfId="719" priority="4792" operator="containsText" text="Pendente">
      <formula>NOT(ISERROR(SEARCH("Pendente",P149)))</formula>
    </cfRule>
  </conditionalFormatting>
  <conditionalFormatting sqref="P149:P150 P163 P188:P189 P198 P206 P156 P204">
    <cfRule type="containsText" dxfId="718" priority="4843" operator="containsText" text="N/A">
      <formula>NOT(ISERROR(SEARCH("N/A",P149)))</formula>
    </cfRule>
    <cfRule type="containsText" dxfId="717" priority="4842" operator="containsText" text="Lançado">
      <formula>NOT(ISERROR(SEARCH("Lançado",P149)))</formula>
    </cfRule>
  </conditionalFormatting>
  <conditionalFormatting sqref="P149:P150 P163">
    <cfRule type="expression" dxfId="716" priority="4795">
      <formula>$H149="SUBETAPA"</formula>
    </cfRule>
  </conditionalFormatting>
  <conditionalFormatting sqref="P151:P155">
    <cfRule type="containsText" dxfId="715" priority="580" operator="containsText" text="em andamento">
      <formula>NOT(ISERROR(SEARCH("em andamento",P151)))</formula>
    </cfRule>
    <cfRule type="containsText" dxfId="714" priority="579" operator="containsText" text="Finalizado">
      <formula>NOT(ISERROR(SEARCH("Finalizado",P151)))</formula>
    </cfRule>
    <cfRule type="containsText" dxfId="713" priority="578" operator="containsText" text="Pendente">
      <formula>NOT(ISERROR(SEARCH("Pendente",P151)))</formula>
    </cfRule>
    <cfRule type="containsText" dxfId="712" priority="577" operator="containsText" text="N/A">
      <formula>NOT(ISERROR(SEARCH("N/A",P151)))</formula>
    </cfRule>
    <cfRule type="containsText" dxfId="711" priority="576" operator="containsText" text="Lançado">
      <formula>NOT(ISERROR(SEARCH("Lançado",P151)))</formula>
    </cfRule>
    <cfRule type="containsText" dxfId="710" priority="575" operator="containsText" text="em andamento">
      <formula>NOT(ISERROR(SEARCH("em andamento",P151)))</formula>
    </cfRule>
    <cfRule type="containsText" dxfId="709" priority="574" operator="containsText" text="Finalizado">
      <formula>NOT(ISERROR(SEARCH("Finalizado",P151)))</formula>
    </cfRule>
    <cfRule type="containsText" dxfId="708" priority="573" operator="containsText" text="Pendente">
      <formula>NOT(ISERROR(SEARCH("Pendente",P151)))</formula>
    </cfRule>
    <cfRule type="containsText" dxfId="707" priority="572" operator="containsText" text="N/A">
      <formula>NOT(ISERROR(SEARCH("N/A",P151)))</formula>
    </cfRule>
    <cfRule type="containsText" dxfId="706" priority="571" operator="containsText" text="Lançado">
      <formula>NOT(ISERROR(SEARCH("Lançado",P151)))</formula>
    </cfRule>
    <cfRule type="expression" dxfId="705" priority="570">
      <formula>$H151="ETAPA"</formula>
    </cfRule>
    <cfRule type="expression" dxfId="704" priority="569">
      <formula>$H151="CÉLULA CONSTRUTIVA"</formula>
    </cfRule>
    <cfRule type="expression" dxfId="703" priority="568">
      <formula>$H151="SUBETAPA"</formula>
    </cfRule>
    <cfRule type="containsText" dxfId="702" priority="588" operator="containsText" text="em andamento">
      <formula>NOT(ISERROR(SEARCH("em andamento",P151)))</formula>
    </cfRule>
    <cfRule type="containsText" dxfId="701" priority="587" operator="containsText" text="Finalizado">
      <formula>NOT(ISERROR(SEARCH("Finalizado",P151)))</formula>
    </cfRule>
    <cfRule type="containsText" dxfId="700" priority="586" operator="containsText" text="Pendente">
      <formula>NOT(ISERROR(SEARCH("Pendente",P151)))</formula>
    </cfRule>
    <cfRule type="containsText" dxfId="699" priority="585" operator="containsText" text="N/A">
      <formula>NOT(ISERROR(SEARCH("N/A",P151)))</formula>
    </cfRule>
    <cfRule type="containsText" dxfId="698" priority="584" operator="containsText" text="Lançado">
      <formula>NOT(ISERROR(SEARCH("Lançado",P151)))</formula>
    </cfRule>
    <cfRule type="expression" dxfId="697" priority="583">
      <formula>$H151="ETAPA"</formula>
    </cfRule>
    <cfRule type="expression" dxfId="696" priority="582">
      <formula>$H151="CÉLULA CONSTRUTIVA"</formula>
    </cfRule>
    <cfRule type="expression" dxfId="695" priority="581">
      <formula>$H151="SUBETAPA"</formula>
    </cfRule>
  </conditionalFormatting>
  <conditionalFormatting sqref="P156 P163 P198 P206">
    <cfRule type="containsText" dxfId="694" priority="4785" operator="containsText" text="Lançado">
      <formula>NOT(ISERROR(SEARCH("Lançado",P156)))</formula>
    </cfRule>
    <cfRule type="containsText" dxfId="693" priority="4786" operator="containsText" text="N/A">
      <formula>NOT(ISERROR(SEARCH("N/A",P156)))</formula>
    </cfRule>
    <cfRule type="containsText" dxfId="692" priority="4789" operator="containsText" text="em andamento">
      <formula>NOT(ISERROR(SEARCH("em andamento",P156)))</formula>
    </cfRule>
    <cfRule type="containsText" dxfId="691" priority="4788" operator="containsText" text="Finalizado">
      <formula>NOT(ISERROR(SEARCH("Finalizado",P156)))</formula>
    </cfRule>
    <cfRule type="containsText" dxfId="690" priority="4787" operator="containsText" text="Pendente">
      <formula>NOT(ISERROR(SEARCH("Pendente",P156)))</formula>
    </cfRule>
  </conditionalFormatting>
  <conditionalFormatting sqref="P156 P163 P198">
    <cfRule type="expression" dxfId="689" priority="4784">
      <formula>$H156="ETAPA"</formula>
    </cfRule>
  </conditionalFormatting>
  <conditionalFormatting sqref="P156">
    <cfRule type="containsText" dxfId="688" priority="2909" operator="containsText" text="Pendente">
      <formula>NOT(ISERROR(SEARCH("Pendente",P156)))</formula>
    </cfRule>
    <cfRule type="containsText" dxfId="687" priority="2910" operator="containsText" text="Finalizado">
      <formula>NOT(ISERROR(SEARCH("Finalizado",P156)))</formula>
    </cfRule>
    <cfRule type="containsText" dxfId="686" priority="2911" operator="containsText" text="em andamento">
      <formula>NOT(ISERROR(SEARCH("em andamento",P156)))</formula>
    </cfRule>
  </conditionalFormatting>
  <conditionalFormatting sqref="P157:P158">
    <cfRule type="containsText" dxfId="685" priority="566" operator="containsText" text="Finalizado">
      <formula>NOT(ISERROR(SEARCH("Finalizado",P157)))</formula>
    </cfRule>
    <cfRule type="containsText" dxfId="684" priority="565" operator="containsText" text="Pendente">
      <formula>NOT(ISERROR(SEARCH("Pendente",P157)))</formula>
    </cfRule>
    <cfRule type="containsText" dxfId="683" priority="564" operator="containsText" text="N/A">
      <formula>NOT(ISERROR(SEARCH("N/A",P157)))</formula>
    </cfRule>
    <cfRule type="containsText" dxfId="682" priority="563" operator="containsText" text="Lançado">
      <formula>NOT(ISERROR(SEARCH("Lançado",P157)))</formula>
    </cfRule>
    <cfRule type="expression" dxfId="681" priority="561">
      <formula>$H157="CÉLULA CONSTRUTIVA"</formula>
    </cfRule>
    <cfRule type="expression" dxfId="680" priority="560">
      <formula>$H157="SUBETAPA"</formula>
    </cfRule>
    <cfRule type="containsText" dxfId="679" priority="559" operator="containsText" text="em andamento">
      <formula>NOT(ISERROR(SEARCH("em andamento",P157)))</formula>
    </cfRule>
    <cfRule type="containsText" dxfId="678" priority="558" operator="containsText" text="Finalizado">
      <formula>NOT(ISERROR(SEARCH("Finalizado",P157)))</formula>
    </cfRule>
    <cfRule type="containsText" dxfId="677" priority="557" operator="containsText" text="Pendente">
      <formula>NOT(ISERROR(SEARCH("Pendente",P157)))</formula>
    </cfRule>
    <cfRule type="containsText" dxfId="676" priority="556" operator="containsText" text="N/A">
      <formula>NOT(ISERROR(SEARCH("N/A",P157)))</formula>
    </cfRule>
    <cfRule type="containsText" dxfId="675" priority="555" operator="containsText" text="Lançado">
      <formula>NOT(ISERROR(SEARCH("Lançado",P157)))</formula>
    </cfRule>
    <cfRule type="containsText" dxfId="674" priority="554" operator="containsText" text="em andamento">
      <formula>NOT(ISERROR(SEARCH("em andamento",P157)))</formula>
    </cfRule>
    <cfRule type="containsText" dxfId="673" priority="553" operator="containsText" text="Finalizado">
      <formula>NOT(ISERROR(SEARCH("Finalizado",P157)))</formula>
    </cfRule>
    <cfRule type="containsText" dxfId="672" priority="552" operator="containsText" text="Pendente">
      <formula>NOT(ISERROR(SEARCH("Pendente",P157)))</formula>
    </cfRule>
    <cfRule type="containsText" dxfId="671" priority="551" operator="containsText" text="N/A">
      <formula>NOT(ISERROR(SEARCH("N/A",P157)))</formula>
    </cfRule>
    <cfRule type="containsText" dxfId="670" priority="550" operator="containsText" text="Lançado">
      <formula>NOT(ISERROR(SEARCH("Lançado",P157)))</formula>
    </cfRule>
    <cfRule type="expression" dxfId="669" priority="549">
      <formula>$H157="ETAPA"</formula>
    </cfRule>
    <cfRule type="expression" dxfId="668" priority="548">
      <formula>$H157="CÉLULA CONSTRUTIVA"</formula>
    </cfRule>
    <cfRule type="expression" dxfId="667" priority="547">
      <formula>$H157="SUBETAPA"</formula>
    </cfRule>
    <cfRule type="containsText" dxfId="666" priority="567" operator="containsText" text="em andamento">
      <formula>NOT(ISERROR(SEARCH("em andamento",P157)))</formula>
    </cfRule>
  </conditionalFormatting>
  <conditionalFormatting sqref="P159">
    <cfRule type="containsText" dxfId="665" priority="2859" operator="containsText" text="Lançado">
      <formula>NOT(ISERROR(SEARCH("Lançado",P159)))</formula>
    </cfRule>
    <cfRule type="containsText" dxfId="664" priority="2860" operator="containsText" text="N/A">
      <formula>NOT(ISERROR(SEARCH("N/A",P159)))</formula>
    </cfRule>
    <cfRule type="containsText" dxfId="663" priority="2863" operator="containsText" text="em andamento">
      <formula>NOT(ISERROR(SEARCH("em andamento",P159)))</formula>
    </cfRule>
    <cfRule type="containsText" dxfId="662" priority="2862" operator="containsText" text="Finalizado">
      <formula>NOT(ISERROR(SEARCH("Finalizado",P159)))</formula>
    </cfRule>
    <cfRule type="containsText" dxfId="661" priority="2861" operator="containsText" text="Pendente">
      <formula>NOT(ISERROR(SEARCH("Pendente",P159)))</formula>
    </cfRule>
  </conditionalFormatting>
  <conditionalFormatting sqref="P160">
    <cfRule type="containsText" dxfId="660" priority="531" operator="containsText" text="Pendente">
      <formula>NOT(ISERROR(SEARCH("Pendente",P160)))</formula>
    </cfRule>
    <cfRule type="containsText" dxfId="659" priority="530" operator="containsText" text="N/A">
      <formula>NOT(ISERROR(SEARCH("N/A",P160)))</formula>
    </cfRule>
    <cfRule type="containsText" dxfId="658" priority="542" operator="containsText" text="Lançado">
      <formula>NOT(ISERROR(SEARCH("Lançado",P160)))</formula>
    </cfRule>
    <cfRule type="expression" dxfId="657" priority="528">
      <formula>$H160="ETAPA"</formula>
    </cfRule>
    <cfRule type="containsText" dxfId="656" priority="543" operator="containsText" text="N/A">
      <formula>NOT(ISERROR(SEARCH("N/A",P160)))</formula>
    </cfRule>
    <cfRule type="expression" dxfId="655" priority="526">
      <formula>$H160="SUBETAPA"</formula>
    </cfRule>
    <cfRule type="containsText" dxfId="654" priority="544" operator="containsText" text="Pendente">
      <formula>NOT(ISERROR(SEARCH("Pendente",P160)))</formula>
    </cfRule>
    <cfRule type="containsText" dxfId="653" priority="538" operator="containsText" text="em andamento">
      <formula>NOT(ISERROR(SEARCH("em andamento",P160)))</formula>
    </cfRule>
    <cfRule type="containsText" dxfId="652" priority="537" operator="containsText" text="Finalizado">
      <formula>NOT(ISERROR(SEARCH("Finalizado",P160)))</formula>
    </cfRule>
    <cfRule type="containsText" dxfId="651" priority="536" operator="containsText" text="Pendente">
      <formula>NOT(ISERROR(SEARCH("Pendente",P160)))</formula>
    </cfRule>
    <cfRule type="containsText" dxfId="650" priority="529" operator="containsText" text="Lançado">
      <formula>NOT(ISERROR(SEARCH("Lançado",P160)))</formula>
    </cfRule>
    <cfRule type="containsText" dxfId="649" priority="545" operator="containsText" text="Finalizado">
      <formula>NOT(ISERROR(SEARCH("Finalizado",P160)))</formula>
    </cfRule>
    <cfRule type="expression" dxfId="648" priority="539">
      <formula>$H160="SUBETAPA"</formula>
    </cfRule>
    <cfRule type="containsText" dxfId="647" priority="535" operator="containsText" text="N/A">
      <formula>NOT(ISERROR(SEARCH("N/A",P160)))</formula>
    </cfRule>
    <cfRule type="containsText" dxfId="646" priority="546" operator="containsText" text="em andamento">
      <formula>NOT(ISERROR(SEARCH("em andamento",P160)))</formula>
    </cfRule>
    <cfRule type="containsText" dxfId="645" priority="534" operator="containsText" text="Lançado">
      <formula>NOT(ISERROR(SEARCH("Lançado",P160)))</formula>
    </cfRule>
    <cfRule type="containsText" dxfId="644" priority="533" operator="containsText" text="em andamento">
      <formula>NOT(ISERROR(SEARCH("em andamento",P160)))</formula>
    </cfRule>
    <cfRule type="containsText" dxfId="643" priority="532" operator="containsText" text="Finalizado">
      <formula>NOT(ISERROR(SEARCH("Finalizado",P160)))</formula>
    </cfRule>
    <cfRule type="expression" dxfId="642" priority="527">
      <formula>$H160="CÉLULA CONSTRUTIVA"</formula>
    </cfRule>
  </conditionalFormatting>
  <conditionalFormatting sqref="P161">
    <cfRule type="containsText" dxfId="641" priority="2042" operator="containsText" text="Pendente">
      <formula>NOT(ISERROR(SEARCH("Pendente",P161)))</formula>
    </cfRule>
    <cfRule type="containsText" dxfId="640" priority="2041" operator="containsText" text="N/A">
      <formula>NOT(ISERROR(SEARCH("N/A",P161)))</formula>
    </cfRule>
    <cfRule type="containsText" dxfId="639" priority="2040" operator="containsText" text="Lançado">
      <formula>NOT(ISERROR(SEARCH("Lançado",P161)))</formula>
    </cfRule>
    <cfRule type="containsText" dxfId="638" priority="2044" operator="containsText" text="em andamento">
      <formula>NOT(ISERROR(SEARCH("em andamento",P161)))</formula>
    </cfRule>
    <cfRule type="containsText" dxfId="637" priority="2043" operator="containsText" text="Finalizado">
      <formula>NOT(ISERROR(SEARCH("Finalizado",P161)))</formula>
    </cfRule>
  </conditionalFormatting>
  <conditionalFormatting sqref="P162">
    <cfRule type="containsText" dxfId="636" priority="508" operator="containsText" text="Lançado">
      <formula>NOT(ISERROR(SEARCH("Lançado",P162)))</formula>
    </cfRule>
    <cfRule type="expression" dxfId="635" priority="507">
      <formula>$H162="ETAPA"</formula>
    </cfRule>
    <cfRule type="containsText" dxfId="634" priority="516" operator="containsText" text="Finalizado">
      <formula>NOT(ISERROR(SEARCH("Finalizado",P162)))</formula>
    </cfRule>
    <cfRule type="containsText" dxfId="633" priority="517" operator="containsText" text="em andamento">
      <formula>NOT(ISERROR(SEARCH("em andamento",P162)))</formula>
    </cfRule>
    <cfRule type="expression" dxfId="632" priority="506">
      <formula>$H162="CÉLULA CONSTRUTIVA"</formula>
    </cfRule>
    <cfRule type="expression" dxfId="631" priority="505">
      <formula>$H162="SUBETAPA"</formula>
    </cfRule>
    <cfRule type="containsText" dxfId="630" priority="509" operator="containsText" text="N/A">
      <formula>NOT(ISERROR(SEARCH("N/A",P162)))</formula>
    </cfRule>
    <cfRule type="containsText" dxfId="629" priority="521" operator="containsText" text="Lançado">
      <formula>NOT(ISERROR(SEARCH("Lançado",P162)))</formula>
    </cfRule>
    <cfRule type="containsText" dxfId="628" priority="522" operator="containsText" text="N/A">
      <formula>NOT(ISERROR(SEARCH("N/A",P162)))</formula>
    </cfRule>
    <cfRule type="containsText" dxfId="627" priority="523" operator="containsText" text="Pendente">
      <formula>NOT(ISERROR(SEARCH("Pendente",P162)))</formula>
    </cfRule>
    <cfRule type="containsText" dxfId="626" priority="524" operator="containsText" text="Finalizado">
      <formula>NOT(ISERROR(SEARCH("Finalizado",P162)))</formula>
    </cfRule>
    <cfRule type="containsText" dxfId="625" priority="525" operator="containsText" text="em andamento">
      <formula>NOT(ISERROR(SEARCH("em andamento",P162)))</formula>
    </cfRule>
    <cfRule type="containsText" dxfId="624" priority="510" operator="containsText" text="Pendente">
      <formula>NOT(ISERROR(SEARCH("Pendente",P162)))</formula>
    </cfRule>
    <cfRule type="containsText" dxfId="623" priority="511" operator="containsText" text="Finalizado">
      <formula>NOT(ISERROR(SEARCH("Finalizado",P162)))</formula>
    </cfRule>
    <cfRule type="containsText" dxfId="622" priority="512" operator="containsText" text="em andamento">
      <formula>NOT(ISERROR(SEARCH("em andamento",P162)))</formula>
    </cfRule>
    <cfRule type="containsText" dxfId="621" priority="515" operator="containsText" text="Pendente">
      <formula>NOT(ISERROR(SEARCH("Pendente",P162)))</formula>
    </cfRule>
    <cfRule type="containsText" dxfId="620" priority="514" operator="containsText" text="N/A">
      <formula>NOT(ISERROR(SEARCH("N/A",P162)))</formula>
    </cfRule>
    <cfRule type="containsText" dxfId="619" priority="513" operator="containsText" text="Lançado">
      <formula>NOT(ISERROR(SEARCH("Lançado",P162)))</formula>
    </cfRule>
  </conditionalFormatting>
  <conditionalFormatting sqref="P162:P163">
    <cfRule type="expression" dxfId="618" priority="518">
      <formula>$H162="SUBETAPA"</formula>
    </cfRule>
  </conditionalFormatting>
  <conditionalFormatting sqref="P163 P198 P206 P149:P150 P204 P188:P189">
    <cfRule type="containsText" dxfId="617" priority="4791" operator="containsText" text="N/A">
      <formula>NOT(ISERROR(SEARCH("N/A",P149)))</formula>
    </cfRule>
    <cfRule type="containsText" dxfId="616" priority="4790" operator="containsText" text="Lançado">
      <formula>NOT(ISERROR(SEARCH("Lançado",P149)))</formula>
    </cfRule>
  </conditionalFormatting>
  <conditionalFormatting sqref="P164">
    <cfRule type="containsText" dxfId="615" priority="502" operator="containsText" text="Pendente">
      <formula>NOT(ISERROR(SEARCH("Pendente",P164)))</formula>
    </cfRule>
    <cfRule type="containsText" dxfId="614" priority="503" operator="containsText" text="Finalizado">
      <formula>NOT(ISERROR(SEARCH("Finalizado",P164)))</formula>
    </cfRule>
    <cfRule type="containsText" dxfId="613" priority="504" operator="containsText" text="em andamento">
      <formula>NOT(ISERROR(SEARCH("em andamento",P164)))</formula>
    </cfRule>
    <cfRule type="containsText" dxfId="612" priority="487" operator="containsText" text="Lançado">
      <formula>NOT(ISERROR(SEARCH("Lançado",P164)))</formula>
    </cfRule>
    <cfRule type="containsText" dxfId="611" priority="501" operator="containsText" text="N/A">
      <formula>NOT(ISERROR(SEARCH("N/A",P164)))</formula>
    </cfRule>
    <cfRule type="containsText" dxfId="610" priority="500" operator="containsText" text="Lançado">
      <formula>NOT(ISERROR(SEARCH("Lançado",P164)))</formula>
    </cfRule>
    <cfRule type="containsText" dxfId="609" priority="496" operator="containsText" text="em andamento">
      <formula>NOT(ISERROR(SEARCH("em andamento",P164)))</formula>
    </cfRule>
    <cfRule type="containsText" dxfId="608" priority="495" operator="containsText" text="Finalizado">
      <formula>NOT(ISERROR(SEARCH("Finalizado",P164)))</formula>
    </cfRule>
    <cfRule type="containsText" dxfId="607" priority="494" operator="containsText" text="Pendente">
      <formula>NOT(ISERROR(SEARCH("Pendente",P164)))</formula>
    </cfRule>
    <cfRule type="containsText" dxfId="606" priority="493" operator="containsText" text="N/A">
      <formula>NOT(ISERROR(SEARCH("N/A",P164)))</formula>
    </cfRule>
    <cfRule type="containsText" dxfId="605" priority="492" operator="containsText" text="Lançado">
      <formula>NOT(ISERROR(SEARCH("Lançado",P164)))</formula>
    </cfRule>
    <cfRule type="containsText" dxfId="604" priority="491" operator="containsText" text="em andamento">
      <formula>NOT(ISERROR(SEARCH("em andamento",P164)))</formula>
    </cfRule>
    <cfRule type="containsText" dxfId="603" priority="490" operator="containsText" text="Finalizado">
      <formula>NOT(ISERROR(SEARCH("Finalizado",P164)))</formula>
    </cfRule>
    <cfRule type="containsText" dxfId="602" priority="489" operator="containsText" text="Pendente">
      <formula>NOT(ISERROR(SEARCH("Pendente",P164)))</formula>
    </cfRule>
    <cfRule type="containsText" dxfId="601" priority="488" operator="containsText" text="N/A">
      <formula>NOT(ISERROR(SEARCH("N/A",P164)))</formula>
    </cfRule>
  </conditionalFormatting>
  <conditionalFormatting sqref="P164:P165">
    <cfRule type="expression" dxfId="600" priority="499">
      <formula>$H164="ETAPA"</formula>
    </cfRule>
    <cfRule type="expression" dxfId="599" priority="498">
      <formula>$H164="CÉLULA CONSTRUTIVA"</formula>
    </cfRule>
    <cfRule type="expression" dxfId="598" priority="497">
      <formula>$H164="SUBETAPA"</formula>
    </cfRule>
  </conditionalFormatting>
  <conditionalFormatting sqref="P165">
    <cfRule type="expression" dxfId="597" priority="2822">
      <formula>$H165="SUBETAPA"</formula>
    </cfRule>
    <cfRule type="expression" dxfId="596" priority="2823">
      <formula>$H165="CÉLULA CONSTRUTIVA"</formula>
    </cfRule>
    <cfRule type="expression" dxfId="595" priority="2824">
      <formula>$H165="ETAPA"</formula>
    </cfRule>
    <cfRule type="containsText" dxfId="594" priority="2828" operator="containsText" text="Lançado">
      <formula>NOT(ISERROR(SEARCH("Lançado",P165)))</formula>
    </cfRule>
    <cfRule type="containsText" dxfId="593" priority="2829" operator="containsText" text="N/A">
      <formula>NOT(ISERROR(SEARCH("N/A",P165)))</formula>
    </cfRule>
    <cfRule type="containsText" dxfId="592" priority="2830" operator="containsText" text="Pendente">
      <formula>NOT(ISERROR(SEARCH("Pendente",P165)))</formula>
    </cfRule>
    <cfRule type="containsText" dxfId="591" priority="2832" operator="containsText" text="em andamento">
      <formula>NOT(ISERROR(SEARCH("em andamento",P165)))</formula>
    </cfRule>
    <cfRule type="containsText" dxfId="590" priority="2831" operator="containsText" text="Finalizado">
      <formula>NOT(ISERROR(SEARCH("Finalizado",P165)))</formula>
    </cfRule>
  </conditionalFormatting>
  <conditionalFormatting sqref="P166:P173">
    <cfRule type="containsText" dxfId="589" priority="475" operator="containsText" text="em andamento">
      <formula>NOT(ISERROR(SEARCH("em andamento",P166)))</formula>
    </cfRule>
    <cfRule type="expression" dxfId="588" priority="465">
      <formula>$H166="ETAPA"</formula>
    </cfRule>
    <cfRule type="containsText" dxfId="587" priority="472" operator="containsText" text="N/A">
      <formula>NOT(ISERROR(SEARCH("N/A",P166)))</formula>
    </cfRule>
    <cfRule type="containsText" dxfId="586" priority="471" operator="containsText" text="Lançado">
      <formula>NOT(ISERROR(SEARCH("Lançado",P166)))</formula>
    </cfRule>
    <cfRule type="containsText" dxfId="585" priority="482" operator="containsText" text="Finalizado">
      <formula>NOT(ISERROR(SEARCH("Finalizado",P166)))</formula>
    </cfRule>
    <cfRule type="expression" dxfId="584" priority="464">
      <formula>$H166="CÉLULA CONSTRUTIVA"</formula>
    </cfRule>
    <cfRule type="containsText" dxfId="583" priority="481" operator="containsText" text="Pendente">
      <formula>NOT(ISERROR(SEARCH("Pendente",P166)))</formula>
    </cfRule>
    <cfRule type="containsText" dxfId="582" priority="480" operator="containsText" text="N/A">
      <formula>NOT(ISERROR(SEARCH("N/A",P166)))</formula>
    </cfRule>
    <cfRule type="containsText" dxfId="581" priority="466" operator="containsText" text="Lançado">
      <formula>NOT(ISERROR(SEARCH("Lançado",P166)))</formula>
    </cfRule>
    <cfRule type="containsText" dxfId="580" priority="470" operator="containsText" text="em andamento">
      <formula>NOT(ISERROR(SEARCH("em andamento",P166)))</formula>
    </cfRule>
    <cfRule type="containsText" dxfId="579" priority="467" operator="containsText" text="N/A">
      <formula>NOT(ISERROR(SEARCH("N/A",P166)))</formula>
    </cfRule>
    <cfRule type="containsText" dxfId="578" priority="474" operator="containsText" text="Finalizado">
      <formula>NOT(ISERROR(SEARCH("Finalizado",P166)))</formula>
    </cfRule>
    <cfRule type="containsText" dxfId="577" priority="468" operator="containsText" text="Pendente">
      <formula>NOT(ISERROR(SEARCH("Pendente",P166)))</formula>
    </cfRule>
    <cfRule type="containsText" dxfId="576" priority="483" operator="containsText" text="em andamento">
      <formula>NOT(ISERROR(SEARCH("em andamento",P166)))</formula>
    </cfRule>
    <cfRule type="containsText" dxfId="575" priority="469" operator="containsText" text="Finalizado">
      <formula>NOT(ISERROR(SEARCH("Finalizado",P166)))</formula>
    </cfRule>
    <cfRule type="containsText" dxfId="574" priority="473" operator="containsText" text="Pendente">
      <formula>NOT(ISERROR(SEARCH("Pendente",P166)))</formula>
    </cfRule>
    <cfRule type="containsText" dxfId="573" priority="479" operator="containsText" text="Lançado">
      <formula>NOT(ISERROR(SEARCH("Lançado",P166)))</formula>
    </cfRule>
    <cfRule type="expression" dxfId="572" priority="463">
      <formula>$H166="SUBETAPA"</formula>
    </cfRule>
  </conditionalFormatting>
  <conditionalFormatting sqref="P174:P176 P178 P181 P185 P187:P189">
    <cfRule type="containsText" dxfId="571" priority="1885" operator="containsText" text="Pendente">
      <formula>NOT(ISERROR(SEARCH("Pendente",P174)))</formula>
    </cfRule>
    <cfRule type="containsText" dxfId="570" priority="1886" operator="containsText" text="Finalizado">
      <formula>NOT(ISERROR(SEARCH("Finalizado",P174)))</formula>
    </cfRule>
    <cfRule type="containsText" dxfId="569" priority="1884" operator="containsText" text="N/A">
      <formula>NOT(ISERROR(SEARCH("N/A",P174)))</formula>
    </cfRule>
    <cfRule type="containsText" dxfId="568" priority="1883" operator="containsText" text="Lançado">
      <formula>NOT(ISERROR(SEARCH("Lançado",P174)))</formula>
    </cfRule>
    <cfRule type="containsText" dxfId="567" priority="1887" operator="containsText" text="em andamento">
      <formula>NOT(ISERROR(SEARCH("em andamento",P174)))</formula>
    </cfRule>
  </conditionalFormatting>
  <conditionalFormatting sqref="P177">
    <cfRule type="containsText" dxfId="566" priority="446" operator="containsText" text="N/A">
      <formula>NOT(ISERROR(SEARCH("N/A",P177)))</formula>
    </cfRule>
    <cfRule type="containsText" dxfId="565" priority="445" operator="containsText" text="Lançado">
      <formula>NOT(ISERROR(SEARCH("Lançado",P177)))</formula>
    </cfRule>
    <cfRule type="expression" dxfId="564" priority="443">
      <formula>$H177="CÉLULA CONSTRUTIVA"</formula>
    </cfRule>
    <cfRule type="expression" dxfId="563" priority="442">
      <formula>$H177="SUBETAPA"</formula>
    </cfRule>
    <cfRule type="containsText" dxfId="562" priority="460" operator="containsText" text="Pendente">
      <formula>NOT(ISERROR(SEARCH("Pendente",P177)))</formula>
    </cfRule>
    <cfRule type="containsText" dxfId="561" priority="451" operator="containsText" text="N/A">
      <formula>NOT(ISERROR(SEARCH("N/A",P177)))</formula>
    </cfRule>
    <cfRule type="expression" dxfId="560" priority="444">
      <formula>$H177="ETAPA"</formula>
    </cfRule>
    <cfRule type="containsText" dxfId="559" priority="461" operator="containsText" text="Finalizado">
      <formula>NOT(ISERROR(SEARCH("Finalizado",P177)))</formula>
    </cfRule>
    <cfRule type="containsText" dxfId="558" priority="462" operator="containsText" text="em andamento">
      <formula>NOT(ISERROR(SEARCH("em andamento",P177)))</formula>
    </cfRule>
    <cfRule type="containsText" dxfId="557" priority="452" operator="containsText" text="Pendente">
      <formula>NOT(ISERROR(SEARCH("Pendente",P177)))</formula>
    </cfRule>
    <cfRule type="containsText" dxfId="556" priority="453" operator="containsText" text="Finalizado">
      <formula>NOT(ISERROR(SEARCH("Finalizado",P177)))</formula>
    </cfRule>
    <cfRule type="containsText" dxfId="555" priority="448" operator="containsText" text="Finalizado">
      <formula>NOT(ISERROR(SEARCH("Finalizado",P177)))</formula>
    </cfRule>
    <cfRule type="containsText" dxfId="554" priority="454" operator="containsText" text="em andamento">
      <formula>NOT(ISERROR(SEARCH("em andamento",P177)))</formula>
    </cfRule>
    <cfRule type="containsText" dxfId="553" priority="458" operator="containsText" text="Lançado">
      <formula>NOT(ISERROR(SEARCH("Lançado",P177)))</formula>
    </cfRule>
    <cfRule type="containsText" dxfId="552" priority="449" operator="containsText" text="em andamento">
      <formula>NOT(ISERROR(SEARCH("em andamento",P177)))</formula>
    </cfRule>
    <cfRule type="containsText" dxfId="551" priority="447" operator="containsText" text="Pendente">
      <formula>NOT(ISERROR(SEARCH("Pendente",P177)))</formula>
    </cfRule>
    <cfRule type="containsText" dxfId="550" priority="450" operator="containsText" text="Lançado">
      <formula>NOT(ISERROR(SEARCH("Lançado",P177)))</formula>
    </cfRule>
    <cfRule type="containsText" dxfId="549" priority="459" operator="containsText" text="N/A">
      <formula>NOT(ISERROR(SEARCH("N/A",P177)))</formula>
    </cfRule>
  </conditionalFormatting>
  <conditionalFormatting sqref="P179:P180">
    <cfRule type="containsText" dxfId="548" priority="425" operator="containsText" text="N/A">
      <formula>NOT(ISERROR(SEARCH("N/A",P179)))</formula>
    </cfRule>
    <cfRule type="containsText" dxfId="547" priority="426" operator="containsText" text="Pendente">
      <formula>NOT(ISERROR(SEARCH("Pendente",P179)))</formula>
    </cfRule>
    <cfRule type="containsText" dxfId="546" priority="439" operator="containsText" text="Pendente">
      <formula>NOT(ISERROR(SEARCH("Pendente",P179)))</formula>
    </cfRule>
    <cfRule type="containsText" dxfId="545" priority="440" operator="containsText" text="Finalizado">
      <formula>NOT(ISERROR(SEARCH("Finalizado",P179)))</formula>
    </cfRule>
    <cfRule type="containsText" dxfId="544" priority="437" operator="containsText" text="Lançado">
      <formula>NOT(ISERROR(SEARCH("Lançado",P179)))</formula>
    </cfRule>
    <cfRule type="containsText" dxfId="543" priority="441" operator="containsText" text="em andamento">
      <formula>NOT(ISERROR(SEARCH("em andamento",P179)))</formula>
    </cfRule>
    <cfRule type="containsText" dxfId="542" priority="433" operator="containsText" text="em andamento">
      <formula>NOT(ISERROR(SEARCH("em andamento",P179)))</formula>
    </cfRule>
    <cfRule type="containsText" dxfId="541" priority="424" operator="containsText" text="Lançado">
      <formula>NOT(ISERROR(SEARCH("Lançado",P179)))</formula>
    </cfRule>
    <cfRule type="containsText" dxfId="540" priority="432" operator="containsText" text="Finalizado">
      <formula>NOT(ISERROR(SEARCH("Finalizado",P179)))</formula>
    </cfRule>
    <cfRule type="containsText" dxfId="539" priority="431" operator="containsText" text="Pendente">
      <formula>NOT(ISERROR(SEARCH("Pendente",P179)))</formula>
    </cfRule>
    <cfRule type="containsText" dxfId="538" priority="438" operator="containsText" text="N/A">
      <formula>NOT(ISERROR(SEARCH("N/A",P179)))</formula>
    </cfRule>
    <cfRule type="containsText" dxfId="537" priority="428" operator="containsText" text="em andamento">
      <formula>NOT(ISERROR(SEARCH("em andamento",P179)))</formula>
    </cfRule>
    <cfRule type="containsText" dxfId="536" priority="430" operator="containsText" text="N/A">
      <formula>NOT(ISERROR(SEARCH("N/A",P179)))</formula>
    </cfRule>
    <cfRule type="expression" dxfId="535" priority="422">
      <formula>$H179="CÉLULA CONSTRUTIVA"</formula>
    </cfRule>
    <cfRule type="expression" dxfId="534" priority="421">
      <formula>$H179="SUBETAPA"</formula>
    </cfRule>
    <cfRule type="expression" dxfId="533" priority="423">
      <formula>$H179="ETAPA"</formula>
    </cfRule>
    <cfRule type="containsText" dxfId="532" priority="429" operator="containsText" text="Lançado">
      <formula>NOT(ISERROR(SEARCH("Lançado",P179)))</formula>
    </cfRule>
    <cfRule type="containsText" dxfId="531" priority="427" operator="containsText" text="Finalizado">
      <formula>NOT(ISERROR(SEARCH("Finalizado",P179)))</formula>
    </cfRule>
  </conditionalFormatting>
  <conditionalFormatting sqref="P182:P184">
    <cfRule type="expression" dxfId="530" priority="402">
      <formula>$H182="ETAPA"</formula>
    </cfRule>
    <cfRule type="containsText" dxfId="529" priority="403" operator="containsText" text="Lançado">
      <formula>NOT(ISERROR(SEARCH("Lançado",P182)))</formula>
    </cfRule>
    <cfRule type="containsText" dxfId="528" priority="404" operator="containsText" text="N/A">
      <formula>NOT(ISERROR(SEARCH("N/A",P182)))</formula>
    </cfRule>
    <cfRule type="containsText" dxfId="527" priority="405" operator="containsText" text="Pendente">
      <formula>NOT(ISERROR(SEARCH("Pendente",P182)))</formula>
    </cfRule>
    <cfRule type="containsText" dxfId="526" priority="406" operator="containsText" text="Finalizado">
      <formula>NOT(ISERROR(SEARCH("Finalizado",P182)))</formula>
    </cfRule>
    <cfRule type="containsText" dxfId="525" priority="408" operator="containsText" text="Lançado">
      <formula>NOT(ISERROR(SEARCH("Lançado",P182)))</formula>
    </cfRule>
    <cfRule type="containsText" dxfId="524" priority="409" operator="containsText" text="N/A">
      <formula>NOT(ISERROR(SEARCH("N/A",P182)))</formula>
    </cfRule>
    <cfRule type="containsText" dxfId="523" priority="410" operator="containsText" text="Pendente">
      <formula>NOT(ISERROR(SEARCH("Pendente",P182)))</formula>
    </cfRule>
    <cfRule type="containsText" dxfId="522" priority="411" operator="containsText" text="Finalizado">
      <formula>NOT(ISERROR(SEARCH("Finalizado",P182)))</formula>
    </cfRule>
    <cfRule type="containsText" dxfId="521" priority="412" operator="containsText" text="em andamento">
      <formula>NOT(ISERROR(SEARCH("em andamento",P182)))</formula>
    </cfRule>
    <cfRule type="containsText" dxfId="520" priority="416" operator="containsText" text="Lançado">
      <formula>NOT(ISERROR(SEARCH("Lançado",P182)))</formula>
    </cfRule>
    <cfRule type="containsText" dxfId="519" priority="417" operator="containsText" text="N/A">
      <formula>NOT(ISERROR(SEARCH("N/A",P182)))</formula>
    </cfRule>
    <cfRule type="containsText" dxfId="518" priority="418" operator="containsText" text="Pendente">
      <formula>NOT(ISERROR(SEARCH("Pendente",P182)))</formula>
    </cfRule>
    <cfRule type="containsText" dxfId="517" priority="419" operator="containsText" text="Finalizado">
      <formula>NOT(ISERROR(SEARCH("Finalizado",P182)))</formula>
    </cfRule>
    <cfRule type="containsText" dxfId="516" priority="420" operator="containsText" text="em andamento">
      <formula>NOT(ISERROR(SEARCH("em andamento",P182)))</formula>
    </cfRule>
    <cfRule type="containsText" dxfId="515" priority="407" operator="containsText" text="em andamento">
      <formula>NOT(ISERROR(SEARCH("em andamento",P182)))</formula>
    </cfRule>
    <cfRule type="expression" dxfId="514" priority="400">
      <formula>$H182="SUBETAPA"</formula>
    </cfRule>
    <cfRule type="expression" dxfId="513" priority="401">
      <formula>$H182="CÉLULA CONSTRUTIVA"</formula>
    </cfRule>
  </conditionalFormatting>
  <conditionalFormatting sqref="P186">
    <cfRule type="expression" dxfId="512" priority="379">
      <formula>$H186="SUBETAPA"</formula>
    </cfRule>
    <cfRule type="expression" dxfId="511" priority="394">
      <formula>$H186="ETAPA"</formula>
    </cfRule>
    <cfRule type="containsText" dxfId="510" priority="395" operator="containsText" text="Lançado">
      <formula>NOT(ISERROR(SEARCH("Lançado",P186)))</formula>
    </cfRule>
    <cfRule type="containsText" dxfId="509" priority="390" operator="containsText" text="Finalizado">
      <formula>NOT(ISERROR(SEARCH("Finalizado",P186)))</formula>
    </cfRule>
    <cfRule type="containsText" dxfId="508" priority="389" operator="containsText" text="Pendente">
      <formula>NOT(ISERROR(SEARCH("Pendente",P186)))</formula>
    </cfRule>
    <cfRule type="containsText" dxfId="507" priority="388" operator="containsText" text="N/A">
      <formula>NOT(ISERROR(SEARCH("N/A",P186)))</formula>
    </cfRule>
    <cfRule type="containsText" dxfId="506" priority="391" operator="containsText" text="em andamento">
      <formula>NOT(ISERROR(SEARCH("em andamento",P186)))</formula>
    </cfRule>
    <cfRule type="containsText" dxfId="505" priority="385" operator="containsText" text="Finalizado">
      <formula>NOT(ISERROR(SEARCH("Finalizado",P186)))</formula>
    </cfRule>
    <cfRule type="expression" dxfId="504" priority="380">
      <formula>$H186="CÉLULA CONSTRUTIVA"</formula>
    </cfRule>
    <cfRule type="expression" dxfId="503" priority="392">
      <formula>$H186="SUBETAPA"</formula>
    </cfRule>
    <cfRule type="expression" dxfId="502" priority="393">
      <formula>$H186="CÉLULA CONSTRUTIVA"</formula>
    </cfRule>
    <cfRule type="containsText" dxfId="501" priority="387" operator="containsText" text="Lançado">
      <formula>NOT(ISERROR(SEARCH("Lançado",P186)))</formula>
    </cfRule>
    <cfRule type="containsText" dxfId="500" priority="386" operator="containsText" text="em andamento">
      <formula>NOT(ISERROR(SEARCH("em andamento",P186)))</formula>
    </cfRule>
    <cfRule type="containsText" dxfId="499" priority="397" operator="containsText" text="Pendente">
      <formula>NOT(ISERROR(SEARCH("Pendente",P186)))</formula>
    </cfRule>
    <cfRule type="containsText" dxfId="498" priority="382" operator="containsText" text="Lançado">
      <formula>NOT(ISERROR(SEARCH("Lançado",P186)))</formula>
    </cfRule>
    <cfRule type="containsText" dxfId="497" priority="384" operator="containsText" text="Pendente">
      <formula>NOT(ISERROR(SEARCH("Pendente",P186)))</formula>
    </cfRule>
    <cfRule type="containsText" dxfId="496" priority="383" operator="containsText" text="N/A">
      <formula>NOT(ISERROR(SEARCH("N/A",P186)))</formula>
    </cfRule>
    <cfRule type="expression" dxfId="495" priority="381">
      <formula>$H186="ETAPA"</formula>
    </cfRule>
    <cfRule type="containsText" dxfId="494" priority="398" operator="containsText" text="Finalizado">
      <formula>NOT(ISERROR(SEARCH("Finalizado",P186)))</formula>
    </cfRule>
    <cfRule type="containsText" dxfId="493" priority="399" operator="containsText" text="em andamento">
      <formula>NOT(ISERROR(SEARCH("em andamento",P186)))</formula>
    </cfRule>
    <cfRule type="containsText" dxfId="492" priority="396" operator="containsText" text="N/A">
      <formula>NOT(ISERROR(SEARCH("N/A",P186)))</formula>
    </cfRule>
  </conditionalFormatting>
  <conditionalFormatting sqref="P187:P189 G208:L208 G211:N211">
    <cfRule type="expression" dxfId="491" priority="1720">
      <formula>$H187="SUBETAPA"</formula>
    </cfRule>
    <cfRule type="expression" dxfId="490" priority="1722">
      <formula>$H187="ETAPA"</formula>
    </cfRule>
    <cfRule type="expression" dxfId="489" priority="1721">
      <formula>$H187="CÉLULA CONSTRUTIVA"</formula>
    </cfRule>
  </conditionalFormatting>
  <conditionalFormatting sqref="P190:P192">
    <cfRule type="containsText" dxfId="488" priority="378" operator="containsText" text="em andamento">
      <formula>NOT(ISERROR(SEARCH("em andamento",P190)))</formula>
    </cfRule>
    <cfRule type="containsText" dxfId="487" priority="374" operator="containsText" text="Lançado">
      <formula>NOT(ISERROR(SEARCH("Lançado",P190)))</formula>
    </cfRule>
    <cfRule type="containsText" dxfId="486" priority="361" operator="containsText" text="Lançado">
      <formula>NOT(ISERROR(SEARCH("Lançado",P190)))</formula>
    </cfRule>
    <cfRule type="containsText" dxfId="485" priority="362" operator="containsText" text="N/A">
      <formula>NOT(ISERROR(SEARCH("N/A",P190)))</formula>
    </cfRule>
    <cfRule type="containsText" dxfId="484" priority="363" operator="containsText" text="Pendente">
      <formula>NOT(ISERROR(SEARCH("Pendente",P190)))</formula>
    </cfRule>
    <cfRule type="containsText" dxfId="483" priority="364" operator="containsText" text="Finalizado">
      <formula>NOT(ISERROR(SEARCH("Finalizado",P190)))</formula>
    </cfRule>
    <cfRule type="containsText" dxfId="482" priority="365" operator="containsText" text="em andamento">
      <formula>NOT(ISERROR(SEARCH("em andamento",P190)))</formula>
    </cfRule>
    <cfRule type="containsText" dxfId="481" priority="366" operator="containsText" text="Lançado">
      <formula>NOT(ISERROR(SEARCH("Lançado",P190)))</formula>
    </cfRule>
    <cfRule type="containsText" dxfId="480" priority="367" operator="containsText" text="N/A">
      <formula>NOT(ISERROR(SEARCH("N/A",P190)))</formula>
    </cfRule>
    <cfRule type="containsText" dxfId="479" priority="368" operator="containsText" text="Pendente">
      <formula>NOT(ISERROR(SEARCH("Pendente",P190)))</formula>
    </cfRule>
    <cfRule type="expression" dxfId="478" priority="359">
      <formula>$H190="CÉLULA CONSTRUTIVA"</formula>
    </cfRule>
    <cfRule type="expression" dxfId="477" priority="360">
      <formula>$H190="ETAPA"</formula>
    </cfRule>
    <cfRule type="containsText" dxfId="476" priority="370" operator="containsText" text="em andamento">
      <formula>NOT(ISERROR(SEARCH("em andamento",P190)))</formula>
    </cfRule>
    <cfRule type="containsText" dxfId="475" priority="377" operator="containsText" text="Finalizado">
      <formula>NOT(ISERROR(SEARCH("Finalizado",P190)))</formula>
    </cfRule>
    <cfRule type="containsText" dxfId="474" priority="376" operator="containsText" text="Pendente">
      <formula>NOT(ISERROR(SEARCH("Pendente",P190)))</formula>
    </cfRule>
    <cfRule type="expression" dxfId="473" priority="358">
      <formula>$H190="SUBETAPA"</formula>
    </cfRule>
    <cfRule type="containsText" dxfId="472" priority="375" operator="containsText" text="N/A">
      <formula>NOT(ISERROR(SEARCH("N/A",P190)))</formula>
    </cfRule>
    <cfRule type="containsText" dxfId="471" priority="369" operator="containsText" text="Finalizado">
      <formula>NOT(ISERROR(SEARCH("Finalizado",P190)))</formula>
    </cfRule>
  </conditionalFormatting>
  <conditionalFormatting sqref="P190:P193">
    <cfRule type="expression" dxfId="470" priority="373">
      <formula>$H190="ETAPA"</formula>
    </cfRule>
  </conditionalFormatting>
  <conditionalFormatting sqref="P193">
    <cfRule type="expression" dxfId="469" priority="1860">
      <formula>$H193="SUBETAPA"</formula>
    </cfRule>
    <cfRule type="expression" dxfId="468" priority="1861">
      <formula>$H193="CÉLULA CONSTRUTIVA"</formula>
    </cfRule>
    <cfRule type="containsText" dxfId="467" priority="1867" operator="containsText" text="N/A">
      <formula>NOT(ISERROR(SEARCH("N/A",P193)))</formula>
    </cfRule>
    <cfRule type="containsText" dxfId="466" priority="1868" operator="containsText" text="Pendente">
      <formula>NOT(ISERROR(SEARCH("Pendente",P193)))</formula>
    </cfRule>
    <cfRule type="containsText" dxfId="465" priority="1869" operator="containsText" text="Finalizado">
      <formula>NOT(ISERROR(SEARCH("Finalizado",P193)))</formula>
    </cfRule>
    <cfRule type="containsText" dxfId="464" priority="1870" operator="containsText" text="em andamento">
      <formula>NOT(ISERROR(SEARCH("em andamento",P193)))</formula>
    </cfRule>
    <cfRule type="expression" dxfId="463" priority="1862">
      <formula>$H193="ETAPA"</formula>
    </cfRule>
    <cfRule type="expression" dxfId="462" priority="1863">
      <formula>$H193="SUBETAPA"</formula>
    </cfRule>
    <cfRule type="expression" dxfId="461" priority="1864">
      <formula>$H193="CÉLULA CONSTRUTIVA"</formula>
    </cfRule>
    <cfRule type="expression" dxfId="460" priority="1865">
      <formula>$H193="ETAPA"</formula>
    </cfRule>
    <cfRule type="containsText" dxfId="459" priority="1866" operator="containsText" text="Lançado">
      <formula>NOT(ISERROR(SEARCH("Lançado",P193)))</formula>
    </cfRule>
  </conditionalFormatting>
  <conditionalFormatting sqref="P194:P196">
    <cfRule type="containsText" dxfId="458" priority="344" operator="containsText" text="em andamento">
      <formula>NOT(ISERROR(SEARCH("em andamento",P194)))</formula>
    </cfRule>
    <cfRule type="containsText" dxfId="457" priority="340" operator="containsText" text="Lançado">
      <formula>NOT(ISERROR(SEARCH("Lançado",P194)))</formula>
    </cfRule>
    <cfRule type="expression" dxfId="456" priority="338">
      <formula>$H194="CÉLULA CONSTRUTIVA"</formula>
    </cfRule>
    <cfRule type="expression" dxfId="455" priority="337">
      <formula>$H194="SUBETAPA"</formula>
    </cfRule>
    <cfRule type="containsText" dxfId="454" priority="341" operator="containsText" text="N/A">
      <formula>NOT(ISERROR(SEARCH("N/A",P194)))</formula>
    </cfRule>
    <cfRule type="containsText" dxfId="453" priority="342" operator="containsText" text="Pendente">
      <formula>NOT(ISERROR(SEARCH("Pendente",P194)))</formula>
    </cfRule>
    <cfRule type="containsText" dxfId="452" priority="346" operator="containsText" text="N/A">
      <formula>NOT(ISERROR(SEARCH("N/A",P194)))</formula>
    </cfRule>
    <cfRule type="expression" dxfId="451" priority="339">
      <formula>$H194="ETAPA"</formula>
    </cfRule>
    <cfRule type="expression" dxfId="450" priority="350">
      <formula>$H194="SUBETAPA"</formula>
    </cfRule>
    <cfRule type="containsText" dxfId="449" priority="345" operator="containsText" text="Lançado">
      <formula>NOT(ISERROR(SEARCH("Lançado",P194)))</formula>
    </cfRule>
    <cfRule type="containsText" dxfId="448" priority="349" operator="containsText" text="em andamento">
      <formula>NOT(ISERROR(SEARCH("em andamento",P194)))</formula>
    </cfRule>
    <cfRule type="containsText" dxfId="447" priority="348" operator="containsText" text="Finalizado">
      <formula>NOT(ISERROR(SEARCH("Finalizado",P194)))</formula>
    </cfRule>
    <cfRule type="containsText" dxfId="446" priority="347" operator="containsText" text="Pendente">
      <formula>NOT(ISERROR(SEARCH("Pendente",P194)))</formula>
    </cfRule>
    <cfRule type="containsText" dxfId="445" priority="343" operator="containsText" text="Finalizado">
      <formula>NOT(ISERROR(SEARCH("Finalizado",P194)))</formula>
    </cfRule>
    <cfRule type="expression" dxfId="444" priority="351">
      <formula>$H194="CÉLULA CONSTRUTIVA"</formula>
    </cfRule>
  </conditionalFormatting>
  <conditionalFormatting sqref="P194:P197">
    <cfRule type="containsText" dxfId="443" priority="357" operator="containsText" text="em andamento">
      <formula>NOT(ISERROR(SEARCH("em andamento",P194)))</formula>
    </cfRule>
    <cfRule type="containsText" dxfId="442" priority="356" operator="containsText" text="Finalizado">
      <formula>NOT(ISERROR(SEARCH("Finalizado",P194)))</formula>
    </cfRule>
    <cfRule type="expression" dxfId="441" priority="352">
      <formula>$H194="ETAPA"</formula>
    </cfRule>
    <cfRule type="containsText" dxfId="440" priority="355" operator="containsText" text="Pendente">
      <formula>NOT(ISERROR(SEARCH("Pendente",P194)))</formula>
    </cfRule>
    <cfRule type="containsText" dxfId="439" priority="354" operator="containsText" text="N/A">
      <formula>NOT(ISERROR(SEARCH("N/A",P194)))</formula>
    </cfRule>
    <cfRule type="containsText" dxfId="438" priority="353" operator="containsText" text="Lançado">
      <formula>NOT(ISERROR(SEARCH("Lançado",P194)))</formula>
    </cfRule>
  </conditionalFormatting>
  <conditionalFormatting sqref="P198 P156 P163">
    <cfRule type="expression" dxfId="437" priority="4783">
      <formula>$H156="CÉLULA CONSTRUTIVA"</formula>
    </cfRule>
  </conditionalFormatting>
  <conditionalFormatting sqref="P198">
    <cfRule type="expression" dxfId="436" priority="4782">
      <formula>$H198="SUBETAPA"</formula>
    </cfRule>
  </conditionalFormatting>
  <conditionalFormatting sqref="P199">
    <cfRule type="containsText" dxfId="435" priority="2641" operator="containsText" text="Lançado">
      <formula>NOT(ISERROR(SEARCH("Lançado",P199)))</formula>
    </cfRule>
    <cfRule type="containsText" dxfId="434" priority="2645" operator="containsText" text="em andamento">
      <formula>NOT(ISERROR(SEARCH("em andamento",P199)))</formula>
    </cfRule>
    <cfRule type="containsText" dxfId="433" priority="2642" operator="containsText" text="N/A">
      <formula>NOT(ISERROR(SEARCH("N/A",P199)))</formula>
    </cfRule>
    <cfRule type="containsText" dxfId="432" priority="2643" operator="containsText" text="Pendente">
      <formula>NOT(ISERROR(SEARCH("Pendente",P199)))</formula>
    </cfRule>
    <cfRule type="containsText" dxfId="431" priority="2644" operator="containsText" text="Finalizado">
      <formula>NOT(ISERROR(SEARCH("Finalizado",P199)))</formula>
    </cfRule>
  </conditionalFormatting>
  <conditionalFormatting sqref="P200:P201">
    <cfRule type="containsText" dxfId="430" priority="319" operator="containsText" text="Lançado">
      <formula>NOT(ISERROR(SEARCH("Lançado",P200)))</formula>
    </cfRule>
    <cfRule type="containsText" dxfId="429" priority="320" operator="containsText" text="N/A">
      <formula>NOT(ISERROR(SEARCH("N/A",P200)))</formula>
    </cfRule>
    <cfRule type="containsText" dxfId="428" priority="321" operator="containsText" text="Pendente">
      <formula>NOT(ISERROR(SEARCH("Pendente",P200)))</formula>
    </cfRule>
    <cfRule type="expression" dxfId="427" priority="316">
      <formula>$H200="SUBETAPA"</formula>
    </cfRule>
    <cfRule type="containsText" dxfId="426" priority="324" operator="containsText" text="Lançado">
      <formula>NOT(ISERROR(SEARCH("Lançado",P200)))</formula>
    </cfRule>
    <cfRule type="expression" dxfId="425" priority="318">
      <formula>$H200="ETAPA"</formula>
    </cfRule>
    <cfRule type="containsText" dxfId="424" priority="323" operator="containsText" text="em andamento">
      <formula>NOT(ISERROR(SEARCH("em andamento",P200)))</formula>
    </cfRule>
    <cfRule type="containsText" dxfId="423" priority="325" operator="containsText" text="N/A">
      <formula>NOT(ISERROR(SEARCH("N/A",P200)))</formula>
    </cfRule>
    <cfRule type="containsText" dxfId="422" priority="326" operator="containsText" text="Pendente">
      <formula>NOT(ISERROR(SEARCH("Pendente",P200)))</formula>
    </cfRule>
    <cfRule type="containsText" dxfId="421" priority="322" operator="containsText" text="Finalizado">
      <formula>NOT(ISERROR(SEARCH("Finalizado",P200)))</formula>
    </cfRule>
    <cfRule type="containsText" dxfId="420" priority="336" operator="containsText" text="em andamento">
      <formula>NOT(ISERROR(SEARCH("em andamento",P200)))</formula>
    </cfRule>
    <cfRule type="expression" dxfId="419" priority="317">
      <formula>$H200="CÉLULA CONSTRUTIVA"</formula>
    </cfRule>
    <cfRule type="containsText" dxfId="418" priority="327" operator="containsText" text="Finalizado">
      <formula>NOT(ISERROR(SEARCH("Finalizado",P200)))</formula>
    </cfRule>
    <cfRule type="containsText" dxfId="417" priority="328" operator="containsText" text="em andamento">
      <formula>NOT(ISERROR(SEARCH("em andamento",P200)))</formula>
    </cfRule>
    <cfRule type="expression" dxfId="416" priority="329">
      <formula>$H200="SUBETAPA"</formula>
    </cfRule>
    <cfRule type="expression" dxfId="415" priority="330">
      <formula>$H200="CÉLULA CONSTRUTIVA"</formula>
    </cfRule>
    <cfRule type="expression" dxfId="414" priority="331">
      <formula>$H200="ETAPA"</formula>
    </cfRule>
    <cfRule type="containsText" dxfId="413" priority="332" operator="containsText" text="Lançado">
      <formula>NOT(ISERROR(SEARCH("Lançado",P200)))</formula>
    </cfRule>
    <cfRule type="containsText" dxfId="412" priority="333" operator="containsText" text="N/A">
      <formula>NOT(ISERROR(SEARCH("N/A",P200)))</formula>
    </cfRule>
    <cfRule type="containsText" dxfId="411" priority="334" operator="containsText" text="Pendente">
      <formula>NOT(ISERROR(SEARCH("Pendente",P200)))</formula>
    </cfRule>
    <cfRule type="containsText" dxfId="410" priority="335" operator="containsText" text="Finalizado">
      <formula>NOT(ISERROR(SEARCH("Finalizado",P200)))</formula>
    </cfRule>
  </conditionalFormatting>
  <conditionalFormatting sqref="P202">
    <cfRule type="containsText" dxfId="409" priority="2628" operator="containsText" text="Lançado">
      <formula>NOT(ISERROR(SEARCH("Lançado",P202)))</formula>
    </cfRule>
    <cfRule type="containsText" dxfId="408" priority="2629" operator="containsText" text="N/A">
      <formula>NOT(ISERROR(SEARCH("N/A",P202)))</formula>
    </cfRule>
    <cfRule type="containsText" dxfId="407" priority="2630" operator="containsText" text="Pendente">
      <formula>NOT(ISERROR(SEARCH("Pendente",P202)))</formula>
    </cfRule>
    <cfRule type="containsText" dxfId="406" priority="2632" operator="containsText" text="em andamento">
      <formula>NOT(ISERROR(SEARCH("em andamento",P202)))</formula>
    </cfRule>
    <cfRule type="containsText" dxfId="405" priority="2631" operator="containsText" text="Finalizado">
      <formula>NOT(ISERROR(SEARCH("Finalizado",P202)))</formula>
    </cfRule>
  </conditionalFormatting>
  <conditionalFormatting sqref="P203">
    <cfRule type="containsText" dxfId="404" priority="315" operator="containsText" text="em andamento">
      <formula>NOT(ISERROR(SEARCH("em andamento",P203)))</formula>
    </cfRule>
    <cfRule type="expression" dxfId="403" priority="295">
      <formula>$H203="SUBETAPA"</formula>
    </cfRule>
    <cfRule type="expression" dxfId="402" priority="296">
      <formula>$H203="CÉLULA CONSTRUTIVA"</formula>
    </cfRule>
    <cfRule type="expression" dxfId="401" priority="297">
      <formula>$H203="ETAPA"</formula>
    </cfRule>
    <cfRule type="containsText" dxfId="400" priority="298" operator="containsText" text="Lançado">
      <formula>NOT(ISERROR(SEARCH("Lançado",P203)))</formula>
    </cfRule>
    <cfRule type="containsText" dxfId="399" priority="299" operator="containsText" text="N/A">
      <formula>NOT(ISERROR(SEARCH("N/A",P203)))</formula>
    </cfRule>
    <cfRule type="containsText" dxfId="398" priority="300" operator="containsText" text="Pendente">
      <formula>NOT(ISERROR(SEARCH("Pendente",P203)))</formula>
    </cfRule>
    <cfRule type="containsText" dxfId="397" priority="301" operator="containsText" text="Finalizado">
      <formula>NOT(ISERROR(SEARCH("Finalizado",P203)))</formula>
    </cfRule>
    <cfRule type="containsText" dxfId="396" priority="302" operator="containsText" text="em andamento">
      <formula>NOT(ISERROR(SEARCH("em andamento",P203)))</formula>
    </cfRule>
    <cfRule type="containsText" dxfId="395" priority="303" operator="containsText" text="Lançado">
      <formula>NOT(ISERROR(SEARCH("Lançado",P203)))</formula>
    </cfRule>
    <cfRule type="containsText" dxfId="394" priority="304" operator="containsText" text="N/A">
      <formula>NOT(ISERROR(SEARCH("N/A",P203)))</formula>
    </cfRule>
    <cfRule type="containsText" dxfId="393" priority="305" operator="containsText" text="Pendente">
      <formula>NOT(ISERROR(SEARCH("Pendente",P203)))</formula>
    </cfRule>
    <cfRule type="containsText" dxfId="392" priority="306" operator="containsText" text="Finalizado">
      <formula>NOT(ISERROR(SEARCH("Finalizado",P203)))</formula>
    </cfRule>
    <cfRule type="containsText" dxfId="391" priority="307" operator="containsText" text="em andamento">
      <formula>NOT(ISERROR(SEARCH("em andamento",P203)))</formula>
    </cfRule>
    <cfRule type="containsText" dxfId="390" priority="311" operator="containsText" text="Lançado">
      <formula>NOT(ISERROR(SEARCH("Lançado",P203)))</formula>
    </cfRule>
    <cfRule type="containsText" dxfId="389" priority="312" operator="containsText" text="N/A">
      <formula>NOT(ISERROR(SEARCH("N/A",P203)))</formula>
    </cfRule>
    <cfRule type="containsText" dxfId="388" priority="313" operator="containsText" text="Pendente">
      <formula>NOT(ISERROR(SEARCH("Pendente",P203)))</formula>
    </cfRule>
    <cfRule type="containsText" dxfId="387" priority="314" operator="containsText" text="Finalizado">
      <formula>NOT(ISERROR(SEARCH("Finalizado",P203)))</formula>
    </cfRule>
  </conditionalFormatting>
  <conditionalFormatting sqref="P203:P204">
    <cfRule type="expression" dxfId="386" priority="308">
      <formula>$H203="SUBETAPA"</formula>
    </cfRule>
    <cfRule type="expression" dxfId="385" priority="310">
      <formula>$H203="ETAPA"</formula>
    </cfRule>
    <cfRule type="expression" dxfId="384" priority="309">
      <formula>$H203="CÉLULA CONSTRUTIVA"</formula>
    </cfRule>
  </conditionalFormatting>
  <conditionalFormatting sqref="P204">
    <cfRule type="containsText" dxfId="383" priority="2583" operator="containsText" text="Finalizado">
      <formula>NOT(ISERROR(SEARCH("Finalizado",P204)))</formula>
    </cfRule>
    <cfRule type="containsText" dxfId="382" priority="2584" operator="containsText" text="em andamento">
      <formula>NOT(ISERROR(SEARCH("em andamento",P204)))</formula>
    </cfRule>
    <cfRule type="containsText" dxfId="381" priority="2580" operator="containsText" text="Lançado">
      <formula>NOT(ISERROR(SEARCH("Lançado",P204)))</formula>
    </cfRule>
    <cfRule type="containsText" dxfId="380" priority="2581" operator="containsText" text="N/A">
      <formula>NOT(ISERROR(SEARCH("N/A",P204)))</formula>
    </cfRule>
    <cfRule type="containsText" dxfId="379" priority="2582" operator="containsText" text="Pendente">
      <formula>NOT(ISERROR(SEARCH("Pendente",P204)))</formula>
    </cfRule>
  </conditionalFormatting>
  <conditionalFormatting sqref="P205">
    <cfRule type="containsText" dxfId="378" priority="285" operator="containsText" text="Finalizado">
      <formula>NOT(ISERROR(SEARCH("Finalizado",P205)))</formula>
    </cfRule>
    <cfRule type="containsText" dxfId="377" priority="290" operator="containsText" text="Lançado">
      <formula>NOT(ISERROR(SEARCH("Lançado",P205)))</formula>
    </cfRule>
    <cfRule type="expression" dxfId="376" priority="289">
      <formula>$H205="ETAPA"</formula>
    </cfRule>
    <cfRule type="containsText" dxfId="375" priority="293" operator="containsText" text="Finalizado">
      <formula>NOT(ISERROR(SEARCH("Finalizado",P205)))</formula>
    </cfRule>
    <cfRule type="containsText" dxfId="374" priority="292" operator="containsText" text="Pendente">
      <formula>NOT(ISERROR(SEARCH("Pendente",P205)))</formula>
    </cfRule>
    <cfRule type="containsText" dxfId="373" priority="294" operator="containsText" text="em andamento">
      <formula>NOT(ISERROR(SEARCH("em andamento",P205)))</formula>
    </cfRule>
    <cfRule type="containsText" dxfId="372" priority="286" operator="containsText" text="em andamento">
      <formula>NOT(ISERROR(SEARCH("em andamento",P205)))</formula>
    </cfRule>
    <cfRule type="containsText" dxfId="371" priority="283" operator="containsText" text="N/A">
      <formula>NOT(ISERROR(SEARCH("N/A",P205)))</formula>
    </cfRule>
    <cfRule type="containsText" dxfId="370" priority="282" operator="containsText" text="Lançado">
      <formula>NOT(ISERROR(SEARCH("Lançado",P205)))</formula>
    </cfRule>
    <cfRule type="containsText" dxfId="369" priority="281" operator="containsText" text="em andamento">
      <formula>NOT(ISERROR(SEARCH("em andamento",P205)))</formula>
    </cfRule>
    <cfRule type="containsText" dxfId="368" priority="284" operator="containsText" text="Pendente">
      <formula>NOT(ISERROR(SEARCH("Pendente",P205)))</formula>
    </cfRule>
    <cfRule type="containsText" dxfId="367" priority="280" operator="containsText" text="Finalizado">
      <formula>NOT(ISERROR(SEARCH("Finalizado",P205)))</formula>
    </cfRule>
    <cfRule type="containsText" dxfId="366" priority="279" operator="containsText" text="Pendente">
      <formula>NOT(ISERROR(SEARCH("Pendente",P205)))</formula>
    </cfRule>
    <cfRule type="containsText" dxfId="365" priority="278" operator="containsText" text="N/A">
      <formula>NOT(ISERROR(SEARCH("N/A",P205)))</formula>
    </cfRule>
    <cfRule type="containsText" dxfId="364" priority="277" operator="containsText" text="Lançado">
      <formula>NOT(ISERROR(SEARCH("Lançado",P205)))</formula>
    </cfRule>
    <cfRule type="expression" dxfId="363" priority="276">
      <formula>$H205="ETAPA"</formula>
    </cfRule>
    <cfRule type="expression" dxfId="362" priority="275">
      <formula>$H205="CÉLULA CONSTRUTIVA"</formula>
    </cfRule>
    <cfRule type="expression" dxfId="361" priority="274">
      <formula>$H205="SUBETAPA"</formula>
    </cfRule>
    <cfRule type="containsText" dxfId="360" priority="291" operator="containsText" text="N/A">
      <formula>NOT(ISERROR(SEARCH("N/A",P205)))</formula>
    </cfRule>
  </conditionalFormatting>
  <conditionalFormatting sqref="P205:P207">
    <cfRule type="expression" dxfId="359" priority="287">
      <formula>$H205="SUBETAPA"</formula>
    </cfRule>
    <cfRule type="expression" dxfId="358" priority="288">
      <formula>$H205="CÉLULA CONSTRUTIVA"</formula>
    </cfRule>
  </conditionalFormatting>
  <conditionalFormatting sqref="P207">
    <cfRule type="containsText" dxfId="357" priority="2567" operator="containsText" text="Lançado">
      <formula>NOT(ISERROR(SEARCH("Lançado",P207)))</formula>
    </cfRule>
    <cfRule type="containsText" dxfId="356" priority="2568" operator="containsText" text="N/A">
      <formula>NOT(ISERROR(SEARCH("N/A",P207)))</formula>
    </cfRule>
    <cfRule type="containsText" dxfId="355" priority="2569" operator="containsText" text="Pendente">
      <formula>NOT(ISERROR(SEARCH("Pendente",P207)))</formula>
    </cfRule>
    <cfRule type="containsText" dxfId="354" priority="2570" operator="containsText" text="Finalizado">
      <formula>NOT(ISERROR(SEARCH("Finalizado",P207)))</formula>
    </cfRule>
    <cfRule type="containsText" dxfId="353" priority="2571" operator="containsText" text="em andamento">
      <formula>NOT(ISERROR(SEARCH("em andamento",P207)))</formula>
    </cfRule>
    <cfRule type="expression" dxfId="352" priority="1790">
      <formula>$H207="ETAPA"</formula>
    </cfRule>
  </conditionalFormatting>
  <conditionalFormatting sqref="P208:P210">
    <cfRule type="containsText" dxfId="351" priority="273" operator="containsText" text="em andamento">
      <formula>NOT(ISERROR(SEARCH("em andamento",P208)))</formula>
    </cfRule>
    <cfRule type="containsText" dxfId="350" priority="272" operator="containsText" text="Finalizado">
      <formula>NOT(ISERROR(SEARCH("Finalizado",P208)))</formula>
    </cfRule>
    <cfRule type="containsText" dxfId="349" priority="271" operator="containsText" text="Pendente">
      <formula>NOT(ISERROR(SEARCH("Pendente",P208)))</formula>
    </cfRule>
    <cfRule type="containsText" dxfId="348" priority="264" operator="containsText" text="Finalizado">
      <formula>NOT(ISERROR(SEARCH("Finalizado",P208)))</formula>
    </cfRule>
    <cfRule type="containsText" dxfId="347" priority="265" operator="containsText" text="em andamento">
      <formula>NOT(ISERROR(SEARCH("em andamento",P208)))</formula>
    </cfRule>
    <cfRule type="containsText" dxfId="346" priority="261" operator="containsText" text="Lançado">
      <formula>NOT(ISERROR(SEARCH("Lançado",P208)))</formula>
    </cfRule>
    <cfRule type="containsText" dxfId="345" priority="260" operator="containsText" text="em andamento">
      <formula>NOT(ISERROR(SEARCH("em andamento",P208)))</formula>
    </cfRule>
    <cfRule type="containsText" dxfId="344" priority="269" operator="containsText" text="Lançado">
      <formula>NOT(ISERROR(SEARCH("Lançado",P208)))</formula>
    </cfRule>
    <cfRule type="containsText" dxfId="343" priority="270" operator="containsText" text="N/A">
      <formula>NOT(ISERROR(SEARCH("N/A",P208)))</formula>
    </cfRule>
    <cfRule type="containsText" dxfId="342" priority="259" operator="containsText" text="Finalizado">
      <formula>NOT(ISERROR(SEARCH("Finalizado",P208)))</formula>
    </cfRule>
    <cfRule type="containsText" dxfId="341" priority="258" operator="containsText" text="Pendente">
      <formula>NOT(ISERROR(SEARCH("Pendente",P208)))</formula>
    </cfRule>
    <cfRule type="containsText" dxfId="340" priority="257" operator="containsText" text="N/A">
      <formula>NOT(ISERROR(SEARCH("N/A",P208)))</formula>
    </cfRule>
    <cfRule type="containsText" dxfId="339" priority="256" operator="containsText" text="Lançado">
      <formula>NOT(ISERROR(SEARCH("Lançado",P208)))</formula>
    </cfRule>
    <cfRule type="expression" dxfId="338" priority="254">
      <formula>$H208="CÉLULA CONSTRUTIVA"</formula>
    </cfRule>
    <cfRule type="expression" dxfId="337" priority="253">
      <formula>$H208="SUBETAPA"</formula>
    </cfRule>
    <cfRule type="containsText" dxfId="336" priority="263" operator="containsText" text="Pendente">
      <formula>NOT(ISERROR(SEARCH("Pendente",P208)))</formula>
    </cfRule>
    <cfRule type="containsText" dxfId="335" priority="262" operator="containsText" text="N/A">
      <formula>NOT(ISERROR(SEARCH("N/A",P208)))</formula>
    </cfRule>
    <cfRule type="expression" dxfId="334" priority="255">
      <formula>$H208="ETAPA"</formula>
    </cfRule>
  </conditionalFormatting>
  <conditionalFormatting sqref="P208:P211">
    <cfRule type="expression" dxfId="333" priority="267">
      <formula>$H208="CÉLULA CONSTRUTIVA"</formula>
    </cfRule>
    <cfRule type="expression" dxfId="332" priority="268">
      <formula>$H208="ETAPA"</formula>
    </cfRule>
    <cfRule type="expression" dxfId="331" priority="266">
      <formula>$H208="SUBETAPA"</formula>
    </cfRule>
  </conditionalFormatting>
  <conditionalFormatting sqref="P211 P113">
    <cfRule type="containsText" dxfId="330" priority="7284" operator="containsText" text="N/A">
      <formula>NOT(ISERROR(SEARCH("N/A",P113)))</formula>
    </cfRule>
    <cfRule type="containsText" dxfId="329" priority="7283" operator="containsText" text="Lançado">
      <formula>NOT(ISERROR(SEARCH("Lançado",P113)))</formula>
    </cfRule>
  </conditionalFormatting>
  <conditionalFormatting sqref="P212">
    <cfRule type="containsText" dxfId="328" priority="248" operator="containsText" text="Lançado">
      <formula>NOT(ISERROR(SEARCH("Lançado",P212)))</formula>
    </cfRule>
    <cfRule type="expression" dxfId="327" priority="247">
      <formula>$H212="ETAPA"</formula>
    </cfRule>
    <cfRule type="expression" dxfId="326" priority="246">
      <formula>$H212="CÉLULA CONSTRUTIVA"</formula>
    </cfRule>
    <cfRule type="containsText" dxfId="325" priority="244" operator="containsText" text="em andamento">
      <formula>NOT(ISERROR(SEARCH("em andamento",P212)))</formula>
    </cfRule>
    <cfRule type="containsText" dxfId="324" priority="243" operator="containsText" text="Finalizado">
      <formula>NOT(ISERROR(SEARCH("Finalizado",P212)))</formula>
    </cfRule>
    <cfRule type="containsText" dxfId="323" priority="242" operator="containsText" text="Pendente">
      <formula>NOT(ISERROR(SEARCH("Pendente",P212)))</formula>
    </cfRule>
    <cfRule type="containsText" dxfId="322" priority="241" operator="containsText" text="N/A">
      <formula>NOT(ISERROR(SEARCH("N/A",P212)))</formula>
    </cfRule>
    <cfRule type="containsText" dxfId="321" priority="240" operator="containsText" text="Lançado">
      <formula>NOT(ISERROR(SEARCH("Lançado",P212)))</formula>
    </cfRule>
    <cfRule type="containsText" dxfId="320" priority="239" operator="containsText" text="em andamento">
      <formula>NOT(ISERROR(SEARCH("em andamento",P212)))</formula>
    </cfRule>
    <cfRule type="containsText" dxfId="319" priority="238" operator="containsText" text="Finalizado">
      <formula>NOT(ISERROR(SEARCH("Finalizado",P212)))</formula>
    </cfRule>
    <cfRule type="containsText" dxfId="318" priority="237" operator="containsText" text="Pendente">
      <formula>NOT(ISERROR(SEARCH("Pendente",P212)))</formula>
    </cfRule>
    <cfRule type="containsText" dxfId="317" priority="236" operator="containsText" text="N/A">
      <formula>NOT(ISERROR(SEARCH("N/A",P212)))</formula>
    </cfRule>
    <cfRule type="containsText" dxfId="316" priority="235" operator="containsText" text="Lançado">
      <formula>NOT(ISERROR(SEARCH("Lançado",P212)))</formula>
    </cfRule>
    <cfRule type="expression" dxfId="315" priority="234">
      <formula>$H212="ETAPA"</formula>
    </cfRule>
    <cfRule type="expression" dxfId="314" priority="233">
      <formula>$H212="CÉLULA CONSTRUTIVA"</formula>
    </cfRule>
    <cfRule type="expression" dxfId="313" priority="232">
      <formula>$H212="SUBETAPA"</formula>
    </cfRule>
    <cfRule type="containsText" dxfId="312" priority="252" operator="containsText" text="em andamento">
      <formula>NOT(ISERROR(SEARCH("em andamento",P212)))</formula>
    </cfRule>
    <cfRule type="containsText" dxfId="311" priority="251" operator="containsText" text="Finalizado">
      <formula>NOT(ISERROR(SEARCH("Finalizado",P212)))</formula>
    </cfRule>
    <cfRule type="containsText" dxfId="310" priority="250" operator="containsText" text="Pendente">
      <formula>NOT(ISERROR(SEARCH("Pendente",P212)))</formula>
    </cfRule>
    <cfRule type="containsText" dxfId="309" priority="249" operator="containsText" text="N/A">
      <formula>NOT(ISERROR(SEARCH("N/A",P212)))</formula>
    </cfRule>
  </conditionalFormatting>
  <conditionalFormatting sqref="P212:P214">
    <cfRule type="expression" dxfId="308" priority="245">
      <formula>$H212="SUBETAPA"</formula>
    </cfRule>
  </conditionalFormatting>
  <conditionalFormatting sqref="P213:P214">
    <cfRule type="containsText" dxfId="307" priority="4176" operator="containsText" text="Finalizado">
      <formula>NOT(ISERROR(SEARCH("Finalizado",P213)))</formula>
    </cfRule>
    <cfRule type="containsText" dxfId="306" priority="4175" operator="containsText" text="Pendente">
      <formula>NOT(ISERROR(SEARCH("Pendente",P213)))</formula>
    </cfRule>
    <cfRule type="containsText" dxfId="305" priority="4174" operator="containsText" text="N/A">
      <formula>NOT(ISERROR(SEARCH("N/A",P213)))</formula>
    </cfRule>
    <cfRule type="containsText" dxfId="304" priority="4173" operator="containsText" text="Lançado">
      <formula>NOT(ISERROR(SEARCH("Lançado",P213)))</formula>
    </cfRule>
    <cfRule type="containsText" dxfId="303" priority="4177" operator="containsText" text="em andamento">
      <formula>NOT(ISERROR(SEARCH("em andamento",P213)))</formula>
    </cfRule>
  </conditionalFormatting>
  <conditionalFormatting sqref="P214">
    <cfRule type="containsText" dxfId="302" priority="4168" operator="containsText" text="Finalizado">
      <formula>NOT(ISERROR(SEARCH("Finalizado",P214)))</formula>
    </cfRule>
    <cfRule type="containsText" dxfId="301" priority="4169" operator="containsText" text="em andamento">
      <formula>NOT(ISERROR(SEARCH("em andamento",P214)))</formula>
    </cfRule>
    <cfRule type="containsText" dxfId="300" priority="2532" operator="containsText" text="Lançado">
      <formula>NOT(ISERROR(SEARCH("Lançado",P214)))</formula>
    </cfRule>
    <cfRule type="containsText" dxfId="299" priority="2534" operator="containsText" text="Pendente">
      <formula>NOT(ISERROR(SEARCH("Pendente",P214)))</formula>
    </cfRule>
    <cfRule type="containsText" dxfId="298" priority="4165" operator="containsText" text="Lançado">
      <formula>NOT(ISERROR(SEARCH("Lançado",P214)))</formula>
    </cfRule>
    <cfRule type="containsText" dxfId="297" priority="4166" operator="containsText" text="N/A">
      <formula>NOT(ISERROR(SEARCH("N/A",P214)))</formula>
    </cfRule>
    <cfRule type="containsText" dxfId="296" priority="4167" operator="containsText" text="Pendente">
      <formula>NOT(ISERROR(SEARCH("Pendente",P214)))</formula>
    </cfRule>
    <cfRule type="containsText" dxfId="295" priority="2533" operator="containsText" text="N/A">
      <formula>NOT(ISERROR(SEARCH("N/A",P214)))</formula>
    </cfRule>
    <cfRule type="containsText" dxfId="294" priority="2535" operator="containsText" text="Finalizado">
      <formula>NOT(ISERROR(SEARCH("Finalizado",P214)))</formula>
    </cfRule>
    <cfRule type="containsText" dxfId="293" priority="2536" operator="containsText" text="em andamento">
      <formula>NOT(ISERROR(SEARCH("em andamento",P214)))</formula>
    </cfRule>
  </conditionalFormatting>
  <conditionalFormatting sqref="P215">
    <cfRule type="containsText" dxfId="292" priority="221" operator="containsText" text="Pendente">
      <formula>NOT(ISERROR(SEARCH("Pendente",P215)))</formula>
    </cfRule>
    <cfRule type="containsText" dxfId="291" priority="220" operator="containsText" text="N/A">
      <formula>NOT(ISERROR(SEARCH("N/A",P215)))</formula>
    </cfRule>
    <cfRule type="containsText" dxfId="290" priority="219" operator="containsText" text="Lançado">
      <formula>NOT(ISERROR(SEARCH("Lançado",P215)))</formula>
    </cfRule>
    <cfRule type="containsText" dxfId="289" priority="217" operator="containsText" text="Finalizado">
      <formula>NOT(ISERROR(SEARCH("Finalizado",P215)))</formula>
    </cfRule>
    <cfRule type="containsText" dxfId="288" priority="216" operator="containsText" text="Pendente">
      <formula>NOT(ISERROR(SEARCH("Pendente",P215)))</formula>
    </cfRule>
    <cfRule type="containsText" dxfId="287" priority="215" operator="containsText" text="N/A">
      <formula>NOT(ISERROR(SEARCH("N/A",P215)))</formula>
    </cfRule>
    <cfRule type="containsText" dxfId="286" priority="214" operator="containsText" text="Lançado">
      <formula>NOT(ISERROR(SEARCH("Lançado",P215)))</formula>
    </cfRule>
    <cfRule type="expression" dxfId="285" priority="213">
      <formula>$H215="ETAPA"</formula>
    </cfRule>
    <cfRule type="expression" dxfId="284" priority="212">
      <formula>$H215="CÉLULA CONSTRUTIVA"</formula>
    </cfRule>
    <cfRule type="expression" dxfId="283" priority="211">
      <formula>$H215="SUBETAPA"</formula>
    </cfRule>
    <cfRule type="containsText" dxfId="282" priority="218" operator="containsText" text="em andamento">
      <formula>NOT(ISERROR(SEARCH("em andamento",P215)))</formula>
    </cfRule>
    <cfRule type="containsText" dxfId="281" priority="222" operator="containsText" text="Finalizado">
      <formula>NOT(ISERROR(SEARCH("Finalizado",P215)))</formula>
    </cfRule>
    <cfRule type="containsText" dxfId="280" priority="228" operator="containsText" text="N/A">
      <formula>NOT(ISERROR(SEARCH("N/A",P215)))</formula>
    </cfRule>
    <cfRule type="containsText" dxfId="279" priority="227" operator="containsText" text="Lançado">
      <formula>NOT(ISERROR(SEARCH("Lançado",P215)))</formula>
    </cfRule>
    <cfRule type="containsText" dxfId="278" priority="223" operator="containsText" text="em andamento">
      <formula>NOT(ISERROR(SEARCH("em andamento",P215)))</formula>
    </cfRule>
    <cfRule type="containsText" dxfId="277" priority="231" operator="containsText" text="em andamento">
      <formula>NOT(ISERROR(SEARCH("em andamento",P215)))</formula>
    </cfRule>
    <cfRule type="containsText" dxfId="276" priority="230" operator="containsText" text="Finalizado">
      <formula>NOT(ISERROR(SEARCH("Finalizado",P215)))</formula>
    </cfRule>
    <cfRule type="containsText" dxfId="275" priority="229" operator="containsText" text="Pendente">
      <formula>NOT(ISERROR(SEARCH("Pendente",P215)))</formula>
    </cfRule>
  </conditionalFormatting>
  <conditionalFormatting sqref="P216 P222">
    <cfRule type="containsText" dxfId="274" priority="2285" operator="containsText" text="em andamento">
      <formula>NOT(ISERROR(SEARCH("em andamento",P216)))</formula>
    </cfRule>
    <cfRule type="containsText" dxfId="273" priority="2287" operator="containsText" text="N/A">
      <formula>NOT(ISERROR(SEARCH("N/A",P216)))</formula>
    </cfRule>
    <cfRule type="containsText" dxfId="272" priority="2288" operator="containsText" text="Pendente">
      <formula>NOT(ISERROR(SEARCH("Pendente",P216)))</formula>
    </cfRule>
    <cfRule type="containsText" dxfId="271" priority="2289" operator="containsText" text="Finalizado">
      <formula>NOT(ISERROR(SEARCH("Finalizado",P216)))</formula>
    </cfRule>
    <cfRule type="containsText" dxfId="270" priority="2290" operator="containsText" text="em andamento">
      <formula>NOT(ISERROR(SEARCH("em andamento",P216)))</formula>
    </cfRule>
    <cfRule type="containsText" dxfId="269" priority="2298" operator="containsText" text="em andamento">
      <formula>NOT(ISERROR(SEARCH("em andamento",P216)))</formula>
    </cfRule>
    <cfRule type="containsText" dxfId="268" priority="2297" operator="containsText" text="Finalizado">
      <formula>NOT(ISERROR(SEARCH("Finalizado",P216)))</formula>
    </cfRule>
    <cfRule type="containsText" dxfId="267" priority="2284" operator="containsText" text="Finalizado">
      <formula>NOT(ISERROR(SEARCH("Finalizado",P216)))</formula>
    </cfRule>
    <cfRule type="containsText" dxfId="266" priority="2286" operator="containsText" text="Lançado">
      <formula>NOT(ISERROR(SEARCH("Lançado",P216)))</formula>
    </cfRule>
    <cfRule type="containsText" dxfId="265" priority="2283" operator="containsText" text="Pendente">
      <formula>NOT(ISERROR(SEARCH("Pendente",P216)))</formula>
    </cfRule>
    <cfRule type="containsText" dxfId="264" priority="2282" operator="containsText" text="N/A">
      <formula>NOT(ISERROR(SEARCH("N/A",P216)))</formula>
    </cfRule>
    <cfRule type="containsText" dxfId="263" priority="2281" operator="containsText" text="Lançado">
      <formula>NOT(ISERROR(SEARCH("Lançado",P216)))</formula>
    </cfRule>
  </conditionalFormatting>
  <conditionalFormatting sqref="P216">
    <cfRule type="expression" dxfId="262" priority="2293">
      <formula>$H216="ETAPA"</formula>
    </cfRule>
    <cfRule type="expression" dxfId="261" priority="2291">
      <formula>$H216="SUBETAPA"</formula>
    </cfRule>
    <cfRule type="expression" dxfId="260" priority="2292">
      <formula>$H216="CÉLULA CONSTRUTIVA"</formula>
    </cfRule>
  </conditionalFormatting>
  <conditionalFormatting sqref="P216:P218">
    <cfRule type="containsText" dxfId="259" priority="2407" operator="containsText" text="N/A">
      <formula>NOT(ISERROR(SEARCH("N/A",P216)))</formula>
    </cfRule>
    <cfRule type="containsText" dxfId="258" priority="2406" operator="containsText" text="Lançado">
      <formula>NOT(ISERROR(SEARCH("Lançado",P216)))</formula>
    </cfRule>
    <cfRule type="containsText" dxfId="257" priority="2408" operator="containsText" text="Pendente">
      <formula>NOT(ISERROR(SEARCH("Pendente",P216)))</formula>
    </cfRule>
  </conditionalFormatting>
  <conditionalFormatting sqref="P217">
    <cfRule type="containsText" dxfId="256" priority="2409" operator="containsText" text="Finalizado">
      <formula>NOT(ISERROR(SEARCH("Finalizado",P217)))</formula>
    </cfRule>
    <cfRule type="containsText" dxfId="255" priority="2410" operator="containsText" text="em andamento">
      <formula>NOT(ISERROR(SEARCH("em andamento",P217)))</formula>
    </cfRule>
  </conditionalFormatting>
  <conditionalFormatting sqref="P217:P218">
    <cfRule type="expression" dxfId="254" priority="2332">
      <formula>$H217="CÉLULA CONSTRUTIVA"</formula>
    </cfRule>
    <cfRule type="expression" dxfId="253" priority="2333">
      <formula>$H217="ETAPA"</formula>
    </cfRule>
    <cfRule type="expression" dxfId="252" priority="2331">
      <formula>$H217="SUBETAPA"</formula>
    </cfRule>
  </conditionalFormatting>
  <conditionalFormatting sqref="P218">
    <cfRule type="containsText" dxfId="251" priority="2325" operator="containsText" text="em andamento">
      <formula>NOT(ISERROR(SEARCH("em andamento",P218)))</formula>
    </cfRule>
    <cfRule type="containsText" dxfId="250" priority="2337" operator="containsText" text="Finalizado">
      <formula>NOT(ISERROR(SEARCH("Finalizado",P218)))</formula>
    </cfRule>
    <cfRule type="containsText" dxfId="249" priority="2338" operator="containsText" text="em andamento">
      <formula>NOT(ISERROR(SEARCH("em andamento",P218)))</formula>
    </cfRule>
    <cfRule type="containsText" dxfId="248" priority="2321" operator="containsText" text="Lançado">
      <formula>NOT(ISERROR(SEARCH("Lançado",P218)))</formula>
    </cfRule>
    <cfRule type="containsText" dxfId="247" priority="2322" operator="containsText" text="N/A">
      <formula>NOT(ISERROR(SEARCH("N/A",P218)))</formula>
    </cfRule>
    <cfRule type="containsText" dxfId="246" priority="2323" operator="containsText" text="Pendente">
      <formula>NOT(ISERROR(SEARCH("Pendente",P218)))</formula>
    </cfRule>
    <cfRule type="containsText" dxfId="245" priority="2324" operator="containsText" text="Finalizado">
      <formula>NOT(ISERROR(SEARCH("Finalizado",P218)))</formula>
    </cfRule>
    <cfRule type="containsText" dxfId="244" priority="2326" operator="containsText" text="Lançado">
      <formula>NOT(ISERROR(SEARCH("Lançado",P218)))</formula>
    </cfRule>
    <cfRule type="containsText" dxfId="243" priority="2327" operator="containsText" text="N/A">
      <formula>NOT(ISERROR(SEARCH("N/A",P218)))</formula>
    </cfRule>
    <cfRule type="containsText" dxfId="242" priority="2328" operator="containsText" text="Pendente">
      <formula>NOT(ISERROR(SEARCH("Pendente",P218)))</formula>
    </cfRule>
    <cfRule type="containsText" dxfId="241" priority="2329" operator="containsText" text="Finalizado">
      <formula>NOT(ISERROR(SEARCH("Finalizado",P218)))</formula>
    </cfRule>
    <cfRule type="containsText" dxfId="240" priority="2330" operator="containsText" text="em andamento">
      <formula>NOT(ISERROR(SEARCH("em andamento",P218)))</formula>
    </cfRule>
  </conditionalFormatting>
  <conditionalFormatting sqref="P219:P221">
    <cfRule type="containsText" dxfId="239" priority="196" operator="containsText" text="Finalizado">
      <formula>NOT(ISERROR(SEARCH("Finalizado",P219)))</formula>
    </cfRule>
    <cfRule type="containsText" dxfId="238" priority="197" operator="containsText" text="em andamento">
      <formula>NOT(ISERROR(SEARCH("em andamento",P219)))</formula>
    </cfRule>
    <cfRule type="containsText" dxfId="237" priority="198" operator="containsText" text="Lançado">
      <formula>NOT(ISERROR(SEARCH("Lançado",P219)))</formula>
    </cfRule>
    <cfRule type="containsText" dxfId="236" priority="199" operator="containsText" text="N/A">
      <formula>NOT(ISERROR(SEARCH("N/A",P219)))</formula>
    </cfRule>
    <cfRule type="containsText" dxfId="235" priority="200" operator="containsText" text="Pendente">
      <formula>NOT(ISERROR(SEARCH("Pendente",P219)))</formula>
    </cfRule>
    <cfRule type="containsText" dxfId="234" priority="201" operator="containsText" text="Finalizado">
      <formula>NOT(ISERROR(SEARCH("Finalizado",P219)))</formula>
    </cfRule>
    <cfRule type="containsText" dxfId="233" priority="202" operator="containsText" text="em andamento">
      <formula>NOT(ISERROR(SEARCH("em andamento",P219)))</formula>
    </cfRule>
    <cfRule type="containsText" dxfId="232" priority="193" operator="containsText" text="Lançado">
      <formula>NOT(ISERROR(SEARCH("Lançado",P219)))</formula>
    </cfRule>
    <cfRule type="containsText" dxfId="231" priority="206" operator="containsText" text="Lançado">
      <formula>NOT(ISERROR(SEARCH("Lançado",P219)))</formula>
    </cfRule>
    <cfRule type="containsText" dxfId="230" priority="207" operator="containsText" text="N/A">
      <formula>NOT(ISERROR(SEARCH("N/A",P219)))</formula>
    </cfRule>
    <cfRule type="containsText" dxfId="229" priority="208" operator="containsText" text="Pendente">
      <formula>NOT(ISERROR(SEARCH("Pendente",P219)))</formula>
    </cfRule>
    <cfRule type="containsText" dxfId="228" priority="194" operator="containsText" text="N/A">
      <formula>NOT(ISERROR(SEARCH("N/A",P219)))</formula>
    </cfRule>
    <cfRule type="containsText" dxfId="227" priority="209" operator="containsText" text="Finalizado">
      <formula>NOT(ISERROR(SEARCH("Finalizado",P219)))</formula>
    </cfRule>
    <cfRule type="containsText" dxfId="226" priority="195" operator="containsText" text="Pendente">
      <formula>NOT(ISERROR(SEARCH("Pendente",P219)))</formula>
    </cfRule>
    <cfRule type="containsText" dxfId="225" priority="210" operator="containsText" text="em andamento">
      <formula>NOT(ISERROR(SEARCH("em andamento",P219)))</formula>
    </cfRule>
  </conditionalFormatting>
  <conditionalFormatting sqref="P219:P222">
    <cfRule type="expression" dxfId="224" priority="203">
      <formula>$H219="SUBETAPA"</formula>
    </cfRule>
    <cfRule type="expression" dxfId="223" priority="205">
      <formula>$H219="ETAPA"</formula>
    </cfRule>
    <cfRule type="expression" dxfId="222" priority="204">
      <formula>$H219="CÉLULA CONSTRUTIVA"</formula>
    </cfRule>
  </conditionalFormatting>
  <conditionalFormatting sqref="P223:P225">
    <cfRule type="containsText" dxfId="221" priority="186" operator="containsText" text="N/A">
      <formula>NOT(ISERROR(SEARCH("N/A",P223)))</formula>
    </cfRule>
    <cfRule type="containsText" dxfId="220" priority="174" operator="containsText" text="Pendente">
      <formula>NOT(ISERROR(SEARCH("Pendente",P223)))</formula>
    </cfRule>
    <cfRule type="containsText" dxfId="219" priority="175" operator="containsText" text="Finalizado">
      <formula>NOT(ISERROR(SEARCH("Finalizado",P223)))</formula>
    </cfRule>
    <cfRule type="expression" dxfId="218" priority="171">
      <formula>$H223="ETAPA"</formula>
    </cfRule>
    <cfRule type="containsText" dxfId="217" priority="173" operator="containsText" text="N/A">
      <formula>NOT(ISERROR(SEARCH("N/A",P223)))</formula>
    </cfRule>
    <cfRule type="containsText" dxfId="216" priority="172" operator="containsText" text="Lançado">
      <formula>NOT(ISERROR(SEARCH("Lançado",P223)))</formula>
    </cfRule>
    <cfRule type="containsText" dxfId="215" priority="189" operator="containsText" text="em andamento">
      <formula>NOT(ISERROR(SEARCH("em andamento",P223)))</formula>
    </cfRule>
    <cfRule type="containsText" dxfId="214" priority="188" operator="containsText" text="Finalizado">
      <formula>NOT(ISERROR(SEARCH("Finalizado",P223)))</formula>
    </cfRule>
    <cfRule type="containsText" dxfId="213" priority="187" operator="containsText" text="Pendente">
      <formula>NOT(ISERROR(SEARCH("Pendente",P223)))</formula>
    </cfRule>
    <cfRule type="containsText" dxfId="212" priority="185" operator="containsText" text="Lançado">
      <formula>NOT(ISERROR(SEARCH("Lançado",P223)))</formula>
    </cfRule>
    <cfRule type="containsText" dxfId="211" priority="181" operator="containsText" text="em andamento">
      <formula>NOT(ISERROR(SEARCH("em andamento",P223)))</formula>
    </cfRule>
    <cfRule type="containsText" dxfId="210" priority="180" operator="containsText" text="Finalizado">
      <formula>NOT(ISERROR(SEARCH("Finalizado",P223)))</formula>
    </cfRule>
    <cfRule type="containsText" dxfId="209" priority="179" operator="containsText" text="Pendente">
      <formula>NOT(ISERROR(SEARCH("Pendente",P223)))</formula>
    </cfRule>
    <cfRule type="containsText" dxfId="208" priority="178" operator="containsText" text="N/A">
      <formula>NOT(ISERROR(SEARCH("N/A",P223)))</formula>
    </cfRule>
    <cfRule type="containsText" dxfId="207" priority="177" operator="containsText" text="Lançado">
      <formula>NOT(ISERROR(SEARCH("Lançado",P223)))</formula>
    </cfRule>
    <cfRule type="containsText" dxfId="206" priority="176" operator="containsText" text="em andamento">
      <formula>NOT(ISERROR(SEARCH("em andamento",P223)))</formula>
    </cfRule>
    <cfRule type="expression" dxfId="205" priority="169">
      <formula>$H223="SUBETAPA"</formula>
    </cfRule>
    <cfRule type="expression" dxfId="204" priority="170">
      <formula>$H223="CÉLULA CONSTRUTIVA"</formula>
    </cfRule>
  </conditionalFormatting>
  <conditionalFormatting sqref="P226 P66 P126 P222">
    <cfRule type="containsText" dxfId="203" priority="4778" operator="containsText" text="N/A">
      <formula>NOT(ISERROR(SEARCH("N/A",P66)))</formula>
    </cfRule>
    <cfRule type="containsText" dxfId="202" priority="4777" operator="containsText" text="Lançado">
      <formula>NOT(ISERROR(SEARCH("Lançado",P66)))</formula>
    </cfRule>
  </conditionalFormatting>
  <conditionalFormatting sqref="P227:P230">
    <cfRule type="containsText" dxfId="201" priority="155" operator="containsText" text="em andamento">
      <formula>NOT(ISERROR(SEARCH("em andamento",P227)))</formula>
    </cfRule>
    <cfRule type="containsText" dxfId="200" priority="156" operator="containsText" text="Lançado">
      <formula>NOT(ISERROR(SEARCH("Lançado",P227)))</formula>
    </cfRule>
    <cfRule type="containsText" dxfId="199" priority="157" operator="containsText" text="N/A">
      <formula>NOT(ISERROR(SEARCH("N/A",P227)))</formula>
    </cfRule>
    <cfRule type="containsText" dxfId="198" priority="158" operator="containsText" text="Pendente">
      <formula>NOT(ISERROR(SEARCH("Pendente",P227)))</formula>
    </cfRule>
    <cfRule type="containsText" dxfId="197" priority="159" operator="containsText" text="Finalizado">
      <formula>NOT(ISERROR(SEARCH("Finalizado",P227)))</formula>
    </cfRule>
    <cfRule type="containsText" dxfId="196" priority="160" operator="containsText" text="em andamento">
      <formula>NOT(ISERROR(SEARCH("em andamento",P227)))</formula>
    </cfRule>
    <cfRule type="expression" dxfId="195" priority="161">
      <formula>$H227="SUBETAPA"</formula>
    </cfRule>
    <cfRule type="expression" dxfId="194" priority="162">
      <formula>$H227="CÉLULA CONSTRUTIVA"</formula>
    </cfRule>
    <cfRule type="expression" dxfId="193" priority="163">
      <formula>$H227="ETAPA"</formula>
    </cfRule>
    <cfRule type="containsText" dxfId="192" priority="167" operator="containsText" text="Finalizado">
      <formula>NOT(ISERROR(SEARCH("Finalizado",P227)))</formula>
    </cfRule>
    <cfRule type="containsText" dxfId="191" priority="168" operator="containsText" text="em andamento">
      <formula>NOT(ISERROR(SEARCH("em andamento",P227)))</formula>
    </cfRule>
    <cfRule type="containsText" dxfId="190" priority="153" operator="containsText" text="Pendente">
      <formula>NOT(ISERROR(SEARCH("Pendente",P227)))</formula>
    </cfRule>
    <cfRule type="containsText" dxfId="189" priority="151" operator="containsText" text="Lançado">
      <formula>NOT(ISERROR(SEARCH("Lançado",P227)))</formula>
    </cfRule>
    <cfRule type="containsText" dxfId="188" priority="154" operator="containsText" text="Finalizado">
      <formula>NOT(ISERROR(SEARCH("Finalizado",P227)))</formula>
    </cfRule>
    <cfRule type="containsText" dxfId="187" priority="152" operator="containsText" text="N/A">
      <formula>NOT(ISERROR(SEARCH("N/A",P227)))</formula>
    </cfRule>
    <cfRule type="expression" dxfId="186" priority="150">
      <formula>$H227="ETAPA"</formula>
    </cfRule>
    <cfRule type="expression" dxfId="185" priority="149">
      <formula>$H227="CÉLULA CONSTRUTIVA"</formula>
    </cfRule>
    <cfRule type="expression" dxfId="184" priority="148">
      <formula>$H227="SUBETAPA"</formula>
    </cfRule>
  </conditionalFormatting>
  <conditionalFormatting sqref="P227:P231">
    <cfRule type="containsText" dxfId="183" priority="164" operator="containsText" text="Lançado">
      <formula>NOT(ISERROR(SEARCH("Lançado",P227)))</formula>
    </cfRule>
    <cfRule type="containsText" dxfId="182" priority="166" operator="containsText" text="Pendente">
      <formula>NOT(ISERROR(SEARCH("Pendente",P227)))</formula>
    </cfRule>
    <cfRule type="containsText" dxfId="181" priority="165" operator="containsText" text="N/A">
      <formula>NOT(ISERROR(SEARCH("N/A",P227)))</formula>
    </cfRule>
  </conditionalFormatting>
  <conditionalFormatting sqref="P231 P234:P236">
    <cfRule type="expression" dxfId="180" priority="2209">
      <formula>$H231="CÉLULA CONSTRUTIVA"</formula>
    </cfRule>
    <cfRule type="expression" dxfId="179" priority="2222">
      <formula>$H231="ETAPA"</formula>
    </cfRule>
  </conditionalFormatting>
  <conditionalFormatting sqref="P232:P233">
    <cfRule type="containsText" dxfId="178" priority="138" operator="containsText" text="Finalizado">
      <formula>NOT(ISERROR(SEARCH("Finalizado",P232)))</formula>
    </cfRule>
    <cfRule type="containsText" dxfId="177" priority="139" operator="containsText" text="em andamento">
      <formula>NOT(ISERROR(SEARCH("em andamento",P232)))</formula>
    </cfRule>
    <cfRule type="containsText" dxfId="176" priority="130" operator="containsText" text="Lançado">
      <formula>NOT(ISERROR(SEARCH("Lançado",P232)))</formula>
    </cfRule>
    <cfRule type="expression" dxfId="175" priority="128">
      <formula>$H232="CÉLULA CONSTRUTIVA"</formula>
    </cfRule>
    <cfRule type="containsText" dxfId="174" priority="134" operator="containsText" text="em andamento">
      <formula>NOT(ISERROR(SEARCH("em andamento",P232)))</formula>
    </cfRule>
    <cfRule type="containsText" dxfId="173" priority="133" operator="containsText" text="Finalizado">
      <formula>NOT(ISERROR(SEARCH("Finalizado",P232)))</formula>
    </cfRule>
    <cfRule type="containsText" dxfId="172" priority="132" operator="containsText" text="Pendente">
      <formula>NOT(ISERROR(SEARCH("Pendente",P232)))</formula>
    </cfRule>
    <cfRule type="containsText" dxfId="171" priority="137" operator="containsText" text="Pendente">
      <formula>NOT(ISERROR(SEARCH("Pendente",P232)))</formula>
    </cfRule>
    <cfRule type="expression" dxfId="170" priority="129">
      <formula>$H232="ETAPA"</formula>
    </cfRule>
    <cfRule type="containsText" dxfId="169" priority="136" operator="containsText" text="N/A">
      <formula>NOT(ISERROR(SEARCH("N/A",P232)))</formula>
    </cfRule>
    <cfRule type="containsText" dxfId="168" priority="131" operator="containsText" text="N/A">
      <formula>NOT(ISERROR(SEARCH("N/A",P232)))</formula>
    </cfRule>
    <cfRule type="containsText" dxfId="167" priority="135" operator="containsText" text="Lançado">
      <formula>NOT(ISERROR(SEARCH("Lançado",P232)))</formula>
    </cfRule>
    <cfRule type="expression" dxfId="166" priority="140">
      <formula>$H232="SUBETAPA"</formula>
    </cfRule>
    <cfRule type="containsText" dxfId="165" priority="147" operator="containsText" text="em andamento">
      <formula>NOT(ISERROR(SEARCH("em andamento",P232)))</formula>
    </cfRule>
    <cfRule type="expression" dxfId="164" priority="127">
      <formula>$H232="SUBETAPA"</formula>
    </cfRule>
    <cfRule type="expression" dxfId="163" priority="141">
      <formula>$H232="CÉLULA CONSTRUTIVA"</formula>
    </cfRule>
  </conditionalFormatting>
  <conditionalFormatting sqref="P232:P236">
    <cfRule type="containsText" dxfId="162" priority="144" operator="containsText" text="N/A">
      <formula>NOT(ISERROR(SEARCH("N/A",P232)))</formula>
    </cfRule>
    <cfRule type="containsText" dxfId="161" priority="145" operator="containsText" text="Pendente">
      <formula>NOT(ISERROR(SEARCH("Pendente",P232)))</formula>
    </cfRule>
    <cfRule type="containsText" dxfId="160" priority="146" operator="containsText" text="Finalizado">
      <formula>NOT(ISERROR(SEARCH("Finalizado",P232)))</formula>
    </cfRule>
    <cfRule type="containsText" dxfId="159" priority="143" operator="containsText" text="Lançado">
      <formula>NOT(ISERROR(SEARCH("Lançado",P232)))</formula>
    </cfRule>
  </conditionalFormatting>
  <conditionalFormatting sqref="P234 G235:P236 M243:P243">
    <cfRule type="expression" dxfId="158" priority="2207">
      <formula>$H234="ETAPA"</formula>
    </cfRule>
  </conditionalFormatting>
  <conditionalFormatting sqref="P234:P236 M243:P243">
    <cfRule type="expression" dxfId="157" priority="2206">
      <formula>$H234="CÉLULA CONSTRUTIVA"</formula>
    </cfRule>
  </conditionalFormatting>
  <conditionalFormatting sqref="P234:P236 P231">
    <cfRule type="expression" dxfId="156" priority="2208">
      <formula>$H231="SUBETAPA"</formula>
    </cfRule>
  </conditionalFormatting>
  <conditionalFormatting sqref="P234:P236">
    <cfRule type="containsText" dxfId="155" priority="2142" operator="containsText" text="Finalizado">
      <formula>NOT(ISERROR(SEARCH("Finalizado",P234)))</formula>
    </cfRule>
    <cfRule type="containsText" dxfId="154" priority="2145" operator="containsText" text="N/A">
      <formula>NOT(ISERROR(SEARCH("N/A",P234)))</formula>
    </cfRule>
    <cfRule type="containsText" dxfId="153" priority="2140" operator="containsText" text="N/A">
      <formula>NOT(ISERROR(SEARCH("N/A",P234)))</formula>
    </cfRule>
    <cfRule type="containsText" dxfId="152" priority="2139" operator="containsText" text="Lançado">
      <formula>NOT(ISERROR(SEARCH("Lançado",P234)))</formula>
    </cfRule>
    <cfRule type="containsText" dxfId="151" priority="2147" operator="containsText" text="Finalizado">
      <formula>NOT(ISERROR(SEARCH("Finalizado",P234)))</formula>
    </cfRule>
    <cfRule type="containsText" dxfId="150" priority="2141" operator="containsText" text="Pendente">
      <formula>NOT(ISERROR(SEARCH("Pendente",P234)))</formula>
    </cfRule>
    <cfRule type="containsText" dxfId="149" priority="2148" operator="containsText" text="em andamento">
      <formula>NOT(ISERROR(SEARCH("em andamento",P234)))</formula>
    </cfRule>
    <cfRule type="containsText" dxfId="148" priority="2055" operator="containsText" text="em andamento">
      <formula>NOT(ISERROR(SEARCH("em andamento",P234)))</formula>
    </cfRule>
    <cfRule type="containsText" dxfId="147" priority="2144" operator="containsText" text="Lançado">
      <formula>NOT(ISERROR(SEARCH("Lançado",P234)))</formula>
    </cfRule>
    <cfRule type="containsText" dxfId="146" priority="2143" operator="containsText" text="em andamento">
      <formula>NOT(ISERROR(SEARCH("em andamento",P234)))</formula>
    </cfRule>
    <cfRule type="containsText" dxfId="145" priority="2146" operator="containsText" text="Pendente">
      <formula>NOT(ISERROR(SEARCH("Pendente",P234)))</formula>
    </cfRule>
  </conditionalFormatting>
  <conditionalFormatting sqref="P237:P238">
    <cfRule type="containsText" dxfId="144" priority="124" operator="containsText" text="Pendente">
      <formula>NOT(ISERROR(SEARCH("Pendente",P237)))</formula>
    </cfRule>
    <cfRule type="expression" dxfId="143" priority="108">
      <formula>$H237="ETAPA"</formula>
    </cfRule>
    <cfRule type="expression" dxfId="142" priority="107">
      <formula>$H237="CÉLULA CONSTRUTIVA"</formula>
    </cfRule>
    <cfRule type="containsText" dxfId="141" priority="125" operator="containsText" text="Finalizado">
      <formula>NOT(ISERROR(SEARCH("Finalizado",P237)))</formula>
    </cfRule>
    <cfRule type="expression" dxfId="140" priority="106">
      <formula>$H237="SUBETAPA"</formula>
    </cfRule>
    <cfRule type="containsText" dxfId="139" priority="115" operator="containsText" text="N/A">
      <formula>NOT(ISERROR(SEARCH("N/A",P237)))</formula>
    </cfRule>
    <cfRule type="containsText" dxfId="138" priority="114" operator="containsText" text="Lançado">
      <formula>NOT(ISERROR(SEARCH("Lançado",P237)))</formula>
    </cfRule>
    <cfRule type="containsText" dxfId="137" priority="122" operator="containsText" text="Lançado">
      <formula>NOT(ISERROR(SEARCH("Lançado",P237)))</formula>
    </cfRule>
    <cfRule type="expression" dxfId="136" priority="121">
      <formula>$H237="ETAPA"</formula>
    </cfRule>
    <cfRule type="expression" dxfId="135" priority="120">
      <formula>$H237="CÉLULA CONSTRUTIVA"</formula>
    </cfRule>
    <cfRule type="expression" dxfId="134" priority="119">
      <formula>$H237="SUBETAPA"</formula>
    </cfRule>
    <cfRule type="containsText" dxfId="133" priority="118" operator="containsText" text="em andamento">
      <formula>NOT(ISERROR(SEARCH("em andamento",P237)))</formula>
    </cfRule>
    <cfRule type="containsText" dxfId="132" priority="117" operator="containsText" text="Finalizado">
      <formula>NOT(ISERROR(SEARCH("Finalizado",P237)))</formula>
    </cfRule>
    <cfRule type="containsText" dxfId="131" priority="123" operator="containsText" text="N/A">
      <formula>NOT(ISERROR(SEARCH("N/A",P237)))</formula>
    </cfRule>
    <cfRule type="containsText" dxfId="130" priority="113" operator="containsText" text="em andamento">
      <formula>NOT(ISERROR(SEARCH("em andamento",P237)))</formula>
    </cfRule>
    <cfRule type="containsText" dxfId="129" priority="111" operator="containsText" text="Pendente">
      <formula>NOT(ISERROR(SEARCH("Pendente",P237)))</formula>
    </cfRule>
    <cfRule type="containsText" dxfId="128" priority="126" operator="containsText" text="em andamento">
      <formula>NOT(ISERROR(SEARCH("em andamento",P237)))</formula>
    </cfRule>
    <cfRule type="containsText" dxfId="127" priority="112" operator="containsText" text="Finalizado">
      <formula>NOT(ISERROR(SEARCH("Finalizado",P237)))</formula>
    </cfRule>
    <cfRule type="containsText" dxfId="126" priority="110" operator="containsText" text="N/A">
      <formula>NOT(ISERROR(SEARCH("N/A",P237)))</formula>
    </cfRule>
    <cfRule type="containsText" dxfId="125" priority="109" operator="containsText" text="Lançado">
      <formula>NOT(ISERROR(SEARCH("Lançado",P237)))</formula>
    </cfRule>
    <cfRule type="containsText" dxfId="124" priority="116" operator="containsText" text="Pendente">
      <formula>NOT(ISERROR(SEARCH("Pendente",P237)))</formula>
    </cfRule>
  </conditionalFormatting>
  <conditionalFormatting sqref="P239">
    <cfRule type="containsText" dxfId="123" priority="2217" operator="containsText" text="N/A">
      <formula>NOT(ISERROR(SEARCH("N/A",P239)))</formula>
    </cfRule>
    <cfRule type="containsText" dxfId="122" priority="2216" operator="containsText" text="Lançado">
      <formula>NOT(ISERROR(SEARCH("Lançado",P239)))</formula>
    </cfRule>
    <cfRule type="containsText" dxfId="121" priority="2218" operator="containsText" text="Pendente">
      <formula>NOT(ISERROR(SEARCH("Pendente",P239)))</formula>
    </cfRule>
    <cfRule type="containsText" dxfId="120" priority="7192" operator="containsText" text="Finalizado">
      <formula>NOT(ISERROR(SEARCH("Finalizado",P239)))</formula>
    </cfRule>
    <cfRule type="containsText" dxfId="119" priority="7193" operator="containsText" text="em andamento">
      <formula>NOT(ISERROR(SEARCH("em andamento",P239)))</formula>
    </cfRule>
  </conditionalFormatting>
  <conditionalFormatting sqref="P240:P241">
    <cfRule type="containsText" dxfId="118" priority="90" operator="containsText" text="Pendente">
      <formula>NOT(ISERROR(SEARCH("Pendente",P240)))</formula>
    </cfRule>
    <cfRule type="containsText" dxfId="117" priority="105" operator="containsText" text="em andamento">
      <formula>NOT(ISERROR(SEARCH("em andamento",P240)))</formula>
    </cfRule>
    <cfRule type="containsText" dxfId="116" priority="92" operator="containsText" text="em andamento">
      <formula>NOT(ISERROR(SEARCH("em andamento",P240)))</formula>
    </cfRule>
    <cfRule type="containsText" dxfId="115" priority="93" operator="containsText" text="Lançado">
      <formula>NOT(ISERROR(SEARCH("Lançado",P240)))</formula>
    </cfRule>
    <cfRule type="containsText" dxfId="114" priority="94" operator="containsText" text="N/A">
      <formula>NOT(ISERROR(SEARCH("N/A",P240)))</formula>
    </cfRule>
    <cfRule type="containsText" dxfId="113" priority="95" operator="containsText" text="Pendente">
      <formula>NOT(ISERROR(SEARCH("Pendente",P240)))</formula>
    </cfRule>
    <cfRule type="containsText" dxfId="112" priority="96" operator="containsText" text="Finalizado">
      <formula>NOT(ISERROR(SEARCH("Finalizado",P240)))</formula>
    </cfRule>
    <cfRule type="containsText" dxfId="111" priority="97" operator="containsText" text="em andamento">
      <formula>NOT(ISERROR(SEARCH("em andamento",P240)))</formula>
    </cfRule>
    <cfRule type="expression" dxfId="110" priority="98">
      <formula>$H240="SUBETAPA"</formula>
    </cfRule>
    <cfRule type="expression" dxfId="109" priority="99">
      <formula>$H240="CÉLULA CONSTRUTIVA"</formula>
    </cfRule>
    <cfRule type="expression" dxfId="108" priority="100">
      <formula>$H240="ETAPA"</formula>
    </cfRule>
    <cfRule type="containsText" dxfId="107" priority="101" operator="containsText" text="Lançado">
      <formula>NOT(ISERROR(SEARCH("Lançado",P240)))</formula>
    </cfRule>
    <cfRule type="containsText" dxfId="106" priority="103" operator="containsText" text="Pendente">
      <formula>NOT(ISERROR(SEARCH("Pendente",P240)))</formula>
    </cfRule>
    <cfRule type="containsText" dxfId="105" priority="104" operator="containsText" text="Finalizado">
      <formula>NOT(ISERROR(SEARCH("Finalizado",P240)))</formula>
    </cfRule>
    <cfRule type="containsText" dxfId="104" priority="102" operator="containsText" text="N/A">
      <formula>NOT(ISERROR(SEARCH("N/A",P240)))</formula>
    </cfRule>
    <cfRule type="containsText" dxfId="103" priority="91" operator="containsText" text="Finalizado">
      <formula>NOT(ISERROR(SEARCH("Finalizado",P240)))</formula>
    </cfRule>
    <cfRule type="expression" dxfId="102" priority="85">
      <formula>$H240="SUBETAPA"</formula>
    </cfRule>
    <cfRule type="expression" dxfId="101" priority="86">
      <formula>$H240="CÉLULA CONSTRUTIVA"</formula>
    </cfRule>
    <cfRule type="expression" dxfId="100" priority="87">
      <formula>$H240="ETAPA"</formula>
    </cfRule>
    <cfRule type="containsText" dxfId="99" priority="88" operator="containsText" text="Lançado">
      <formula>NOT(ISERROR(SEARCH("Lançado",P240)))</formula>
    </cfRule>
    <cfRule type="containsText" dxfId="98" priority="89" operator="containsText" text="N/A">
      <formula>NOT(ISERROR(SEARCH("N/A",P240)))</formula>
    </cfRule>
  </conditionalFormatting>
  <conditionalFormatting sqref="P242:P243">
    <cfRule type="containsText" dxfId="97" priority="2235" operator="containsText" text="Finalizado">
      <formula>NOT(ISERROR(SEARCH("Finalizado",P242)))</formula>
    </cfRule>
    <cfRule type="containsText" dxfId="96" priority="2236" operator="containsText" text="em andamento">
      <formula>NOT(ISERROR(SEARCH("em andamento",P242)))</formula>
    </cfRule>
  </conditionalFormatting>
  <conditionalFormatting sqref="P243">
    <cfRule type="containsText" dxfId="95" priority="2181" operator="containsText" text="em andamento">
      <formula>NOT(ISERROR(SEARCH("em andamento",P243)))</formula>
    </cfRule>
    <cfRule type="containsText" dxfId="94" priority="2180" operator="containsText" text="Finalizado">
      <formula>NOT(ISERROR(SEARCH("Finalizado",P243)))</formula>
    </cfRule>
    <cfRule type="containsText" dxfId="93" priority="2179" operator="containsText" text="Pendente">
      <formula>NOT(ISERROR(SEARCH("Pendente",P243)))</formula>
    </cfRule>
    <cfRule type="containsText" dxfId="92" priority="2178" operator="containsText" text="N/A">
      <formula>NOT(ISERROR(SEARCH("N/A",P243)))</formula>
    </cfRule>
    <cfRule type="containsText" dxfId="91" priority="2177" operator="containsText" text="Lançado">
      <formula>NOT(ISERROR(SEARCH("Lançado",P243)))</formula>
    </cfRule>
    <cfRule type="containsText" dxfId="90" priority="2211" operator="containsText" text="N/A">
      <formula>NOT(ISERROR(SEARCH("N/A",P243)))</formula>
    </cfRule>
    <cfRule type="containsText" dxfId="89" priority="2212" operator="containsText" text="Pendente">
      <formula>NOT(ISERROR(SEARCH("Pendente",P243)))</formula>
    </cfRule>
    <cfRule type="containsText" dxfId="88" priority="2210" operator="containsText" text="Lançado">
      <formula>NOT(ISERROR(SEARCH("Lançado",P243)))</formula>
    </cfRule>
  </conditionalFormatting>
  <conditionalFormatting sqref="P243:P245">
    <cfRule type="containsText" dxfId="87" priority="82" operator="containsText" text="Pendente">
      <formula>NOT(ISERROR(SEARCH("Pendente",P243)))</formula>
    </cfRule>
    <cfRule type="containsText" dxfId="86" priority="83" operator="containsText" text="Finalizado">
      <formula>NOT(ISERROR(SEARCH("Finalizado",P243)))</formula>
    </cfRule>
    <cfRule type="containsText" dxfId="85" priority="84" operator="containsText" text="em andamento">
      <formula>NOT(ISERROR(SEARCH("em andamento",P243)))</formula>
    </cfRule>
    <cfRule type="expression" dxfId="84" priority="79">
      <formula>$H243="ETAPA"</formula>
    </cfRule>
    <cfRule type="containsText" dxfId="83" priority="80" operator="containsText" text="Lançado">
      <formula>NOT(ISERROR(SEARCH("Lançado",P243)))</formula>
    </cfRule>
    <cfRule type="containsText" dxfId="82" priority="81" operator="containsText" text="N/A">
      <formula>NOT(ISERROR(SEARCH("N/A",P243)))</formula>
    </cfRule>
  </conditionalFormatting>
  <conditionalFormatting sqref="P244">
    <cfRule type="expression" dxfId="81" priority="65">
      <formula>$H244="CÉLULA CONSTRUTIVA"</formula>
    </cfRule>
    <cfRule type="expression" dxfId="80" priority="66">
      <formula>$H244="ETAPA"</formula>
    </cfRule>
    <cfRule type="containsText" dxfId="79" priority="76" operator="containsText" text="em andamento">
      <formula>NOT(ISERROR(SEARCH("em andamento",P244)))</formula>
    </cfRule>
    <cfRule type="containsText" dxfId="78" priority="67" operator="containsText" text="Lançado">
      <formula>NOT(ISERROR(SEARCH("Lançado",P244)))</formula>
    </cfRule>
    <cfRule type="containsText" dxfId="77" priority="68" operator="containsText" text="N/A">
      <formula>NOT(ISERROR(SEARCH("N/A",P244)))</formula>
    </cfRule>
    <cfRule type="containsText" dxfId="76" priority="71" operator="containsText" text="em andamento">
      <formula>NOT(ISERROR(SEARCH("em andamento",P244)))</formula>
    </cfRule>
    <cfRule type="containsText" dxfId="75" priority="72" operator="containsText" text="Lançado">
      <formula>NOT(ISERROR(SEARCH("Lançado",P244)))</formula>
    </cfRule>
    <cfRule type="containsText" dxfId="74" priority="74" operator="containsText" text="Pendente">
      <formula>NOT(ISERROR(SEARCH("Pendente",P244)))</formula>
    </cfRule>
    <cfRule type="containsText" dxfId="73" priority="73" operator="containsText" text="N/A">
      <formula>NOT(ISERROR(SEARCH("N/A",P244)))</formula>
    </cfRule>
    <cfRule type="containsText" dxfId="72" priority="75" operator="containsText" text="Finalizado">
      <formula>NOT(ISERROR(SEARCH("Finalizado",P244)))</formula>
    </cfRule>
    <cfRule type="containsText" dxfId="71" priority="69" operator="containsText" text="Pendente">
      <formula>NOT(ISERROR(SEARCH("Pendente",P244)))</formula>
    </cfRule>
    <cfRule type="containsText" dxfId="70" priority="70" operator="containsText" text="Finalizado">
      <formula>NOT(ISERROR(SEARCH("Finalizado",P244)))</formula>
    </cfRule>
    <cfRule type="expression" dxfId="69" priority="64">
      <formula>$H244="SUBETAPA"</formula>
    </cfRule>
  </conditionalFormatting>
  <conditionalFormatting sqref="P245 P248">
    <cfRule type="containsText" dxfId="68" priority="2103" operator="containsText" text="em andamento">
      <formula>NOT(ISERROR(SEARCH("em andamento",P245)))</formula>
    </cfRule>
    <cfRule type="containsText" dxfId="67" priority="2102" operator="containsText" text="Finalizado">
      <formula>NOT(ISERROR(SEARCH("Finalizado",P245)))</formula>
    </cfRule>
    <cfRule type="containsText" dxfId="66" priority="2101" operator="containsText" text="Pendente">
      <formula>NOT(ISERROR(SEARCH("Pendente",P245)))</formula>
    </cfRule>
    <cfRule type="containsText" dxfId="65" priority="2100" operator="containsText" text="N/A">
      <formula>NOT(ISERROR(SEARCH("N/A",P245)))</formula>
    </cfRule>
    <cfRule type="containsText" dxfId="64" priority="2099" operator="containsText" text="Lançado">
      <formula>NOT(ISERROR(SEARCH("Lançado",P245)))</formula>
    </cfRule>
  </conditionalFormatting>
  <conditionalFormatting sqref="P245">
    <cfRule type="containsText" dxfId="63" priority="2094" operator="containsText" text="Finalizado">
      <formula>NOT(ISERROR(SEARCH("Finalizado",P245)))</formula>
    </cfRule>
    <cfRule type="containsText" dxfId="62" priority="2092" operator="containsText" text="N/A">
      <formula>NOT(ISERROR(SEARCH("N/A",P245)))</formula>
    </cfRule>
    <cfRule type="containsText" dxfId="61" priority="2091" operator="containsText" text="Lançado">
      <formula>NOT(ISERROR(SEARCH("Lançado",P245)))</formula>
    </cfRule>
    <cfRule type="containsText" dxfId="60" priority="2093" operator="containsText" text="Pendente">
      <formula>NOT(ISERROR(SEARCH("Pendente",P245)))</formula>
    </cfRule>
    <cfRule type="containsText" dxfId="59" priority="2095" operator="containsText" text="em andamento">
      <formula>NOT(ISERROR(SEARCH("em andamento",P245)))</formula>
    </cfRule>
  </conditionalFormatting>
  <conditionalFormatting sqref="P246:P247">
    <cfRule type="containsText" dxfId="58" priority="59" operator="containsText" text="Lançado">
      <formula>NOT(ISERROR(SEARCH("Lançado",P246)))</formula>
    </cfRule>
    <cfRule type="expression" dxfId="57" priority="43">
      <formula>$H246="SUBETAPA"</formula>
    </cfRule>
    <cfRule type="containsText" dxfId="56" priority="49" operator="containsText" text="Finalizado">
      <formula>NOT(ISERROR(SEARCH("Finalizado",P246)))</formula>
    </cfRule>
    <cfRule type="expression" dxfId="55" priority="44">
      <formula>$H246="CÉLULA CONSTRUTIVA"</formula>
    </cfRule>
    <cfRule type="expression" dxfId="54" priority="45">
      <formula>$H246="ETAPA"</formula>
    </cfRule>
    <cfRule type="containsText" dxfId="53" priority="46" operator="containsText" text="Lançado">
      <formula>NOT(ISERROR(SEARCH("Lançado",P246)))</formula>
    </cfRule>
    <cfRule type="containsText" dxfId="52" priority="47" operator="containsText" text="N/A">
      <formula>NOT(ISERROR(SEARCH("N/A",P246)))</formula>
    </cfRule>
    <cfRule type="containsText" dxfId="51" priority="48" operator="containsText" text="Pendente">
      <formula>NOT(ISERROR(SEARCH("Pendente",P246)))</formula>
    </cfRule>
    <cfRule type="containsText" dxfId="50" priority="50" operator="containsText" text="em andamento">
      <formula>NOT(ISERROR(SEARCH("em andamento",P246)))</formula>
    </cfRule>
    <cfRule type="containsText" dxfId="49" priority="52" operator="containsText" text="N/A">
      <formula>NOT(ISERROR(SEARCH("N/A",P246)))</formula>
    </cfRule>
    <cfRule type="containsText" dxfId="48" priority="51" operator="containsText" text="Lançado">
      <formula>NOT(ISERROR(SEARCH("Lançado",P246)))</formula>
    </cfRule>
    <cfRule type="containsText" dxfId="47" priority="53" operator="containsText" text="Pendente">
      <formula>NOT(ISERROR(SEARCH("Pendente",P246)))</formula>
    </cfRule>
    <cfRule type="containsText" dxfId="46" priority="54" operator="containsText" text="Finalizado">
      <formula>NOT(ISERROR(SEARCH("Finalizado",P246)))</formula>
    </cfRule>
    <cfRule type="containsText" dxfId="45" priority="55" operator="containsText" text="em andamento">
      <formula>NOT(ISERROR(SEARCH("em andamento",P246)))</formula>
    </cfRule>
    <cfRule type="containsText" dxfId="44" priority="63" operator="containsText" text="em andamento">
      <formula>NOT(ISERROR(SEARCH("em andamento",P246)))</formula>
    </cfRule>
    <cfRule type="containsText" dxfId="43" priority="62" operator="containsText" text="Finalizado">
      <formula>NOT(ISERROR(SEARCH("Finalizado",P246)))</formula>
    </cfRule>
    <cfRule type="containsText" dxfId="42" priority="61" operator="containsText" text="Pendente">
      <formula>NOT(ISERROR(SEARCH("Pendente",P246)))</formula>
    </cfRule>
    <cfRule type="containsText" dxfId="41" priority="60" operator="containsText" text="N/A">
      <formula>NOT(ISERROR(SEARCH("N/A",P246)))</formula>
    </cfRule>
  </conditionalFormatting>
  <conditionalFormatting sqref="P249">
    <cfRule type="containsText" dxfId="40" priority="26" operator="containsText" text="N/A">
      <formula>NOT(ISERROR(SEARCH("N/A",P249)))</formula>
    </cfRule>
    <cfRule type="containsText" dxfId="39" priority="29" operator="containsText" text="em andamento">
      <formula>NOT(ISERROR(SEARCH("em andamento",P249)))</formula>
    </cfRule>
    <cfRule type="containsText" dxfId="38" priority="25" operator="containsText" text="Lançado">
      <formula>NOT(ISERROR(SEARCH("Lançado",P249)))</formula>
    </cfRule>
    <cfRule type="expression" dxfId="37" priority="24">
      <formula>$H249="ETAPA"</formula>
    </cfRule>
    <cfRule type="expression" dxfId="36" priority="23">
      <formula>$H249="CÉLULA CONSTRUTIVA"</formula>
    </cfRule>
    <cfRule type="containsText" dxfId="35" priority="38" operator="containsText" text="Lançado">
      <formula>NOT(ISERROR(SEARCH("Lançado",P249)))</formula>
    </cfRule>
    <cfRule type="expression" dxfId="34" priority="22">
      <formula>$H249="SUBETAPA"</formula>
    </cfRule>
    <cfRule type="containsText" dxfId="33" priority="31" operator="containsText" text="N/A">
      <formula>NOT(ISERROR(SEARCH("N/A",P249)))</formula>
    </cfRule>
    <cfRule type="containsText" dxfId="32" priority="28" operator="containsText" text="Finalizado">
      <formula>NOT(ISERROR(SEARCH("Finalizado",P249)))</formula>
    </cfRule>
    <cfRule type="containsText" dxfId="31" priority="32" operator="containsText" text="Pendente">
      <formula>NOT(ISERROR(SEARCH("Pendente",P249)))</formula>
    </cfRule>
    <cfRule type="containsText" dxfId="30" priority="33" operator="containsText" text="Finalizado">
      <formula>NOT(ISERROR(SEARCH("Finalizado",P249)))</formula>
    </cfRule>
    <cfRule type="containsText" dxfId="29" priority="34" operator="containsText" text="em andamento">
      <formula>NOT(ISERROR(SEARCH("em andamento",P249)))</formula>
    </cfRule>
    <cfRule type="containsText" dxfId="28" priority="27" operator="containsText" text="Pendente">
      <formula>NOT(ISERROR(SEARCH("Pendente",P249)))</formula>
    </cfRule>
    <cfRule type="containsText" dxfId="27" priority="39" operator="containsText" text="N/A">
      <formula>NOT(ISERROR(SEARCH("N/A",P249)))</formula>
    </cfRule>
    <cfRule type="containsText" dxfId="26" priority="40" operator="containsText" text="Pendente">
      <formula>NOT(ISERROR(SEARCH("Pendente",P249)))</formula>
    </cfRule>
    <cfRule type="containsText" dxfId="25" priority="41" operator="containsText" text="Finalizado">
      <formula>NOT(ISERROR(SEARCH("Finalizado",P249)))</formula>
    </cfRule>
    <cfRule type="containsText" dxfId="24" priority="42" operator="containsText" text="em andamento">
      <formula>NOT(ISERROR(SEARCH("em andamento",P249)))</formula>
    </cfRule>
    <cfRule type="containsText" dxfId="23" priority="30" operator="containsText" text="Lançado">
      <formula>NOT(ISERROR(SEARCH("Lançado",P249)))</formula>
    </cfRule>
  </conditionalFormatting>
  <conditionalFormatting sqref="P250:P252">
    <cfRule type="containsText" dxfId="22" priority="1685" operator="containsText" text="N/A">
      <formula>NOT(ISERROR(SEARCH("N/A",P250)))</formula>
    </cfRule>
    <cfRule type="containsText" dxfId="21" priority="1684" operator="containsText" text="Lançado">
      <formula>NOT(ISERROR(SEARCH("Lançado",P250)))</formula>
    </cfRule>
    <cfRule type="containsText" dxfId="20" priority="1688" operator="containsText" text="em andamento">
      <formula>NOT(ISERROR(SEARCH("em andamento",P250)))</formula>
    </cfRule>
    <cfRule type="containsText" dxfId="19" priority="1687" operator="containsText" text="Finalizado">
      <formula>NOT(ISERROR(SEARCH("Finalizado",P250)))</formula>
    </cfRule>
    <cfRule type="containsText" dxfId="18" priority="1686" operator="containsText" text="Pendente">
      <formula>NOT(ISERROR(SEARCH("Pendente",P250)))</formula>
    </cfRule>
  </conditionalFormatting>
  <conditionalFormatting sqref="P253">
    <cfRule type="containsText" dxfId="17" priority="18" operator="containsText" text="N/A">
      <formula>NOT(ISERROR(SEARCH("N/A",P253)))</formula>
    </cfRule>
    <cfRule type="containsText" dxfId="16" priority="17" operator="containsText" text="Lançado">
      <formula>NOT(ISERROR(SEARCH("Lançado",P253)))</formula>
    </cfRule>
    <cfRule type="containsText" dxfId="15" priority="13" operator="containsText" text="em andamento">
      <formula>NOT(ISERROR(SEARCH("em andamento",P253)))</formula>
    </cfRule>
    <cfRule type="containsText" dxfId="14" priority="21" operator="containsText" text="em andamento">
      <formula>NOT(ISERROR(SEARCH("em andamento",P253)))</formula>
    </cfRule>
    <cfRule type="containsText" dxfId="13" priority="19" operator="containsText" text="Pendente">
      <formula>NOT(ISERROR(SEARCH("Pendente",P253)))</formula>
    </cfRule>
    <cfRule type="containsText" dxfId="12" priority="20" operator="containsText" text="Finalizado">
      <formula>NOT(ISERROR(SEARCH("Finalizado",P253)))</formula>
    </cfRule>
    <cfRule type="expression" dxfId="11" priority="1">
      <formula>$H253="SUBETAPA"</formula>
    </cfRule>
    <cfRule type="containsText" dxfId="10" priority="12" operator="containsText" text="Finalizado">
      <formula>NOT(ISERROR(SEARCH("Finalizado",P253)))</formula>
    </cfRule>
    <cfRule type="containsText" dxfId="9" priority="11" operator="containsText" text="Pendente">
      <formula>NOT(ISERROR(SEARCH("Pendente",P253)))</formula>
    </cfRule>
    <cfRule type="containsText" dxfId="8" priority="10" operator="containsText" text="N/A">
      <formula>NOT(ISERROR(SEARCH("N/A",P253)))</formula>
    </cfRule>
    <cfRule type="containsText" dxfId="7" priority="9" operator="containsText" text="Lançado">
      <formula>NOT(ISERROR(SEARCH("Lançado",P253)))</formula>
    </cfRule>
    <cfRule type="containsText" dxfId="6" priority="8" operator="containsText" text="em andamento">
      <formula>NOT(ISERROR(SEARCH("em andamento",P253)))</formula>
    </cfRule>
    <cfRule type="containsText" dxfId="5" priority="7" operator="containsText" text="Finalizado">
      <formula>NOT(ISERROR(SEARCH("Finalizado",P253)))</formula>
    </cfRule>
    <cfRule type="containsText" dxfId="4" priority="6" operator="containsText" text="Pendente">
      <formula>NOT(ISERROR(SEARCH("Pendente",P253)))</formula>
    </cfRule>
    <cfRule type="containsText" dxfId="3" priority="5" operator="containsText" text="N/A">
      <formula>NOT(ISERROR(SEARCH("N/A",P253)))</formula>
    </cfRule>
    <cfRule type="containsText" dxfId="2" priority="4" operator="containsText" text="Lançado">
      <formula>NOT(ISERROR(SEARCH("Lançado",P253)))</formula>
    </cfRule>
    <cfRule type="expression" dxfId="1" priority="2">
      <formula>$H253="CÉLULA CONSTRUTIVA"</formula>
    </cfRule>
    <cfRule type="expression" dxfId="0" priority="3">
      <formula>$H253="ETAPA"</formula>
    </cfRule>
  </conditionalFormatting>
  <dataValidations count="2">
    <dataValidation type="list" allowBlank="1" showInputMessage="1" showErrorMessage="1" sqref="P58:P60 P34:P56 P200:P201 P149:P158 P160:P173 P103:P147 P198 P188:P196 P243:P247 P8:P32 P62:P65 P182:P184 P177 P179:P180 P214:P238 P186 P240:P241 P67:P101 P203:P212 P249 P253" xr:uid="{3EFAA906-B1D8-460E-A295-20252C56A889}">
      <formula1>"Finalizado, Em Andamento, Pendente, N/A,Lançado ERP"</formula1>
    </dataValidation>
    <dataValidation type="list" allowBlank="1" showInputMessage="1" showErrorMessage="1" sqref="H8:H253" xr:uid="{ABF779B1-BD96-4930-91BF-CADF83AD33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541C-7662-4222-81DC-E2D6B8875EC0}">
  <sheetPr codeName="Planilha31">
    <tabColor rgb="FFF43800"/>
    <pageSetUpPr fitToPage="1"/>
  </sheetPr>
  <dimension ref="A1:M2188"/>
  <sheetViews>
    <sheetView showGridLines="0" zoomScale="85" zoomScaleNormal="85" zoomScalePageLayoutView="55" workbookViewId="0">
      <selection activeCell="A12" sqref="A12:D31"/>
    </sheetView>
  </sheetViews>
  <sheetFormatPr defaultColWidth="11.5703125" defaultRowHeight="12.75" x14ac:dyDescent="0.2"/>
  <cols>
    <col min="1" max="1" width="12.28515625" style="12" customWidth="1"/>
    <col min="2" max="2" width="76.42578125" style="12" customWidth="1"/>
    <col min="3" max="3" width="8.140625" style="26" customWidth="1"/>
    <col min="4" max="4" width="11.7109375" style="259" customWidth="1"/>
    <col min="5" max="5" width="88.28515625" style="12" customWidth="1"/>
    <col min="6" max="6" width="10" style="12" customWidth="1"/>
    <col min="7" max="16384" width="11.5703125" style="12"/>
  </cols>
  <sheetData>
    <row r="1" spans="1:7" ht="18" customHeight="1" x14ac:dyDescent="0.2">
      <c r="A1" s="1216" t="s">
        <v>529</v>
      </c>
      <c r="B1" s="1217"/>
      <c r="C1" s="1217"/>
      <c r="D1" s="1217"/>
    </row>
    <row r="2" spans="1:7" x14ac:dyDescent="0.2">
      <c r="A2" s="1042" t="s">
        <v>530</v>
      </c>
      <c r="B2" s="1043" t="s">
        <v>531</v>
      </c>
      <c r="C2" s="1044"/>
      <c r="D2" s="783"/>
    </row>
    <row r="3" spans="1:7" x14ac:dyDescent="0.2">
      <c r="A3" s="1042" t="s">
        <v>357</v>
      </c>
      <c r="B3" s="1043" t="s">
        <v>996</v>
      </c>
      <c r="C3" s="1045"/>
      <c r="D3" s="1046"/>
    </row>
    <row r="4" spans="1:7" x14ac:dyDescent="0.2">
      <c r="A4" s="1042" t="s">
        <v>481</v>
      </c>
      <c r="B4" s="1043" t="s">
        <v>482</v>
      </c>
      <c r="C4" s="1047"/>
      <c r="D4" s="1048"/>
    </row>
    <row r="5" spans="1:7" x14ac:dyDescent="0.2">
      <c r="A5" s="1042" t="s">
        <v>532</v>
      </c>
      <c r="B5" s="1043" t="s">
        <v>1146</v>
      </c>
      <c r="C5" s="1047"/>
      <c r="D5" s="1048"/>
    </row>
    <row r="6" spans="1:7" x14ac:dyDescent="0.2">
      <c r="A6" s="1042" t="s">
        <v>533</v>
      </c>
      <c r="B6" s="1043" t="s">
        <v>482</v>
      </c>
      <c r="C6" s="1049"/>
      <c r="D6" s="1050"/>
    </row>
    <row r="7" spans="1:7" x14ac:dyDescent="0.2">
      <c r="A7" s="1042" t="s">
        <v>0</v>
      </c>
      <c r="B7" s="1043" t="s">
        <v>1001</v>
      </c>
      <c r="C7" s="1051"/>
      <c r="D7" s="1052"/>
      <c r="G7" s="784"/>
    </row>
    <row r="8" spans="1:7" x14ac:dyDescent="0.2">
      <c r="A8" s="1218"/>
      <c r="B8" s="1219"/>
      <c r="C8" s="1219"/>
      <c r="D8" s="1220"/>
    </row>
    <row r="9" spans="1:7" ht="18" customHeight="1" x14ac:dyDescent="0.2">
      <c r="A9" s="1221" t="s">
        <v>534</v>
      </c>
      <c r="B9" s="1222"/>
      <c r="C9" s="1222"/>
      <c r="D9" s="1222"/>
    </row>
    <row r="10" spans="1:7" ht="21.75" customHeight="1" x14ac:dyDescent="0.2">
      <c r="A10" s="1223" t="s">
        <v>21</v>
      </c>
      <c r="B10" s="1223" t="s">
        <v>0</v>
      </c>
      <c r="C10" s="1223" t="s">
        <v>535</v>
      </c>
      <c r="D10" s="1223" t="s">
        <v>110</v>
      </c>
    </row>
    <row r="11" spans="1:7" ht="17.25" customHeight="1" x14ac:dyDescent="0.2">
      <c r="A11" s="1223"/>
      <c r="B11" s="1223"/>
      <c r="C11" s="1223"/>
      <c r="D11" s="1223"/>
    </row>
    <row r="12" spans="1:7" x14ac:dyDescent="0.2">
      <c r="A12" s="1053" t="s">
        <v>536</v>
      </c>
      <c r="B12" s="1054" t="s">
        <v>399</v>
      </c>
      <c r="C12" s="848"/>
      <c r="D12" s="849"/>
      <c r="E12" s="27"/>
    </row>
    <row r="13" spans="1:7" ht="12.75" customHeight="1" x14ac:dyDescent="0.2">
      <c r="A13" s="1055" t="s">
        <v>537</v>
      </c>
      <c r="B13" s="1056" t="s">
        <v>1002</v>
      </c>
      <c r="C13" s="1057"/>
      <c r="D13" s="1058"/>
    </row>
    <row r="14" spans="1:7" ht="12.75" customHeight="1" x14ac:dyDescent="0.2">
      <c r="A14" s="1059" t="s">
        <v>538</v>
      </c>
      <c r="B14" s="1060" t="s">
        <v>1147</v>
      </c>
      <c r="C14" s="1061" t="s">
        <v>15</v>
      </c>
      <c r="D14" s="1062">
        <v>4.0599999999999996</v>
      </c>
      <c r="E14" s="12" t="s">
        <v>1150</v>
      </c>
      <c r="F14" s="12">
        <f>SUMIF($B$14:$B$23,E14,$D$14:$D$23)</f>
        <v>22.85</v>
      </c>
    </row>
    <row r="15" spans="1:7" ht="12.75" customHeight="1" x14ac:dyDescent="0.2">
      <c r="A15" s="1063" t="s">
        <v>1003</v>
      </c>
      <c r="B15" s="1064" t="s">
        <v>1148</v>
      </c>
      <c r="C15" s="1065" t="s">
        <v>15</v>
      </c>
      <c r="D15" s="1066">
        <v>252.54</v>
      </c>
      <c r="E15" s="12" t="s">
        <v>1147</v>
      </c>
      <c r="F15" s="12">
        <f t="shared" ref="F15:F17" si="0">SUMIF($B$14:$B$23,E15,$D$14:$D$23)</f>
        <v>4.0599999999999996</v>
      </c>
    </row>
    <row r="16" spans="1:7" ht="12.75" customHeight="1" x14ac:dyDescent="0.2">
      <c r="A16" s="1059" t="s">
        <v>1004</v>
      </c>
      <c r="B16" s="1060" t="s">
        <v>1149</v>
      </c>
      <c r="C16" s="1061" t="s">
        <v>15</v>
      </c>
      <c r="D16" s="1062">
        <v>2.76</v>
      </c>
      <c r="E16" s="12" t="s">
        <v>1148</v>
      </c>
      <c r="F16" s="12">
        <f>SUMIF($B$14:$B$23,E16,$D$14:$D$23)</f>
        <v>546.01</v>
      </c>
    </row>
    <row r="17" spans="1:6" ht="12.75" customHeight="1" x14ac:dyDescent="0.2">
      <c r="A17" s="1063" t="s">
        <v>1005</v>
      </c>
      <c r="B17" s="1064" t="s">
        <v>1150</v>
      </c>
      <c r="C17" s="1065" t="s">
        <v>15</v>
      </c>
      <c r="D17" s="1066">
        <v>12.04</v>
      </c>
      <c r="E17" s="12" t="s">
        <v>1149</v>
      </c>
      <c r="F17" s="12">
        <f t="shared" si="0"/>
        <v>18.02</v>
      </c>
    </row>
    <row r="18" spans="1:6" ht="12.75" customHeight="1" x14ac:dyDescent="0.2">
      <c r="A18" s="1055" t="s">
        <v>539</v>
      </c>
      <c r="B18" s="1056" t="s">
        <v>1006</v>
      </c>
      <c r="C18" s="1057"/>
      <c r="D18" s="1058"/>
    </row>
    <row r="19" spans="1:6" ht="12.75" customHeight="1" x14ac:dyDescent="0.2">
      <c r="A19" s="1059" t="s">
        <v>540</v>
      </c>
      <c r="B19" s="1060" t="s">
        <v>1148</v>
      </c>
      <c r="C19" s="1061" t="s">
        <v>15</v>
      </c>
      <c r="D19" s="1062">
        <v>232.02</v>
      </c>
    </row>
    <row r="20" spans="1:6" ht="12.75" customHeight="1" x14ac:dyDescent="0.2">
      <c r="A20" s="1063" t="s">
        <v>1007</v>
      </c>
      <c r="B20" s="1064" t="s">
        <v>1149</v>
      </c>
      <c r="C20" s="1065" t="s">
        <v>15</v>
      </c>
      <c r="D20" s="1066">
        <v>15.26</v>
      </c>
    </row>
    <row r="21" spans="1:6" ht="12.75" customHeight="1" x14ac:dyDescent="0.2">
      <c r="A21" s="1059" t="s">
        <v>1008</v>
      </c>
      <c r="B21" s="1060" t="s">
        <v>1150</v>
      </c>
      <c r="C21" s="1061" t="s">
        <v>15</v>
      </c>
      <c r="D21" s="1062">
        <v>10.81</v>
      </c>
    </row>
    <row r="22" spans="1:6" ht="12.75" customHeight="1" x14ac:dyDescent="0.2">
      <c r="A22" s="1055" t="s">
        <v>541</v>
      </c>
      <c r="B22" s="1056" t="s">
        <v>1009</v>
      </c>
      <c r="C22" s="1057"/>
      <c r="D22" s="1058"/>
    </row>
    <row r="23" spans="1:6" ht="12.75" customHeight="1" x14ac:dyDescent="0.2">
      <c r="A23" s="1063" t="s">
        <v>542</v>
      </c>
      <c r="B23" s="1064" t="s">
        <v>1148</v>
      </c>
      <c r="C23" s="1065" t="s">
        <v>15</v>
      </c>
      <c r="D23" s="1066">
        <v>61.45</v>
      </c>
    </row>
    <row r="24" spans="1:6" ht="12.75" customHeight="1" x14ac:dyDescent="0.2">
      <c r="A24" s="1053" t="s">
        <v>543</v>
      </c>
      <c r="B24" s="1054" t="s">
        <v>775</v>
      </c>
      <c r="C24" s="848"/>
      <c r="D24" s="849"/>
    </row>
    <row r="25" spans="1:6" ht="12.75" customHeight="1" x14ac:dyDescent="0.2">
      <c r="A25" s="1055" t="s">
        <v>544</v>
      </c>
      <c r="B25" s="1056" t="s">
        <v>1002</v>
      </c>
      <c r="C25" s="1057"/>
      <c r="D25" s="1058"/>
    </row>
    <row r="26" spans="1:6" ht="12.75" customHeight="1" x14ac:dyDescent="0.2">
      <c r="A26" s="1059" t="s">
        <v>545</v>
      </c>
      <c r="B26" s="1060" t="s">
        <v>1151</v>
      </c>
      <c r="C26" s="1061" t="s">
        <v>15</v>
      </c>
      <c r="D26" s="1062">
        <v>1.28</v>
      </c>
    </row>
    <row r="27" spans="1:6" ht="12.75" customHeight="1" x14ac:dyDescent="0.2">
      <c r="A27" s="1053" t="s">
        <v>549</v>
      </c>
      <c r="B27" s="1054" t="s">
        <v>659</v>
      </c>
      <c r="C27" s="848"/>
      <c r="D27" s="849"/>
    </row>
    <row r="28" spans="1:6" ht="12.75" customHeight="1" x14ac:dyDescent="0.2">
      <c r="A28" s="1055" t="s">
        <v>550</v>
      </c>
      <c r="B28" s="1056" t="s">
        <v>1002</v>
      </c>
      <c r="C28" s="1057"/>
      <c r="D28" s="1058"/>
    </row>
    <row r="29" spans="1:6" ht="12.75" customHeight="1" x14ac:dyDescent="0.2">
      <c r="A29" s="1063" t="s">
        <v>551</v>
      </c>
      <c r="B29" s="1064" t="s">
        <v>546</v>
      </c>
      <c r="C29" s="1065" t="s">
        <v>15</v>
      </c>
      <c r="D29" s="1066">
        <v>213</v>
      </c>
      <c r="E29" s="12" t="s">
        <v>546</v>
      </c>
      <c r="F29" s="12">
        <f>SUMIF($B$29:$B$36,E29,$D$29:$D$36)</f>
        <v>593.66</v>
      </c>
    </row>
    <row r="30" spans="1:6" ht="12.75" customHeight="1" x14ac:dyDescent="0.2">
      <c r="A30" s="1059" t="s">
        <v>1010</v>
      </c>
      <c r="B30" s="1060" t="s">
        <v>547</v>
      </c>
      <c r="C30" s="1061" t="s">
        <v>15</v>
      </c>
      <c r="D30" s="1062">
        <v>60.36</v>
      </c>
      <c r="E30" s="12" t="s">
        <v>547</v>
      </c>
      <c r="F30" s="12">
        <f>SUMIF($B$29:$B$36,E30,$D$29:$D$36)</f>
        <v>136.32999999999998</v>
      </c>
    </row>
    <row r="31" spans="1:6" ht="12.75" customHeight="1" x14ac:dyDescent="0.2">
      <c r="A31" s="1055" t="s">
        <v>552</v>
      </c>
      <c r="B31" s="1056" t="s">
        <v>1006</v>
      </c>
      <c r="C31" s="1057"/>
      <c r="D31" s="1058"/>
    </row>
    <row r="32" spans="1:6" ht="12.75" customHeight="1" x14ac:dyDescent="0.2">
      <c r="A32" s="1063" t="s">
        <v>553</v>
      </c>
      <c r="B32" s="1064" t="s">
        <v>546</v>
      </c>
      <c r="C32" s="1065" t="s">
        <v>15</v>
      </c>
      <c r="D32" s="1066">
        <v>352.07</v>
      </c>
    </row>
    <row r="33" spans="1:6" ht="12.75" customHeight="1" x14ac:dyDescent="0.2">
      <c r="A33" s="1059" t="s">
        <v>1011</v>
      </c>
      <c r="B33" s="1060" t="s">
        <v>547</v>
      </c>
      <c r="C33" s="1061" t="s">
        <v>15</v>
      </c>
      <c r="D33" s="1062">
        <v>69.8</v>
      </c>
    </row>
    <row r="34" spans="1:6" ht="12.75" customHeight="1" x14ac:dyDescent="0.2">
      <c r="A34" s="1055" t="s">
        <v>554</v>
      </c>
      <c r="B34" s="1056" t="s">
        <v>1009</v>
      </c>
      <c r="C34" s="1057"/>
      <c r="D34" s="1058"/>
    </row>
    <row r="35" spans="1:6" ht="12.75" customHeight="1" x14ac:dyDescent="0.2">
      <c r="A35" s="1063" t="s">
        <v>555</v>
      </c>
      <c r="B35" s="1064" t="s">
        <v>546</v>
      </c>
      <c r="C35" s="1065" t="s">
        <v>15</v>
      </c>
      <c r="D35" s="1066">
        <v>28.59</v>
      </c>
    </row>
    <row r="36" spans="1:6" ht="12.75" customHeight="1" x14ac:dyDescent="0.2">
      <c r="A36" s="1059" t="s">
        <v>1012</v>
      </c>
      <c r="B36" s="1060" t="s">
        <v>547</v>
      </c>
      <c r="C36" s="1061" t="s">
        <v>15</v>
      </c>
      <c r="D36" s="1062">
        <v>6.17</v>
      </c>
    </row>
    <row r="37" spans="1:6" ht="12.75" customHeight="1" x14ac:dyDescent="0.2">
      <c r="A37" s="1053" t="s">
        <v>556</v>
      </c>
      <c r="B37" s="1054" t="s">
        <v>658</v>
      </c>
      <c r="C37" s="848"/>
      <c r="D37" s="849"/>
    </row>
    <row r="38" spans="1:6" ht="12.75" customHeight="1" x14ac:dyDescent="0.2">
      <c r="A38" s="1055" t="s">
        <v>557</v>
      </c>
      <c r="B38" s="1056" t="s">
        <v>1002</v>
      </c>
      <c r="C38" s="1057"/>
      <c r="D38" s="1058"/>
    </row>
    <row r="39" spans="1:6" ht="12.75" customHeight="1" x14ac:dyDescent="0.2">
      <c r="A39" s="1063" t="s">
        <v>558</v>
      </c>
      <c r="B39" s="1064" t="s">
        <v>548</v>
      </c>
      <c r="C39" s="1065" t="s">
        <v>15</v>
      </c>
      <c r="D39" s="1066">
        <v>273.36</v>
      </c>
      <c r="E39" s="12" t="s">
        <v>548</v>
      </c>
      <c r="F39" s="12">
        <f>SUMIF($B$38:$B$43,E39,$D$38:$D$43)</f>
        <v>729.99</v>
      </c>
    </row>
    <row r="40" spans="1:6" ht="12.75" customHeight="1" x14ac:dyDescent="0.2">
      <c r="A40" s="1055" t="s">
        <v>559</v>
      </c>
      <c r="B40" s="1056" t="s">
        <v>1006</v>
      </c>
      <c r="C40" s="1057"/>
      <c r="D40" s="1058"/>
    </row>
    <row r="41" spans="1:6" ht="12.75" customHeight="1" x14ac:dyDescent="0.2">
      <c r="A41" s="1059" t="s">
        <v>560</v>
      </c>
      <c r="B41" s="1060" t="s">
        <v>548</v>
      </c>
      <c r="C41" s="1061" t="s">
        <v>15</v>
      </c>
      <c r="D41" s="1062">
        <v>421.87</v>
      </c>
    </row>
    <row r="42" spans="1:6" ht="12.75" customHeight="1" x14ac:dyDescent="0.2">
      <c r="A42" s="1055" t="s">
        <v>561</v>
      </c>
      <c r="B42" s="1056" t="s">
        <v>1009</v>
      </c>
      <c r="C42" s="1057"/>
      <c r="D42" s="1058"/>
    </row>
    <row r="43" spans="1:6" ht="12.75" customHeight="1" x14ac:dyDescent="0.2">
      <c r="A43" s="1063" t="s">
        <v>562</v>
      </c>
      <c r="B43" s="1064" t="s">
        <v>548</v>
      </c>
      <c r="C43" s="1065" t="s">
        <v>15</v>
      </c>
      <c r="D43" s="1066">
        <v>34.76</v>
      </c>
    </row>
    <row r="44" spans="1:6" ht="12.75" customHeight="1" x14ac:dyDescent="0.2">
      <c r="A44" s="1053" t="s">
        <v>563</v>
      </c>
      <c r="B44" s="1054" t="s">
        <v>647</v>
      </c>
      <c r="C44" s="848"/>
      <c r="D44" s="849"/>
    </row>
    <row r="45" spans="1:6" ht="12.75" customHeight="1" x14ac:dyDescent="0.2">
      <c r="A45" s="1055" t="s">
        <v>564</v>
      </c>
      <c r="B45" s="1056" t="s">
        <v>1002</v>
      </c>
      <c r="C45" s="1057"/>
      <c r="D45" s="1058"/>
    </row>
    <row r="46" spans="1:6" ht="12.75" customHeight="1" x14ac:dyDescent="0.2">
      <c r="A46" s="1059" t="s">
        <v>565</v>
      </c>
      <c r="B46" s="1060" t="s">
        <v>1152</v>
      </c>
      <c r="C46" s="1061" t="s">
        <v>15</v>
      </c>
      <c r="D46" s="1062">
        <v>293.75</v>
      </c>
      <c r="E46" s="12" t="s">
        <v>1152</v>
      </c>
      <c r="F46" s="12">
        <f>SUMIF($B$46:$B$53,E46,$D$46:$D$53)</f>
        <v>511.31</v>
      </c>
    </row>
    <row r="47" spans="1:6" ht="12.75" customHeight="1" x14ac:dyDescent="0.2">
      <c r="A47" s="1063" t="s">
        <v>566</v>
      </c>
      <c r="B47" s="1064" t="s">
        <v>1013</v>
      </c>
      <c r="C47" s="1065" t="s">
        <v>15</v>
      </c>
      <c r="D47" s="1066">
        <v>84.81</v>
      </c>
      <c r="E47" s="12" t="s">
        <v>1013</v>
      </c>
      <c r="F47" s="12">
        <f>SUMIF($B$46:$B$53,E47,$D$46:$D$53)</f>
        <v>139.5</v>
      </c>
    </row>
    <row r="48" spans="1:6" ht="12.75" customHeight="1" x14ac:dyDescent="0.2">
      <c r="A48" s="1055" t="s">
        <v>567</v>
      </c>
      <c r="B48" s="1056" t="s">
        <v>1006</v>
      </c>
      <c r="C48" s="1057"/>
      <c r="D48" s="1058"/>
    </row>
    <row r="49" spans="1:6" ht="12.75" customHeight="1" x14ac:dyDescent="0.2">
      <c r="A49" s="1059" t="s">
        <v>568</v>
      </c>
      <c r="B49" s="1060" t="s">
        <v>1152</v>
      </c>
      <c r="C49" s="1061" t="s">
        <v>15</v>
      </c>
      <c r="D49" s="1062">
        <v>123.11</v>
      </c>
    </row>
    <row r="50" spans="1:6" ht="12.75" customHeight="1" x14ac:dyDescent="0.2">
      <c r="A50" s="1063" t="s">
        <v>569</v>
      </c>
      <c r="B50" s="1064" t="s">
        <v>1013</v>
      </c>
      <c r="C50" s="1065" t="s">
        <v>15</v>
      </c>
      <c r="D50" s="1066">
        <v>36.35</v>
      </c>
    </row>
    <row r="51" spans="1:6" ht="12.75" customHeight="1" x14ac:dyDescent="0.2">
      <c r="A51" s="1055" t="s">
        <v>570</v>
      </c>
      <c r="B51" s="1056" t="s">
        <v>1009</v>
      </c>
      <c r="C51" s="1057"/>
      <c r="D51" s="1058"/>
    </row>
    <row r="52" spans="1:6" ht="12.75" customHeight="1" x14ac:dyDescent="0.2">
      <c r="A52" s="1059" t="s">
        <v>571</v>
      </c>
      <c r="B52" s="1060" t="s">
        <v>1152</v>
      </c>
      <c r="C52" s="1061" t="s">
        <v>15</v>
      </c>
      <c r="D52" s="1062">
        <v>94.45</v>
      </c>
    </row>
    <row r="53" spans="1:6" ht="12.75" customHeight="1" x14ac:dyDescent="0.2">
      <c r="A53" s="1063" t="s">
        <v>572</v>
      </c>
      <c r="B53" s="1064" t="s">
        <v>1013</v>
      </c>
      <c r="C53" s="1065" t="s">
        <v>15</v>
      </c>
      <c r="D53" s="1066">
        <v>18.34</v>
      </c>
    </row>
    <row r="54" spans="1:6" ht="12.75" customHeight="1" x14ac:dyDescent="0.2">
      <c r="A54" s="1053" t="s">
        <v>574</v>
      </c>
      <c r="B54" s="1054" t="s">
        <v>646</v>
      </c>
      <c r="C54" s="848"/>
      <c r="D54" s="849"/>
    </row>
    <row r="55" spans="1:6" x14ac:dyDescent="0.2">
      <c r="A55" s="1055" t="s">
        <v>575</v>
      </c>
      <c r="B55" s="1056" t="s">
        <v>1002</v>
      </c>
      <c r="C55" s="1057"/>
      <c r="D55" s="1058"/>
    </row>
    <row r="56" spans="1:6" ht="12.75" customHeight="1" x14ac:dyDescent="0.2">
      <c r="A56" s="1059" t="s">
        <v>576</v>
      </c>
      <c r="B56" s="1060" t="s">
        <v>1014</v>
      </c>
      <c r="C56" s="1061" t="s">
        <v>15</v>
      </c>
      <c r="D56" s="1062">
        <v>378.56</v>
      </c>
      <c r="E56" s="12" t="s">
        <v>1014</v>
      </c>
      <c r="F56" s="12">
        <f>SUMIF($B$55:$B$60,E56,$D$55:$D$60)</f>
        <v>650.80999999999995</v>
      </c>
    </row>
    <row r="57" spans="1:6" ht="12.75" customHeight="1" x14ac:dyDescent="0.2">
      <c r="A57" s="1055" t="s">
        <v>577</v>
      </c>
      <c r="B57" s="1056" t="s">
        <v>1006</v>
      </c>
      <c r="C57" s="1057"/>
      <c r="D57" s="1058"/>
    </row>
    <row r="58" spans="1:6" ht="12.75" customHeight="1" x14ac:dyDescent="0.2">
      <c r="A58" s="1063" t="s">
        <v>578</v>
      </c>
      <c r="B58" s="1064" t="s">
        <v>1014</v>
      </c>
      <c r="C58" s="1065" t="s">
        <v>15</v>
      </c>
      <c r="D58" s="1066">
        <v>159.46</v>
      </c>
    </row>
    <row r="59" spans="1:6" ht="12.75" customHeight="1" x14ac:dyDescent="0.2">
      <c r="A59" s="1055" t="s">
        <v>579</v>
      </c>
      <c r="B59" s="1056" t="s">
        <v>1009</v>
      </c>
      <c r="C59" s="1057"/>
      <c r="D59" s="1058"/>
    </row>
    <row r="60" spans="1:6" ht="12.75" customHeight="1" x14ac:dyDescent="0.2">
      <c r="A60" s="1059" t="s">
        <v>580</v>
      </c>
      <c r="B60" s="1060" t="s">
        <v>1014</v>
      </c>
      <c r="C60" s="1061" t="s">
        <v>15</v>
      </c>
      <c r="D60" s="1062">
        <v>112.79</v>
      </c>
    </row>
    <row r="61" spans="1:6" ht="12.75" customHeight="1" x14ac:dyDescent="0.2">
      <c r="A61" s="1053" t="s">
        <v>581</v>
      </c>
      <c r="B61" s="1054" t="s">
        <v>1015</v>
      </c>
      <c r="C61" s="848"/>
      <c r="D61" s="849"/>
    </row>
    <row r="62" spans="1:6" ht="12.75" customHeight="1" x14ac:dyDescent="0.2">
      <c r="A62" s="1055" t="s">
        <v>582</v>
      </c>
      <c r="B62" s="1056" t="s">
        <v>1002</v>
      </c>
      <c r="C62" s="1057"/>
      <c r="D62" s="1058"/>
    </row>
    <row r="63" spans="1:6" ht="12.75" customHeight="1" x14ac:dyDescent="0.2">
      <c r="A63" s="1063" t="s">
        <v>583</v>
      </c>
      <c r="B63" s="1064" t="s">
        <v>1153</v>
      </c>
      <c r="C63" s="1065" t="s">
        <v>15</v>
      </c>
      <c r="D63" s="1066">
        <v>37.590000000000003</v>
      </c>
      <c r="E63" s="12" t="s">
        <v>1153</v>
      </c>
      <c r="F63" s="12">
        <f>SUMIF($B$63:$B$71,E63,$D$63:$D$71)</f>
        <v>37.590000000000003</v>
      </c>
    </row>
    <row r="64" spans="1:6" ht="12.75" customHeight="1" x14ac:dyDescent="0.2">
      <c r="A64" s="1059" t="s">
        <v>1017</v>
      </c>
      <c r="B64" s="1060" t="s">
        <v>1016</v>
      </c>
      <c r="C64" s="1061" t="s">
        <v>15</v>
      </c>
      <c r="D64" s="1062">
        <v>3.46</v>
      </c>
      <c r="E64" s="12" t="s">
        <v>1155</v>
      </c>
      <c r="F64" s="12">
        <f t="shared" ref="F64" si="1">SUMIF($B$63:$B$71,E64,$D$63:$D$71)</f>
        <v>12.77</v>
      </c>
    </row>
    <row r="65" spans="1:6" ht="12.75" customHeight="1" x14ac:dyDescent="0.2">
      <c r="A65" s="1063" t="s">
        <v>1019</v>
      </c>
      <c r="B65" s="1064" t="s">
        <v>1018</v>
      </c>
      <c r="C65" s="1065" t="s">
        <v>15</v>
      </c>
      <c r="D65" s="1066">
        <v>9.7799999999999994</v>
      </c>
      <c r="E65" s="12" t="s">
        <v>1157</v>
      </c>
      <c r="F65" s="12">
        <f>SUMIF($B$63:$B$71,E65,$D$63:$D$71)</f>
        <v>0.46</v>
      </c>
    </row>
    <row r="66" spans="1:6" ht="12.75" customHeight="1" x14ac:dyDescent="0.2">
      <c r="A66" s="1059" t="s">
        <v>1154</v>
      </c>
      <c r="B66" s="1060" t="s">
        <v>1155</v>
      </c>
      <c r="C66" s="1061" t="s">
        <v>15</v>
      </c>
      <c r="D66" s="1062">
        <v>10.02</v>
      </c>
      <c r="E66" s="1068" t="s">
        <v>573</v>
      </c>
      <c r="F66" s="19">
        <f t="shared" ref="F66:F68" si="2">SUMIF($B$63:$B$71,E66,$D$63:$D$71)</f>
        <v>133.43</v>
      </c>
    </row>
    <row r="67" spans="1:6" ht="12.75" customHeight="1" x14ac:dyDescent="0.2">
      <c r="A67" s="1063" t="s">
        <v>1156</v>
      </c>
      <c r="B67" s="1064" t="s">
        <v>1157</v>
      </c>
      <c r="C67" s="1065" t="s">
        <v>15</v>
      </c>
      <c r="D67" s="1066">
        <v>0.46</v>
      </c>
      <c r="E67" s="12" t="str">
        <f>B64</f>
        <v>REVESTIMENTO EXTERNO - PORCELANATO PARA FACHADA</v>
      </c>
      <c r="F67" s="12">
        <f t="shared" si="2"/>
        <v>3.46</v>
      </c>
    </row>
    <row r="68" spans="1:6" ht="12.75" customHeight="1" x14ac:dyDescent="0.2">
      <c r="A68" s="1055" t="s">
        <v>584</v>
      </c>
      <c r="B68" s="1056" t="s">
        <v>1006</v>
      </c>
      <c r="C68" s="1057"/>
      <c r="D68" s="1058"/>
      <c r="E68" s="12" t="str">
        <f>B65</f>
        <v>REVESTIMENTO EXTERNO - PORCELANATO PARA FACHADA, EXTRUCTURE</v>
      </c>
      <c r="F68" s="12">
        <f t="shared" si="2"/>
        <v>25.68</v>
      </c>
    </row>
    <row r="69" spans="1:6" ht="12.75" customHeight="1" x14ac:dyDescent="0.2">
      <c r="A69" s="1059" t="s">
        <v>585</v>
      </c>
      <c r="B69" s="1060" t="s">
        <v>1018</v>
      </c>
      <c r="C69" s="1061" t="s">
        <v>15</v>
      </c>
      <c r="D69" s="1062">
        <v>15.9</v>
      </c>
    </row>
    <row r="70" spans="1:6" ht="12.75" customHeight="1" x14ac:dyDescent="0.2">
      <c r="A70" s="1063" t="s">
        <v>1020</v>
      </c>
      <c r="B70" s="1064" t="s">
        <v>1155</v>
      </c>
      <c r="C70" s="1065" t="s">
        <v>15</v>
      </c>
      <c r="D70" s="1066">
        <v>2.75</v>
      </c>
    </row>
    <row r="71" spans="1:6" ht="12.75" customHeight="1" x14ac:dyDescent="0.2">
      <c r="A71" s="1059" t="s">
        <v>1158</v>
      </c>
      <c r="B71" s="1060" t="s">
        <v>573</v>
      </c>
      <c r="C71" s="1061" t="s">
        <v>15</v>
      </c>
      <c r="D71" s="1062">
        <v>133.43</v>
      </c>
    </row>
    <row r="72" spans="1:6" ht="12.75" customHeight="1" x14ac:dyDescent="0.2">
      <c r="A72" s="1053" t="s">
        <v>586</v>
      </c>
      <c r="B72" s="1054" t="s">
        <v>412</v>
      </c>
      <c r="C72" s="848"/>
      <c r="D72" s="849"/>
    </row>
    <row r="73" spans="1:6" ht="12.75" customHeight="1" x14ac:dyDescent="0.2">
      <c r="A73" s="1055" t="s">
        <v>587</v>
      </c>
      <c r="B73" s="1056" t="s">
        <v>1002</v>
      </c>
      <c r="C73" s="1057"/>
      <c r="D73" s="1058"/>
    </row>
    <row r="74" spans="1:6" ht="12.75" customHeight="1" x14ac:dyDescent="0.2">
      <c r="A74" s="1063" t="s">
        <v>588</v>
      </c>
      <c r="B74" s="1064" t="s">
        <v>1021</v>
      </c>
      <c r="C74" s="1065" t="s">
        <v>15</v>
      </c>
      <c r="D74" s="1066">
        <v>46.2</v>
      </c>
      <c r="E74" s="12" t="s">
        <v>1021</v>
      </c>
      <c r="F74" s="12">
        <f>SUMIF($B$74:$B$79,E74,$D$74:$D$79)</f>
        <v>80.92</v>
      </c>
    </row>
    <row r="75" spans="1:6" ht="12.75" customHeight="1" x14ac:dyDescent="0.2">
      <c r="A75" s="1059" t="s">
        <v>1022</v>
      </c>
      <c r="B75" s="1060" t="s">
        <v>1023</v>
      </c>
      <c r="C75" s="1061" t="s">
        <v>15</v>
      </c>
      <c r="D75" s="1062">
        <v>216.68</v>
      </c>
      <c r="E75" s="12" t="s">
        <v>1023</v>
      </c>
      <c r="F75" s="12">
        <f>SUMIF($B$74:$B$79,E75,$D$74:$D$79)</f>
        <v>470.86</v>
      </c>
    </row>
    <row r="76" spans="1:6" ht="12.75" customHeight="1" x14ac:dyDescent="0.2">
      <c r="A76" s="1055" t="s">
        <v>589</v>
      </c>
      <c r="B76" s="1056" t="s">
        <v>1006</v>
      </c>
      <c r="C76" s="1057"/>
      <c r="D76" s="1058"/>
    </row>
    <row r="77" spans="1:6" ht="12.75" customHeight="1" x14ac:dyDescent="0.2">
      <c r="A77" s="1063" t="s">
        <v>590</v>
      </c>
      <c r="B77" s="1064" t="s">
        <v>1023</v>
      </c>
      <c r="C77" s="1065" t="s">
        <v>15</v>
      </c>
      <c r="D77" s="1066">
        <v>254.18</v>
      </c>
    </row>
    <row r="78" spans="1:6" ht="12.75" customHeight="1" x14ac:dyDescent="0.2">
      <c r="A78" s="1055" t="s">
        <v>591</v>
      </c>
      <c r="B78" s="1056" t="s">
        <v>1009</v>
      </c>
      <c r="C78" s="1057"/>
      <c r="D78" s="1058"/>
    </row>
    <row r="79" spans="1:6" ht="12.75" customHeight="1" x14ac:dyDescent="0.2">
      <c r="A79" s="1059" t="s">
        <v>592</v>
      </c>
      <c r="B79" s="1060" t="s">
        <v>1021</v>
      </c>
      <c r="C79" s="1061" t="s">
        <v>15</v>
      </c>
      <c r="D79" s="1062">
        <v>34.72</v>
      </c>
    </row>
    <row r="80" spans="1:6" ht="12.75" customHeight="1" x14ac:dyDescent="0.2">
      <c r="A80" s="1053" t="s">
        <v>593</v>
      </c>
      <c r="B80" s="1054" t="s">
        <v>428</v>
      </c>
      <c r="C80" s="848"/>
      <c r="D80" s="849"/>
    </row>
    <row r="81" spans="1:7" ht="12.75" customHeight="1" x14ac:dyDescent="0.2">
      <c r="A81" s="1055" t="s">
        <v>594</v>
      </c>
      <c r="B81" s="1056" t="s">
        <v>1002</v>
      </c>
      <c r="C81" s="1057"/>
      <c r="D81" s="1058"/>
    </row>
    <row r="82" spans="1:7" ht="12.75" customHeight="1" x14ac:dyDescent="0.2">
      <c r="A82" s="1063" t="s">
        <v>595</v>
      </c>
      <c r="B82" s="1064" t="s">
        <v>1024</v>
      </c>
      <c r="C82" s="1065" t="s">
        <v>15</v>
      </c>
      <c r="D82" s="1066">
        <v>4.05</v>
      </c>
      <c r="E82" s="12" t="s">
        <v>1024</v>
      </c>
      <c r="F82" s="12">
        <f>SUMIF($B$82:$B$98,E82,$D$82:$D$98)</f>
        <v>4.05</v>
      </c>
      <c r="G82" s="1143" t="s">
        <v>2595</v>
      </c>
    </row>
    <row r="83" spans="1:7" ht="12.75" customHeight="1" x14ac:dyDescent="0.2">
      <c r="A83" s="1059" t="s">
        <v>1025</v>
      </c>
      <c r="B83" s="1060" t="s">
        <v>1026</v>
      </c>
      <c r="C83" s="1061" t="s">
        <v>15</v>
      </c>
      <c r="D83" s="1062">
        <v>6.57</v>
      </c>
      <c r="E83" s="12" t="s">
        <v>1026</v>
      </c>
      <c r="F83" s="12">
        <f t="shared" ref="F83" si="3">SUMIF($B$82:$B$98,E83,$D$82:$D$98)</f>
        <v>10.01</v>
      </c>
      <c r="G83" s="1144"/>
    </row>
    <row r="84" spans="1:7" ht="12.75" customHeight="1" x14ac:dyDescent="0.2">
      <c r="A84" s="1063" t="s">
        <v>1027</v>
      </c>
      <c r="B84" s="1064" t="s">
        <v>1159</v>
      </c>
      <c r="C84" s="1065" t="s">
        <v>15</v>
      </c>
      <c r="D84" s="1066">
        <v>13.68</v>
      </c>
      <c r="E84" s="12" t="s">
        <v>1032</v>
      </c>
      <c r="F84" s="12">
        <f t="shared" ref="F84:F93" si="4">SUMIF($B$82:$B$98,E84,$D$82:$D$98)</f>
        <v>4.3900000000000006</v>
      </c>
      <c r="G84" s="1144"/>
    </row>
    <row r="85" spans="1:7" ht="12.75" customHeight="1" x14ac:dyDescent="0.2">
      <c r="A85" s="1059" t="s">
        <v>1029</v>
      </c>
      <c r="B85" s="1060" t="s">
        <v>1028</v>
      </c>
      <c r="C85" s="1061" t="s">
        <v>15</v>
      </c>
      <c r="D85" s="1062">
        <v>53.62</v>
      </c>
      <c r="E85" s="12" t="s">
        <v>1034</v>
      </c>
      <c r="F85" s="12">
        <f t="shared" si="4"/>
        <v>19.55</v>
      </c>
      <c r="G85" s="1145"/>
    </row>
    <row r="86" spans="1:7" ht="12.75" customHeight="1" x14ac:dyDescent="0.2">
      <c r="A86" s="1063" t="s">
        <v>1031</v>
      </c>
      <c r="B86" s="1064" t="s">
        <v>1030</v>
      </c>
      <c r="C86" s="1065" t="s">
        <v>15</v>
      </c>
      <c r="D86" s="1066">
        <v>99.09</v>
      </c>
      <c r="E86" s="12" t="s">
        <v>1036</v>
      </c>
      <c r="F86" s="12">
        <f t="shared" si="4"/>
        <v>128.11000000000001</v>
      </c>
      <c r="G86" s="1144"/>
    </row>
    <row r="87" spans="1:7" ht="12.75" customHeight="1" x14ac:dyDescent="0.2">
      <c r="A87" s="1059" t="s">
        <v>1033</v>
      </c>
      <c r="B87" s="1060" t="s">
        <v>1032</v>
      </c>
      <c r="C87" s="1061" t="s">
        <v>15</v>
      </c>
      <c r="D87" s="1062">
        <v>3.06</v>
      </c>
      <c r="E87" s="12" t="s">
        <v>1039</v>
      </c>
      <c r="F87" s="12">
        <f t="shared" si="4"/>
        <v>1.4</v>
      </c>
      <c r="G87" s="1145"/>
    </row>
    <row r="88" spans="1:7" ht="12.75" customHeight="1" x14ac:dyDescent="0.2">
      <c r="A88" s="1063" t="s">
        <v>1035</v>
      </c>
      <c r="B88" s="1064" t="s">
        <v>1034</v>
      </c>
      <c r="C88" s="1065" t="s">
        <v>15</v>
      </c>
      <c r="D88" s="1066">
        <v>19.55</v>
      </c>
      <c r="E88" s="12" t="s">
        <v>1044</v>
      </c>
      <c r="F88" s="12">
        <f t="shared" si="4"/>
        <v>7.61</v>
      </c>
      <c r="G88" s="1145"/>
    </row>
    <row r="89" spans="1:7" ht="12.75" customHeight="1" x14ac:dyDescent="0.2">
      <c r="A89" s="1059" t="s">
        <v>1160</v>
      </c>
      <c r="B89" s="1060" t="s">
        <v>1036</v>
      </c>
      <c r="C89" s="1061" t="s">
        <v>15</v>
      </c>
      <c r="D89" s="1062">
        <v>128.11000000000001</v>
      </c>
      <c r="E89" s="12" t="s">
        <v>1046</v>
      </c>
      <c r="F89" s="12">
        <f t="shared" si="4"/>
        <v>126.45</v>
      </c>
      <c r="G89" s="1144"/>
    </row>
    <row r="90" spans="1:7" ht="12.75" customHeight="1" x14ac:dyDescent="0.2">
      <c r="A90" s="1055" t="s">
        <v>1037</v>
      </c>
      <c r="B90" s="1056" t="s">
        <v>1006</v>
      </c>
      <c r="C90" s="1057"/>
      <c r="D90" s="1058"/>
      <c r="E90" s="12" t="s">
        <v>1049</v>
      </c>
      <c r="F90" s="12">
        <f t="shared" si="4"/>
        <v>80.83</v>
      </c>
      <c r="G90" s="1144"/>
    </row>
    <row r="91" spans="1:7" ht="12.75" customHeight="1" x14ac:dyDescent="0.2">
      <c r="A91" s="1063" t="s">
        <v>1038</v>
      </c>
      <c r="B91" s="1064" t="s">
        <v>1039</v>
      </c>
      <c r="C91" s="1065" t="s">
        <v>15</v>
      </c>
      <c r="D91" s="1066">
        <v>1.4</v>
      </c>
      <c r="E91" s="12" t="s">
        <v>1159</v>
      </c>
      <c r="F91" s="12">
        <f t="shared" si="4"/>
        <v>13.68</v>
      </c>
      <c r="G91" s="1143" t="s">
        <v>2595</v>
      </c>
    </row>
    <row r="92" spans="1:7" ht="12.75" customHeight="1" x14ac:dyDescent="0.2">
      <c r="A92" s="1059" t="s">
        <v>1040</v>
      </c>
      <c r="B92" s="1060" t="s">
        <v>1026</v>
      </c>
      <c r="C92" s="1061" t="s">
        <v>15</v>
      </c>
      <c r="D92" s="1062">
        <v>3.44</v>
      </c>
      <c r="E92" s="12" t="s">
        <v>1028</v>
      </c>
      <c r="F92" s="12">
        <f t="shared" si="4"/>
        <v>53.62</v>
      </c>
      <c r="G92" s="1143" t="s">
        <v>2595</v>
      </c>
    </row>
    <row r="93" spans="1:7" ht="12.75" customHeight="1" x14ac:dyDescent="0.2">
      <c r="A93" s="1063" t="s">
        <v>1041</v>
      </c>
      <c r="B93" s="1064" t="s">
        <v>1030</v>
      </c>
      <c r="C93" s="1065" t="s">
        <v>15</v>
      </c>
      <c r="D93" s="1066">
        <v>3.32</v>
      </c>
      <c r="E93" s="12" t="s">
        <v>1030</v>
      </c>
      <c r="F93" s="12">
        <f t="shared" si="4"/>
        <v>102.41</v>
      </c>
      <c r="G93" s="1143" t="s">
        <v>2595</v>
      </c>
    </row>
    <row r="94" spans="1:7" ht="12.75" customHeight="1" x14ac:dyDescent="0.2">
      <c r="A94" s="1059" t="s">
        <v>1042</v>
      </c>
      <c r="B94" s="1060" t="s">
        <v>1032</v>
      </c>
      <c r="C94" s="1061" t="s">
        <v>15</v>
      </c>
      <c r="D94" s="1062">
        <v>1.33</v>
      </c>
    </row>
    <row r="95" spans="1:7" ht="12.75" customHeight="1" x14ac:dyDescent="0.2">
      <c r="A95" s="1063" t="s">
        <v>1043</v>
      </c>
      <c r="B95" s="1064" t="s">
        <v>1044</v>
      </c>
      <c r="C95" s="1065" t="s">
        <v>15</v>
      </c>
      <c r="D95" s="1066">
        <v>7.61</v>
      </c>
    </row>
    <row r="96" spans="1:7" ht="12.75" customHeight="1" x14ac:dyDescent="0.2">
      <c r="A96" s="1059" t="s">
        <v>1045</v>
      </c>
      <c r="B96" s="1060" t="s">
        <v>1046</v>
      </c>
      <c r="C96" s="1061" t="s">
        <v>15</v>
      </c>
      <c r="D96" s="1062">
        <v>126.45</v>
      </c>
    </row>
    <row r="97" spans="1:6" ht="12.75" customHeight="1" x14ac:dyDescent="0.2">
      <c r="A97" s="1055" t="s">
        <v>1047</v>
      </c>
      <c r="B97" s="1056" t="s">
        <v>1009</v>
      </c>
      <c r="C97" s="1057"/>
      <c r="D97" s="1058"/>
    </row>
    <row r="98" spans="1:6" ht="25.5" x14ac:dyDescent="0.2">
      <c r="A98" s="1063" t="s">
        <v>1048</v>
      </c>
      <c r="B98" s="1064" t="s">
        <v>1049</v>
      </c>
      <c r="C98" s="1065" t="s">
        <v>15</v>
      </c>
      <c r="D98" s="1066">
        <v>80.83</v>
      </c>
    </row>
    <row r="99" spans="1:6" ht="12.75" customHeight="1" x14ac:dyDescent="0.2">
      <c r="A99" s="1053" t="s">
        <v>596</v>
      </c>
      <c r="B99" s="1054" t="s">
        <v>405</v>
      </c>
      <c r="C99" s="848"/>
      <c r="D99" s="849"/>
    </row>
    <row r="100" spans="1:6" ht="12.75" customHeight="1" x14ac:dyDescent="0.2">
      <c r="A100" s="1055" t="s">
        <v>597</v>
      </c>
      <c r="B100" s="1056" t="s">
        <v>1002</v>
      </c>
      <c r="C100" s="1057"/>
      <c r="D100" s="1058"/>
    </row>
    <row r="101" spans="1:6" ht="12.75" customHeight="1" x14ac:dyDescent="0.2">
      <c r="A101" s="1059" t="s">
        <v>598</v>
      </c>
      <c r="B101" s="1060" t="s">
        <v>1050</v>
      </c>
      <c r="C101" s="1061" t="s">
        <v>15</v>
      </c>
      <c r="D101" s="1062">
        <v>88.36</v>
      </c>
      <c r="E101" s="12" t="s">
        <v>1050</v>
      </c>
      <c r="F101" s="12">
        <f>SUMIF($B$101:$B$105,E101,$D$101:$D$105)</f>
        <v>169.79000000000002</v>
      </c>
    </row>
    <row r="102" spans="1:6" ht="12.75" customHeight="1" x14ac:dyDescent="0.2">
      <c r="A102" s="1063" t="s">
        <v>1051</v>
      </c>
      <c r="B102" s="1064" t="s">
        <v>1052</v>
      </c>
      <c r="C102" s="1065" t="s">
        <v>15</v>
      </c>
      <c r="D102" s="1066">
        <v>57.63</v>
      </c>
      <c r="E102" s="12" t="s">
        <v>1052</v>
      </c>
      <c r="F102" s="12">
        <f>SUMIF($B$101:$B$105,E102,$D$101:$D$105)</f>
        <v>109.61</v>
      </c>
    </row>
    <row r="103" spans="1:6" ht="12.75" customHeight="1" x14ac:dyDescent="0.2">
      <c r="A103" s="1055" t="s">
        <v>599</v>
      </c>
      <c r="B103" s="1056" t="s">
        <v>1006</v>
      </c>
      <c r="C103" s="1057"/>
      <c r="D103" s="1058"/>
    </row>
    <row r="104" spans="1:6" ht="12.75" customHeight="1" x14ac:dyDescent="0.2">
      <c r="A104" s="1059" t="s">
        <v>600</v>
      </c>
      <c r="B104" s="1060" t="s">
        <v>1050</v>
      </c>
      <c r="C104" s="1061" t="s">
        <v>15</v>
      </c>
      <c r="D104" s="1062">
        <v>81.430000000000007</v>
      </c>
    </row>
    <row r="105" spans="1:6" ht="12.75" customHeight="1" x14ac:dyDescent="0.2">
      <c r="A105" s="1063" t="s">
        <v>1053</v>
      </c>
      <c r="B105" s="1064" t="s">
        <v>1052</v>
      </c>
      <c r="C105" s="1065" t="s">
        <v>15</v>
      </c>
      <c r="D105" s="1066">
        <v>51.98</v>
      </c>
    </row>
    <row r="106" spans="1:6" ht="12.75" customHeight="1" x14ac:dyDescent="0.2">
      <c r="A106" s="1053" t="s">
        <v>601</v>
      </c>
      <c r="B106" s="1054" t="s">
        <v>1161</v>
      </c>
      <c r="C106" s="848"/>
      <c r="D106" s="849"/>
    </row>
    <row r="107" spans="1:6" ht="12.75" customHeight="1" x14ac:dyDescent="0.2">
      <c r="A107" s="1055" t="s">
        <v>602</v>
      </c>
      <c r="B107" s="1056" t="s">
        <v>1009</v>
      </c>
      <c r="C107" s="1057"/>
      <c r="D107" s="1058"/>
    </row>
    <row r="108" spans="1:6" ht="12.75" customHeight="1" x14ac:dyDescent="0.2">
      <c r="A108" s="1059" t="s">
        <v>603</v>
      </c>
      <c r="B108" s="1060" t="s">
        <v>1162</v>
      </c>
      <c r="C108" s="1061" t="s">
        <v>15</v>
      </c>
      <c r="D108" s="1062">
        <v>10.51</v>
      </c>
    </row>
    <row r="109" spans="1:6" ht="12.75" customHeight="1" x14ac:dyDescent="0.2">
      <c r="A109" s="1053" t="s">
        <v>604</v>
      </c>
      <c r="B109" s="1054" t="s">
        <v>1054</v>
      </c>
      <c r="C109" s="848"/>
      <c r="D109" s="849"/>
    </row>
    <row r="110" spans="1:6" ht="12.75" customHeight="1" x14ac:dyDescent="0.2">
      <c r="A110" s="1055" t="s">
        <v>605</v>
      </c>
      <c r="B110" s="1056" t="s">
        <v>1002</v>
      </c>
      <c r="C110" s="1057"/>
      <c r="D110" s="1058"/>
    </row>
    <row r="111" spans="1:6" ht="12.75" customHeight="1" x14ac:dyDescent="0.2">
      <c r="A111" s="1063" t="s">
        <v>777</v>
      </c>
      <c r="B111" s="1064" t="s">
        <v>1055</v>
      </c>
      <c r="C111" s="1065" t="s">
        <v>15</v>
      </c>
      <c r="D111" s="1066">
        <v>31.97</v>
      </c>
    </row>
    <row r="112" spans="1:6" ht="12.75" customHeight="1" x14ac:dyDescent="0.2">
      <c r="A112" s="1055" t="s">
        <v>606</v>
      </c>
      <c r="B112" s="1056" t="s">
        <v>1006</v>
      </c>
      <c r="C112" s="1057"/>
      <c r="D112" s="1058"/>
    </row>
    <row r="113" spans="1:4" ht="12.75" customHeight="1" x14ac:dyDescent="0.2">
      <c r="A113" s="1059" t="s">
        <v>607</v>
      </c>
      <c r="B113" s="1060" t="s">
        <v>1056</v>
      </c>
      <c r="C113" s="1061" t="s">
        <v>15</v>
      </c>
      <c r="D113" s="1062">
        <v>1.17</v>
      </c>
    </row>
    <row r="114" spans="1:4" ht="12.75" customHeight="1" x14ac:dyDescent="0.2">
      <c r="A114" s="1063" t="s">
        <v>1163</v>
      </c>
      <c r="B114" s="1064" t="s">
        <v>1057</v>
      </c>
      <c r="C114" s="1065" t="s">
        <v>15</v>
      </c>
      <c r="D114" s="1066">
        <v>31.07</v>
      </c>
    </row>
    <row r="115" spans="1:4" ht="12.75" customHeight="1" x14ac:dyDescent="0.2">
      <c r="A115" s="1053" t="s">
        <v>609</v>
      </c>
      <c r="B115" s="1054" t="s">
        <v>411</v>
      </c>
      <c r="C115" s="848"/>
      <c r="D115" s="849"/>
    </row>
    <row r="116" spans="1:4" ht="12.75" customHeight="1" x14ac:dyDescent="0.2">
      <c r="A116" s="1055" t="s">
        <v>610</v>
      </c>
      <c r="B116" s="1056" t="s">
        <v>1006</v>
      </c>
      <c r="C116" s="1057"/>
      <c r="D116" s="1058"/>
    </row>
    <row r="117" spans="1:4" ht="12.75" customHeight="1" x14ac:dyDescent="0.2">
      <c r="A117" s="1059" t="s">
        <v>611</v>
      </c>
      <c r="B117" s="1060" t="s">
        <v>1164</v>
      </c>
      <c r="C117" s="1061" t="s">
        <v>15</v>
      </c>
      <c r="D117" s="1062">
        <v>11.97</v>
      </c>
    </row>
    <row r="118" spans="1:4" ht="12.75" customHeight="1" x14ac:dyDescent="0.2">
      <c r="A118" s="1055" t="s">
        <v>1067</v>
      </c>
      <c r="B118" s="1056" t="s">
        <v>1009</v>
      </c>
      <c r="C118" s="1057"/>
      <c r="D118" s="1058"/>
    </row>
    <row r="119" spans="1:4" ht="12.75" customHeight="1" x14ac:dyDescent="0.2">
      <c r="A119" s="1063" t="s">
        <v>1068</v>
      </c>
      <c r="B119" s="1064" t="s">
        <v>1164</v>
      </c>
      <c r="C119" s="1065" t="s">
        <v>15</v>
      </c>
      <c r="D119" s="1066">
        <v>33.409999999999997</v>
      </c>
    </row>
    <row r="120" spans="1:4" ht="12.75" customHeight="1" x14ac:dyDescent="0.2">
      <c r="A120" s="1053" t="s">
        <v>612</v>
      </c>
      <c r="B120" s="1054" t="s">
        <v>413</v>
      </c>
      <c r="C120" s="848"/>
      <c r="D120" s="849"/>
    </row>
    <row r="121" spans="1:4" ht="12.75" customHeight="1" x14ac:dyDescent="0.2">
      <c r="A121" s="1055" t="s">
        <v>613</v>
      </c>
      <c r="B121" s="1056" t="s">
        <v>1002</v>
      </c>
      <c r="C121" s="1057"/>
      <c r="D121" s="1058"/>
    </row>
    <row r="122" spans="1:4" ht="12.75" customHeight="1" x14ac:dyDescent="0.2">
      <c r="A122" s="1059" t="s">
        <v>614</v>
      </c>
      <c r="B122" s="1060" t="s">
        <v>1058</v>
      </c>
      <c r="C122" s="1061" t="s">
        <v>15</v>
      </c>
      <c r="D122" s="1062">
        <v>145.99</v>
      </c>
    </row>
    <row r="123" spans="1:4" ht="12.75" customHeight="1" x14ac:dyDescent="0.2">
      <c r="A123" s="1055" t="s">
        <v>615</v>
      </c>
      <c r="B123" s="1056" t="s">
        <v>1006</v>
      </c>
      <c r="C123" s="1057"/>
      <c r="D123" s="1058"/>
    </row>
    <row r="124" spans="1:4" ht="12.75" customHeight="1" x14ac:dyDescent="0.2">
      <c r="A124" s="1063" t="s">
        <v>616</v>
      </c>
      <c r="B124" s="1064" t="s">
        <v>1058</v>
      </c>
      <c r="C124" s="1065" t="s">
        <v>15</v>
      </c>
      <c r="D124" s="1066">
        <v>133.41</v>
      </c>
    </row>
    <row r="125" spans="1:4" ht="12.75" customHeight="1" x14ac:dyDescent="0.2">
      <c r="A125" s="1055" t="s">
        <v>1165</v>
      </c>
      <c r="B125" s="1056" t="s">
        <v>1009</v>
      </c>
      <c r="C125" s="1057"/>
      <c r="D125" s="1058"/>
    </row>
    <row r="126" spans="1:4" ht="12.75" customHeight="1" x14ac:dyDescent="0.2">
      <c r="A126" s="1059" t="s">
        <v>1166</v>
      </c>
      <c r="B126" s="1060" t="s">
        <v>1059</v>
      </c>
      <c r="C126" s="1061" t="s">
        <v>15</v>
      </c>
      <c r="D126" s="1062">
        <v>10.51</v>
      </c>
    </row>
    <row r="127" spans="1:4" ht="12.75" customHeight="1" x14ac:dyDescent="0.2">
      <c r="A127" s="1053" t="s">
        <v>657</v>
      </c>
      <c r="B127" s="1054" t="s">
        <v>406</v>
      </c>
      <c r="C127" s="848"/>
      <c r="D127" s="849"/>
    </row>
    <row r="128" spans="1:4" ht="12.75" customHeight="1" x14ac:dyDescent="0.2">
      <c r="A128" s="1055" t="s">
        <v>778</v>
      </c>
      <c r="B128" s="1056" t="s">
        <v>1002</v>
      </c>
      <c r="C128" s="1057"/>
      <c r="D128" s="1058"/>
    </row>
    <row r="129" spans="1:6" ht="12.75" customHeight="1" x14ac:dyDescent="0.2">
      <c r="A129" s="1063" t="s">
        <v>779</v>
      </c>
      <c r="B129" s="1064" t="s">
        <v>1060</v>
      </c>
      <c r="C129" s="1065" t="s">
        <v>15</v>
      </c>
      <c r="D129" s="1066">
        <v>1.1100000000000001</v>
      </c>
      <c r="E129" s="1070" t="s">
        <v>1060</v>
      </c>
      <c r="F129" s="12">
        <f>SUMIF($B$129:$B$143,E129,$D$129:$D$143)</f>
        <v>1.1100000000000001</v>
      </c>
    </row>
    <row r="130" spans="1:6" ht="12.75" customHeight="1" x14ac:dyDescent="0.2">
      <c r="A130" s="1059" t="s">
        <v>780</v>
      </c>
      <c r="B130" s="1060" t="s">
        <v>1061</v>
      </c>
      <c r="C130" s="1061" t="s">
        <v>15</v>
      </c>
      <c r="D130" s="1062">
        <v>4.07</v>
      </c>
      <c r="E130" s="1070" t="s">
        <v>1061</v>
      </c>
      <c r="F130" s="12">
        <f t="shared" ref="F130:F137" si="5">SUMIF($B$129:$B$143,E130,$D$129:$D$143)</f>
        <v>4.07</v>
      </c>
    </row>
    <row r="131" spans="1:6" ht="12.75" customHeight="1" x14ac:dyDescent="0.2">
      <c r="A131" s="1063" t="s">
        <v>1079</v>
      </c>
      <c r="B131" s="1064" t="s">
        <v>1062</v>
      </c>
      <c r="C131" s="1065" t="s">
        <v>15</v>
      </c>
      <c r="D131" s="1066">
        <v>7.2</v>
      </c>
      <c r="E131" s="1070" t="s">
        <v>1062</v>
      </c>
      <c r="F131" s="12">
        <f t="shared" si="5"/>
        <v>7.2</v>
      </c>
    </row>
    <row r="132" spans="1:6" ht="12.75" customHeight="1" x14ac:dyDescent="0.2">
      <c r="A132" s="1059" t="s">
        <v>1167</v>
      </c>
      <c r="B132" s="1060" t="s">
        <v>1063</v>
      </c>
      <c r="C132" s="1061" t="s">
        <v>15</v>
      </c>
      <c r="D132" s="1062">
        <v>26.37</v>
      </c>
      <c r="E132" s="1070" t="s">
        <v>1063</v>
      </c>
      <c r="F132" s="12">
        <f t="shared" si="5"/>
        <v>26.37</v>
      </c>
    </row>
    <row r="133" spans="1:6" ht="12.75" customHeight="1" x14ac:dyDescent="0.2">
      <c r="A133" s="1063" t="s">
        <v>1168</v>
      </c>
      <c r="B133" s="1064" t="s">
        <v>1064</v>
      </c>
      <c r="C133" s="1065" t="s">
        <v>15</v>
      </c>
      <c r="D133" s="1066">
        <v>267.52</v>
      </c>
      <c r="E133" s="1069" t="s">
        <v>1064</v>
      </c>
      <c r="F133" s="12">
        <f t="shared" si="5"/>
        <v>278.94</v>
      </c>
    </row>
    <row r="134" spans="1:6" ht="12.75" customHeight="1" x14ac:dyDescent="0.2">
      <c r="A134" s="1059" t="s">
        <v>1169</v>
      </c>
      <c r="B134" s="1060" t="s">
        <v>1065</v>
      </c>
      <c r="C134" s="1061" t="s">
        <v>15</v>
      </c>
      <c r="D134" s="1062">
        <v>81.87</v>
      </c>
      <c r="E134" s="1069" t="s">
        <v>1065</v>
      </c>
      <c r="F134" s="12">
        <f t="shared" si="5"/>
        <v>81.87</v>
      </c>
    </row>
    <row r="135" spans="1:6" ht="12.75" customHeight="1" x14ac:dyDescent="0.2">
      <c r="A135" s="1063" t="s">
        <v>1170</v>
      </c>
      <c r="B135" s="1064" t="s">
        <v>1066</v>
      </c>
      <c r="C135" s="1065" t="s">
        <v>15</v>
      </c>
      <c r="D135" s="1066">
        <v>1.53</v>
      </c>
      <c r="E135" s="1069" t="s">
        <v>1066</v>
      </c>
      <c r="F135" s="12">
        <f t="shared" si="5"/>
        <v>2.87</v>
      </c>
    </row>
    <row r="136" spans="1:6" ht="12.75" customHeight="1" x14ac:dyDescent="0.2">
      <c r="A136" s="1055" t="s">
        <v>781</v>
      </c>
      <c r="B136" s="1056" t="s">
        <v>1006</v>
      </c>
      <c r="C136" s="1057"/>
      <c r="D136" s="1058"/>
      <c r="E136" s="1069" t="s">
        <v>1069</v>
      </c>
      <c r="F136" s="12">
        <f t="shared" si="5"/>
        <v>134.72999999999999</v>
      </c>
    </row>
    <row r="137" spans="1:6" ht="12.75" customHeight="1" x14ac:dyDescent="0.2">
      <c r="A137" s="1059" t="s">
        <v>782</v>
      </c>
      <c r="B137" s="1060" t="s">
        <v>1064</v>
      </c>
      <c r="C137" s="1061" t="s">
        <v>15</v>
      </c>
      <c r="D137" s="1062">
        <v>0.92</v>
      </c>
      <c r="E137" s="1069" t="s">
        <v>1070</v>
      </c>
      <c r="F137" s="12">
        <f t="shared" si="5"/>
        <v>44.839999999999996</v>
      </c>
    </row>
    <row r="138" spans="1:6" ht="12.75" customHeight="1" x14ac:dyDescent="0.2">
      <c r="A138" s="1063" t="s">
        <v>1171</v>
      </c>
      <c r="B138" s="1064" t="s">
        <v>1069</v>
      </c>
      <c r="C138" s="1065" t="s">
        <v>15</v>
      </c>
      <c r="D138" s="1066">
        <v>134.72999999999999</v>
      </c>
    </row>
    <row r="139" spans="1:6" ht="12.75" customHeight="1" x14ac:dyDescent="0.2">
      <c r="A139" s="1059" t="s">
        <v>1172</v>
      </c>
      <c r="B139" s="1060" t="s">
        <v>1070</v>
      </c>
      <c r="C139" s="1061" t="s">
        <v>15</v>
      </c>
      <c r="D139" s="1062">
        <v>11.43</v>
      </c>
    </row>
    <row r="140" spans="1:6" ht="12.75" customHeight="1" x14ac:dyDescent="0.2">
      <c r="A140" s="1063" t="s">
        <v>1173</v>
      </c>
      <c r="B140" s="1064" t="s">
        <v>1066</v>
      </c>
      <c r="C140" s="1065" t="s">
        <v>15</v>
      </c>
      <c r="D140" s="1066">
        <v>1.34</v>
      </c>
    </row>
    <row r="141" spans="1:6" ht="12.75" customHeight="1" x14ac:dyDescent="0.2">
      <c r="A141" s="1055" t="s">
        <v>1174</v>
      </c>
      <c r="B141" s="1056" t="s">
        <v>1009</v>
      </c>
      <c r="C141" s="1057"/>
      <c r="D141" s="1058"/>
    </row>
    <row r="142" spans="1:6" ht="12.75" customHeight="1" x14ac:dyDescent="0.2">
      <c r="A142" s="1059" t="s">
        <v>1175</v>
      </c>
      <c r="B142" s="1060" t="s">
        <v>1064</v>
      </c>
      <c r="C142" s="1061" t="s">
        <v>15</v>
      </c>
      <c r="D142" s="1062">
        <v>10.5</v>
      </c>
    </row>
    <row r="143" spans="1:6" ht="12.75" customHeight="1" x14ac:dyDescent="0.2">
      <c r="A143" s="1063" t="s">
        <v>1176</v>
      </c>
      <c r="B143" s="1064" t="s">
        <v>1070</v>
      </c>
      <c r="C143" s="1065" t="s">
        <v>15</v>
      </c>
      <c r="D143" s="1066">
        <v>33.409999999999997</v>
      </c>
    </row>
    <row r="144" spans="1:6" ht="12.75" customHeight="1" x14ac:dyDescent="0.2">
      <c r="A144" s="1053" t="s">
        <v>783</v>
      </c>
      <c r="B144" s="1054" t="s">
        <v>407</v>
      </c>
      <c r="C144" s="848"/>
      <c r="D144" s="849"/>
    </row>
    <row r="145" spans="1:6" ht="12.75" customHeight="1" x14ac:dyDescent="0.2">
      <c r="A145" s="1055" t="s">
        <v>784</v>
      </c>
      <c r="B145" s="1056" t="s">
        <v>1002</v>
      </c>
      <c r="C145" s="1057"/>
      <c r="D145" s="1058"/>
    </row>
    <row r="146" spans="1:6" ht="12.75" customHeight="1" x14ac:dyDescent="0.2">
      <c r="A146" s="1059" t="s">
        <v>785</v>
      </c>
      <c r="B146" s="1060" t="s">
        <v>1071</v>
      </c>
      <c r="C146" s="1061" t="s">
        <v>15</v>
      </c>
      <c r="D146" s="1062">
        <v>4.07</v>
      </c>
      <c r="E146" s="12" t="s">
        <v>1071</v>
      </c>
      <c r="F146" s="12">
        <f>SUMIF(B146:B156,E146,D146:D156)</f>
        <v>4.07</v>
      </c>
    </row>
    <row r="147" spans="1:6" ht="12.75" customHeight="1" x14ac:dyDescent="0.2">
      <c r="A147" s="1063" t="s">
        <v>786</v>
      </c>
      <c r="B147" s="1064" t="s">
        <v>1072</v>
      </c>
      <c r="C147" s="1065" t="s">
        <v>15</v>
      </c>
      <c r="D147" s="1066">
        <v>110.35</v>
      </c>
      <c r="E147" s="12" t="s">
        <v>1072</v>
      </c>
      <c r="F147" s="12">
        <f t="shared" ref="F147:F152" si="6">SUMIF(B147:B157,E147,D147:D157)</f>
        <v>114.67999999999999</v>
      </c>
    </row>
    <row r="148" spans="1:6" ht="12.75" customHeight="1" x14ac:dyDescent="0.2">
      <c r="A148" s="1059" t="s">
        <v>787</v>
      </c>
      <c r="B148" s="1060" t="s">
        <v>1073</v>
      </c>
      <c r="C148" s="1061" t="s">
        <v>15</v>
      </c>
      <c r="D148" s="1062">
        <v>105.01</v>
      </c>
      <c r="E148" s="12" t="s">
        <v>1073</v>
      </c>
      <c r="F148" s="12">
        <f t="shared" si="6"/>
        <v>113.08000000000001</v>
      </c>
    </row>
    <row r="149" spans="1:6" ht="12.75" customHeight="1" x14ac:dyDescent="0.2">
      <c r="A149" s="1063" t="s">
        <v>1085</v>
      </c>
      <c r="B149" s="1064" t="s">
        <v>1074</v>
      </c>
      <c r="C149" s="1065" t="s">
        <v>15</v>
      </c>
      <c r="D149" s="1066">
        <v>1.43</v>
      </c>
      <c r="E149" s="12" t="s">
        <v>1074</v>
      </c>
      <c r="F149" s="12">
        <f t="shared" si="6"/>
        <v>1.43</v>
      </c>
    </row>
    <row r="150" spans="1:6" ht="12.75" customHeight="1" x14ac:dyDescent="0.2">
      <c r="A150" s="1059" t="s">
        <v>1087</v>
      </c>
      <c r="B150" s="1060" t="s">
        <v>1075</v>
      </c>
      <c r="C150" s="1061" t="s">
        <v>15</v>
      </c>
      <c r="D150" s="1062">
        <v>2.0699999999999998</v>
      </c>
      <c r="E150" s="12" t="s">
        <v>1075</v>
      </c>
      <c r="F150" s="12">
        <f t="shared" si="6"/>
        <v>30.12</v>
      </c>
    </row>
    <row r="151" spans="1:6" ht="12.75" customHeight="1" x14ac:dyDescent="0.2">
      <c r="A151" s="1063" t="s">
        <v>1089</v>
      </c>
      <c r="B151" s="1064" t="s">
        <v>1076</v>
      </c>
      <c r="C151" s="1065" t="s">
        <v>15</v>
      </c>
      <c r="D151" s="1066">
        <v>0.41</v>
      </c>
      <c r="E151" s="12" t="s">
        <v>1076</v>
      </c>
      <c r="F151" s="12">
        <f t="shared" si="6"/>
        <v>0.41</v>
      </c>
    </row>
    <row r="152" spans="1:6" ht="12.75" customHeight="1" x14ac:dyDescent="0.2">
      <c r="A152" s="1059" t="s">
        <v>1091</v>
      </c>
      <c r="B152" s="1060" t="s">
        <v>776</v>
      </c>
      <c r="C152" s="1061" t="s">
        <v>15</v>
      </c>
      <c r="D152" s="1062">
        <v>21.61</v>
      </c>
      <c r="E152" s="12" t="s">
        <v>776</v>
      </c>
      <c r="F152" s="12">
        <f t="shared" si="6"/>
        <v>21.61</v>
      </c>
    </row>
    <row r="153" spans="1:6" ht="12.75" customHeight="1" x14ac:dyDescent="0.2">
      <c r="A153" s="1055" t="s">
        <v>788</v>
      </c>
      <c r="B153" s="1056" t="s">
        <v>1006</v>
      </c>
      <c r="C153" s="1057"/>
      <c r="D153" s="1058"/>
    </row>
    <row r="154" spans="1:6" ht="12.75" customHeight="1" x14ac:dyDescent="0.2">
      <c r="A154" s="1063" t="s">
        <v>789</v>
      </c>
      <c r="B154" s="1064" t="s">
        <v>1072</v>
      </c>
      <c r="C154" s="1065" t="s">
        <v>15</v>
      </c>
      <c r="D154" s="1066">
        <v>4.33</v>
      </c>
    </row>
    <row r="155" spans="1:6" ht="12.75" customHeight="1" x14ac:dyDescent="0.2">
      <c r="A155" s="1059" t="s">
        <v>1108</v>
      </c>
      <c r="B155" s="1060" t="s">
        <v>1073</v>
      </c>
      <c r="C155" s="1061" t="s">
        <v>15</v>
      </c>
      <c r="D155" s="1062">
        <v>8.07</v>
      </c>
    </row>
    <row r="156" spans="1:6" ht="12.75" customHeight="1" x14ac:dyDescent="0.2">
      <c r="A156" s="1063" t="s">
        <v>1110</v>
      </c>
      <c r="B156" s="1064" t="s">
        <v>1075</v>
      </c>
      <c r="C156" s="1065" t="s">
        <v>15</v>
      </c>
      <c r="D156" s="1066">
        <v>28.05</v>
      </c>
    </row>
    <row r="157" spans="1:6" ht="12.75" customHeight="1" x14ac:dyDescent="0.2">
      <c r="A157" s="1053" t="s">
        <v>656</v>
      </c>
      <c r="B157" s="1054" t="s">
        <v>429</v>
      </c>
      <c r="C157" s="848"/>
      <c r="D157" s="849"/>
    </row>
    <row r="158" spans="1:6" ht="12.75" customHeight="1" x14ac:dyDescent="0.2">
      <c r="A158" s="1055" t="s">
        <v>1121</v>
      </c>
      <c r="B158" s="1056" t="s">
        <v>1002</v>
      </c>
      <c r="C158" s="1057"/>
      <c r="D158" s="1058"/>
    </row>
    <row r="159" spans="1:6" ht="12.75" customHeight="1" x14ac:dyDescent="0.2">
      <c r="A159" s="1059" t="s">
        <v>1122</v>
      </c>
      <c r="B159" s="1060" t="s">
        <v>1177</v>
      </c>
      <c r="C159" s="1061" t="s">
        <v>15</v>
      </c>
      <c r="D159" s="1062">
        <v>3.44</v>
      </c>
    </row>
    <row r="160" spans="1:6" ht="12.75" customHeight="1" x14ac:dyDescent="0.2">
      <c r="A160" s="1053" t="s">
        <v>655</v>
      </c>
      <c r="B160" s="1054" t="s">
        <v>651</v>
      </c>
      <c r="C160" s="848"/>
      <c r="D160" s="849"/>
    </row>
    <row r="161" spans="1:6" ht="12.75" customHeight="1" x14ac:dyDescent="0.2">
      <c r="A161" s="1055" t="s">
        <v>790</v>
      </c>
      <c r="B161" s="1056" t="s">
        <v>1002</v>
      </c>
      <c r="C161" s="1057"/>
      <c r="D161" s="1058"/>
    </row>
    <row r="162" spans="1:6" ht="12.75" customHeight="1" x14ac:dyDescent="0.2">
      <c r="A162" s="1063" t="s">
        <v>791</v>
      </c>
      <c r="B162" s="1064" t="s">
        <v>1077</v>
      </c>
      <c r="C162" s="1065" t="s">
        <v>15</v>
      </c>
      <c r="D162" s="1066">
        <v>8.31</v>
      </c>
    </row>
    <row r="163" spans="1:6" ht="12.75" customHeight="1" x14ac:dyDescent="0.2">
      <c r="A163" s="1059" t="s">
        <v>1131</v>
      </c>
      <c r="B163" s="1060" t="s">
        <v>1078</v>
      </c>
      <c r="C163" s="1061" t="s">
        <v>15</v>
      </c>
      <c r="D163" s="1062">
        <v>6.82</v>
      </c>
    </row>
    <row r="164" spans="1:6" ht="12.75" customHeight="1" x14ac:dyDescent="0.2">
      <c r="A164" s="1063" t="s">
        <v>1132</v>
      </c>
      <c r="B164" s="1064" t="s">
        <v>1080</v>
      </c>
      <c r="C164" s="1065" t="s">
        <v>15</v>
      </c>
      <c r="D164" s="1066">
        <v>19.809999999999999</v>
      </c>
    </row>
    <row r="165" spans="1:6" ht="12.75" customHeight="1" x14ac:dyDescent="0.2">
      <c r="A165" s="1055" t="s">
        <v>792</v>
      </c>
      <c r="B165" s="1056" t="s">
        <v>1006</v>
      </c>
      <c r="C165" s="1057"/>
      <c r="D165" s="1058"/>
    </row>
    <row r="166" spans="1:6" ht="12.75" customHeight="1" x14ac:dyDescent="0.2">
      <c r="A166" s="1059" t="s">
        <v>793</v>
      </c>
      <c r="B166" s="1060" t="s">
        <v>1081</v>
      </c>
      <c r="C166" s="1061" t="s">
        <v>15</v>
      </c>
      <c r="D166" s="1062">
        <v>81.56</v>
      </c>
    </row>
    <row r="167" spans="1:6" ht="12.75" customHeight="1" x14ac:dyDescent="0.2">
      <c r="A167" s="1053" t="s">
        <v>654</v>
      </c>
      <c r="B167" s="1054" t="s">
        <v>415</v>
      </c>
      <c r="C167" s="848"/>
      <c r="D167" s="849"/>
    </row>
    <row r="168" spans="1:6" ht="12.75" customHeight="1" x14ac:dyDescent="0.2">
      <c r="A168" s="1055" t="s">
        <v>794</v>
      </c>
      <c r="B168" s="1056" t="s">
        <v>1002</v>
      </c>
      <c r="C168" s="1057"/>
      <c r="D168" s="1058"/>
    </row>
    <row r="169" spans="1:6" ht="12.75" customHeight="1" x14ac:dyDescent="0.2">
      <c r="A169" s="1063" t="s">
        <v>795</v>
      </c>
      <c r="B169" s="1064" t="s">
        <v>1082</v>
      </c>
      <c r="C169" s="1065" t="s">
        <v>3</v>
      </c>
      <c r="D169" s="1066">
        <v>2.5</v>
      </c>
      <c r="E169" s="12" t="s">
        <v>1082</v>
      </c>
      <c r="F169" s="12">
        <f>SUMIF($B$169:$B$207,E169,$D$169:$D$207)</f>
        <v>2.5</v>
      </c>
    </row>
    <row r="170" spans="1:6" ht="12.75" customHeight="1" x14ac:dyDescent="0.2">
      <c r="A170" s="1059" t="s">
        <v>1178</v>
      </c>
      <c r="B170" s="1060" t="s">
        <v>1083</v>
      </c>
      <c r="C170" s="1061" t="s">
        <v>3</v>
      </c>
      <c r="D170" s="1062">
        <v>2.8</v>
      </c>
      <c r="E170" s="12" t="s">
        <v>1083</v>
      </c>
      <c r="F170" s="12">
        <f t="shared" ref="F170:F193" si="7">SUMIF($B$169:$B$207,E170,$D$169:$D$207)</f>
        <v>14</v>
      </c>
    </row>
    <row r="171" spans="1:6" ht="12.75" customHeight="1" x14ac:dyDescent="0.2">
      <c r="A171" s="1063" t="s">
        <v>1179</v>
      </c>
      <c r="B171" s="1064" t="s">
        <v>1084</v>
      </c>
      <c r="C171" s="1065" t="s">
        <v>3</v>
      </c>
      <c r="D171" s="1066">
        <v>8.6</v>
      </c>
      <c r="E171" s="12" t="s">
        <v>1084</v>
      </c>
      <c r="F171" s="12">
        <f t="shared" si="7"/>
        <v>8.6</v>
      </c>
    </row>
    <row r="172" spans="1:6" ht="12.75" customHeight="1" x14ac:dyDescent="0.2">
      <c r="A172" s="1059" t="s">
        <v>1180</v>
      </c>
      <c r="B172" s="1060" t="s">
        <v>1086</v>
      </c>
      <c r="C172" s="1061" t="s">
        <v>3</v>
      </c>
      <c r="D172" s="1062">
        <v>14.4</v>
      </c>
      <c r="E172" s="12" t="s">
        <v>1109</v>
      </c>
      <c r="F172" s="12">
        <f t="shared" si="7"/>
        <v>8.6</v>
      </c>
    </row>
    <row r="173" spans="1:6" ht="12.75" customHeight="1" x14ac:dyDescent="0.2">
      <c r="A173" s="1063" t="s">
        <v>1181</v>
      </c>
      <c r="B173" s="1064" t="s">
        <v>1088</v>
      </c>
      <c r="C173" s="1065" t="s">
        <v>3</v>
      </c>
      <c r="D173" s="1066">
        <v>4.8</v>
      </c>
      <c r="E173" s="12" t="s">
        <v>1111</v>
      </c>
      <c r="F173" s="12">
        <f t="shared" si="7"/>
        <v>8</v>
      </c>
    </row>
    <row r="174" spans="1:6" ht="12.75" customHeight="1" x14ac:dyDescent="0.2">
      <c r="A174" s="1059" t="s">
        <v>1182</v>
      </c>
      <c r="B174" s="1060" t="s">
        <v>1090</v>
      </c>
      <c r="C174" s="1061" t="s">
        <v>3</v>
      </c>
      <c r="D174" s="1062">
        <v>5.0999999999999996</v>
      </c>
      <c r="E174" s="12" t="s">
        <v>1112</v>
      </c>
      <c r="F174" s="12">
        <f t="shared" si="7"/>
        <v>5.3</v>
      </c>
    </row>
    <row r="175" spans="1:6" ht="12.75" customHeight="1" x14ac:dyDescent="0.2">
      <c r="A175" s="1063" t="s">
        <v>1183</v>
      </c>
      <c r="B175" s="1064" t="s">
        <v>1092</v>
      </c>
      <c r="C175" s="1065" t="s">
        <v>3</v>
      </c>
      <c r="D175" s="1066">
        <v>12.65</v>
      </c>
      <c r="E175" s="12" t="s">
        <v>1086</v>
      </c>
      <c r="F175" s="12">
        <f t="shared" si="7"/>
        <v>14.4</v>
      </c>
    </row>
    <row r="176" spans="1:6" ht="12.75" customHeight="1" x14ac:dyDescent="0.2">
      <c r="A176" s="1059" t="s">
        <v>1184</v>
      </c>
      <c r="B176" s="1060" t="s">
        <v>1093</v>
      </c>
      <c r="C176" s="1061" t="s">
        <v>3</v>
      </c>
      <c r="D176" s="1062">
        <v>7.76</v>
      </c>
      <c r="E176" s="12" t="s">
        <v>1113</v>
      </c>
      <c r="F176" s="12">
        <f t="shared" si="7"/>
        <v>4.8</v>
      </c>
    </row>
    <row r="177" spans="1:6" ht="12.75" customHeight="1" x14ac:dyDescent="0.2">
      <c r="A177" s="1063" t="s">
        <v>1185</v>
      </c>
      <c r="B177" s="1064" t="s">
        <v>1094</v>
      </c>
      <c r="C177" s="1065" t="s">
        <v>3</v>
      </c>
      <c r="D177" s="1066">
        <v>2.7</v>
      </c>
    </row>
    <row r="178" spans="1:6" ht="12.75" customHeight="1" x14ac:dyDescent="0.2">
      <c r="A178" s="1059" t="s">
        <v>1186</v>
      </c>
      <c r="B178" s="1060" t="s">
        <v>1095</v>
      </c>
      <c r="C178" s="1061" t="s">
        <v>15</v>
      </c>
      <c r="D178" s="1062">
        <v>12.73</v>
      </c>
      <c r="E178" s="12" t="s">
        <v>1088</v>
      </c>
      <c r="F178" s="12">
        <f t="shared" si="7"/>
        <v>4.8</v>
      </c>
    </row>
    <row r="179" spans="1:6" ht="12.75" customHeight="1" x14ac:dyDescent="0.2">
      <c r="A179" s="1063" t="s">
        <v>1187</v>
      </c>
      <c r="B179" s="1064" t="s">
        <v>608</v>
      </c>
      <c r="C179" s="1065" t="s">
        <v>3</v>
      </c>
      <c r="D179" s="1066">
        <v>6.24</v>
      </c>
      <c r="E179" s="12" t="s">
        <v>1090</v>
      </c>
      <c r="F179" s="12">
        <f t="shared" si="7"/>
        <v>5.0999999999999996</v>
      </c>
    </row>
    <row r="180" spans="1:6" ht="12.75" customHeight="1" x14ac:dyDescent="0.2">
      <c r="A180" s="1059" t="s">
        <v>1188</v>
      </c>
      <c r="B180" s="1060" t="s">
        <v>1096</v>
      </c>
      <c r="C180" s="1061" t="s">
        <v>15</v>
      </c>
      <c r="D180" s="1062">
        <v>0.36</v>
      </c>
      <c r="E180" s="12" t="s">
        <v>1114</v>
      </c>
      <c r="F180" s="12">
        <f t="shared" si="7"/>
        <v>7.8</v>
      </c>
    </row>
    <row r="181" spans="1:6" ht="12.75" customHeight="1" x14ac:dyDescent="0.2">
      <c r="A181" s="1063" t="s">
        <v>1189</v>
      </c>
      <c r="B181" s="1064" t="s">
        <v>1097</v>
      </c>
      <c r="C181" s="1065" t="s">
        <v>15</v>
      </c>
      <c r="D181" s="1066">
        <v>0.48</v>
      </c>
      <c r="E181" s="12" t="s">
        <v>1092</v>
      </c>
      <c r="F181" s="12">
        <f t="shared" si="7"/>
        <v>12.65</v>
      </c>
    </row>
    <row r="182" spans="1:6" ht="12.75" customHeight="1" x14ac:dyDescent="0.2">
      <c r="A182" s="1059" t="s">
        <v>1190</v>
      </c>
      <c r="B182" s="1060" t="s">
        <v>1098</v>
      </c>
      <c r="C182" s="1061" t="s">
        <v>15</v>
      </c>
      <c r="D182" s="1062">
        <v>4.62</v>
      </c>
      <c r="E182" s="12" t="s">
        <v>1093</v>
      </c>
      <c r="F182" s="12">
        <f t="shared" si="7"/>
        <v>7.76</v>
      </c>
    </row>
    <row r="183" spans="1:6" ht="12.75" customHeight="1" x14ac:dyDescent="0.2">
      <c r="A183" s="1063" t="s">
        <v>1191</v>
      </c>
      <c r="B183" s="1064" t="s">
        <v>1099</v>
      </c>
      <c r="C183" s="1065" t="s">
        <v>15</v>
      </c>
      <c r="D183" s="1066">
        <v>3.6</v>
      </c>
      <c r="E183" s="12" t="s">
        <v>1094</v>
      </c>
      <c r="F183" s="12">
        <f t="shared" si="7"/>
        <v>2.7</v>
      </c>
    </row>
    <row r="184" spans="1:6" ht="12.75" customHeight="1" x14ac:dyDescent="0.2">
      <c r="A184" s="1059" t="s">
        <v>1192</v>
      </c>
      <c r="B184" s="1060" t="s">
        <v>1100</v>
      </c>
      <c r="C184" s="1061" t="s">
        <v>15</v>
      </c>
      <c r="D184" s="1062">
        <v>1.26</v>
      </c>
    </row>
    <row r="185" spans="1:6" ht="12.75" customHeight="1" x14ac:dyDescent="0.2">
      <c r="A185" s="1063" t="s">
        <v>1193</v>
      </c>
      <c r="B185" s="1064" t="s">
        <v>1101</v>
      </c>
      <c r="C185" s="1065" t="s">
        <v>15</v>
      </c>
      <c r="D185" s="1066">
        <v>1.89</v>
      </c>
      <c r="E185" s="12" t="s">
        <v>1096</v>
      </c>
      <c r="F185" s="12">
        <f t="shared" si="7"/>
        <v>0.36</v>
      </c>
    </row>
    <row r="186" spans="1:6" ht="12.75" customHeight="1" x14ac:dyDescent="0.2">
      <c r="A186" s="1059" t="s">
        <v>1194</v>
      </c>
      <c r="B186" s="1060" t="s">
        <v>1102</v>
      </c>
      <c r="C186" s="1061" t="s">
        <v>15</v>
      </c>
      <c r="D186" s="1062">
        <v>19.97</v>
      </c>
      <c r="E186" s="12" t="s">
        <v>1097</v>
      </c>
      <c r="F186" s="12">
        <f t="shared" si="7"/>
        <v>2.4</v>
      </c>
    </row>
    <row r="187" spans="1:6" ht="12.75" customHeight="1" x14ac:dyDescent="0.2">
      <c r="A187" s="1063" t="s">
        <v>1195</v>
      </c>
      <c r="B187" s="1064" t="s">
        <v>1103</v>
      </c>
      <c r="C187" s="1065" t="s">
        <v>15</v>
      </c>
      <c r="D187" s="1066">
        <v>5.21</v>
      </c>
      <c r="E187" s="12" t="s">
        <v>1098</v>
      </c>
      <c r="F187" s="12">
        <f t="shared" si="7"/>
        <v>4.62</v>
      </c>
    </row>
    <row r="188" spans="1:6" ht="12.75" customHeight="1" x14ac:dyDescent="0.2">
      <c r="A188" s="1059" t="s">
        <v>1196</v>
      </c>
      <c r="B188" s="1060" t="s">
        <v>1104</v>
      </c>
      <c r="C188" s="1061" t="s">
        <v>15</v>
      </c>
      <c r="D188" s="1062">
        <v>2.7</v>
      </c>
      <c r="E188" s="12" t="s">
        <v>1116</v>
      </c>
      <c r="F188" s="12">
        <f t="shared" si="7"/>
        <v>4.62</v>
      </c>
    </row>
    <row r="189" spans="1:6" ht="12.75" customHeight="1" x14ac:dyDescent="0.2">
      <c r="A189" s="1063" t="s">
        <v>1197</v>
      </c>
      <c r="B189" s="1064" t="s">
        <v>1105</v>
      </c>
      <c r="C189" s="1065" t="s">
        <v>15</v>
      </c>
      <c r="D189" s="1066">
        <v>0.81</v>
      </c>
      <c r="E189" s="12" t="s">
        <v>1117</v>
      </c>
      <c r="F189" s="12">
        <f t="shared" si="7"/>
        <v>3.96</v>
      </c>
    </row>
    <row r="190" spans="1:6" ht="12.75" customHeight="1" x14ac:dyDescent="0.2">
      <c r="A190" s="1059" t="s">
        <v>1198</v>
      </c>
      <c r="B190" s="1060" t="s">
        <v>1106</v>
      </c>
      <c r="C190" s="1061" t="s">
        <v>3</v>
      </c>
      <c r="D190" s="1062">
        <v>2.82</v>
      </c>
      <c r="E190" s="12" t="s">
        <v>1118</v>
      </c>
      <c r="F190" s="12">
        <f t="shared" si="7"/>
        <v>1.65</v>
      </c>
    </row>
    <row r="191" spans="1:6" ht="12.75" customHeight="1" x14ac:dyDescent="0.2">
      <c r="A191" s="1063" t="s">
        <v>1199</v>
      </c>
      <c r="B191" s="1064" t="s">
        <v>1107</v>
      </c>
      <c r="C191" s="1065" t="s">
        <v>3</v>
      </c>
      <c r="D191" s="1066">
        <v>10.93</v>
      </c>
      <c r="E191" s="12" t="s">
        <v>1099</v>
      </c>
      <c r="F191" s="12">
        <f t="shared" si="7"/>
        <v>3.6</v>
      </c>
    </row>
    <row r="192" spans="1:6" ht="12.75" customHeight="1" x14ac:dyDescent="0.2">
      <c r="A192" s="1055" t="s">
        <v>796</v>
      </c>
      <c r="B192" s="1056" t="s">
        <v>1006</v>
      </c>
      <c r="C192" s="1057"/>
      <c r="D192" s="1058"/>
      <c r="E192" s="12" t="s">
        <v>1119</v>
      </c>
      <c r="F192" s="12">
        <f t="shared" si="7"/>
        <v>1.08</v>
      </c>
    </row>
    <row r="193" spans="1:6" ht="12.75" customHeight="1" x14ac:dyDescent="0.2">
      <c r="A193" s="1059" t="s">
        <v>797</v>
      </c>
      <c r="B193" s="1060" t="s">
        <v>1083</v>
      </c>
      <c r="C193" s="1061" t="s">
        <v>3</v>
      </c>
      <c r="D193" s="1062">
        <v>11.2</v>
      </c>
      <c r="E193" s="12" t="s">
        <v>1095</v>
      </c>
      <c r="F193" s="12">
        <f t="shared" si="7"/>
        <v>12.73</v>
      </c>
    </row>
    <row r="194" spans="1:6" ht="12.75" customHeight="1" x14ac:dyDescent="0.2">
      <c r="A194" s="1063" t="s">
        <v>1200</v>
      </c>
      <c r="B194" s="1064" t="s">
        <v>1109</v>
      </c>
      <c r="C194" s="1065" t="s">
        <v>3</v>
      </c>
      <c r="D194" s="1066">
        <v>8.6</v>
      </c>
    </row>
    <row r="195" spans="1:6" ht="12.75" customHeight="1" x14ac:dyDescent="0.2">
      <c r="A195" s="1059" t="s">
        <v>1201</v>
      </c>
      <c r="B195" s="1060" t="s">
        <v>1111</v>
      </c>
      <c r="C195" s="1061" t="s">
        <v>3</v>
      </c>
      <c r="D195" s="1062">
        <v>8</v>
      </c>
      <c r="E195" s="12" t="s">
        <v>1100</v>
      </c>
      <c r="F195" s="12">
        <f>SUMIF($B$169:$B$207,E195,$D$169:$D$207)</f>
        <v>1.26</v>
      </c>
    </row>
    <row r="196" spans="1:6" ht="12.75" customHeight="1" x14ac:dyDescent="0.2">
      <c r="A196" s="1063" t="s">
        <v>1202</v>
      </c>
      <c r="B196" s="1064" t="s">
        <v>1112</v>
      </c>
      <c r="C196" s="1065" t="s">
        <v>3</v>
      </c>
      <c r="D196" s="1066">
        <v>5.3</v>
      </c>
      <c r="E196" s="12" t="s">
        <v>1101</v>
      </c>
      <c r="F196" s="12">
        <f>SUMIF($B$169:$B$207,E196,$D$169:$D$207)</f>
        <v>1.89</v>
      </c>
    </row>
    <row r="197" spans="1:6" ht="12.75" customHeight="1" x14ac:dyDescent="0.2">
      <c r="A197" s="1059" t="s">
        <v>1203</v>
      </c>
      <c r="B197" s="1060" t="s">
        <v>1113</v>
      </c>
      <c r="C197" s="1061" t="s">
        <v>3</v>
      </c>
      <c r="D197" s="1062">
        <v>4.8</v>
      </c>
      <c r="E197" s="12" t="s">
        <v>1120</v>
      </c>
      <c r="F197" s="12">
        <f>SUMIF($B$169:$B$207,E197,$D$169:$D$207)</f>
        <v>7.06</v>
      </c>
    </row>
    <row r="198" spans="1:6" ht="12.75" customHeight="1" x14ac:dyDescent="0.2">
      <c r="A198" s="1063" t="s">
        <v>1204</v>
      </c>
      <c r="B198" s="1064" t="s">
        <v>1114</v>
      </c>
      <c r="C198" s="1065" t="s">
        <v>3</v>
      </c>
      <c r="D198" s="1066">
        <v>7.8</v>
      </c>
      <c r="E198" s="12" t="s">
        <v>1102</v>
      </c>
      <c r="F198" s="12">
        <f>SUMIF($B$169:$B$207,E198,$D$169:$D$207)</f>
        <v>19.97</v>
      </c>
    </row>
    <row r="199" spans="1:6" ht="12.75" customHeight="1" x14ac:dyDescent="0.2">
      <c r="A199" s="1059" t="s">
        <v>1205</v>
      </c>
      <c r="B199" s="1060" t="s">
        <v>608</v>
      </c>
      <c r="C199" s="1061" t="s">
        <v>3</v>
      </c>
      <c r="D199" s="1062">
        <v>5.08</v>
      </c>
      <c r="E199" s="12" t="s">
        <v>1103</v>
      </c>
      <c r="F199" s="12">
        <f>SUMIF($B$169:$B$207,E199,$D$169:$D$207)</f>
        <v>5.21</v>
      </c>
    </row>
    <row r="200" spans="1:6" ht="12.75" customHeight="1" x14ac:dyDescent="0.2">
      <c r="A200" s="1063" t="s">
        <v>1206</v>
      </c>
      <c r="B200" s="1064" t="s">
        <v>1115</v>
      </c>
      <c r="C200" s="1065" t="s">
        <v>3</v>
      </c>
      <c r="D200" s="1066">
        <v>4.9800000000000004</v>
      </c>
    </row>
    <row r="201" spans="1:6" ht="12.75" customHeight="1" x14ac:dyDescent="0.2">
      <c r="A201" s="1059" t="s">
        <v>1207</v>
      </c>
      <c r="B201" s="1060" t="s">
        <v>1097</v>
      </c>
      <c r="C201" s="1061" t="s">
        <v>15</v>
      </c>
      <c r="D201" s="1062">
        <v>1.92</v>
      </c>
      <c r="E201" s="12" t="s">
        <v>1104</v>
      </c>
      <c r="F201" s="12">
        <f>SUMIF($B$169:$B$207,E201,$D$169:$D$207)</f>
        <v>2.7</v>
      </c>
    </row>
    <row r="202" spans="1:6" ht="12.75" customHeight="1" x14ac:dyDescent="0.2">
      <c r="A202" s="1063" t="s">
        <v>1208</v>
      </c>
      <c r="B202" s="1064" t="s">
        <v>1116</v>
      </c>
      <c r="C202" s="1065" t="s">
        <v>15</v>
      </c>
      <c r="D202" s="1066">
        <v>4.62</v>
      </c>
      <c r="E202" s="12" t="s">
        <v>1105</v>
      </c>
      <c r="F202" s="12">
        <f>SUMIF($B$169:$B$207,E202,$D$169:$D$207)</f>
        <v>0.81</v>
      </c>
    </row>
    <row r="203" spans="1:6" ht="12.75" customHeight="1" x14ac:dyDescent="0.2">
      <c r="A203" s="1059" t="s">
        <v>1209</v>
      </c>
      <c r="B203" s="1060" t="s">
        <v>1117</v>
      </c>
      <c r="C203" s="1061" t="s">
        <v>15</v>
      </c>
      <c r="D203" s="1062">
        <v>3.96</v>
      </c>
      <c r="E203" s="12" t="s">
        <v>1106</v>
      </c>
      <c r="F203" s="12">
        <f>SUMIF($B$169:$B$207,E203,$D$169:$D$207)</f>
        <v>2.82</v>
      </c>
    </row>
    <row r="204" spans="1:6" ht="12.75" customHeight="1" x14ac:dyDescent="0.2">
      <c r="A204" s="1063" t="s">
        <v>1210</v>
      </c>
      <c r="B204" s="1064" t="s">
        <v>1118</v>
      </c>
      <c r="C204" s="1065" t="s">
        <v>15</v>
      </c>
      <c r="D204" s="1066">
        <v>1.65</v>
      </c>
      <c r="E204" s="12" t="s">
        <v>1107</v>
      </c>
      <c r="F204" s="12">
        <f>SUMIF($B$169:$B$207,E204,$D$169:$D$207)</f>
        <v>14.57</v>
      </c>
    </row>
    <row r="205" spans="1:6" ht="12.75" customHeight="1" x14ac:dyDescent="0.2">
      <c r="A205" s="1059" t="s">
        <v>1211</v>
      </c>
      <c r="B205" s="1060" t="s">
        <v>1119</v>
      </c>
      <c r="C205" s="1061" t="s">
        <v>15</v>
      </c>
      <c r="D205" s="1062">
        <v>1.08</v>
      </c>
    </row>
    <row r="206" spans="1:6" ht="12.75" customHeight="1" x14ac:dyDescent="0.2">
      <c r="A206" s="1063" t="s">
        <v>1212</v>
      </c>
      <c r="B206" s="1064" t="s">
        <v>1120</v>
      </c>
      <c r="C206" s="1065" t="s">
        <v>15</v>
      </c>
      <c r="D206" s="1066">
        <v>7.06</v>
      </c>
      <c r="E206" s="12" t="s">
        <v>608</v>
      </c>
      <c r="F206" s="12">
        <f>SUMIF($B$169:$B$207,E206,$D$169:$D$207)</f>
        <v>11.32</v>
      </c>
    </row>
    <row r="207" spans="1:6" ht="12.75" customHeight="1" x14ac:dyDescent="0.2">
      <c r="A207" s="1059" t="s">
        <v>1213</v>
      </c>
      <c r="B207" s="1060" t="s">
        <v>1107</v>
      </c>
      <c r="C207" s="1061" t="s">
        <v>3</v>
      </c>
      <c r="D207" s="1062">
        <v>3.64</v>
      </c>
      <c r="E207" s="12" t="s">
        <v>1115</v>
      </c>
      <c r="F207" s="12">
        <f>SUMIF($B$169:$B$207,E207,$D$169:$D$207)</f>
        <v>4.9800000000000004</v>
      </c>
    </row>
    <row r="208" spans="1:6" ht="12.75" customHeight="1" x14ac:dyDescent="0.2">
      <c r="A208" s="1053" t="s">
        <v>653</v>
      </c>
      <c r="B208" s="1054" t="s">
        <v>416</v>
      </c>
      <c r="C208" s="848"/>
      <c r="D208" s="849"/>
    </row>
    <row r="209" spans="1:9" ht="12.75" customHeight="1" x14ac:dyDescent="0.2">
      <c r="A209" s="1055" t="s">
        <v>798</v>
      </c>
      <c r="B209" s="1056" t="s">
        <v>1002</v>
      </c>
      <c r="C209" s="1057"/>
      <c r="D209" s="1058"/>
    </row>
    <row r="210" spans="1:9" ht="12.75" customHeight="1" x14ac:dyDescent="0.2">
      <c r="A210" s="1063" t="s">
        <v>799</v>
      </c>
      <c r="B210" s="1064" t="s">
        <v>1123</v>
      </c>
      <c r="C210" s="1065" t="s">
        <v>3</v>
      </c>
      <c r="D210" s="1066">
        <v>15.54</v>
      </c>
      <c r="E210" s="12" t="s">
        <v>1123</v>
      </c>
      <c r="F210" s="12">
        <f>SUMIF($B$210:$B$221,E210,$D$210:$D$221)</f>
        <v>36.26</v>
      </c>
    </row>
    <row r="211" spans="1:9" ht="12.75" customHeight="1" x14ac:dyDescent="0.2">
      <c r="A211" s="1059" t="s">
        <v>800</v>
      </c>
      <c r="B211" s="1060" t="s">
        <v>1124</v>
      </c>
      <c r="C211" s="1061" t="s">
        <v>3</v>
      </c>
      <c r="D211" s="1062">
        <v>10.56</v>
      </c>
      <c r="E211" s="12" t="s">
        <v>1124</v>
      </c>
      <c r="F211" s="12">
        <f t="shared" ref="F211:F216" si="8">SUMIF($B$210:$B$221,E211,$D$210:$D$221)</f>
        <v>31.68</v>
      </c>
    </row>
    <row r="212" spans="1:9" ht="12.75" customHeight="1" x14ac:dyDescent="0.2">
      <c r="A212" s="1063" t="s">
        <v>1214</v>
      </c>
      <c r="B212" s="1064" t="s">
        <v>1125</v>
      </c>
      <c r="C212" s="1065" t="s">
        <v>3</v>
      </c>
      <c r="D212" s="1066">
        <v>5.28</v>
      </c>
      <c r="E212" s="12" t="s">
        <v>1125</v>
      </c>
      <c r="F212" s="12">
        <f t="shared" si="8"/>
        <v>5.28</v>
      </c>
    </row>
    <row r="213" spans="1:9" ht="12.75" customHeight="1" x14ac:dyDescent="0.2">
      <c r="A213" s="1059" t="s">
        <v>1215</v>
      </c>
      <c r="B213" s="1060" t="s">
        <v>1126</v>
      </c>
      <c r="C213" s="1142" t="s">
        <v>1</v>
      </c>
      <c r="D213" s="1062">
        <v>7.6651999999999996</v>
      </c>
      <c r="E213" s="12" t="s">
        <v>1126</v>
      </c>
      <c r="F213" s="12">
        <f t="shared" si="8"/>
        <v>7.6651999999999996</v>
      </c>
    </row>
    <row r="214" spans="1:9" ht="12.75" customHeight="1" x14ac:dyDescent="0.2">
      <c r="A214" s="1063" t="s">
        <v>1216</v>
      </c>
      <c r="B214" s="1064" t="s">
        <v>1127</v>
      </c>
      <c r="C214" s="1065" t="s">
        <v>2</v>
      </c>
      <c r="D214" s="1066">
        <v>3</v>
      </c>
      <c r="E214" s="12" t="s">
        <v>1127</v>
      </c>
      <c r="F214" s="12">
        <f t="shared" si="8"/>
        <v>7</v>
      </c>
    </row>
    <row r="215" spans="1:9" ht="12.75" customHeight="1" x14ac:dyDescent="0.2">
      <c r="A215" s="1059" t="s">
        <v>1217</v>
      </c>
      <c r="B215" s="1060" t="s">
        <v>1128</v>
      </c>
      <c r="C215" s="1061" t="s">
        <v>2</v>
      </c>
      <c r="D215" s="1062">
        <v>2</v>
      </c>
      <c r="E215" s="12" t="s">
        <v>1128</v>
      </c>
      <c r="F215" s="12">
        <f t="shared" si="8"/>
        <v>6</v>
      </c>
    </row>
    <row r="216" spans="1:9" ht="12.75" customHeight="1" x14ac:dyDescent="0.2">
      <c r="A216" s="1063" t="s">
        <v>1218</v>
      </c>
      <c r="B216" s="1064" t="s">
        <v>1129</v>
      </c>
      <c r="C216" s="1065" t="s">
        <v>2</v>
      </c>
      <c r="D216" s="1066">
        <v>1</v>
      </c>
      <c r="E216" s="12" t="s">
        <v>1129</v>
      </c>
      <c r="F216" s="12">
        <f t="shared" si="8"/>
        <v>1</v>
      </c>
    </row>
    <row r="217" spans="1:9" ht="12.75" customHeight="1" x14ac:dyDescent="0.2">
      <c r="A217" s="1055" t="s">
        <v>801</v>
      </c>
      <c r="B217" s="1056" t="s">
        <v>1006</v>
      </c>
      <c r="C217" s="1057"/>
      <c r="D217" s="1058"/>
    </row>
    <row r="218" spans="1:9" ht="12.75" customHeight="1" x14ac:dyDescent="0.2">
      <c r="A218" s="1059" t="s">
        <v>802</v>
      </c>
      <c r="B218" s="1060" t="s">
        <v>1123</v>
      </c>
      <c r="C218" s="1061" t="s">
        <v>3</v>
      </c>
      <c r="D218" s="1062">
        <v>20.72</v>
      </c>
    </row>
    <row r="219" spans="1:9" ht="12.75" customHeight="1" x14ac:dyDescent="0.2">
      <c r="A219" s="1063" t="s">
        <v>803</v>
      </c>
      <c r="B219" s="1064" t="s">
        <v>1124</v>
      </c>
      <c r="C219" s="1065" t="s">
        <v>3</v>
      </c>
      <c r="D219" s="1066">
        <v>21.12</v>
      </c>
    </row>
    <row r="220" spans="1:9" ht="12.75" customHeight="1" x14ac:dyDescent="0.2">
      <c r="A220" s="1059" t="s">
        <v>1219</v>
      </c>
      <c r="B220" s="1060" t="s">
        <v>1127</v>
      </c>
      <c r="C220" s="1061" t="s">
        <v>2</v>
      </c>
      <c r="D220" s="1062">
        <v>4</v>
      </c>
    </row>
    <row r="221" spans="1:9" ht="12.75" customHeight="1" x14ac:dyDescent="0.2">
      <c r="A221" s="1063" t="s">
        <v>1220</v>
      </c>
      <c r="B221" s="1064" t="s">
        <v>1128</v>
      </c>
      <c r="C221" s="1065" t="s">
        <v>2</v>
      </c>
      <c r="D221" s="1066">
        <v>4</v>
      </c>
    </row>
    <row r="222" spans="1:9" ht="12.75" customHeight="1" x14ac:dyDescent="0.2">
      <c r="A222" s="1053" t="s">
        <v>652</v>
      </c>
      <c r="B222" s="1054" t="s">
        <v>660</v>
      </c>
      <c r="C222" s="848"/>
      <c r="D222" s="849"/>
    </row>
    <row r="223" spans="1:9" ht="12.75" customHeight="1" x14ac:dyDescent="0.2">
      <c r="A223" s="1055" t="s">
        <v>804</v>
      </c>
      <c r="B223" s="1056" t="s">
        <v>1002</v>
      </c>
      <c r="C223" s="1057"/>
      <c r="D223" s="1058"/>
      <c r="G223" s="12" t="s">
        <v>2570</v>
      </c>
      <c r="H223" s="12" t="s">
        <v>2571</v>
      </c>
      <c r="I223" s="12" t="s">
        <v>2572</v>
      </c>
    </row>
    <row r="224" spans="1:9" ht="12.75" customHeight="1" x14ac:dyDescent="0.2">
      <c r="A224" s="1059" t="s">
        <v>805</v>
      </c>
      <c r="B224" s="1060" t="s">
        <v>2651</v>
      </c>
      <c r="C224" s="1061" t="s">
        <v>15</v>
      </c>
      <c r="D224" s="1062">
        <v>2.82</v>
      </c>
      <c r="E224" s="1141" t="s">
        <v>1130</v>
      </c>
      <c r="F224" s="1141">
        <f>SUMIF($B$224:$B$241,E224,$D$224:$D$241)</f>
        <v>0</v>
      </c>
      <c r="G224" s="1141">
        <f>F224</f>
        <v>0</v>
      </c>
      <c r="H224" s="1141"/>
    </row>
    <row r="225" spans="1:9" ht="12.75" customHeight="1" x14ac:dyDescent="0.2">
      <c r="A225" s="1063" t="s">
        <v>806</v>
      </c>
      <c r="B225" s="1064" t="s">
        <v>1221</v>
      </c>
      <c r="C225" s="1065" t="s">
        <v>15</v>
      </c>
      <c r="D225" s="1066">
        <v>11.44</v>
      </c>
      <c r="E225" s="1141" t="s">
        <v>1221</v>
      </c>
      <c r="F225" s="1141">
        <f>SUMIF($B$224:$B$241,E225,$D$224:$D$241)</f>
        <v>11.44</v>
      </c>
      <c r="G225" s="1141">
        <f>F225</f>
        <v>11.44</v>
      </c>
      <c r="H225" s="1141"/>
    </row>
    <row r="226" spans="1:9" ht="12.75" customHeight="1" x14ac:dyDescent="0.2">
      <c r="A226" s="1059" t="s">
        <v>1222</v>
      </c>
      <c r="B226" s="1060" t="s">
        <v>1223</v>
      </c>
      <c r="C226" s="1061" t="s">
        <v>15</v>
      </c>
      <c r="D226" s="1062">
        <v>44.5</v>
      </c>
      <c r="E226" s="1139" t="s">
        <v>1223</v>
      </c>
      <c r="F226" s="1139">
        <f>SUMIF($B$224:$B$241,E226,$D$224:$D$241)</f>
        <v>44.5</v>
      </c>
      <c r="G226" s="1139"/>
      <c r="H226" s="1139">
        <f>F226</f>
        <v>44.5</v>
      </c>
    </row>
    <row r="227" spans="1:9" ht="12.75" customHeight="1" x14ac:dyDescent="0.2">
      <c r="A227" s="1063" t="s">
        <v>1224</v>
      </c>
      <c r="B227" s="1064" t="s">
        <v>1225</v>
      </c>
      <c r="C227" s="1065" t="s">
        <v>15</v>
      </c>
      <c r="D227" s="1066">
        <v>71.010000000000005</v>
      </c>
      <c r="E227" s="1139" t="s">
        <v>1225</v>
      </c>
      <c r="F227" s="1139">
        <f t="shared" ref="F227:F234" si="9">SUMIF($B$224:$B$241,E227,$D$224:$D$241)</f>
        <v>71.010000000000005</v>
      </c>
      <c r="G227" s="1139"/>
      <c r="H227" s="1139">
        <f>F227</f>
        <v>71.010000000000005</v>
      </c>
    </row>
    <row r="228" spans="1:9" ht="12.75" customHeight="1" x14ac:dyDescent="0.2">
      <c r="A228" s="1059" t="s">
        <v>1226</v>
      </c>
      <c r="B228" s="1060" t="s">
        <v>1227</v>
      </c>
      <c r="C228" s="1061" t="s">
        <v>15</v>
      </c>
      <c r="D228" s="1062">
        <v>9.75</v>
      </c>
      <c r="E228" s="1141" t="s">
        <v>1227</v>
      </c>
      <c r="F228" s="1141">
        <f t="shared" si="9"/>
        <v>64.2</v>
      </c>
      <c r="G228" s="1141">
        <f>F228</f>
        <v>64.2</v>
      </c>
      <c r="H228" s="1141"/>
      <c r="I228" s="1141"/>
    </row>
    <row r="229" spans="1:9" ht="12.75" customHeight="1" x14ac:dyDescent="0.2">
      <c r="A229" s="1063" t="s">
        <v>1228</v>
      </c>
      <c r="B229" s="1064" t="s">
        <v>1229</v>
      </c>
      <c r="C229" s="1065" t="s">
        <v>15</v>
      </c>
      <c r="D229" s="1066">
        <v>30.62</v>
      </c>
      <c r="E229" s="1141" t="s">
        <v>1229</v>
      </c>
      <c r="F229" s="1141">
        <f t="shared" si="9"/>
        <v>30.62</v>
      </c>
      <c r="G229" s="1141">
        <f>F229</f>
        <v>30.62</v>
      </c>
      <c r="H229" s="1141"/>
      <c r="I229" s="1141"/>
    </row>
    <row r="230" spans="1:9" ht="12.75" customHeight="1" x14ac:dyDescent="0.2">
      <c r="A230" s="1055" t="s">
        <v>807</v>
      </c>
      <c r="B230" s="1056" t="s">
        <v>1006</v>
      </c>
      <c r="C230" s="1057"/>
      <c r="D230" s="1058"/>
      <c r="E230" s="1139" t="s">
        <v>1230</v>
      </c>
      <c r="F230" s="1139">
        <f t="shared" si="9"/>
        <v>40.340000000000003</v>
      </c>
      <c r="G230" s="1139"/>
      <c r="H230" s="1139">
        <f>F230</f>
        <v>40.340000000000003</v>
      </c>
    </row>
    <row r="231" spans="1:9" ht="12.75" customHeight="1" x14ac:dyDescent="0.2">
      <c r="A231" s="1059" t="s">
        <v>808</v>
      </c>
      <c r="B231" s="1060" t="s">
        <v>2651</v>
      </c>
      <c r="C231" s="1061" t="s">
        <v>15</v>
      </c>
      <c r="D231" s="1062">
        <v>3.4</v>
      </c>
      <c r="E231" s="1139" t="s">
        <v>1133</v>
      </c>
      <c r="F231" s="1139">
        <f t="shared" si="9"/>
        <v>182.19</v>
      </c>
      <c r="G231" s="1139"/>
      <c r="H231" s="1140">
        <f>D233</f>
        <v>19.22</v>
      </c>
      <c r="I231" s="1140">
        <f>D238</f>
        <v>162.97</v>
      </c>
    </row>
    <row r="232" spans="1:9" ht="12.75" customHeight="1" x14ac:dyDescent="0.2">
      <c r="A232" s="1063" t="s">
        <v>809</v>
      </c>
      <c r="B232" s="1064" t="s">
        <v>1230</v>
      </c>
      <c r="C232" s="1065" t="s">
        <v>15</v>
      </c>
      <c r="D232" s="1066">
        <v>40.340000000000003</v>
      </c>
      <c r="E232" s="1141" t="s">
        <v>1234</v>
      </c>
      <c r="F232" s="1141">
        <f t="shared" si="9"/>
        <v>46.22</v>
      </c>
      <c r="G232" s="1141">
        <f>F232</f>
        <v>46.22</v>
      </c>
      <c r="H232" s="1141"/>
      <c r="I232" s="1141"/>
    </row>
    <row r="233" spans="1:9" ht="12.75" customHeight="1" x14ac:dyDescent="0.2">
      <c r="A233" s="1059" t="s">
        <v>1231</v>
      </c>
      <c r="B233" s="1060" t="s">
        <v>1133</v>
      </c>
      <c r="C233" s="1061" t="s">
        <v>15</v>
      </c>
      <c r="D233" s="1062">
        <v>19.22</v>
      </c>
      <c r="E233" s="1141" t="s">
        <v>1236</v>
      </c>
      <c r="F233" s="1141">
        <f t="shared" si="9"/>
        <v>6.9</v>
      </c>
      <c r="G233" s="1141"/>
      <c r="H233" s="1141">
        <f>F233</f>
        <v>6.9</v>
      </c>
      <c r="I233" s="1141"/>
    </row>
    <row r="234" spans="1:9" ht="12.75" customHeight="1" x14ac:dyDescent="0.2">
      <c r="A234" s="1063" t="s">
        <v>1232</v>
      </c>
      <c r="B234" s="1064" t="s">
        <v>1227</v>
      </c>
      <c r="C234" s="1065" t="s">
        <v>15</v>
      </c>
      <c r="D234" s="1066">
        <v>54.45</v>
      </c>
      <c r="E234" s="1141" t="s">
        <v>1237</v>
      </c>
      <c r="F234" s="1141">
        <f t="shared" si="9"/>
        <v>55.88</v>
      </c>
      <c r="G234" s="1141"/>
      <c r="H234" s="1141">
        <f>F234</f>
        <v>55.88</v>
      </c>
      <c r="I234" s="1141"/>
    </row>
    <row r="235" spans="1:9" ht="12.75" customHeight="1" x14ac:dyDescent="0.2">
      <c r="A235" s="1059" t="s">
        <v>1233</v>
      </c>
      <c r="B235" s="1060" t="s">
        <v>1234</v>
      </c>
      <c r="C235" s="1061" t="s">
        <v>15</v>
      </c>
      <c r="D235" s="1062">
        <v>46.22</v>
      </c>
      <c r="E235" s="1139" t="s">
        <v>1135</v>
      </c>
      <c r="F235" s="1139">
        <f>SUMIF($B$224:$B$241,E235,$D$224:$D$241)</f>
        <v>13.22</v>
      </c>
      <c r="G235" s="1139"/>
      <c r="H235" s="1139"/>
      <c r="I235" s="1139">
        <f>F235</f>
        <v>13.22</v>
      </c>
    </row>
    <row r="236" spans="1:9" ht="12.75" customHeight="1" x14ac:dyDescent="0.2">
      <c r="A236" s="1063" t="s">
        <v>1235</v>
      </c>
      <c r="B236" s="1064" t="s">
        <v>1236</v>
      </c>
      <c r="C236" s="1065" t="s">
        <v>15</v>
      </c>
      <c r="D236" s="1066">
        <v>6.9</v>
      </c>
    </row>
    <row r="237" spans="1:9" ht="12.75" customHeight="1" x14ac:dyDescent="0.2">
      <c r="A237" s="1055" t="s">
        <v>810</v>
      </c>
      <c r="B237" s="1056" t="s">
        <v>1009</v>
      </c>
      <c r="C237" s="1057"/>
      <c r="D237" s="1058"/>
    </row>
    <row r="238" spans="1:9" ht="12.75" customHeight="1" x14ac:dyDescent="0.2">
      <c r="A238" s="1059" t="s">
        <v>811</v>
      </c>
      <c r="B238" s="1060" t="s">
        <v>1133</v>
      </c>
      <c r="C238" s="1061" t="s">
        <v>15</v>
      </c>
      <c r="D238" s="1062">
        <v>162.97</v>
      </c>
    </row>
    <row r="239" spans="1:9" ht="12.75" customHeight="1" x14ac:dyDescent="0.2">
      <c r="A239" s="1063" t="s">
        <v>812</v>
      </c>
      <c r="B239" s="1064" t="s">
        <v>1237</v>
      </c>
      <c r="C239" s="1065" t="s">
        <v>15</v>
      </c>
      <c r="D239" s="1066">
        <v>55.88</v>
      </c>
    </row>
    <row r="240" spans="1:9" ht="12.75" customHeight="1" x14ac:dyDescent="0.2">
      <c r="A240" s="1055" t="s">
        <v>813</v>
      </c>
      <c r="B240" s="1056" t="s">
        <v>1134</v>
      </c>
      <c r="C240" s="1057"/>
      <c r="D240" s="1058"/>
    </row>
    <row r="241" spans="1:6" ht="12.75" customHeight="1" x14ac:dyDescent="0.2">
      <c r="A241" s="1059" t="s">
        <v>814</v>
      </c>
      <c r="B241" s="1060" t="s">
        <v>1135</v>
      </c>
      <c r="C241" s="1061" t="s">
        <v>15</v>
      </c>
      <c r="D241" s="1062">
        <v>13.22</v>
      </c>
    </row>
    <row r="242" spans="1:6" ht="25.5" customHeight="1" x14ac:dyDescent="0.2">
      <c r="A242" s="1053" t="s">
        <v>650</v>
      </c>
      <c r="B242" s="1054" t="s">
        <v>434</v>
      </c>
      <c r="C242" s="848"/>
      <c r="D242" s="849"/>
    </row>
    <row r="243" spans="1:6" x14ac:dyDescent="0.2">
      <c r="A243" s="1055" t="s">
        <v>815</v>
      </c>
      <c r="B243" s="1056" t="s">
        <v>1002</v>
      </c>
      <c r="C243" s="1057"/>
      <c r="D243" s="1058"/>
    </row>
    <row r="244" spans="1:6" ht="12.75" customHeight="1" x14ac:dyDescent="0.2">
      <c r="A244" s="1063" t="s">
        <v>816</v>
      </c>
      <c r="B244" s="1064" t="s">
        <v>1136</v>
      </c>
      <c r="C244" s="1065" t="s">
        <v>15</v>
      </c>
      <c r="D244" s="1066">
        <v>180.44</v>
      </c>
    </row>
    <row r="245" spans="1:6" ht="12.75" customHeight="1" x14ac:dyDescent="0.2">
      <c r="A245" s="1055" t="s">
        <v>817</v>
      </c>
      <c r="B245" s="1056" t="s">
        <v>1006</v>
      </c>
      <c r="C245" s="1057"/>
      <c r="D245" s="1058"/>
    </row>
    <row r="246" spans="1:6" ht="12.75" customHeight="1" x14ac:dyDescent="0.2">
      <c r="A246" s="1059" t="s">
        <v>818</v>
      </c>
      <c r="B246" s="1060" t="s">
        <v>1136</v>
      </c>
      <c r="C246" s="1061" t="s">
        <v>15</v>
      </c>
      <c r="D246" s="1062">
        <v>13.64</v>
      </c>
    </row>
    <row r="247" spans="1:6" ht="12.75" customHeight="1" x14ac:dyDescent="0.2">
      <c r="A247" s="1053" t="s">
        <v>649</v>
      </c>
      <c r="B247" s="1054" t="s">
        <v>404</v>
      </c>
      <c r="C247" s="848"/>
      <c r="D247" s="849"/>
    </row>
    <row r="248" spans="1:6" x14ac:dyDescent="0.2">
      <c r="A248" s="1055" t="s">
        <v>819</v>
      </c>
      <c r="B248" s="1056" t="s">
        <v>1002</v>
      </c>
      <c r="C248" s="1057"/>
      <c r="D248" s="1058"/>
    </row>
    <row r="249" spans="1:6" ht="12.75" customHeight="1" x14ac:dyDescent="0.2">
      <c r="A249" s="1063" t="s">
        <v>820</v>
      </c>
      <c r="B249" s="1064" t="s">
        <v>830</v>
      </c>
      <c r="C249" s="1065" t="s">
        <v>15</v>
      </c>
      <c r="D249" s="1066">
        <v>7.6</v>
      </c>
      <c r="E249" s="12" t="s">
        <v>830</v>
      </c>
      <c r="F249" s="12">
        <f>SUMIF($B$249:$B$255,E249,$D$249:$D$255)</f>
        <v>10.48</v>
      </c>
    </row>
    <row r="250" spans="1:6" ht="12.75" customHeight="1" x14ac:dyDescent="0.2">
      <c r="A250" s="1059" t="s">
        <v>833</v>
      </c>
      <c r="B250" s="1060" t="s">
        <v>1137</v>
      </c>
      <c r="C250" s="1061" t="s">
        <v>15</v>
      </c>
      <c r="D250" s="1062">
        <v>3.36</v>
      </c>
      <c r="E250" s="1070" t="s">
        <v>1137</v>
      </c>
      <c r="F250" s="12">
        <f>SUMIF($B$249:$B$255,E250,$D$249:$D$255)</f>
        <v>18.03</v>
      </c>
    </row>
    <row r="251" spans="1:6" ht="12.75" customHeight="1" x14ac:dyDescent="0.2">
      <c r="A251" s="1055" t="s">
        <v>821</v>
      </c>
      <c r="B251" s="1056" t="s">
        <v>1006</v>
      </c>
      <c r="C251" s="1057"/>
      <c r="D251" s="1058"/>
    </row>
    <row r="252" spans="1:6" ht="12.75" customHeight="1" x14ac:dyDescent="0.2">
      <c r="A252" s="1063" t="s">
        <v>822</v>
      </c>
      <c r="B252" s="1064" t="s">
        <v>830</v>
      </c>
      <c r="C252" s="1065" t="s">
        <v>15</v>
      </c>
      <c r="D252" s="1066">
        <v>2.88</v>
      </c>
    </row>
    <row r="253" spans="1:6" ht="12.75" customHeight="1" x14ac:dyDescent="0.2">
      <c r="A253" s="1059" t="s">
        <v>834</v>
      </c>
      <c r="B253" s="1060" t="s">
        <v>1137</v>
      </c>
      <c r="C253" s="1061" t="s">
        <v>15</v>
      </c>
      <c r="D253" s="1062">
        <v>3.6</v>
      </c>
    </row>
    <row r="254" spans="1:6" ht="12.75" customHeight="1" x14ac:dyDescent="0.2">
      <c r="A254" s="1055" t="s">
        <v>823</v>
      </c>
      <c r="B254" s="1056" t="s">
        <v>1009</v>
      </c>
      <c r="C254" s="1057"/>
      <c r="D254" s="1058"/>
    </row>
    <row r="255" spans="1:6" ht="12.75" customHeight="1" x14ac:dyDescent="0.2">
      <c r="A255" s="1063" t="s">
        <v>824</v>
      </c>
      <c r="B255" s="1064" t="s">
        <v>1137</v>
      </c>
      <c r="C255" s="1065" t="s">
        <v>15</v>
      </c>
      <c r="D255" s="1066">
        <v>11.07</v>
      </c>
    </row>
    <row r="256" spans="1:6" ht="12.75" customHeight="1" x14ac:dyDescent="0.2">
      <c r="A256" s="1053" t="s">
        <v>648</v>
      </c>
      <c r="B256" s="1054" t="s">
        <v>402</v>
      </c>
      <c r="C256" s="848"/>
      <c r="D256" s="849"/>
    </row>
    <row r="257" spans="1:6" x14ac:dyDescent="0.2">
      <c r="A257" s="1055" t="s">
        <v>825</v>
      </c>
      <c r="B257" s="1056" t="s">
        <v>1002</v>
      </c>
      <c r="C257" s="1057"/>
      <c r="D257" s="1058"/>
    </row>
    <row r="258" spans="1:6" ht="12.75" customHeight="1" x14ac:dyDescent="0.2">
      <c r="A258" s="1059" t="s">
        <v>826</v>
      </c>
      <c r="B258" s="1060" t="s">
        <v>662</v>
      </c>
      <c r="C258" s="1061" t="s">
        <v>15</v>
      </c>
      <c r="D258" s="1062">
        <v>95.46</v>
      </c>
      <c r="E258" s="12" t="s">
        <v>662</v>
      </c>
      <c r="F258" s="12">
        <f>SUMIF($B$258:$B$267,E258,$D$258:$D$267)</f>
        <v>304.5</v>
      </c>
    </row>
    <row r="259" spans="1:6" ht="12.75" customHeight="1" x14ac:dyDescent="0.2">
      <c r="A259" s="1063" t="s">
        <v>1238</v>
      </c>
      <c r="B259" s="1064" t="s">
        <v>661</v>
      </c>
      <c r="C259" s="1065" t="s">
        <v>15</v>
      </c>
      <c r="D259" s="1066">
        <v>28.03</v>
      </c>
      <c r="E259" s="12" t="s">
        <v>661</v>
      </c>
      <c r="F259" s="12">
        <f>SUMIF($B$258:$B$267,E259,$D$258:$D$267)</f>
        <v>81.430000000000007</v>
      </c>
    </row>
    <row r="260" spans="1:6" ht="12.75" customHeight="1" x14ac:dyDescent="0.2">
      <c r="A260" s="1055" t="s">
        <v>827</v>
      </c>
      <c r="B260" s="1056" t="s">
        <v>1006</v>
      </c>
      <c r="C260" s="1057"/>
      <c r="D260" s="1058"/>
    </row>
    <row r="261" spans="1:6" ht="12.75" customHeight="1" x14ac:dyDescent="0.2">
      <c r="A261" s="1059" t="s">
        <v>828</v>
      </c>
      <c r="B261" s="1060" t="s">
        <v>662</v>
      </c>
      <c r="C261" s="1061" t="s">
        <v>15</v>
      </c>
      <c r="D261" s="1062">
        <v>32.85</v>
      </c>
    </row>
    <row r="262" spans="1:6" ht="12.75" customHeight="1" x14ac:dyDescent="0.2">
      <c r="A262" s="1063" t="s">
        <v>1239</v>
      </c>
      <c r="B262" s="1064" t="s">
        <v>661</v>
      </c>
      <c r="C262" s="1065" t="s">
        <v>15</v>
      </c>
      <c r="D262" s="1066">
        <v>32.33</v>
      </c>
    </row>
    <row r="263" spans="1:6" ht="12.75" customHeight="1" x14ac:dyDescent="0.2">
      <c r="A263" s="1055" t="s">
        <v>1240</v>
      </c>
      <c r="B263" s="1056" t="s">
        <v>1009</v>
      </c>
      <c r="C263" s="1057"/>
      <c r="D263" s="1058"/>
    </row>
    <row r="264" spans="1:6" ht="12.75" customHeight="1" x14ac:dyDescent="0.2">
      <c r="A264" s="1059" t="s">
        <v>1241</v>
      </c>
      <c r="B264" s="1060" t="s">
        <v>662</v>
      </c>
      <c r="C264" s="1061" t="s">
        <v>15</v>
      </c>
      <c r="D264" s="1062">
        <v>162.97</v>
      </c>
    </row>
    <row r="265" spans="1:6" ht="12.75" customHeight="1" x14ac:dyDescent="0.2">
      <c r="A265" s="1063" t="s">
        <v>1242</v>
      </c>
      <c r="B265" s="1064" t="s">
        <v>661</v>
      </c>
      <c r="C265" s="1065" t="s">
        <v>15</v>
      </c>
      <c r="D265" s="1066">
        <v>21.07</v>
      </c>
    </row>
    <row r="266" spans="1:6" ht="12.75" customHeight="1" x14ac:dyDescent="0.2">
      <c r="A266" s="1055" t="s">
        <v>1243</v>
      </c>
      <c r="B266" s="1056" t="s">
        <v>1134</v>
      </c>
      <c r="C266" s="1057"/>
      <c r="D266" s="1058"/>
    </row>
    <row r="267" spans="1:6" ht="12.75" customHeight="1" x14ac:dyDescent="0.2">
      <c r="A267" s="1059" t="s">
        <v>1244</v>
      </c>
      <c r="B267" s="1060" t="s">
        <v>662</v>
      </c>
      <c r="C267" s="1061" t="s">
        <v>15</v>
      </c>
      <c r="D267" s="1062">
        <v>13.22</v>
      </c>
    </row>
    <row r="268" spans="1:6" ht="12.75" customHeight="1" x14ac:dyDescent="0.2">
      <c r="A268" s="1053" t="s">
        <v>1245</v>
      </c>
      <c r="B268" s="1054" t="s">
        <v>408</v>
      </c>
      <c r="C268" s="848"/>
      <c r="D268" s="849"/>
    </row>
    <row r="269" spans="1:6" x14ac:dyDescent="0.2">
      <c r="A269" s="1055" t="s">
        <v>1246</v>
      </c>
      <c r="B269" s="1056" t="s">
        <v>1002</v>
      </c>
      <c r="C269" s="1057"/>
      <c r="D269" s="1058"/>
    </row>
    <row r="270" spans="1:6" ht="12.75" customHeight="1" x14ac:dyDescent="0.2">
      <c r="A270" s="1063" t="s">
        <v>1247</v>
      </c>
      <c r="B270" s="1064" t="s">
        <v>1138</v>
      </c>
      <c r="C270" s="1065" t="s">
        <v>3</v>
      </c>
      <c r="D270" s="1066">
        <v>18</v>
      </c>
    </row>
    <row r="271" spans="1:6" ht="12.75" customHeight="1" x14ac:dyDescent="0.2">
      <c r="A271" s="1055" t="s">
        <v>1248</v>
      </c>
      <c r="B271" s="1056" t="s">
        <v>1006</v>
      </c>
      <c r="C271" s="1057"/>
      <c r="D271" s="1058"/>
    </row>
    <row r="272" spans="1:6" ht="12.75" customHeight="1" x14ac:dyDescent="0.2">
      <c r="A272" s="1059" t="s">
        <v>1249</v>
      </c>
      <c r="B272" s="1060" t="s">
        <v>1138</v>
      </c>
      <c r="C272" s="1061" t="s">
        <v>3</v>
      </c>
      <c r="D272" s="1062">
        <v>41.62</v>
      </c>
    </row>
    <row r="273" spans="1:7" ht="12.75" customHeight="1" x14ac:dyDescent="0.2">
      <c r="A273" s="1053" t="s">
        <v>1250</v>
      </c>
      <c r="B273" s="1054" t="s">
        <v>663</v>
      </c>
      <c r="C273" s="848"/>
      <c r="D273" s="849"/>
    </row>
    <row r="274" spans="1:7" x14ac:dyDescent="0.2">
      <c r="A274" s="1055" t="s">
        <v>1251</v>
      </c>
      <c r="B274" s="1056" t="s">
        <v>1002</v>
      </c>
      <c r="C274" s="1057"/>
      <c r="D274" s="1058"/>
    </row>
    <row r="275" spans="1:7" ht="12.75" customHeight="1" x14ac:dyDescent="0.2">
      <c r="A275" s="1063" t="s">
        <v>1252</v>
      </c>
      <c r="B275" s="1064" t="s">
        <v>1139</v>
      </c>
      <c r="C275" s="1065" t="s">
        <v>3</v>
      </c>
      <c r="D275" s="1066">
        <v>78.849999999999994</v>
      </c>
      <c r="E275" s="12" t="s">
        <v>1139</v>
      </c>
      <c r="F275" s="12">
        <f>SUMIF($B$275:$B$286,E275,$D$275:$D$286)</f>
        <v>195.1</v>
      </c>
    </row>
    <row r="276" spans="1:7" ht="12.75" customHeight="1" x14ac:dyDescent="0.2">
      <c r="A276" s="1059" t="s">
        <v>1253</v>
      </c>
      <c r="B276" s="1060" t="s">
        <v>1140</v>
      </c>
      <c r="C276" s="1061" t="s">
        <v>2</v>
      </c>
      <c r="D276" s="1062">
        <v>136.34</v>
      </c>
      <c r="E276" s="12" t="s">
        <v>1140</v>
      </c>
      <c r="F276" s="12">
        <f>SUMIF($B$275:$B$286,E276,$D$275:$D$286)</f>
        <v>296.10000000000002</v>
      </c>
    </row>
    <row r="277" spans="1:7" ht="12.75" customHeight="1" x14ac:dyDescent="0.2">
      <c r="A277" s="1063" t="s">
        <v>1254</v>
      </c>
      <c r="B277" s="1064" t="s">
        <v>1141</v>
      </c>
      <c r="C277" s="1065" t="s">
        <v>3</v>
      </c>
      <c r="D277" s="1066">
        <v>26.7</v>
      </c>
      <c r="E277" s="12" t="s">
        <v>1141</v>
      </c>
      <c r="F277" s="12">
        <f>SUMIF($B$275:$B$286,E277,$D$275:$D$286)</f>
        <v>58.3</v>
      </c>
      <c r="G277" s="1215">
        <f>SUM(F277:F278)</f>
        <v>96.65</v>
      </c>
    </row>
    <row r="278" spans="1:7" ht="12.75" customHeight="1" x14ac:dyDescent="0.2">
      <c r="A278" s="1059" t="s">
        <v>1255</v>
      </c>
      <c r="B278" s="1060" t="s">
        <v>1142</v>
      </c>
      <c r="C278" s="1061" t="s">
        <v>3</v>
      </c>
      <c r="D278" s="1062">
        <v>21.51</v>
      </c>
      <c r="E278" s="12" t="s">
        <v>1142</v>
      </c>
      <c r="F278" s="12">
        <f>SUMIF($B$275:$B$286,E278,$D$275:$D$286)</f>
        <v>38.35</v>
      </c>
      <c r="G278" s="1215"/>
    </row>
    <row r="279" spans="1:7" ht="12.75" customHeight="1" x14ac:dyDescent="0.2">
      <c r="A279" s="1055" t="s">
        <v>1256</v>
      </c>
      <c r="B279" s="1056" t="s">
        <v>1006</v>
      </c>
      <c r="C279" s="1057"/>
      <c r="D279" s="1058"/>
    </row>
    <row r="280" spans="1:7" ht="12.75" customHeight="1" x14ac:dyDescent="0.2">
      <c r="A280" s="1063" t="s">
        <v>1257</v>
      </c>
      <c r="B280" s="1064" t="s">
        <v>1139</v>
      </c>
      <c r="C280" s="1065" t="s">
        <v>3</v>
      </c>
      <c r="D280" s="1066">
        <v>103.56</v>
      </c>
    </row>
    <row r="281" spans="1:7" ht="12.75" customHeight="1" x14ac:dyDescent="0.2">
      <c r="A281" s="1059" t="s">
        <v>1258</v>
      </c>
      <c r="B281" s="1060" t="s">
        <v>1140</v>
      </c>
      <c r="C281" s="1061" t="s">
        <v>2</v>
      </c>
      <c r="D281" s="1062">
        <v>129.04</v>
      </c>
    </row>
    <row r="282" spans="1:7" ht="12.75" customHeight="1" x14ac:dyDescent="0.2">
      <c r="A282" s="1063" t="s">
        <v>1259</v>
      </c>
      <c r="B282" s="1064" t="s">
        <v>1141</v>
      </c>
      <c r="C282" s="1065" t="s">
        <v>3</v>
      </c>
      <c r="D282" s="1066">
        <v>31.6</v>
      </c>
    </row>
    <row r="283" spans="1:7" ht="12.75" customHeight="1" x14ac:dyDescent="0.2">
      <c r="A283" s="1059" t="s">
        <v>1260</v>
      </c>
      <c r="B283" s="1060" t="s">
        <v>1142</v>
      </c>
      <c r="C283" s="1061" t="s">
        <v>3</v>
      </c>
      <c r="D283" s="1062">
        <v>16.84</v>
      </c>
    </row>
    <row r="284" spans="1:7" ht="12.75" customHeight="1" x14ac:dyDescent="0.2">
      <c r="A284" s="1055" t="s">
        <v>1261</v>
      </c>
      <c r="B284" s="1056" t="s">
        <v>1009</v>
      </c>
      <c r="C284" s="1057"/>
      <c r="D284" s="1058"/>
    </row>
    <row r="285" spans="1:7" ht="12.75" customHeight="1" x14ac:dyDescent="0.2">
      <c r="A285" s="1063" t="s">
        <v>1262</v>
      </c>
      <c r="B285" s="1064" t="s">
        <v>1139</v>
      </c>
      <c r="C285" s="1065" t="s">
        <v>3</v>
      </c>
      <c r="D285" s="1066">
        <v>12.69</v>
      </c>
    </row>
    <row r="286" spans="1:7" ht="12.75" customHeight="1" x14ac:dyDescent="0.2">
      <c r="A286" s="1059" t="s">
        <v>1263</v>
      </c>
      <c r="B286" s="1060" t="s">
        <v>1140</v>
      </c>
      <c r="C286" s="1061" t="s">
        <v>2</v>
      </c>
      <c r="D286" s="1062">
        <v>30.72</v>
      </c>
    </row>
    <row r="287" spans="1:7" ht="12.75" customHeight="1" x14ac:dyDescent="0.2">
      <c r="A287" s="1053" t="s">
        <v>1264</v>
      </c>
      <c r="B287" s="1054" t="s">
        <v>466</v>
      </c>
      <c r="C287" s="848"/>
      <c r="D287" s="849"/>
    </row>
    <row r="288" spans="1:7" x14ac:dyDescent="0.2">
      <c r="A288" s="1055" t="s">
        <v>1265</v>
      </c>
      <c r="B288" s="1056" t="s">
        <v>1002</v>
      </c>
      <c r="C288" s="1057"/>
      <c r="D288" s="1058"/>
    </row>
    <row r="289" spans="1:5" ht="12.75" customHeight="1" x14ac:dyDescent="0.2">
      <c r="A289" s="1063" t="s">
        <v>1266</v>
      </c>
      <c r="B289" s="1064" t="s">
        <v>1143</v>
      </c>
      <c r="C289" s="1065" t="s">
        <v>3</v>
      </c>
      <c r="D289" s="1066">
        <v>16.510000000000002</v>
      </c>
      <c r="E289" s="12">
        <f>D289*0.2</f>
        <v>3.3020000000000005</v>
      </c>
    </row>
    <row r="290" spans="1:5" ht="12.75" customHeight="1" x14ac:dyDescent="0.2">
      <c r="A290" s="1055" t="s">
        <v>1267</v>
      </c>
      <c r="B290" s="1056" t="s">
        <v>1006</v>
      </c>
      <c r="C290" s="1057"/>
      <c r="D290" s="1058"/>
    </row>
    <row r="291" spans="1:5" ht="12.75" customHeight="1" x14ac:dyDescent="0.2">
      <c r="A291" s="1059" t="s">
        <v>1268</v>
      </c>
      <c r="B291" s="1060" t="s">
        <v>1143</v>
      </c>
      <c r="C291" s="1061" t="s">
        <v>3</v>
      </c>
      <c r="D291" s="1062">
        <v>12.24</v>
      </c>
      <c r="E291" s="12">
        <f t="shared" ref="E291" si="10">D291*0.2</f>
        <v>2.4480000000000004</v>
      </c>
    </row>
    <row r="292" spans="1:5" x14ac:dyDescent="0.2">
      <c r="A292"/>
      <c r="B292"/>
      <c r="C292"/>
      <c r="D292"/>
    </row>
    <row r="293" spans="1:5" x14ac:dyDescent="0.2">
      <c r="A293"/>
      <c r="B293"/>
      <c r="C293"/>
      <c r="D293"/>
    </row>
    <row r="294" spans="1:5" x14ac:dyDescent="0.2">
      <c r="A294"/>
      <c r="B294"/>
      <c r="C294"/>
      <c r="D294"/>
    </row>
    <row r="295" spans="1:5" x14ac:dyDescent="0.2">
      <c r="A295"/>
      <c r="B295"/>
      <c r="C295"/>
      <c r="D295"/>
    </row>
    <row r="296" spans="1:5" x14ac:dyDescent="0.2">
      <c r="A296"/>
      <c r="B296"/>
      <c r="C296"/>
      <c r="D296"/>
    </row>
    <row r="297" spans="1:5" x14ac:dyDescent="0.2">
      <c r="A297"/>
      <c r="B297"/>
      <c r="C297"/>
      <c r="D297"/>
    </row>
    <row r="298" spans="1:5" x14ac:dyDescent="0.2">
      <c r="A298"/>
      <c r="B298"/>
      <c r="C298"/>
      <c r="D298"/>
    </row>
    <row r="299" spans="1:5" x14ac:dyDescent="0.2">
      <c r="A299"/>
      <c r="B299"/>
      <c r="C299"/>
      <c r="D299"/>
    </row>
    <row r="300" spans="1:5" x14ac:dyDescent="0.2">
      <c r="A300"/>
      <c r="B300"/>
      <c r="C300"/>
      <c r="D300"/>
    </row>
    <row r="301" spans="1:5" x14ac:dyDescent="0.2">
      <c r="A301"/>
      <c r="B301"/>
      <c r="C301"/>
      <c r="D301"/>
    </row>
    <row r="302" spans="1:5" x14ac:dyDescent="0.2">
      <c r="A302"/>
      <c r="B302"/>
      <c r="C302"/>
      <c r="D302"/>
    </row>
    <row r="303" spans="1:5" x14ac:dyDescent="0.2">
      <c r="A303"/>
      <c r="B303"/>
      <c r="C303"/>
      <c r="D303"/>
    </row>
    <row r="304" spans="1:5" x14ac:dyDescent="0.2">
      <c r="A304"/>
      <c r="B304"/>
      <c r="C304"/>
      <c r="D304"/>
    </row>
    <row r="305" spans="1:4" x14ac:dyDescent="0.2">
      <c r="A305"/>
      <c r="B305"/>
      <c r="C305"/>
      <c r="D305"/>
    </row>
    <row r="306" spans="1:4" x14ac:dyDescent="0.2">
      <c r="A306"/>
      <c r="B306"/>
      <c r="C306"/>
      <c r="D306"/>
    </row>
    <row r="307" spans="1:4" x14ac:dyDescent="0.2">
      <c r="A307"/>
      <c r="B307"/>
      <c r="C307"/>
      <c r="D307"/>
    </row>
    <row r="308" spans="1:4" x14ac:dyDescent="0.2">
      <c r="A308"/>
      <c r="B308"/>
      <c r="C308"/>
      <c r="D308"/>
    </row>
    <row r="309" spans="1:4" x14ac:dyDescent="0.2">
      <c r="A309"/>
      <c r="B309"/>
      <c r="C309"/>
      <c r="D309"/>
    </row>
    <row r="310" spans="1:4" x14ac:dyDescent="0.2">
      <c r="A310"/>
      <c r="B310"/>
      <c r="C310"/>
      <c r="D310"/>
    </row>
    <row r="311" spans="1:4" x14ac:dyDescent="0.2">
      <c r="A311"/>
      <c r="B311"/>
      <c r="C311"/>
      <c r="D311"/>
    </row>
    <row r="312" spans="1:4" x14ac:dyDescent="0.2">
      <c r="A312"/>
      <c r="B312"/>
      <c r="C312"/>
      <c r="D312"/>
    </row>
    <row r="313" spans="1:4" x14ac:dyDescent="0.2">
      <c r="A313"/>
      <c r="B313"/>
      <c r="C313"/>
      <c r="D313"/>
    </row>
    <row r="314" spans="1:4" x14ac:dyDescent="0.2">
      <c r="A314"/>
      <c r="B314"/>
      <c r="C314"/>
      <c r="D314"/>
    </row>
    <row r="315" spans="1:4" x14ac:dyDescent="0.2">
      <c r="A315"/>
      <c r="B315"/>
      <c r="C315"/>
      <c r="D315"/>
    </row>
    <row r="316" spans="1:4" x14ac:dyDescent="0.2">
      <c r="A316"/>
      <c r="B316"/>
      <c r="C316"/>
      <c r="D316"/>
    </row>
    <row r="317" spans="1:4" x14ac:dyDescent="0.2">
      <c r="A317"/>
      <c r="B317"/>
      <c r="C317"/>
      <c r="D317"/>
    </row>
    <row r="318" spans="1:4" x14ac:dyDescent="0.2">
      <c r="A318"/>
      <c r="B318"/>
      <c r="C318"/>
      <c r="D318"/>
    </row>
    <row r="319" spans="1:4" x14ac:dyDescent="0.2">
      <c r="A319"/>
      <c r="B319"/>
      <c r="C319"/>
      <c r="D319"/>
    </row>
    <row r="320" spans="1:4" x14ac:dyDescent="0.2">
      <c r="A320"/>
      <c r="B320"/>
      <c r="C320"/>
      <c r="D320"/>
    </row>
    <row r="321" spans="1:4" x14ac:dyDescent="0.2">
      <c r="A321"/>
      <c r="B321"/>
      <c r="C321"/>
      <c r="D321"/>
    </row>
    <row r="322" spans="1:4" x14ac:dyDescent="0.2">
      <c r="A322"/>
      <c r="B322"/>
      <c r="C322"/>
      <c r="D322"/>
    </row>
    <row r="323" spans="1:4" x14ac:dyDescent="0.2">
      <c r="A323"/>
      <c r="B323"/>
      <c r="C323"/>
      <c r="D323"/>
    </row>
    <row r="324" spans="1:4" x14ac:dyDescent="0.2">
      <c r="A324"/>
      <c r="B324"/>
      <c r="C324"/>
      <c r="D324"/>
    </row>
    <row r="325" spans="1:4" x14ac:dyDescent="0.2">
      <c r="A325"/>
      <c r="B325"/>
      <c r="C325"/>
      <c r="D325"/>
    </row>
    <row r="326" spans="1:4" x14ac:dyDescent="0.2">
      <c r="A326"/>
      <c r="B326"/>
      <c r="C326"/>
      <c r="D326"/>
    </row>
    <row r="327" spans="1:4" x14ac:dyDescent="0.2">
      <c r="A327"/>
      <c r="B327"/>
      <c r="C327"/>
      <c r="D327"/>
    </row>
    <row r="328" spans="1:4" x14ac:dyDescent="0.2">
      <c r="A328"/>
      <c r="B328"/>
      <c r="C328"/>
      <c r="D328"/>
    </row>
    <row r="329" spans="1:4" x14ac:dyDescent="0.2">
      <c r="A329"/>
      <c r="B329"/>
      <c r="C329"/>
      <c r="D329"/>
    </row>
    <row r="330" spans="1:4" x14ac:dyDescent="0.2">
      <c r="A330"/>
      <c r="B330"/>
      <c r="C330"/>
      <c r="D330"/>
    </row>
    <row r="331" spans="1:4" x14ac:dyDescent="0.2">
      <c r="A331"/>
      <c r="B331"/>
      <c r="C331"/>
      <c r="D331"/>
    </row>
    <row r="332" spans="1:4" x14ac:dyDescent="0.2">
      <c r="A332"/>
      <c r="B332"/>
      <c r="C332"/>
      <c r="D332"/>
    </row>
    <row r="333" spans="1:4" x14ac:dyDescent="0.2">
      <c r="A333"/>
      <c r="B333"/>
      <c r="C333"/>
      <c r="D333"/>
    </row>
    <row r="334" spans="1:4" x14ac:dyDescent="0.2">
      <c r="A334"/>
      <c r="B334"/>
      <c r="C334"/>
      <c r="D334"/>
    </row>
    <row r="335" spans="1:4" x14ac:dyDescent="0.2">
      <c r="A335"/>
      <c r="B335"/>
      <c r="C335"/>
      <c r="D335"/>
    </row>
    <row r="336" spans="1:4" x14ac:dyDescent="0.2">
      <c r="A336"/>
      <c r="B336"/>
      <c r="C336"/>
      <c r="D336"/>
    </row>
    <row r="337" spans="1:4" x14ac:dyDescent="0.2">
      <c r="A337"/>
      <c r="B337"/>
      <c r="C337"/>
      <c r="D337"/>
    </row>
    <row r="338" spans="1:4" x14ac:dyDescent="0.2">
      <c r="A338"/>
      <c r="B338"/>
      <c r="C338"/>
      <c r="D338"/>
    </row>
    <row r="339" spans="1:4" x14ac:dyDescent="0.2">
      <c r="A339"/>
      <c r="B339"/>
      <c r="C339"/>
      <c r="D339"/>
    </row>
    <row r="340" spans="1:4" x14ac:dyDescent="0.2">
      <c r="A340"/>
      <c r="B340"/>
      <c r="C340"/>
      <c r="D340"/>
    </row>
    <row r="341" spans="1:4" x14ac:dyDescent="0.2">
      <c r="A341"/>
      <c r="B341"/>
      <c r="C341"/>
      <c r="D341"/>
    </row>
    <row r="342" spans="1:4" x14ac:dyDescent="0.2">
      <c r="A342"/>
      <c r="B342"/>
      <c r="C342"/>
      <c r="D342"/>
    </row>
    <row r="343" spans="1:4" x14ac:dyDescent="0.2">
      <c r="A343"/>
      <c r="B343"/>
      <c r="C343"/>
      <c r="D343"/>
    </row>
    <row r="344" spans="1:4" x14ac:dyDescent="0.2">
      <c r="A344"/>
      <c r="B344"/>
      <c r="C344"/>
      <c r="D344"/>
    </row>
    <row r="345" spans="1:4" x14ac:dyDescent="0.2">
      <c r="A345"/>
      <c r="B345"/>
      <c r="C345"/>
      <c r="D345"/>
    </row>
    <row r="346" spans="1:4" x14ac:dyDescent="0.2">
      <c r="A346"/>
      <c r="B346"/>
      <c r="C346"/>
      <c r="D346"/>
    </row>
    <row r="347" spans="1:4" x14ac:dyDescent="0.2">
      <c r="A347"/>
      <c r="B347"/>
      <c r="C347"/>
      <c r="D347"/>
    </row>
    <row r="348" spans="1:4" x14ac:dyDescent="0.2">
      <c r="A348"/>
      <c r="B348"/>
      <c r="C348"/>
      <c r="D348"/>
    </row>
    <row r="349" spans="1:4" x14ac:dyDescent="0.2">
      <c r="A349"/>
      <c r="B349"/>
      <c r="C349"/>
      <c r="D349"/>
    </row>
    <row r="350" spans="1:4" x14ac:dyDescent="0.2">
      <c r="A350"/>
      <c r="B350"/>
      <c r="C350"/>
      <c r="D350"/>
    </row>
    <row r="351" spans="1:4" x14ac:dyDescent="0.2">
      <c r="A351"/>
      <c r="B351"/>
      <c r="C351"/>
      <c r="D351"/>
    </row>
    <row r="352" spans="1:4" x14ac:dyDescent="0.2">
      <c r="A352"/>
      <c r="B352"/>
      <c r="C352"/>
      <c r="D352"/>
    </row>
    <row r="353" spans="1:4" x14ac:dyDescent="0.2">
      <c r="A353"/>
      <c r="B353"/>
      <c r="C353"/>
      <c r="D353"/>
    </row>
    <row r="354" spans="1:4" x14ac:dyDescent="0.2">
      <c r="A354"/>
      <c r="B354"/>
      <c r="C354"/>
      <c r="D354"/>
    </row>
    <row r="355" spans="1:4" x14ac:dyDescent="0.2">
      <c r="A355"/>
      <c r="B355"/>
      <c r="C355"/>
      <c r="D355"/>
    </row>
    <row r="356" spans="1:4" x14ac:dyDescent="0.2">
      <c r="A356"/>
      <c r="B356"/>
      <c r="C356"/>
      <c r="D356"/>
    </row>
    <row r="357" spans="1:4" x14ac:dyDescent="0.2">
      <c r="A357"/>
      <c r="B357"/>
      <c r="C357"/>
      <c r="D357"/>
    </row>
    <row r="358" spans="1:4" x14ac:dyDescent="0.2">
      <c r="A358"/>
      <c r="B358"/>
      <c r="C358"/>
      <c r="D358"/>
    </row>
    <row r="359" spans="1:4" x14ac:dyDescent="0.2">
      <c r="A359"/>
      <c r="B359"/>
      <c r="C359"/>
      <c r="D359"/>
    </row>
    <row r="360" spans="1:4" x14ac:dyDescent="0.2">
      <c r="A360"/>
      <c r="B360"/>
      <c r="C360"/>
      <c r="D360"/>
    </row>
    <row r="361" spans="1:4" x14ac:dyDescent="0.2">
      <c r="A361"/>
      <c r="B361"/>
      <c r="C361"/>
      <c r="D361"/>
    </row>
    <row r="362" spans="1:4" x14ac:dyDescent="0.2">
      <c r="A362"/>
      <c r="B362"/>
      <c r="C362"/>
      <c r="D362"/>
    </row>
    <row r="363" spans="1:4" x14ac:dyDescent="0.2">
      <c r="A363"/>
      <c r="B363"/>
      <c r="C363"/>
      <c r="D363"/>
    </row>
    <row r="364" spans="1:4" x14ac:dyDescent="0.2">
      <c r="A364"/>
      <c r="B364"/>
      <c r="C364"/>
      <c r="D364"/>
    </row>
    <row r="365" spans="1:4" x14ac:dyDescent="0.2">
      <c r="A365"/>
      <c r="B365"/>
      <c r="C365"/>
      <c r="D365"/>
    </row>
    <row r="366" spans="1:4" x14ac:dyDescent="0.2">
      <c r="A366"/>
      <c r="B366"/>
      <c r="C366"/>
      <c r="D366"/>
    </row>
    <row r="367" spans="1:4" x14ac:dyDescent="0.2">
      <c r="A367"/>
      <c r="B367"/>
      <c r="C367"/>
      <c r="D367"/>
    </row>
    <row r="368" spans="1:4" x14ac:dyDescent="0.2">
      <c r="A368"/>
      <c r="B368"/>
      <c r="C368"/>
      <c r="D368"/>
    </row>
    <row r="369" spans="1:4" x14ac:dyDescent="0.2">
      <c r="A369"/>
      <c r="B369"/>
      <c r="C369"/>
      <c r="D369"/>
    </row>
    <row r="370" spans="1:4" x14ac:dyDescent="0.2">
      <c r="A370"/>
      <c r="B370"/>
      <c r="C370"/>
      <c r="D370"/>
    </row>
    <row r="371" spans="1:4" x14ac:dyDescent="0.2">
      <c r="A371"/>
      <c r="B371"/>
      <c r="C371"/>
      <c r="D371"/>
    </row>
    <row r="372" spans="1:4" x14ac:dyDescent="0.2">
      <c r="A372"/>
      <c r="B372"/>
      <c r="C372"/>
      <c r="D372"/>
    </row>
    <row r="373" spans="1:4" x14ac:dyDescent="0.2">
      <c r="A373"/>
      <c r="B373"/>
      <c r="C373"/>
      <c r="D373"/>
    </row>
    <row r="374" spans="1:4" x14ac:dyDescent="0.2">
      <c r="A374"/>
      <c r="B374"/>
      <c r="C374"/>
      <c r="D374"/>
    </row>
    <row r="375" spans="1:4" x14ac:dyDescent="0.2">
      <c r="A375"/>
      <c r="B375"/>
      <c r="C375"/>
      <c r="D375"/>
    </row>
    <row r="376" spans="1:4" x14ac:dyDescent="0.2">
      <c r="A376"/>
      <c r="B376"/>
      <c r="C376"/>
      <c r="D376"/>
    </row>
    <row r="377" spans="1:4" x14ac:dyDescent="0.2">
      <c r="A377"/>
      <c r="B377"/>
      <c r="C377"/>
      <c r="D377"/>
    </row>
    <row r="378" spans="1:4" x14ac:dyDescent="0.2">
      <c r="A378"/>
      <c r="B378"/>
      <c r="C378"/>
      <c r="D378"/>
    </row>
    <row r="379" spans="1:4" x14ac:dyDescent="0.2">
      <c r="A379"/>
      <c r="B379"/>
      <c r="C379"/>
      <c r="D379"/>
    </row>
    <row r="380" spans="1:4" x14ac:dyDescent="0.2">
      <c r="A380"/>
      <c r="B380"/>
      <c r="C380"/>
      <c r="D380"/>
    </row>
    <row r="381" spans="1:4" x14ac:dyDescent="0.2">
      <c r="A381"/>
      <c r="B381"/>
      <c r="C381"/>
      <c r="D381"/>
    </row>
    <row r="382" spans="1:4" x14ac:dyDescent="0.2">
      <c r="A382"/>
      <c r="B382"/>
      <c r="C382"/>
      <c r="D382"/>
    </row>
    <row r="383" spans="1:4" x14ac:dyDescent="0.2">
      <c r="A383"/>
      <c r="B383"/>
      <c r="C383"/>
      <c r="D383"/>
    </row>
    <row r="384" spans="1:4" x14ac:dyDescent="0.2">
      <c r="A384"/>
      <c r="B384"/>
      <c r="C384"/>
      <c r="D384"/>
    </row>
    <row r="385" spans="1:4" x14ac:dyDescent="0.2">
      <c r="A385"/>
      <c r="B385"/>
      <c r="C385"/>
      <c r="D385"/>
    </row>
    <row r="386" spans="1:4" x14ac:dyDescent="0.2">
      <c r="A386"/>
      <c r="B386"/>
      <c r="C386"/>
      <c r="D386"/>
    </row>
    <row r="387" spans="1:4" x14ac:dyDescent="0.2">
      <c r="A387"/>
      <c r="B387"/>
      <c r="C387"/>
      <c r="D387"/>
    </row>
    <row r="388" spans="1:4" x14ac:dyDescent="0.2">
      <c r="A388"/>
      <c r="B388"/>
      <c r="C388"/>
      <c r="D388"/>
    </row>
    <row r="389" spans="1:4" x14ac:dyDescent="0.2">
      <c r="A389"/>
      <c r="B389"/>
      <c r="C389"/>
      <c r="D389"/>
    </row>
    <row r="390" spans="1:4" x14ac:dyDescent="0.2">
      <c r="A390"/>
      <c r="B390"/>
      <c r="C390"/>
      <c r="D390"/>
    </row>
    <row r="391" spans="1:4" x14ac:dyDescent="0.2">
      <c r="A391"/>
      <c r="B391"/>
      <c r="C391"/>
      <c r="D391"/>
    </row>
    <row r="392" spans="1:4" x14ac:dyDescent="0.2">
      <c r="A392"/>
      <c r="B392"/>
      <c r="C392"/>
      <c r="D392"/>
    </row>
    <row r="393" spans="1:4" x14ac:dyDescent="0.2">
      <c r="A393"/>
      <c r="B393"/>
      <c r="C393"/>
      <c r="D393"/>
    </row>
    <row r="394" spans="1:4" x14ac:dyDescent="0.2">
      <c r="A394"/>
      <c r="B394"/>
      <c r="C394"/>
      <c r="D394"/>
    </row>
    <row r="395" spans="1:4" x14ac:dyDescent="0.2">
      <c r="A395"/>
      <c r="B395"/>
      <c r="C395"/>
      <c r="D395"/>
    </row>
    <row r="396" spans="1:4" x14ac:dyDescent="0.2">
      <c r="A396"/>
      <c r="B396"/>
      <c r="C396"/>
      <c r="D396"/>
    </row>
    <row r="397" spans="1:4" x14ac:dyDescent="0.2">
      <c r="A397"/>
      <c r="B397"/>
      <c r="C397"/>
      <c r="D397"/>
    </row>
    <row r="398" spans="1:4" x14ac:dyDescent="0.2">
      <c r="A398"/>
      <c r="B398"/>
      <c r="C398"/>
      <c r="D398"/>
    </row>
    <row r="399" spans="1:4" x14ac:dyDescent="0.2">
      <c r="A399"/>
      <c r="B399"/>
      <c r="C399"/>
      <c r="D399"/>
    </row>
    <row r="400" spans="1:4" x14ac:dyDescent="0.2">
      <c r="A400"/>
      <c r="B400"/>
      <c r="C400"/>
      <c r="D400"/>
    </row>
    <row r="401" spans="1:4" x14ac:dyDescent="0.2">
      <c r="A401"/>
      <c r="B401"/>
      <c r="C401"/>
      <c r="D401"/>
    </row>
    <row r="402" spans="1:4" x14ac:dyDescent="0.2">
      <c r="A402"/>
      <c r="B402"/>
      <c r="C402"/>
      <c r="D402"/>
    </row>
    <row r="403" spans="1:4" x14ac:dyDescent="0.2">
      <c r="A403"/>
      <c r="B403"/>
      <c r="C403"/>
      <c r="D403"/>
    </row>
    <row r="404" spans="1:4" x14ac:dyDescent="0.2">
      <c r="A404"/>
      <c r="B404"/>
      <c r="C404"/>
      <c r="D404"/>
    </row>
    <row r="405" spans="1:4" x14ac:dyDescent="0.2">
      <c r="A405"/>
      <c r="B405"/>
      <c r="C405"/>
      <c r="D405"/>
    </row>
    <row r="406" spans="1:4" x14ac:dyDescent="0.2">
      <c r="A406"/>
      <c r="B406"/>
      <c r="C406"/>
      <c r="D406"/>
    </row>
    <row r="407" spans="1:4" x14ac:dyDescent="0.2">
      <c r="A407"/>
      <c r="B407"/>
      <c r="C407"/>
      <c r="D407"/>
    </row>
    <row r="408" spans="1:4" x14ac:dyDescent="0.2">
      <c r="A408"/>
      <c r="B408"/>
      <c r="C408"/>
      <c r="D408"/>
    </row>
    <row r="409" spans="1:4" x14ac:dyDescent="0.2">
      <c r="A409"/>
      <c r="B409"/>
      <c r="C409"/>
      <c r="D409"/>
    </row>
    <row r="410" spans="1:4" x14ac:dyDescent="0.2">
      <c r="A410"/>
      <c r="B410"/>
      <c r="C410"/>
      <c r="D410"/>
    </row>
    <row r="411" spans="1:4" x14ac:dyDescent="0.2">
      <c r="A411"/>
      <c r="B411"/>
      <c r="C411"/>
      <c r="D411"/>
    </row>
    <row r="412" spans="1:4" x14ac:dyDescent="0.2">
      <c r="A412"/>
      <c r="B412"/>
      <c r="C412"/>
      <c r="D412"/>
    </row>
    <row r="413" spans="1:4" x14ac:dyDescent="0.2">
      <c r="A413"/>
      <c r="B413"/>
      <c r="C413"/>
      <c r="D413"/>
    </row>
    <row r="414" spans="1:4" x14ac:dyDescent="0.2">
      <c r="A414"/>
      <c r="B414"/>
      <c r="C414"/>
      <c r="D414"/>
    </row>
    <row r="415" spans="1:4" x14ac:dyDescent="0.2">
      <c r="A415"/>
      <c r="B415"/>
      <c r="C415"/>
      <c r="D415"/>
    </row>
    <row r="416" spans="1:4" x14ac:dyDescent="0.2">
      <c r="A416"/>
      <c r="B416"/>
      <c r="C416"/>
      <c r="D416"/>
    </row>
    <row r="417" spans="1:4" x14ac:dyDescent="0.2">
      <c r="A417"/>
      <c r="B417"/>
      <c r="C417"/>
      <c r="D417"/>
    </row>
    <row r="418" spans="1:4" x14ac:dyDescent="0.2">
      <c r="A418"/>
      <c r="B418"/>
      <c r="C418"/>
      <c r="D418"/>
    </row>
    <row r="419" spans="1:4" x14ac:dyDescent="0.2">
      <c r="A419"/>
      <c r="B419"/>
      <c r="C419"/>
      <c r="D419"/>
    </row>
    <row r="420" spans="1:4" x14ac:dyDescent="0.2">
      <c r="A420"/>
      <c r="B420"/>
      <c r="C420"/>
      <c r="D420"/>
    </row>
    <row r="421" spans="1:4" x14ac:dyDescent="0.2">
      <c r="A421"/>
      <c r="B421"/>
      <c r="C421"/>
      <c r="D421"/>
    </row>
    <row r="422" spans="1:4" x14ac:dyDescent="0.2">
      <c r="A422"/>
      <c r="B422"/>
      <c r="C422"/>
      <c r="D422"/>
    </row>
    <row r="423" spans="1:4" x14ac:dyDescent="0.2">
      <c r="A423"/>
      <c r="B423"/>
      <c r="C423"/>
      <c r="D423"/>
    </row>
    <row r="424" spans="1:4" x14ac:dyDescent="0.2">
      <c r="A424"/>
      <c r="B424"/>
      <c r="C424"/>
      <c r="D424"/>
    </row>
    <row r="425" spans="1:4" x14ac:dyDescent="0.2">
      <c r="A425"/>
      <c r="B425"/>
      <c r="C425"/>
      <c r="D425"/>
    </row>
    <row r="426" spans="1:4" x14ac:dyDescent="0.2">
      <c r="A426"/>
      <c r="B426"/>
      <c r="C426"/>
      <c r="D426"/>
    </row>
    <row r="427" spans="1:4" x14ac:dyDescent="0.2">
      <c r="A427"/>
      <c r="B427"/>
      <c r="C427"/>
      <c r="D427"/>
    </row>
    <row r="428" spans="1:4" x14ac:dyDescent="0.2">
      <c r="A428"/>
      <c r="B428"/>
      <c r="C428"/>
      <c r="D428"/>
    </row>
    <row r="429" spans="1:4" x14ac:dyDescent="0.2">
      <c r="A429"/>
      <c r="B429"/>
      <c r="C429"/>
      <c r="D429"/>
    </row>
    <row r="430" spans="1:4" x14ac:dyDescent="0.2">
      <c r="A430"/>
      <c r="B430"/>
      <c r="C430"/>
      <c r="D430"/>
    </row>
    <row r="431" spans="1:4" x14ac:dyDescent="0.2">
      <c r="A431"/>
      <c r="B431"/>
      <c r="C431"/>
      <c r="D431"/>
    </row>
    <row r="432" spans="1:4" x14ac:dyDescent="0.2">
      <c r="A432"/>
      <c r="B432"/>
      <c r="C432"/>
      <c r="D432"/>
    </row>
    <row r="433" spans="1:5" x14ac:dyDescent="0.2">
      <c r="A433"/>
      <c r="B433"/>
      <c r="C433"/>
      <c r="D433"/>
    </row>
    <row r="434" spans="1:5" x14ac:dyDescent="0.2">
      <c r="A434"/>
      <c r="B434"/>
      <c r="C434"/>
      <c r="D434"/>
    </row>
    <row r="435" spans="1:5" x14ac:dyDescent="0.2">
      <c r="A435"/>
      <c r="B435"/>
      <c r="C435"/>
      <c r="D435"/>
    </row>
    <row r="436" spans="1:5" x14ac:dyDescent="0.2">
      <c r="A436"/>
      <c r="B436"/>
      <c r="C436"/>
      <c r="D436"/>
    </row>
    <row r="437" spans="1:5" x14ac:dyDescent="0.2">
      <c r="A437"/>
      <c r="B437"/>
      <c r="C437"/>
      <c r="D437"/>
      <c r="E437"/>
    </row>
    <row r="438" spans="1:5" x14ac:dyDescent="0.2">
      <c r="A438"/>
      <c r="B438"/>
      <c r="C438"/>
      <c r="D438"/>
      <c r="E438"/>
    </row>
    <row r="439" spans="1:5" x14ac:dyDescent="0.2">
      <c r="A439"/>
      <c r="B439"/>
      <c r="C439"/>
      <c r="D439"/>
      <c r="E439"/>
    </row>
    <row r="440" spans="1:5" x14ac:dyDescent="0.2">
      <c r="A440"/>
      <c r="B440"/>
      <c r="C440"/>
      <c r="D440"/>
      <c r="E440"/>
    </row>
    <row r="441" spans="1:5" x14ac:dyDescent="0.2">
      <c r="A441"/>
      <c r="B441"/>
      <c r="C441"/>
      <c r="D441"/>
      <c r="E441"/>
    </row>
    <row r="442" spans="1:5" x14ac:dyDescent="0.2">
      <c r="A442"/>
      <c r="B442"/>
      <c r="C442"/>
      <c r="D442"/>
      <c r="E442"/>
    </row>
    <row r="443" spans="1:5" x14ac:dyDescent="0.2">
      <c r="A443"/>
      <c r="B443"/>
      <c r="C443"/>
      <c r="D443"/>
      <c r="E443"/>
    </row>
    <row r="444" spans="1:5" x14ac:dyDescent="0.2">
      <c r="A444"/>
      <c r="B444"/>
      <c r="C444"/>
      <c r="D444"/>
      <c r="E444"/>
    </row>
    <row r="445" spans="1:5" x14ac:dyDescent="0.2">
      <c r="A445"/>
      <c r="B445"/>
      <c r="C445"/>
      <c r="D445"/>
      <c r="E445"/>
    </row>
    <row r="446" spans="1:5" x14ac:dyDescent="0.2">
      <c r="A446"/>
      <c r="B446"/>
      <c r="C446"/>
      <c r="D446"/>
      <c r="E446"/>
    </row>
    <row r="447" spans="1:5" x14ac:dyDescent="0.2">
      <c r="A447"/>
      <c r="B447"/>
      <c r="C447"/>
      <c r="D447"/>
    </row>
    <row r="448" spans="1:5" x14ac:dyDescent="0.2">
      <c r="A448"/>
      <c r="B448"/>
      <c r="C448"/>
      <c r="D448"/>
    </row>
    <row r="449" spans="1:4" x14ac:dyDescent="0.2">
      <c r="A449"/>
      <c r="B449"/>
      <c r="C449"/>
      <c r="D449"/>
    </row>
    <row r="450" spans="1:4" x14ac:dyDescent="0.2">
      <c r="A450"/>
      <c r="B450"/>
      <c r="C450"/>
      <c r="D450"/>
    </row>
    <row r="451" spans="1:4" x14ac:dyDescent="0.2">
      <c r="A451"/>
      <c r="B451"/>
      <c r="C451"/>
      <c r="D451"/>
    </row>
    <row r="452" spans="1:4" x14ac:dyDescent="0.2">
      <c r="A452"/>
      <c r="B452"/>
      <c r="C452"/>
      <c r="D452"/>
    </row>
    <row r="453" spans="1:4" x14ac:dyDescent="0.2">
      <c r="A453"/>
      <c r="B453"/>
      <c r="C453"/>
      <c r="D453"/>
    </row>
    <row r="454" spans="1:4" x14ac:dyDescent="0.2">
      <c r="A454"/>
      <c r="B454"/>
      <c r="C454"/>
      <c r="D454"/>
    </row>
    <row r="455" spans="1:4" x14ac:dyDescent="0.2">
      <c r="A455"/>
      <c r="B455"/>
      <c r="C455"/>
      <c r="D455"/>
    </row>
    <row r="456" spans="1:4" x14ac:dyDescent="0.2">
      <c r="A456"/>
      <c r="B456"/>
      <c r="C456"/>
      <c r="D456"/>
    </row>
    <row r="457" spans="1:4" x14ac:dyDescent="0.2">
      <c r="A457"/>
      <c r="B457"/>
      <c r="C457"/>
      <c r="D457"/>
    </row>
    <row r="458" spans="1:4" x14ac:dyDescent="0.2">
      <c r="A458"/>
      <c r="B458"/>
      <c r="C458"/>
      <c r="D458"/>
    </row>
    <row r="459" spans="1:4" x14ac:dyDescent="0.2">
      <c r="A459"/>
      <c r="B459"/>
      <c r="C459"/>
      <c r="D459"/>
    </row>
    <row r="460" spans="1:4" x14ac:dyDescent="0.2">
      <c r="A460"/>
      <c r="B460"/>
      <c r="C460"/>
      <c r="D460"/>
    </row>
    <row r="461" spans="1:4" x14ac:dyDescent="0.2">
      <c r="A461"/>
      <c r="B461"/>
      <c r="C461"/>
      <c r="D461"/>
    </row>
    <row r="462" spans="1:4" x14ac:dyDescent="0.2">
      <c r="A462"/>
      <c r="B462"/>
      <c r="C462"/>
      <c r="D462"/>
    </row>
    <row r="463" spans="1:4" x14ac:dyDescent="0.2">
      <c r="A463"/>
      <c r="B463"/>
      <c r="C463"/>
      <c r="D463"/>
    </row>
    <row r="464" spans="1:4" x14ac:dyDescent="0.2">
      <c r="A464"/>
      <c r="B464"/>
      <c r="C464"/>
      <c r="D464"/>
    </row>
    <row r="465" spans="1:4" x14ac:dyDescent="0.2">
      <c r="A465"/>
      <c r="B465"/>
      <c r="C465"/>
      <c r="D465"/>
    </row>
    <row r="466" spans="1:4" x14ac:dyDescent="0.2">
      <c r="A466"/>
      <c r="B466"/>
      <c r="C466"/>
      <c r="D466"/>
    </row>
    <row r="467" spans="1:4" x14ac:dyDescent="0.2">
      <c r="A467"/>
      <c r="B467"/>
      <c r="C467"/>
      <c r="D467"/>
    </row>
    <row r="468" spans="1:4" x14ac:dyDescent="0.2">
      <c r="A468"/>
      <c r="B468"/>
      <c r="C468"/>
      <c r="D468"/>
    </row>
    <row r="469" spans="1:4" x14ac:dyDescent="0.2">
      <c r="A469"/>
      <c r="B469"/>
      <c r="C469"/>
      <c r="D469"/>
    </row>
    <row r="470" spans="1:4" x14ac:dyDescent="0.2">
      <c r="A470"/>
      <c r="B470"/>
      <c r="C470"/>
      <c r="D470"/>
    </row>
    <row r="471" spans="1:4" x14ac:dyDescent="0.2">
      <c r="A471"/>
      <c r="B471"/>
      <c r="C471"/>
      <c r="D471"/>
    </row>
    <row r="472" spans="1:4" x14ac:dyDescent="0.2">
      <c r="A472"/>
      <c r="B472"/>
      <c r="C472"/>
      <c r="D472"/>
    </row>
    <row r="473" spans="1:4" x14ac:dyDescent="0.2">
      <c r="A473"/>
      <c r="B473"/>
      <c r="C473"/>
      <c r="D473"/>
    </row>
    <row r="474" spans="1:4" x14ac:dyDescent="0.2">
      <c r="A474"/>
      <c r="B474"/>
      <c r="C474"/>
      <c r="D474"/>
    </row>
    <row r="475" spans="1:4" x14ac:dyDescent="0.2">
      <c r="A475"/>
      <c r="B475"/>
      <c r="C475"/>
      <c r="D475"/>
    </row>
    <row r="476" spans="1:4" x14ac:dyDescent="0.2">
      <c r="A476"/>
      <c r="B476"/>
      <c r="C476"/>
      <c r="D476"/>
    </row>
    <row r="477" spans="1:4" x14ac:dyDescent="0.2">
      <c r="A477"/>
      <c r="B477"/>
      <c r="C477"/>
      <c r="D477"/>
    </row>
    <row r="478" spans="1:4" x14ac:dyDescent="0.2">
      <c r="A478"/>
      <c r="B478"/>
      <c r="C478"/>
      <c r="D478"/>
    </row>
    <row r="479" spans="1:4" x14ac:dyDescent="0.2">
      <c r="A479"/>
      <c r="B479"/>
      <c r="C479"/>
      <c r="D479"/>
    </row>
    <row r="480" spans="1:4" x14ac:dyDescent="0.2">
      <c r="A480"/>
      <c r="B480"/>
      <c r="C480"/>
      <c r="D480"/>
    </row>
    <row r="481" spans="1:5" x14ac:dyDescent="0.2">
      <c r="A481"/>
      <c r="B481"/>
      <c r="C481"/>
      <c r="D481"/>
    </row>
    <row r="482" spans="1:5" x14ac:dyDescent="0.2">
      <c r="A482"/>
      <c r="B482"/>
      <c r="C482"/>
      <c r="D482"/>
    </row>
    <row r="483" spans="1:5" x14ac:dyDescent="0.2">
      <c r="A483"/>
      <c r="B483"/>
      <c r="C483"/>
      <c r="D483"/>
    </row>
    <row r="484" spans="1:5" x14ac:dyDescent="0.2">
      <c r="A484"/>
      <c r="B484"/>
      <c r="C484"/>
      <c r="D484"/>
    </row>
    <row r="485" spans="1:5" x14ac:dyDescent="0.2">
      <c r="A485"/>
      <c r="B485"/>
      <c r="C485"/>
      <c r="D485"/>
    </row>
    <row r="486" spans="1:5" x14ac:dyDescent="0.2">
      <c r="A486"/>
      <c r="B486"/>
      <c r="C486"/>
      <c r="D486"/>
    </row>
    <row r="487" spans="1:5" x14ac:dyDescent="0.2">
      <c r="A487"/>
      <c r="B487"/>
      <c r="C487"/>
      <c r="D487"/>
    </row>
    <row r="488" spans="1:5" x14ac:dyDescent="0.2">
      <c r="A488"/>
      <c r="B488"/>
      <c r="C488"/>
      <c r="D488"/>
      <c r="E488"/>
    </row>
    <row r="489" spans="1:5" x14ac:dyDescent="0.2">
      <c r="A489"/>
      <c r="B489"/>
      <c r="C489"/>
      <c r="D489"/>
      <c r="E489"/>
    </row>
    <row r="490" spans="1:5" x14ac:dyDescent="0.2">
      <c r="A490"/>
      <c r="B490"/>
      <c r="C490"/>
      <c r="D490"/>
      <c r="E490"/>
    </row>
    <row r="491" spans="1:5" x14ac:dyDescent="0.2">
      <c r="A491"/>
      <c r="B491"/>
      <c r="C491"/>
      <c r="D491"/>
      <c r="E491"/>
    </row>
    <row r="492" spans="1:5" x14ac:dyDescent="0.2">
      <c r="A492"/>
      <c r="B492"/>
      <c r="C492"/>
      <c r="D492"/>
      <c r="E492"/>
    </row>
    <row r="493" spans="1:5" x14ac:dyDescent="0.2">
      <c r="A493"/>
      <c r="B493"/>
      <c r="C493"/>
      <c r="D493"/>
      <c r="E493"/>
    </row>
    <row r="494" spans="1:5" x14ac:dyDescent="0.2">
      <c r="A494"/>
      <c r="B494"/>
      <c r="C494"/>
      <c r="D494"/>
    </row>
    <row r="495" spans="1:5" x14ac:dyDescent="0.2">
      <c r="A495"/>
      <c r="B495"/>
      <c r="C495"/>
      <c r="D495"/>
    </row>
    <row r="496" spans="1:5" x14ac:dyDescent="0.2">
      <c r="A496"/>
      <c r="B496"/>
      <c r="C496"/>
      <c r="D496"/>
    </row>
    <row r="497" spans="1:4" x14ac:dyDescent="0.2">
      <c r="A497"/>
      <c r="B497"/>
      <c r="C497"/>
      <c r="D497"/>
    </row>
    <row r="498" spans="1:4" x14ac:dyDescent="0.2">
      <c r="A498"/>
      <c r="B498"/>
      <c r="C498"/>
      <c r="D498"/>
    </row>
    <row r="499" spans="1:4" x14ac:dyDescent="0.2">
      <c r="A499"/>
      <c r="B499"/>
      <c r="C499"/>
      <c r="D499"/>
    </row>
    <row r="500" spans="1:4" x14ac:dyDescent="0.2">
      <c r="A500"/>
      <c r="B500"/>
      <c r="C500"/>
      <c r="D500"/>
    </row>
    <row r="501" spans="1:4" x14ac:dyDescent="0.2">
      <c r="A501"/>
      <c r="B501"/>
      <c r="C501"/>
      <c r="D501"/>
    </row>
    <row r="502" spans="1:4" x14ac:dyDescent="0.2">
      <c r="A502"/>
      <c r="B502"/>
      <c r="C502"/>
      <c r="D502"/>
    </row>
    <row r="503" spans="1:4" x14ac:dyDescent="0.2">
      <c r="A503"/>
      <c r="B503"/>
      <c r="C503"/>
      <c r="D503"/>
    </row>
    <row r="504" spans="1:4" x14ac:dyDescent="0.2">
      <c r="A504"/>
      <c r="B504"/>
      <c r="C504"/>
      <c r="D504"/>
    </row>
    <row r="505" spans="1:4" x14ac:dyDescent="0.2">
      <c r="A505"/>
      <c r="B505"/>
      <c r="C505"/>
      <c r="D505"/>
    </row>
    <row r="506" spans="1:4" x14ac:dyDescent="0.2">
      <c r="A506"/>
      <c r="B506"/>
      <c r="C506"/>
      <c r="D506"/>
    </row>
    <row r="507" spans="1:4" x14ac:dyDescent="0.2">
      <c r="A507"/>
      <c r="B507"/>
      <c r="C507"/>
      <c r="D507"/>
    </row>
    <row r="508" spans="1:4" x14ac:dyDescent="0.2">
      <c r="A508"/>
      <c r="B508"/>
      <c r="C508"/>
      <c r="D508"/>
    </row>
    <row r="509" spans="1:4" x14ac:dyDescent="0.2">
      <c r="A509"/>
      <c r="B509"/>
      <c r="C509"/>
      <c r="D509"/>
    </row>
    <row r="510" spans="1:4" x14ac:dyDescent="0.2">
      <c r="A510"/>
      <c r="B510"/>
      <c r="C510"/>
      <c r="D510"/>
    </row>
    <row r="511" spans="1:4" x14ac:dyDescent="0.2">
      <c r="A511"/>
      <c r="B511"/>
      <c r="C511"/>
      <c r="D511"/>
    </row>
    <row r="512" spans="1:4" x14ac:dyDescent="0.2">
      <c r="A512"/>
      <c r="B512"/>
      <c r="C512"/>
      <c r="D512"/>
    </row>
    <row r="513" spans="1:4" x14ac:dyDescent="0.2">
      <c r="A513"/>
      <c r="B513"/>
      <c r="C513"/>
      <c r="D513"/>
    </row>
    <row r="514" spans="1:4" x14ac:dyDescent="0.2">
      <c r="A514"/>
      <c r="B514"/>
      <c r="C514"/>
      <c r="D514"/>
    </row>
    <row r="515" spans="1:4" x14ac:dyDescent="0.2">
      <c r="A515"/>
      <c r="B515"/>
      <c r="C515"/>
      <c r="D515"/>
    </row>
    <row r="516" spans="1:4" x14ac:dyDescent="0.2">
      <c r="A516"/>
      <c r="B516"/>
      <c r="C516"/>
      <c r="D516"/>
    </row>
    <row r="517" spans="1:4" x14ac:dyDescent="0.2">
      <c r="A517"/>
      <c r="B517"/>
      <c r="C517"/>
      <c r="D517"/>
    </row>
    <row r="518" spans="1:4" x14ac:dyDescent="0.2">
      <c r="A518"/>
      <c r="B518"/>
      <c r="C518"/>
      <c r="D518"/>
    </row>
    <row r="519" spans="1:4" x14ac:dyDescent="0.2">
      <c r="A519"/>
      <c r="B519"/>
      <c r="C519"/>
      <c r="D519"/>
    </row>
    <row r="520" spans="1:4" x14ac:dyDescent="0.2">
      <c r="A520"/>
      <c r="B520"/>
      <c r="C520"/>
      <c r="D520"/>
    </row>
    <row r="521" spans="1:4" x14ac:dyDescent="0.2">
      <c r="A521"/>
      <c r="B521"/>
      <c r="C521"/>
      <c r="D521"/>
    </row>
    <row r="522" spans="1:4" x14ac:dyDescent="0.2">
      <c r="A522"/>
      <c r="B522"/>
      <c r="C522"/>
      <c r="D522"/>
    </row>
    <row r="523" spans="1:4" x14ac:dyDescent="0.2">
      <c r="A523"/>
      <c r="B523"/>
      <c r="C523"/>
      <c r="D523"/>
    </row>
    <row r="524" spans="1:4" x14ac:dyDescent="0.2">
      <c r="A524"/>
      <c r="B524"/>
      <c r="C524"/>
      <c r="D524"/>
    </row>
    <row r="525" spans="1:4" x14ac:dyDescent="0.2">
      <c r="A525"/>
      <c r="B525"/>
      <c r="C525"/>
      <c r="D525"/>
    </row>
    <row r="526" spans="1:4" x14ac:dyDescent="0.2">
      <c r="A526"/>
      <c r="B526"/>
      <c r="C526"/>
      <c r="D526"/>
    </row>
    <row r="527" spans="1:4" x14ac:dyDescent="0.2">
      <c r="A527"/>
      <c r="B527"/>
      <c r="C527"/>
      <c r="D527"/>
    </row>
    <row r="528" spans="1:4" x14ac:dyDescent="0.2">
      <c r="A528"/>
      <c r="B528"/>
      <c r="C528"/>
      <c r="D528"/>
    </row>
    <row r="529" spans="1:4" x14ac:dyDescent="0.2">
      <c r="A529"/>
      <c r="B529"/>
      <c r="C529"/>
      <c r="D529"/>
    </row>
    <row r="530" spans="1:4" x14ac:dyDescent="0.2">
      <c r="A530"/>
      <c r="B530"/>
      <c r="C530"/>
      <c r="D530"/>
    </row>
    <row r="531" spans="1:4" x14ac:dyDescent="0.2">
      <c r="A531"/>
      <c r="B531"/>
      <c r="C531"/>
      <c r="D531"/>
    </row>
    <row r="532" spans="1:4" x14ac:dyDescent="0.2">
      <c r="A532"/>
      <c r="B532"/>
      <c r="C532"/>
      <c r="D532"/>
    </row>
    <row r="533" spans="1:4" x14ac:dyDescent="0.2">
      <c r="A533"/>
      <c r="B533"/>
      <c r="C533"/>
      <c r="D533"/>
    </row>
    <row r="534" spans="1:4" x14ac:dyDescent="0.2">
      <c r="A534"/>
      <c r="B534"/>
      <c r="C534"/>
      <c r="D534"/>
    </row>
    <row r="535" spans="1:4" x14ac:dyDescent="0.2">
      <c r="A535"/>
      <c r="B535"/>
      <c r="C535"/>
      <c r="D535"/>
    </row>
    <row r="536" spans="1:4" x14ac:dyDescent="0.2">
      <c r="A536"/>
      <c r="B536"/>
      <c r="C536"/>
      <c r="D536"/>
    </row>
    <row r="537" spans="1:4" x14ac:dyDescent="0.2">
      <c r="A537"/>
      <c r="B537"/>
      <c r="C537"/>
      <c r="D537"/>
    </row>
    <row r="538" spans="1:4" x14ac:dyDescent="0.2">
      <c r="A538"/>
      <c r="B538"/>
      <c r="C538"/>
      <c r="D538"/>
    </row>
    <row r="539" spans="1:4" x14ac:dyDescent="0.2">
      <c r="A539"/>
      <c r="B539"/>
      <c r="C539"/>
      <c r="D539"/>
    </row>
    <row r="540" spans="1:4" x14ac:dyDescent="0.2">
      <c r="A540"/>
      <c r="B540"/>
      <c r="C540"/>
      <c r="D540"/>
    </row>
    <row r="541" spans="1:4" x14ac:dyDescent="0.2">
      <c r="A541"/>
      <c r="B541"/>
      <c r="C541"/>
      <c r="D541"/>
    </row>
    <row r="542" spans="1:4" x14ac:dyDescent="0.2">
      <c r="A542"/>
      <c r="B542"/>
      <c r="C542"/>
      <c r="D542"/>
    </row>
    <row r="543" spans="1:4" x14ac:dyDescent="0.2">
      <c r="A543"/>
      <c r="B543"/>
      <c r="C543"/>
      <c r="D543"/>
    </row>
    <row r="544" spans="1:4" x14ac:dyDescent="0.2">
      <c r="A544"/>
      <c r="B544"/>
      <c r="C544"/>
      <c r="D544"/>
    </row>
    <row r="545" spans="1:4" x14ac:dyDescent="0.2">
      <c r="A545"/>
      <c r="B545"/>
      <c r="C545"/>
      <c r="D545"/>
    </row>
    <row r="546" spans="1:4" x14ac:dyDescent="0.2">
      <c r="A546"/>
      <c r="B546"/>
      <c r="C546"/>
      <c r="D546"/>
    </row>
    <row r="547" spans="1:4" x14ac:dyDescent="0.2">
      <c r="A547"/>
      <c r="B547"/>
      <c r="C547"/>
      <c r="D547"/>
    </row>
    <row r="548" spans="1:4" x14ac:dyDescent="0.2">
      <c r="A548"/>
      <c r="B548"/>
      <c r="C548"/>
      <c r="D548"/>
    </row>
    <row r="549" spans="1:4" x14ac:dyDescent="0.2">
      <c r="A549"/>
      <c r="B549"/>
      <c r="C549"/>
      <c r="D549"/>
    </row>
    <row r="550" spans="1:4" x14ac:dyDescent="0.2">
      <c r="A550"/>
      <c r="B550"/>
      <c r="C550"/>
      <c r="D550"/>
    </row>
    <row r="551" spans="1:4" x14ac:dyDescent="0.2">
      <c r="A551"/>
      <c r="B551"/>
      <c r="C551"/>
      <c r="D551"/>
    </row>
    <row r="552" spans="1:4" x14ac:dyDescent="0.2">
      <c r="A552"/>
      <c r="B552"/>
      <c r="C552"/>
      <c r="D552"/>
    </row>
    <row r="553" spans="1:4" x14ac:dyDescent="0.2">
      <c r="A553"/>
      <c r="B553"/>
      <c r="C553"/>
      <c r="D553"/>
    </row>
    <row r="554" spans="1:4" x14ac:dyDescent="0.2">
      <c r="A554"/>
      <c r="B554"/>
      <c r="C554"/>
      <c r="D554"/>
    </row>
    <row r="555" spans="1:4" x14ac:dyDescent="0.2">
      <c r="A555"/>
      <c r="B555"/>
      <c r="C555"/>
      <c r="D555"/>
    </row>
    <row r="556" spans="1:4" x14ac:dyDescent="0.2">
      <c r="A556"/>
      <c r="B556"/>
      <c r="C556"/>
      <c r="D556"/>
    </row>
    <row r="557" spans="1:4" x14ac:dyDescent="0.2">
      <c r="A557"/>
      <c r="B557"/>
      <c r="C557"/>
      <c r="D557"/>
    </row>
    <row r="558" spans="1:4" x14ac:dyDescent="0.2">
      <c r="A558"/>
      <c r="B558"/>
      <c r="C558"/>
      <c r="D558"/>
    </row>
    <row r="559" spans="1:4" x14ac:dyDescent="0.2">
      <c r="A559"/>
      <c r="B559"/>
      <c r="C559"/>
      <c r="D559"/>
    </row>
    <row r="560" spans="1:4" x14ac:dyDescent="0.2">
      <c r="A560"/>
      <c r="B560"/>
      <c r="C560"/>
      <c r="D560"/>
    </row>
    <row r="561" spans="1:4" x14ac:dyDescent="0.2">
      <c r="A561"/>
      <c r="B561"/>
      <c r="C561"/>
      <c r="D561"/>
    </row>
    <row r="562" spans="1:4" x14ac:dyDescent="0.2">
      <c r="A562"/>
      <c r="B562"/>
      <c r="C562"/>
      <c r="D562"/>
    </row>
    <row r="563" spans="1:4" x14ac:dyDescent="0.2">
      <c r="A563"/>
      <c r="B563"/>
      <c r="C563"/>
      <c r="D563"/>
    </row>
    <row r="564" spans="1:4" x14ac:dyDescent="0.2">
      <c r="A564"/>
      <c r="B564"/>
      <c r="C564"/>
      <c r="D564"/>
    </row>
    <row r="565" spans="1:4" x14ac:dyDescent="0.2">
      <c r="A565"/>
      <c r="B565"/>
      <c r="C565"/>
      <c r="D565"/>
    </row>
    <row r="566" spans="1:4" x14ac:dyDescent="0.2">
      <c r="A566"/>
      <c r="B566"/>
      <c r="C566"/>
      <c r="D566"/>
    </row>
    <row r="567" spans="1:4" x14ac:dyDescent="0.2">
      <c r="A567"/>
      <c r="B567"/>
      <c r="C567"/>
      <c r="D567"/>
    </row>
    <row r="568" spans="1:4" x14ac:dyDescent="0.2">
      <c r="A568"/>
      <c r="B568"/>
      <c r="C568"/>
      <c r="D568"/>
    </row>
    <row r="569" spans="1:4" x14ac:dyDescent="0.2">
      <c r="A569"/>
      <c r="B569"/>
      <c r="C569"/>
      <c r="D569"/>
    </row>
    <row r="570" spans="1:4" x14ac:dyDescent="0.2">
      <c r="A570"/>
      <c r="B570"/>
      <c r="C570"/>
      <c r="D570"/>
    </row>
    <row r="571" spans="1:4" x14ac:dyDescent="0.2">
      <c r="A571"/>
      <c r="B571"/>
      <c r="C571"/>
      <c r="D571"/>
    </row>
    <row r="572" spans="1:4" x14ac:dyDescent="0.2">
      <c r="A572"/>
      <c r="B572"/>
      <c r="C572"/>
      <c r="D572"/>
    </row>
    <row r="573" spans="1:4" x14ac:dyDescent="0.2">
      <c r="A573"/>
      <c r="B573"/>
      <c r="C573"/>
      <c r="D573"/>
    </row>
    <row r="574" spans="1:4" x14ac:dyDescent="0.2">
      <c r="A574"/>
      <c r="B574"/>
      <c r="C574"/>
      <c r="D574"/>
    </row>
    <row r="575" spans="1:4" x14ac:dyDescent="0.2">
      <c r="A575"/>
      <c r="B575"/>
      <c r="C575"/>
      <c r="D575"/>
    </row>
    <row r="576" spans="1:4" x14ac:dyDescent="0.2">
      <c r="A576"/>
      <c r="B576"/>
      <c r="C576"/>
      <c r="D576"/>
    </row>
    <row r="577" spans="1:4" x14ac:dyDescent="0.2">
      <c r="A577"/>
      <c r="B577"/>
      <c r="C577"/>
      <c r="D577"/>
    </row>
    <row r="578" spans="1:4" x14ac:dyDescent="0.2">
      <c r="A578"/>
      <c r="B578"/>
      <c r="C578"/>
      <c r="D578"/>
    </row>
    <row r="579" spans="1:4" x14ac:dyDescent="0.2">
      <c r="A579"/>
      <c r="B579"/>
      <c r="C579"/>
      <c r="D579"/>
    </row>
    <row r="580" spans="1:4" x14ac:dyDescent="0.2">
      <c r="A580"/>
      <c r="B580"/>
      <c r="C580"/>
      <c r="D580"/>
    </row>
    <row r="581" spans="1:4" x14ac:dyDescent="0.2">
      <c r="A581"/>
      <c r="B581"/>
      <c r="C581"/>
      <c r="D581"/>
    </row>
    <row r="582" spans="1:4" x14ac:dyDescent="0.2">
      <c r="A582"/>
      <c r="B582"/>
      <c r="C582"/>
      <c r="D582"/>
    </row>
    <row r="583" spans="1:4" x14ac:dyDescent="0.2">
      <c r="A583"/>
      <c r="B583"/>
      <c r="C583"/>
      <c r="D583"/>
    </row>
    <row r="584" spans="1:4" x14ac:dyDescent="0.2">
      <c r="A584"/>
      <c r="B584"/>
      <c r="C584"/>
      <c r="D584"/>
    </row>
    <row r="585" spans="1:4" x14ac:dyDescent="0.2">
      <c r="A585"/>
      <c r="B585"/>
      <c r="C585"/>
      <c r="D585"/>
    </row>
    <row r="586" spans="1:4" x14ac:dyDescent="0.2">
      <c r="A586"/>
      <c r="B586"/>
      <c r="C586"/>
      <c r="D586"/>
    </row>
    <row r="587" spans="1:4" x14ac:dyDescent="0.2">
      <c r="A587"/>
      <c r="B587"/>
      <c r="C587"/>
      <c r="D587"/>
    </row>
    <row r="588" spans="1:4" x14ac:dyDescent="0.2">
      <c r="A588"/>
      <c r="B588"/>
      <c r="C588"/>
      <c r="D588"/>
    </row>
    <row r="589" spans="1:4" x14ac:dyDescent="0.2">
      <c r="A589"/>
      <c r="B589"/>
      <c r="C589"/>
      <c r="D589"/>
    </row>
    <row r="590" spans="1:4" x14ac:dyDescent="0.2">
      <c r="A590"/>
      <c r="B590"/>
      <c r="C590"/>
      <c r="D590"/>
    </row>
    <row r="591" spans="1:4" x14ac:dyDescent="0.2">
      <c r="A591"/>
      <c r="B591"/>
      <c r="C591"/>
      <c r="D591"/>
    </row>
    <row r="592" spans="1:4" x14ac:dyDescent="0.2">
      <c r="A592"/>
      <c r="B592"/>
      <c r="C592"/>
      <c r="D592"/>
    </row>
    <row r="593" spans="1:4" x14ac:dyDescent="0.2">
      <c r="A593"/>
      <c r="B593"/>
      <c r="C593"/>
      <c r="D593"/>
    </row>
    <row r="594" spans="1:4" x14ac:dyDescent="0.2">
      <c r="A594"/>
      <c r="B594"/>
      <c r="C594"/>
      <c r="D594"/>
    </row>
    <row r="595" spans="1:4" x14ac:dyDescent="0.2">
      <c r="A595"/>
      <c r="B595"/>
      <c r="C595"/>
      <c r="D595"/>
    </row>
    <row r="596" spans="1:4" x14ac:dyDescent="0.2">
      <c r="A596"/>
      <c r="B596"/>
      <c r="C596"/>
      <c r="D596"/>
    </row>
    <row r="597" spans="1:4" x14ac:dyDescent="0.2">
      <c r="A597"/>
      <c r="B597"/>
      <c r="C597"/>
      <c r="D597"/>
    </row>
    <row r="598" spans="1:4" x14ac:dyDescent="0.2">
      <c r="A598"/>
      <c r="B598"/>
      <c r="C598"/>
      <c r="D598"/>
    </row>
    <row r="599" spans="1:4" x14ac:dyDescent="0.2">
      <c r="A599"/>
      <c r="B599"/>
      <c r="C599"/>
      <c r="D599"/>
    </row>
    <row r="600" spans="1:4" x14ac:dyDescent="0.2">
      <c r="A600"/>
      <c r="B600"/>
      <c r="C600"/>
      <c r="D600"/>
    </row>
    <row r="601" spans="1:4" x14ac:dyDescent="0.2">
      <c r="A601"/>
      <c r="B601"/>
      <c r="C601"/>
      <c r="D601"/>
    </row>
    <row r="602" spans="1:4" x14ac:dyDescent="0.2">
      <c r="A602"/>
      <c r="B602"/>
      <c r="C602"/>
      <c r="D602"/>
    </row>
    <row r="603" spans="1:4" x14ac:dyDescent="0.2">
      <c r="A603"/>
      <c r="B603"/>
      <c r="C603"/>
      <c r="D603"/>
    </row>
    <row r="604" spans="1:4" x14ac:dyDescent="0.2">
      <c r="A604"/>
      <c r="B604"/>
      <c r="C604"/>
      <c r="D604"/>
    </row>
    <row r="605" spans="1:4" x14ac:dyDescent="0.2">
      <c r="A605"/>
      <c r="B605"/>
      <c r="C605"/>
      <c r="D605"/>
    </row>
    <row r="606" spans="1:4" x14ac:dyDescent="0.2">
      <c r="A606"/>
      <c r="B606"/>
      <c r="C606"/>
      <c r="D606"/>
    </row>
    <row r="607" spans="1:4" x14ac:dyDescent="0.2">
      <c r="A607"/>
      <c r="B607"/>
      <c r="C607"/>
      <c r="D607"/>
    </row>
    <row r="608" spans="1:4" x14ac:dyDescent="0.2">
      <c r="A608"/>
      <c r="B608"/>
      <c r="C608"/>
      <c r="D608"/>
    </row>
    <row r="609" spans="1:4" x14ac:dyDescent="0.2">
      <c r="A609"/>
      <c r="B609"/>
      <c r="C609"/>
      <c r="D609"/>
    </row>
    <row r="610" spans="1:4" x14ac:dyDescent="0.2">
      <c r="A610"/>
      <c r="B610"/>
      <c r="C610"/>
      <c r="D610"/>
    </row>
    <row r="611" spans="1:4" x14ac:dyDescent="0.2">
      <c r="A611"/>
      <c r="B611"/>
      <c r="C611"/>
      <c r="D611"/>
    </row>
    <row r="612" spans="1:4" x14ac:dyDescent="0.2">
      <c r="A612"/>
      <c r="B612"/>
      <c r="C612"/>
      <c r="D612"/>
    </row>
    <row r="613" spans="1:4" x14ac:dyDescent="0.2">
      <c r="A613"/>
      <c r="B613"/>
      <c r="C613"/>
      <c r="D613"/>
    </row>
    <row r="614" spans="1:4" x14ac:dyDescent="0.2">
      <c r="A614"/>
      <c r="B614"/>
      <c r="C614"/>
      <c r="D614"/>
    </row>
    <row r="615" spans="1:4" x14ac:dyDescent="0.2">
      <c r="A615"/>
      <c r="B615"/>
      <c r="C615"/>
      <c r="D615"/>
    </row>
    <row r="616" spans="1:4" x14ac:dyDescent="0.2">
      <c r="A616"/>
      <c r="B616"/>
      <c r="C616"/>
      <c r="D616"/>
    </row>
    <row r="617" spans="1:4" x14ac:dyDescent="0.2">
      <c r="A617"/>
      <c r="B617"/>
      <c r="C617"/>
      <c r="D617"/>
    </row>
    <row r="618" spans="1:4" x14ac:dyDescent="0.2">
      <c r="A618"/>
      <c r="B618"/>
      <c r="C618"/>
      <c r="D618"/>
    </row>
    <row r="619" spans="1:4" x14ac:dyDescent="0.2">
      <c r="A619"/>
      <c r="B619"/>
      <c r="C619"/>
      <c r="D619"/>
    </row>
    <row r="620" spans="1:4" x14ac:dyDescent="0.2">
      <c r="A620"/>
      <c r="B620"/>
      <c r="C620"/>
      <c r="D620"/>
    </row>
    <row r="621" spans="1:4" x14ac:dyDescent="0.2">
      <c r="A621"/>
      <c r="B621"/>
      <c r="C621"/>
      <c r="D621"/>
    </row>
    <row r="622" spans="1:4" x14ac:dyDescent="0.2">
      <c r="A622"/>
      <c r="B622"/>
      <c r="C622"/>
      <c r="D622"/>
    </row>
    <row r="623" spans="1:4" x14ac:dyDescent="0.2">
      <c r="A623"/>
      <c r="B623"/>
      <c r="C623"/>
      <c r="D623"/>
    </row>
    <row r="624" spans="1:4" x14ac:dyDescent="0.2">
      <c r="A624"/>
      <c r="B624"/>
      <c r="C624"/>
      <c r="D624"/>
    </row>
    <row r="625" spans="1:4" x14ac:dyDescent="0.2">
      <c r="A625"/>
      <c r="B625"/>
      <c r="C625"/>
      <c r="D625"/>
    </row>
    <row r="626" spans="1:4" x14ac:dyDescent="0.2">
      <c r="A626"/>
      <c r="B626"/>
      <c r="C626"/>
      <c r="D626"/>
    </row>
    <row r="627" spans="1:4" x14ac:dyDescent="0.2">
      <c r="A627"/>
      <c r="B627"/>
      <c r="C627"/>
      <c r="D627"/>
    </row>
    <row r="628" spans="1:4" x14ac:dyDescent="0.2">
      <c r="A628"/>
      <c r="B628"/>
      <c r="C628"/>
      <c r="D628"/>
    </row>
    <row r="629" spans="1:4" x14ac:dyDescent="0.2">
      <c r="A629"/>
      <c r="B629"/>
      <c r="C629"/>
      <c r="D629"/>
    </row>
    <row r="630" spans="1:4" x14ac:dyDescent="0.2">
      <c r="A630"/>
      <c r="B630"/>
      <c r="C630"/>
      <c r="D630"/>
    </row>
    <row r="631" spans="1:4" x14ac:dyDescent="0.2">
      <c r="A631"/>
      <c r="B631"/>
      <c r="C631"/>
      <c r="D631"/>
    </row>
    <row r="632" spans="1:4" x14ac:dyDescent="0.2">
      <c r="A632"/>
      <c r="B632"/>
      <c r="C632"/>
      <c r="D632"/>
    </row>
    <row r="633" spans="1:4" x14ac:dyDescent="0.2">
      <c r="A633"/>
      <c r="B633"/>
      <c r="C633"/>
      <c r="D633"/>
    </row>
    <row r="634" spans="1:4" x14ac:dyDescent="0.2">
      <c r="A634"/>
      <c r="B634"/>
      <c r="C634"/>
      <c r="D634"/>
    </row>
    <row r="635" spans="1:4" x14ac:dyDescent="0.2">
      <c r="A635"/>
      <c r="B635"/>
      <c r="C635"/>
      <c r="D635"/>
    </row>
    <row r="636" spans="1:4" x14ac:dyDescent="0.2">
      <c r="A636"/>
      <c r="B636"/>
      <c r="C636"/>
      <c r="D636"/>
    </row>
    <row r="637" spans="1:4" x14ac:dyDescent="0.2">
      <c r="A637"/>
      <c r="B637"/>
      <c r="C637"/>
      <c r="D637"/>
    </row>
    <row r="638" spans="1:4" x14ac:dyDescent="0.2">
      <c r="A638"/>
      <c r="B638"/>
      <c r="C638"/>
      <c r="D638"/>
    </row>
    <row r="639" spans="1:4" x14ac:dyDescent="0.2">
      <c r="A639"/>
      <c r="B639"/>
      <c r="C639"/>
      <c r="D639"/>
    </row>
    <row r="640" spans="1:4" x14ac:dyDescent="0.2">
      <c r="A640"/>
      <c r="B640"/>
      <c r="C640"/>
      <c r="D640"/>
    </row>
    <row r="641" spans="1:4" x14ac:dyDescent="0.2">
      <c r="A641"/>
      <c r="B641"/>
      <c r="C641"/>
      <c r="D641"/>
    </row>
    <row r="642" spans="1:4" x14ac:dyDescent="0.2">
      <c r="A642"/>
      <c r="B642"/>
      <c r="C642"/>
      <c r="D642"/>
    </row>
    <row r="643" spans="1:4" x14ac:dyDescent="0.2">
      <c r="A643"/>
      <c r="B643"/>
      <c r="C643"/>
      <c r="D643"/>
    </row>
    <row r="644" spans="1:4" x14ac:dyDescent="0.2">
      <c r="A644"/>
      <c r="B644"/>
      <c r="C644"/>
      <c r="D644"/>
    </row>
    <row r="645" spans="1:4" x14ac:dyDescent="0.2">
      <c r="A645"/>
      <c r="B645"/>
      <c r="C645"/>
      <c r="D645"/>
    </row>
    <row r="646" spans="1:4" x14ac:dyDescent="0.2">
      <c r="A646"/>
      <c r="B646"/>
      <c r="C646"/>
      <c r="D646"/>
    </row>
    <row r="647" spans="1:4" x14ac:dyDescent="0.2">
      <c r="A647"/>
      <c r="B647"/>
      <c r="C647"/>
      <c r="D647"/>
    </row>
    <row r="648" spans="1:4" x14ac:dyDescent="0.2">
      <c r="A648"/>
      <c r="B648"/>
      <c r="C648"/>
      <c r="D648"/>
    </row>
    <row r="649" spans="1:4" x14ac:dyDescent="0.2">
      <c r="A649"/>
      <c r="B649"/>
      <c r="C649"/>
      <c r="D649"/>
    </row>
    <row r="650" spans="1:4" x14ac:dyDescent="0.2">
      <c r="A650"/>
      <c r="B650"/>
      <c r="C650"/>
      <c r="D650"/>
    </row>
    <row r="651" spans="1:4" x14ac:dyDescent="0.2">
      <c r="A651"/>
      <c r="B651"/>
      <c r="C651"/>
      <c r="D651"/>
    </row>
    <row r="652" spans="1:4" x14ac:dyDescent="0.2">
      <c r="A652"/>
      <c r="B652"/>
      <c r="C652"/>
      <c r="D652"/>
    </row>
    <row r="653" spans="1:4" x14ac:dyDescent="0.2">
      <c r="A653"/>
      <c r="B653"/>
      <c r="C653"/>
      <c r="D653"/>
    </row>
    <row r="654" spans="1:4" x14ac:dyDescent="0.2">
      <c r="A654"/>
      <c r="B654"/>
      <c r="C654"/>
      <c r="D654"/>
    </row>
    <row r="655" spans="1:4" x14ac:dyDescent="0.2">
      <c r="A655"/>
      <c r="B655"/>
      <c r="C655"/>
      <c r="D655"/>
    </row>
    <row r="656" spans="1:4" x14ac:dyDescent="0.2">
      <c r="A656"/>
      <c r="B656"/>
      <c r="C656"/>
      <c r="D656"/>
    </row>
    <row r="657" spans="1:4" x14ac:dyDescent="0.2">
      <c r="A657"/>
      <c r="B657"/>
      <c r="C657"/>
      <c r="D657"/>
    </row>
    <row r="658" spans="1:4" x14ac:dyDescent="0.2">
      <c r="A658"/>
      <c r="B658"/>
      <c r="C658"/>
      <c r="D658"/>
    </row>
    <row r="659" spans="1:4" x14ac:dyDescent="0.2">
      <c r="A659"/>
      <c r="B659"/>
      <c r="C659"/>
      <c r="D659"/>
    </row>
    <row r="660" spans="1:4" x14ac:dyDescent="0.2">
      <c r="A660"/>
      <c r="B660"/>
      <c r="C660"/>
      <c r="D660"/>
    </row>
    <row r="661" spans="1:4" x14ac:dyDescent="0.2">
      <c r="A661"/>
      <c r="B661"/>
      <c r="C661"/>
      <c r="D661"/>
    </row>
    <row r="662" spans="1:4" x14ac:dyDescent="0.2">
      <c r="A662"/>
      <c r="B662"/>
      <c r="C662"/>
      <c r="D662"/>
    </row>
    <row r="663" spans="1:4" x14ac:dyDescent="0.2">
      <c r="A663"/>
      <c r="B663"/>
      <c r="C663"/>
      <c r="D663"/>
    </row>
    <row r="664" spans="1:4" x14ac:dyDescent="0.2">
      <c r="A664"/>
      <c r="B664"/>
      <c r="C664"/>
      <c r="D664"/>
    </row>
    <row r="665" spans="1:4" x14ac:dyDescent="0.2">
      <c r="A665"/>
      <c r="B665"/>
      <c r="C665"/>
      <c r="D665"/>
    </row>
    <row r="666" spans="1:4" x14ac:dyDescent="0.2">
      <c r="A666"/>
      <c r="B666"/>
      <c r="C666"/>
      <c r="D666"/>
    </row>
    <row r="667" spans="1:4" x14ac:dyDescent="0.2">
      <c r="A667"/>
      <c r="B667"/>
      <c r="C667"/>
      <c r="D667"/>
    </row>
    <row r="668" spans="1:4" x14ac:dyDescent="0.2">
      <c r="A668"/>
      <c r="B668"/>
      <c r="C668"/>
      <c r="D668"/>
    </row>
    <row r="669" spans="1:4" x14ac:dyDescent="0.2">
      <c r="A669"/>
      <c r="B669"/>
      <c r="C669"/>
      <c r="D669"/>
    </row>
    <row r="670" spans="1:4" x14ac:dyDescent="0.2">
      <c r="A670"/>
      <c r="B670"/>
      <c r="C670"/>
      <c r="D670"/>
    </row>
    <row r="671" spans="1:4" x14ac:dyDescent="0.2">
      <c r="A671"/>
      <c r="B671"/>
      <c r="C671"/>
      <c r="D671"/>
    </row>
    <row r="672" spans="1:4" x14ac:dyDescent="0.2">
      <c r="A672"/>
      <c r="B672"/>
      <c r="C672"/>
      <c r="D672"/>
    </row>
    <row r="673" spans="1:13" x14ac:dyDescent="0.2">
      <c r="A673"/>
      <c r="B673"/>
      <c r="C673"/>
      <c r="D673"/>
    </row>
    <row r="674" spans="1:13" x14ac:dyDescent="0.2">
      <c r="A674"/>
      <c r="B674"/>
      <c r="C674"/>
      <c r="D674"/>
    </row>
    <row r="675" spans="1:13" x14ac:dyDescent="0.2">
      <c r="A675"/>
      <c r="B675"/>
      <c r="C675"/>
      <c r="D675"/>
    </row>
    <row r="676" spans="1:13" x14ac:dyDescent="0.2">
      <c r="A676"/>
      <c r="B676"/>
      <c r="C676"/>
      <c r="D676"/>
    </row>
    <row r="677" spans="1:13" x14ac:dyDescent="0.2">
      <c r="A677"/>
      <c r="B677"/>
      <c r="C677"/>
      <c r="D677"/>
    </row>
    <row r="678" spans="1:13" x14ac:dyDescent="0.2">
      <c r="A678"/>
      <c r="B678"/>
      <c r="C678"/>
      <c r="D678"/>
    </row>
    <row r="679" spans="1:13" x14ac:dyDescent="0.2">
      <c r="A679"/>
      <c r="B679"/>
      <c r="C679"/>
      <c r="D679"/>
    </row>
    <row r="680" spans="1:13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1:13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1:13" x14ac:dyDescent="0.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1:13" x14ac:dyDescent="0.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1:13" x14ac:dyDescent="0.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1:13" x14ac:dyDescent="0.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1:13" x14ac:dyDescent="0.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1:13" x14ac:dyDescent="0.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1:13" x14ac:dyDescent="0.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1:13" x14ac:dyDescent="0.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1:13" x14ac:dyDescent="0.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1:13" x14ac:dyDescent="0.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1:13" x14ac:dyDescent="0.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1:13" x14ac:dyDescent="0.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1:13" x14ac:dyDescent="0.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1:13" x14ac:dyDescent="0.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1:13" x14ac:dyDescent="0.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1:13" x14ac:dyDescent="0.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1:13" x14ac:dyDescent="0.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1:13" x14ac:dyDescent="0.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1:13" x14ac:dyDescent="0.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1:13" x14ac:dyDescent="0.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1:13" x14ac:dyDescent="0.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1:13" x14ac:dyDescent="0.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1:13" x14ac:dyDescent="0.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1:13" x14ac:dyDescent="0.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1:13" x14ac:dyDescent="0.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1:13" x14ac:dyDescent="0.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1:13" x14ac:dyDescent="0.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1:13" x14ac:dyDescent="0.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1:13" x14ac:dyDescent="0.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1:13" x14ac:dyDescent="0.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1:13" x14ac:dyDescent="0.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1:13" x14ac:dyDescent="0.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1:13" x14ac:dyDescent="0.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1:13" x14ac:dyDescent="0.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1:13" x14ac:dyDescent="0.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1:13" x14ac:dyDescent="0.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1:13" x14ac:dyDescent="0.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1:13" x14ac:dyDescent="0.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1:13" x14ac:dyDescent="0.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1:13" x14ac:dyDescent="0.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1:13" x14ac:dyDescent="0.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1:13" x14ac:dyDescent="0.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1:13" x14ac:dyDescent="0.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1:13" x14ac:dyDescent="0.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1:13" x14ac:dyDescent="0.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1:13" x14ac:dyDescent="0.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1:13" x14ac:dyDescent="0.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1:13" x14ac:dyDescent="0.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1:13" x14ac:dyDescent="0.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1:13" x14ac:dyDescent="0.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1:13" x14ac:dyDescent="0.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1:13" x14ac:dyDescent="0.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1:13" x14ac:dyDescent="0.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1:13" x14ac:dyDescent="0.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1:13" x14ac:dyDescent="0.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1:13" x14ac:dyDescent="0.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1:13" x14ac:dyDescent="0.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1:13" x14ac:dyDescent="0.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1:13" x14ac:dyDescent="0.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1:13" x14ac:dyDescent="0.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1:13" x14ac:dyDescent="0.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1:13" x14ac:dyDescent="0.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1:13" x14ac:dyDescent="0.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1:13" x14ac:dyDescent="0.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1:13" x14ac:dyDescent="0.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1:13" x14ac:dyDescent="0.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1:13" x14ac:dyDescent="0.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1:13" x14ac:dyDescent="0.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1:13" x14ac:dyDescent="0.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1:13" x14ac:dyDescent="0.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1:13" x14ac:dyDescent="0.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1:13" x14ac:dyDescent="0.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1:13" x14ac:dyDescent="0.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1:13" x14ac:dyDescent="0.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1:13" x14ac:dyDescent="0.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1:13" x14ac:dyDescent="0.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1:13" x14ac:dyDescent="0.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1:13" x14ac:dyDescent="0.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1:13" x14ac:dyDescent="0.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1:13" x14ac:dyDescent="0.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1:13" x14ac:dyDescent="0.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1:13" x14ac:dyDescent="0.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1:13" x14ac:dyDescent="0.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1:13" x14ac:dyDescent="0.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1:13" x14ac:dyDescent="0.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1:13" x14ac:dyDescent="0.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1:13" x14ac:dyDescent="0.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1:13" x14ac:dyDescent="0.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1:13" x14ac:dyDescent="0.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1:13" x14ac:dyDescent="0.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1:13" x14ac:dyDescent="0.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1:13" x14ac:dyDescent="0.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1:13" x14ac:dyDescent="0.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1:13" x14ac:dyDescent="0.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1:13" x14ac:dyDescent="0.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1:13" x14ac:dyDescent="0.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1:13" x14ac:dyDescent="0.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1:13" x14ac:dyDescent="0.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1:13" x14ac:dyDescent="0.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1:13" x14ac:dyDescent="0.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1:13" x14ac:dyDescent="0.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1:13" x14ac:dyDescent="0.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1:13" x14ac:dyDescent="0.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1:13" x14ac:dyDescent="0.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1:13" x14ac:dyDescent="0.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1:13" x14ac:dyDescent="0.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1:13" x14ac:dyDescent="0.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1:13" x14ac:dyDescent="0.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1:13" x14ac:dyDescent="0.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1:13" x14ac:dyDescent="0.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1:13" x14ac:dyDescent="0.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1:13" x14ac:dyDescent="0.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1:13" x14ac:dyDescent="0.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1:13" x14ac:dyDescent="0.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x14ac:dyDescent="0.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1:13" x14ac:dyDescent="0.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1:13" x14ac:dyDescent="0.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1:13" x14ac:dyDescent="0.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1:13" x14ac:dyDescent="0.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1:13" x14ac:dyDescent="0.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1:13" x14ac:dyDescent="0.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1:13" x14ac:dyDescent="0.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1:13" x14ac:dyDescent="0.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1:13" x14ac:dyDescent="0.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1:13" x14ac:dyDescent="0.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1:13" x14ac:dyDescent="0.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1:13" x14ac:dyDescent="0.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1:13" x14ac:dyDescent="0.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1:13" x14ac:dyDescent="0.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1:13" x14ac:dyDescent="0.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1:13" x14ac:dyDescent="0.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1:13" x14ac:dyDescent="0.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1:13" x14ac:dyDescent="0.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1:13" x14ac:dyDescent="0.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1:13" x14ac:dyDescent="0.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1:13" x14ac:dyDescent="0.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1:13" x14ac:dyDescent="0.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1:13" x14ac:dyDescent="0.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1:13" x14ac:dyDescent="0.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1:13" x14ac:dyDescent="0.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1:13" x14ac:dyDescent="0.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1:13" x14ac:dyDescent="0.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1:13" x14ac:dyDescent="0.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1:13" x14ac:dyDescent="0.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1:13" x14ac:dyDescent="0.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1:13" x14ac:dyDescent="0.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1:13" x14ac:dyDescent="0.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1:13" x14ac:dyDescent="0.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1:13" x14ac:dyDescent="0.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1:13" x14ac:dyDescent="0.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1:13" x14ac:dyDescent="0.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1:13" x14ac:dyDescent="0.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1:13" x14ac:dyDescent="0.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1:13" x14ac:dyDescent="0.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1:13" x14ac:dyDescent="0.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1:13" x14ac:dyDescent="0.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1:13" x14ac:dyDescent="0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1:13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1:13" x14ac:dyDescent="0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1:13" x14ac:dyDescent="0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1:13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1:13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1:13" x14ac:dyDescent="0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1:13" x14ac:dyDescent="0.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1:13" x14ac:dyDescent="0.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1:13" x14ac:dyDescent="0.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1:13" x14ac:dyDescent="0.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1:13" x14ac:dyDescent="0.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1:13" x14ac:dyDescent="0.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1:13" x14ac:dyDescent="0.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1:13" x14ac:dyDescent="0.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1:13" x14ac:dyDescent="0.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1:13" x14ac:dyDescent="0.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1:13" x14ac:dyDescent="0.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1:13" x14ac:dyDescent="0.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1:13" x14ac:dyDescent="0.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1:13" x14ac:dyDescent="0.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1:13" x14ac:dyDescent="0.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1:13" x14ac:dyDescent="0.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1:13" x14ac:dyDescent="0.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1:13" x14ac:dyDescent="0.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1:13" x14ac:dyDescent="0.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1:13" x14ac:dyDescent="0.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1:13" x14ac:dyDescent="0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1:13" x14ac:dyDescent="0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1:13" x14ac:dyDescent="0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1:13" x14ac:dyDescent="0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1:13" x14ac:dyDescent="0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1:13" x14ac:dyDescent="0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1:13" x14ac:dyDescent="0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1:13" x14ac:dyDescent="0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1:13" x14ac:dyDescent="0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1:13" x14ac:dyDescent="0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1:13" x14ac:dyDescent="0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1:13" x14ac:dyDescent="0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1:13" x14ac:dyDescent="0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1:13" x14ac:dyDescent="0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1:13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1:13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1:13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1:13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1:13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1:13" x14ac:dyDescent="0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1:13" x14ac:dyDescent="0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1:13" x14ac:dyDescent="0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1:13" x14ac:dyDescent="0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1:13" x14ac:dyDescent="0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1:13" x14ac:dyDescent="0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1:13" x14ac:dyDescent="0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1:13" x14ac:dyDescent="0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1:13" x14ac:dyDescent="0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1:13" x14ac:dyDescent="0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1:13" x14ac:dyDescent="0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1:13" x14ac:dyDescent="0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1:13" x14ac:dyDescent="0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1:13" x14ac:dyDescent="0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1:13" x14ac:dyDescent="0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1:13" x14ac:dyDescent="0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1:13" x14ac:dyDescent="0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1:13" x14ac:dyDescent="0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1:13" x14ac:dyDescent="0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1:13" x14ac:dyDescent="0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1:13" x14ac:dyDescent="0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1:13" x14ac:dyDescent="0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1:13" x14ac:dyDescent="0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1:13" x14ac:dyDescent="0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1:13" x14ac:dyDescent="0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1:13" x14ac:dyDescent="0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1:13" x14ac:dyDescent="0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1:13" x14ac:dyDescent="0.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1:13" x14ac:dyDescent="0.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1:13" x14ac:dyDescent="0.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1:13" x14ac:dyDescent="0.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1:13" x14ac:dyDescent="0.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1:13" x14ac:dyDescent="0.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1:13" x14ac:dyDescent="0.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1:13" x14ac:dyDescent="0.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1:13" x14ac:dyDescent="0.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1:13" x14ac:dyDescent="0.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1:13" x14ac:dyDescent="0.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1:13" x14ac:dyDescent="0.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1:13" x14ac:dyDescent="0.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1:13" x14ac:dyDescent="0.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1:13" x14ac:dyDescent="0.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1:13" x14ac:dyDescent="0.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1:13" x14ac:dyDescent="0.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1:13" x14ac:dyDescent="0.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1:13" x14ac:dyDescent="0.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1:13" x14ac:dyDescent="0.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1:13" x14ac:dyDescent="0.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1:13" x14ac:dyDescent="0.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1:13" x14ac:dyDescent="0.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1:13" x14ac:dyDescent="0.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1:13" x14ac:dyDescent="0.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1:13" x14ac:dyDescent="0.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1:13" x14ac:dyDescent="0.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1:13" x14ac:dyDescent="0.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1:13" x14ac:dyDescent="0.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1:13" x14ac:dyDescent="0.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1:13" x14ac:dyDescent="0.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1:13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1:13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1:13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1:13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1:13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1:13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1:13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1:13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1:13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1:13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1:13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1:13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1:13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1:13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1:13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1:13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1:13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1:13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1:13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1:13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1:13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1:13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1:13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1:13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1:13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1:13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1:13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1:13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1:13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1:13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1:13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1:13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1:13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1:13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1:13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1:13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1:13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1:13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1:13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1:13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1:13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1:13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1:13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1:13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1:13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1:13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1:13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1:13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1:13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1:13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1:13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1:13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1:13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1:13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1:13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1:13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1:13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1:13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1:13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1:13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1:13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1:13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1:13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1:13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1:13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1:13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1:13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1:13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1:13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1:13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1:13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1:13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1:13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1:13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1:13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1:13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1:13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1:13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1:13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1:13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1:13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1:13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1:13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1:13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1:13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1:13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1:13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1:13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1:13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1:13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1:13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1:13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1:13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1:13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1:13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1:13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1:13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1:13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1:13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1:13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1:13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1:13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1:13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1:13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1:13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1:13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1:13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1:13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1:13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1:13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1:13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1:13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1:13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1:13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1:13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1:13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1:13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1:13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1:13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1:13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1:13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1:13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1:13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1:13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1:13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1:13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1:13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1:13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1:13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1:13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1:13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1:13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1:13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1:13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1:13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1:13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1:13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1:13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1:13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1:13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1:13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1:13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1:13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1:13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1:13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1:13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1:13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1:13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1:13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1:13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1:13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1:13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1:13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1:13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1:13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1:13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1:13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1:13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1:13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1:13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1:13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1:13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1:13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1:13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1:13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1:13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1:13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1:13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1:13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1:13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1:13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1:13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1:13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1:13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1:13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1:13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1:13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1:13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1:13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1:13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1:13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1:13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1:13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1:13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1:13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1:13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1:13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1:13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1:13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1:13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1:13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1:13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1:13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1:13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1:13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1:13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1:13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1:13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1:13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1:13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1:13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1:13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1:13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1:13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1:13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1:13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1:13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1:13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1:13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1:13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1:13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1:13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1:13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1:13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1:13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1:13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1:13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1:13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1:13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1:13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1:13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1:13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1:13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1:13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1:13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1:13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1:13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1:13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1:13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1:13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1:13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1:13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1:13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1:13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1:13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1:13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1:13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1:13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1:13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1:13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1:13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1:13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1:13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1:13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1:13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1:13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1:13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1:13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1:13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1:13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1:13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1:13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1:13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1:13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1:13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1:13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1:13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1:13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1:13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1:13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1:13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1:13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1:13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1:13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1:13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1:13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1:13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1:13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1:13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1:13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1:13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1:13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1:13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1:13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1:13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1:13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1:13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1:13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1:13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1:13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1:13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1:13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1:13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1:13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1:13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1:13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1:13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1:13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1:13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1:13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1:13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1:13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1:13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1:13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1:13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1:13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1:13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1:13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1:13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1:13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1:13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1:13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1:13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1:13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1:13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1:13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1:13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1:13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1:13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1:13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1:13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1:13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1:13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1:13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1:13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1:13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1:13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1:13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1:13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1:13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1:13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1:13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1:13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1:13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1:13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1:13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1:13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1:13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1:13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1:13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1:13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1:13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1:13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1:13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1:13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1:13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1:13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1:13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1:13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1:13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1:13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1:13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1:13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1:13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1:13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1:13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1:13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1:13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1:13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1:13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1:13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1:13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1:13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1:13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1:13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1:13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1:13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1:13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1:13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1:13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1:13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1:13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1:13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1:13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1:13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1:13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1:13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1:13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1:13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1:13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1:13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1:13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1:13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1:13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1:13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1:13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1:13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1:13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1:13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1:13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1:13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1:13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1:13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1:13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1:13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1:13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1:13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1:13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1:13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1:13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1:13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1:13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1:13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1:13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1:13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1:13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1:13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1:13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1:13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1:13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1:13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1:13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1:13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1:13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1:13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1:13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1:13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1:13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1:13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1:13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1:13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1:13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1:13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1:13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1:13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1:13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1:13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1:13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1:13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1:13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1:13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1:13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1:13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1:13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x14ac:dyDescent="0.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x14ac:dyDescent="0.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x14ac:dyDescent="0.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x14ac:dyDescent="0.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x14ac:dyDescent="0.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x14ac:dyDescent="0.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x14ac:dyDescent="0.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x14ac:dyDescent="0.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x14ac:dyDescent="0.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x14ac:dyDescent="0.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x14ac:dyDescent="0.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x14ac:dyDescent="0.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x14ac:dyDescent="0.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x14ac:dyDescent="0.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x14ac:dyDescent="0.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x14ac:dyDescent="0.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x14ac:dyDescent="0.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x14ac:dyDescent="0.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x14ac:dyDescent="0.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x14ac:dyDescent="0.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x14ac:dyDescent="0.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x14ac:dyDescent="0.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x14ac:dyDescent="0.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x14ac:dyDescent="0.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x14ac:dyDescent="0.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x14ac:dyDescent="0.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x14ac:dyDescent="0.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x14ac:dyDescent="0.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x14ac:dyDescent="0.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x14ac:dyDescent="0.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x14ac:dyDescent="0.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x14ac:dyDescent="0.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x14ac:dyDescent="0.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x14ac:dyDescent="0.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x14ac:dyDescent="0.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x14ac:dyDescent="0.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x14ac:dyDescent="0.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x14ac:dyDescent="0.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x14ac:dyDescent="0.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x14ac:dyDescent="0.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x14ac:dyDescent="0.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x14ac:dyDescent="0.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x14ac:dyDescent="0.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x14ac:dyDescent="0.2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x14ac:dyDescent="0.2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x14ac:dyDescent="0.2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x14ac:dyDescent="0.2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x14ac:dyDescent="0.2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x14ac:dyDescent="0.2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x14ac:dyDescent="0.2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x14ac:dyDescent="0.2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x14ac:dyDescent="0.2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x14ac:dyDescent="0.2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x14ac:dyDescent="0.2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x14ac:dyDescent="0.2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x14ac:dyDescent="0.2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x14ac:dyDescent="0.2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x14ac:dyDescent="0.2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x14ac:dyDescent="0.2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x14ac:dyDescent="0.2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x14ac:dyDescent="0.2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x14ac:dyDescent="0.2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x14ac:dyDescent="0.2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x14ac:dyDescent="0.2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x14ac:dyDescent="0.2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x14ac:dyDescent="0.2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x14ac:dyDescent="0.2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x14ac:dyDescent="0.2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x14ac:dyDescent="0.2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x14ac:dyDescent="0.2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x14ac:dyDescent="0.2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x14ac:dyDescent="0.2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x14ac:dyDescent="0.2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x14ac:dyDescent="0.2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x14ac:dyDescent="0.2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x14ac:dyDescent="0.2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x14ac:dyDescent="0.2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x14ac:dyDescent="0.2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x14ac:dyDescent="0.2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x14ac:dyDescent="0.2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x14ac:dyDescent="0.2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x14ac:dyDescent="0.2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x14ac:dyDescent="0.2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x14ac:dyDescent="0.2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x14ac:dyDescent="0.2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4" x14ac:dyDescent="0.2">
      <c r="A1985"/>
      <c r="B1985"/>
      <c r="C1985"/>
      <c r="D1985"/>
    </row>
    <row r="1986" spans="1:4" x14ac:dyDescent="0.2">
      <c r="A1986"/>
      <c r="B1986"/>
      <c r="C1986"/>
      <c r="D1986"/>
    </row>
    <row r="1987" spans="1:4" x14ac:dyDescent="0.2">
      <c r="A1987"/>
      <c r="B1987"/>
      <c r="C1987"/>
      <c r="D1987"/>
    </row>
    <row r="1988" spans="1:4" x14ac:dyDescent="0.2">
      <c r="A1988"/>
      <c r="B1988"/>
      <c r="C1988"/>
      <c r="D1988"/>
    </row>
    <row r="1989" spans="1:4" x14ac:dyDescent="0.2">
      <c r="A1989"/>
      <c r="B1989"/>
      <c r="C1989"/>
      <c r="D1989"/>
    </row>
    <row r="1990" spans="1:4" x14ac:dyDescent="0.2">
      <c r="A1990"/>
      <c r="B1990"/>
      <c r="C1990"/>
      <c r="D1990"/>
    </row>
    <row r="1991" spans="1:4" x14ac:dyDescent="0.2">
      <c r="A1991"/>
      <c r="B1991"/>
      <c r="C1991"/>
      <c r="D1991"/>
    </row>
    <row r="1992" spans="1:4" x14ac:dyDescent="0.2">
      <c r="A1992"/>
      <c r="B1992"/>
      <c r="C1992"/>
      <c r="D1992"/>
    </row>
    <row r="1993" spans="1:4" x14ac:dyDescent="0.2">
      <c r="A1993"/>
      <c r="B1993"/>
      <c r="C1993"/>
      <c r="D1993"/>
    </row>
    <row r="1994" spans="1:4" x14ac:dyDescent="0.2">
      <c r="A1994"/>
      <c r="B1994"/>
      <c r="C1994"/>
      <c r="D1994"/>
    </row>
    <row r="1995" spans="1:4" x14ac:dyDescent="0.2">
      <c r="A1995"/>
      <c r="B1995"/>
      <c r="C1995"/>
      <c r="D1995"/>
    </row>
    <row r="1996" spans="1:4" x14ac:dyDescent="0.2">
      <c r="A1996"/>
      <c r="B1996"/>
      <c r="C1996"/>
      <c r="D1996"/>
    </row>
    <row r="1997" spans="1:4" x14ac:dyDescent="0.2">
      <c r="A1997"/>
      <c r="B1997"/>
      <c r="C1997"/>
      <c r="D1997"/>
    </row>
    <row r="1998" spans="1:4" x14ac:dyDescent="0.2">
      <c r="A1998"/>
      <c r="B1998"/>
      <c r="C1998"/>
      <c r="D1998"/>
    </row>
    <row r="1999" spans="1:4" x14ac:dyDescent="0.2">
      <c r="A1999"/>
      <c r="B1999"/>
      <c r="C1999"/>
      <c r="D1999"/>
    </row>
    <row r="2000" spans="1:4" x14ac:dyDescent="0.2">
      <c r="A2000"/>
      <c r="B2000"/>
      <c r="C2000"/>
      <c r="D2000"/>
    </row>
    <row r="2001" spans="1:4" x14ac:dyDescent="0.2">
      <c r="A2001"/>
      <c r="B2001"/>
      <c r="C2001"/>
      <c r="D2001"/>
    </row>
    <row r="2002" spans="1:4" x14ac:dyDescent="0.2">
      <c r="A2002"/>
      <c r="B2002"/>
      <c r="C2002"/>
      <c r="D2002"/>
    </row>
    <row r="2003" spans="1:4" x14ac:dyDescent="0.2">
      <c r="A2003"/>
      <c r="B2003"/>
      <c r="C2003"/>
      <c r="D2003"/>
    </row>
    <row r="2004" spans="1:4" x14ac:dyDescent="0.2">
      <c r="A2004"/>
      <c r="B2004"/>
      <c r="C2004"/>
      <c r="D2004"/>
    </row>
    <row r="2005" spans="1:4" x14ac:dyDescent="0.2">
      <c r="A2005"/>
      <c r="B2005"/>
      <c r="C2005"/>
      <c r="D2005"/>
    </row>
    <row r="2006" spans="1:4" x14ac:dyDescent="0.2">
      <c r="A2006"/>
      <c r="B2006"/>
      <c r="C2006"/>
      <c r="D2006"/>
    </row>
    <row r="2007" spans="1:4" x14ac:dyDescent="0.2">
      <c r="A2007"/>
      <c r="B2007"/>
      <c r="C2007"/>
      <c r="D2007"/>
    </row>
    <row r="2008" spans="1:4" x14ac:dyDescent="0.2">
      <c r="A2008"/>
      <c r="B2008"/>
      <c r="C2008"/>
      <c r="D2008"/>
    </row>
    <row r="2009" spans="1:4" x14ac:dyDescent="0.2">
      <c r="A2009"/>
      <c r="B2009"/>
      <c r="C2009"/>
      <c r="D2009"/>
    </row>
    <row r="2010" spans="1:4" x14ac:dyDescent="0.2">
      <c r="A2010"/>
      <c r="B2010"/>
      <c r="C2010"/>
      <c r="D2010"/>
    </row>
    <row r="2011" spans="1:4" x14ac:dyDescent="0.2">
      <c r="A2011"/>
      <c r="B2011"/>
      <c r="C2011"/>
      <c r="D2011"/>
    </row>
    <row r="2012" spans="1:4" x14ac:dyDescent="0.2">
      <c r="A2012"/>
      <c r="B2012"/>
      <c r="C2012"/>
      <c r="D2012"/>
    </row>
    <row r="2013" spans="1:4" x14ac:dyDescent="0.2">
      <c r="A2013"/>
      <c r="B2013"/>
      <c r="C2013"/>
      <c r="D2013"/>
    </row>
    <row r="2014" spans="1:4" x14ac:dyDescent="0.2">
      <c r="A2014"/>
      <c r="B2014"/>
      <c r="C2014"/>
      <c r="D2014"/>
    </row>
    <row r="2015" spans="1:4" x14ac:dyDescent="0.2">
      <c r="A2015"/>
      <c r="B2015"/>
      <c r="C2015"/>
      <c r="D2015"/>
    </row>
    <row r="2016" spans="1:4" x14ac:dyDescent="0.2">
      <c r="A2016"/>
      <c r="B2016"/>
      <c r="C2016"/>
      <c r="D2016"/>
    </row>
    <row r="2017" spans="1:9" x14ac:dyDescent="0.2">
      <c r="A2017"/>
      <c r="B2017"/>
      <c r="C2017"/>
      <c r="D2017"/>
    </row>
    <row r="2018" spans="1:9" x14ac:dyDescent="0.2">
      <c r="A2018"/>
      <c r="B2018"/>
      <c r="C2018"/>
      <c r="D2018"/>
    </row>
    <row r="2019" spans="1:9" x14ac:dyDescent="0.2">
      <c r="A2019"/>
      <c r="B2019"/>
      <c r="C2019"/>
      <c r="D2019"/>
    </row>
    <row r="2020" spans="1:9" x14ac:dyDescent="0.2">
      <c r="A2020"/>
      <c r="B2020"/>
      <c r="C2020"/>
      <c r="D2020"/>
    </row>
    <row r="2021" spans="1:9" x14ac:dyDescent="0.2">
      <c r="A2021"/>
      <c r="B2021"/>
      <c r="C2021"/>
      <c r="D2021"/>
    </row>
    <row r="2022" spans="1:9" x14ac:dyDescent="0.2">
      <c r="A2022"/>
      <c r="B2022"/>
      <c r="C2022"/>
      <c r="D2022"/>
    </row>
    <row r="2023" spans="1:9" x14ac:dyDescent="0.2">
      <c r="A2023"/>
      <c r="B2023"/>
      <c r="C2023"/>
      <c r="D2023"/>
    </row>
    <row r="2024" spans="1:9" x14ac:dyDescent="0.2">
      <c r="A2024"/>
      <c r="B2024"/>
      <c r="C2024"/>
      <c r="D2024"/>
    </row>
    <row r="2025" spans="1:9" x14ac:dyDescent="0.2">
      <c r="A2025"/>
      <c r="B2025"/>
      <c r="C2025"/>
      <c r="D2025"/>
    </row>
    <row r="2026" spans="1:9" x14ac:dyDescent="0.2">
      <c r="A2026"/>
      <c r="B2026"/>
      <c r="C2026"/>
      <c r="D2026"/>
    </row>
    <row r="2027" spans="1:9" x14ac:dyDescent="0.2">
      <c r="A2027"/>
      <c r="B2027"/>
      <c r="C2027"/>
      <c r="D2027"/>
    </row>
    <row r="2028" spans="1:9" x14ac:dyDescent="0.2">
      <c r="A2028"/>
      <c r="B2028"/>
      <c r="C2028"/>
      <c r="D2028"/>
    </row>
    <row r="2029" spans="1:9" x14ac:dyDescent="0.2">
      <c r="A2029"/>
      <c r="B2029"/>
      <c r="C2029"/>
      <c r="D2029"/>
    </row>
    <row r="2030" spans="1:9" x14ac:dyDescent="0.2">
      <c r="A2030"/>
      <c r="B2030"/>
      <c r="C2030"/>
      <c r="D2030"/>
      <c r="E2030"/>
      <c r="F2030"/>
      <c r="G2030"/>
      <c r="H2030"/>
      <c r="I2030"/>
    </row>
    <row r="2031" spans="1:9" x14ac:dyDescent="0.2">
      <c r="A2031"/>
      <c r="B2031"/>
      <c r="C2031"/>
      <c r="D2031"/>
      <c r="E2031"/>
      <c r="F2031"/>
      <c r="G2031"/>
      <c r="H2031"/>
      <c r="I2031"/>
    </row>
    <row r="2032" spans="1:9" x14ac:dyDescent="0.2">
      <c r="A2032"/>
      <c r="B2032"/>
      <c r="C2032"/>
      <c r="D2032"/>
      <c r="E2032"/>
      <c r="F2032"/>
      <c r="G2032"/>
      <c r="H2032"/>
      <c r="I2032"/>
    </row>
    <row r="2033" spans="1:9" x14ac:dyDescent="0.2">
      <c r="A2033"/>
      <c r="B2033"/>
      <c r="C2033"/>
      <c r="D2033"/>
      <c r="E2033"/>
      <c r="F2033"/>
      <c r="G2033"/>
      <c r="H2033"/>
      <c r="I2033"/>
    </row>
    <row r="2034" spans="1:9" x14ac:dyDescent="0.2">
      <c r="A2034"/>
      <c r="B2034"/>
      <c r="C2034"/>
      <c r="D2034"/>
      <c r="E2034"/>
      <c r="F2034"/>
      <c r="G2034"/>
      <c r="H2034"/>
      <c r="I2034"/>
    </row>
    <row r="2035" spans="1:9" x14ac:dyDescent="0.2">
      <c r="A2035"/>
      <c r="B2035"/>
      <c r="C2035"/>
      <c r="D2035"/>
      <c r="E2035"/>
      <c r="F2035"/>
      <c r="G2035"/>
      <c r="H2035"/>
      <c r="I2035"/>
    </row>
    <row r="2036" spans="1:9" x14ac:dyDescent="0.2">
      <c r="A2036"/>
      <c r="B2036"/>
      <c r="C2036"/>
      <c r="D2036"/>
      <c r="E2036"/>
      <c r="F2036"/>
      <c r="G2036"/>
      <c r="H2036"/>
      <c r="I2036"/>
    </row>
    <row r="2037" spans="1:9" x14ac:dyDescent="0.2">
      <c r="A2037"/>
      <c r="B2037"/>
      <c r="C2037"/>
      <c r="D2037"/>
      <c r="E2037"/>
      <c r="F2037"/>
      <c r="G2037"/>
      <c r="H2037"/>
      <c r="I2037"/>
    </row>
    <row r="2038" spans="1:9" x14ac:dyDescent="0.2">
      <c r="A2038"/>
      <c r="B2038"/>
      <c r="C2038"/>
      <c r="D2038"/>
      <c r="E2038"/>
      <c r="F2038"/>
      <c r="G2038"/>
      <c r="H2038"/>
      <c r="I2038"/>
    </row>
    <row r="2039" spans="1:9" x14ac:dyDescent="0.2">
      <c r="A2039"/>
      <c r="B2039"/>
      <c r="C2039"/>
      <c r="D2039"/>
      <c r="E2039"/>
      <c r="F2039"/>
      <c r="G2039"/>
      <c r="H2039"/>
      <c r="I2039"/>
    </row>
    <row r="2040" spans="1:9" x14ac:dyDescent="0.2">
      <c r="A2040"/>
      <c r="B2040"/>
      <c r="C2040"/>
      <c r="D2040"/>
      <c r="E2040"/>
      <c r="F2040"/>
      <c r="G2040"/>
      <c r="H2040"/>
      <c r="I2040"/>
    </row>
    <row r="2041" spans="1:9" x14ac:dyDescent="0.2">
      <c r="A2041"/>
      <c r="B2041"/>
      <c r="C2041"/>
      <c r="D2041"/>
      <c r="E2041"/>
      <c r="F2041"/>
      <c r="G2041"/>
      <c r="H2041"/>
      <c r="I2041"/>
    </row>
    <row r="2042" spans="1:9" x14ac:dyDescent="0.2">
      <c r="A2042"/>
      <c r="B2042"/>
      <c r="C2042"/>
      <c r="D2042"/>
      <c r="E2042"/>
      <c r="F2042"/>
      <c r="G2042"/>
      <c r="H2042"/>
      <c r="I2042"/>
    </row>
    <row r="2043" spans="1:9" x14ac:dyDescent="0.2">
      <c r="A2043"/>
      <c r="B2043"/>
      <c r="C2043"/>
      <c r="D2043"/>
      <c r="E2043"/>
      <c r="F2043"/>
      <c r="G2043"/>
      <c r="H2043"/>
      <c r="I2043"/>
    </row>
    <row r="2044" spans="1:9" x14ac:dyDescent="0.2">
      <c r="A2044"/>
      <c r="B2044"/>
      <c r="C2044"/>
      <c r="D2044"/>
      <c r="E2044"/>
      <c r="F2044"/>
      <c r="G2044"/>
      <c r="H2044"/>
      <c r="I2044"/>
    </row>
    <row r="2045" spans="1:9" x14ac:dyDescent="0.2">
      <c r="A2045"/>
      <c r="B2045"/>
      <c r="C2045"/>
      <c r="D2045"/>
      <c r="E2045"/>
      <c r="F2045"/>
      <c r="G2045"/>
      <c r="H2045"/>
      <c r="I2045"/>
    </row>
    <row r="2046" spans="1:9" x14ac:dyDescent="0.2">
      <c r="A2046"/>
      <c r="B2046"/>
      <c r="C2046"/>
      <c r="D2046"/>
      <c r="E2046"/>
      <c r="F2046"/>
      <c r="G2046"/>
      <c r="H2046"/>
      <c r="I2046"/>
    </row>
    <row r="2047" spans="1:9" x14ac:dyDescent="0.2">
      <c r="A2047"/>
      <c r="B2047"/>
      <c r="C2047"/>
      <c r="D2047"/>
      <c r="E2047"/>
      <c r="F2047"/>
      <c r="G2047"/>
      <c r="H2047"/>
      <c r="I2047"/>
    </row>
    <row r="2048" spans="1:9" x14ac:dyDescent="0.2">
      <c r="A2048"/>
      <c r="B2048"/>
      <c r="C2048"/>
      <c r="D2048"/>
      <c r="E2048"/>
      <c r="F2048"/>
      <c r="G2048"/>
      <c r="H2048"/>
      <c r="I2048"/>
    </row>
    <row r="2049" spans="1:9" x14ac:dyDescent="0.2">
      <c r="A2049"/>
      <c r="B2049"/>
      <c r="C2049"/>
      <c r="D2049"/>
      <c r="E2049"/>
      <c r="F2049"/>
      <c r="G2049"/>
      <c r="H2049"/>
      <c r="I2049"/>
    </row>
    <row r="2050" spans="1:9" x14ac:dyDescent="0.2">
      <c r="A2050"/>
      <c r="B2050"/>
      <c r="C2050"/>
      <c r="D2050"/>
      <c r="E2050"/>
      <c r="F2050"/>
      <c r="G2050"/>
      <c r="H2050"/>
      <c r="I2050"/>
    </row>
    <row r="2051" spans="1:9" x14ac:dyDescent="0.2">
      <c r="A2051"/>
      <c r="B2051"/>
      <c r="C2051"/>
      <c r="D2051"/>
      <c r="E2051"/>
      <c r="F2051"/>
      <c r="G2051"/>
      <c r="H2051"/>
      <c r="I2051"/>
    </row>
    <row r="2052" spans="1:9" x14ac:dyDescent="0.2">
      <c r="A2052"/>
      <c r="B2052"/>
      <c r="C2052"/>
      <c r="D2052"/>
      <c r="E2052"/>
      <c r="F2052"/>
      <c r="G2052"/>
      <c r="H2052"/>
      <c r="I2052"/>
    </row>
    <row r="2053" spans="1:9" x14ac:dyDescent="0.2">
      <c r="A2053"/>
      <c r="B2053"/>
      <c r="C2053"/>
      <c r="D2053"/>
      <c r="E2053"/>
      <c r="F2053"/>
      <c r="G2053"/>
      <c r="H2053"/>
      <c r="I2053"/>
    </row>
    <row r="2054" spans="1:9" x14ac:dyDescent="0.2">
      <c r="A2054"/>
      <c r="B2054"/>
      <c r="C2054"/>
      <c r="D2054"/>
      <c r="E2054"/>
      <c r="F2054"/>
      <c r="G2054"/>
      <c r="H2054"/>
      <c r="I2054"/>
    </row>
    <row r="2055" spans="1:9" x14ac:dyDescent="0.2">
      <c r="A2055"/>
      <c r="B2055"/>
      <c r="C2055"/>
      <c r="D2055"/>
      <c r="E2055"/>
      <c r="F2055"/>
      <c r="G2055"/>
      <c r="H2055"/>
      <c r="I2055"/>
    </row>
    <row r="2056" spans="1:9" x14ac:dyDescent="0.2">
      <c r="A2056"/>
      <c r="B2056"/>
      <c r="C2056"/>
      <c r="D2056"/>
      <c r="E2056"/>
      <c r="F2056"/>
      <c r="G2056"/>
      <c r="H2056"/>
      <c r="I2056"/>
    </row>
    <row r="2057" spans="1:9" x14ac:dyDescent="0.2">
      <c r="A2057"/>
      <c r="B2057"/>
      <c r="C2057"/>
      <c r="D2057"/>
      <c r="E2057"/>
      <c r="F2057"/>
      <c r="G2057"/>
      <c r="H2057"/>
      <c r="I2057"/>
    </row>
    <row r="2058" spans="1:9" x14ac:dyDescent="0.2">
      <c r="A2058"/>
      <c r="B2058"/>
      <c r="C2058"/>
      <c r="D2058"/>
      <c r="E2058"/>
      <c r="F2058"/>
      <c r="G2058"/>
      <c r="H2058"/>
      <c r="I2058"/>
    </row>
    <row r="2059" spans="1:9" x14ac:dyDescent="0.2">
      <c r="A2059"/>
      <c r="B2059"/>
      <c r="C2059"/>
      <c r="D2059"/>
      <c r="E2059"/>
      <c r="F2059"/>
      <c r="G2059"/>
      <c r="H2059"/>
      <c r="I2059"/>
    </row>
    <row r="2060" spans="1:9" x14ac:dyDescent="0.2">
      <c r="A2060"/>
      <c r="B2060"/>
      <c r="C2060"/>
      <c r="D2060"/>
      <c r="E2060"/>
      <c r="F2060"/>
      <c r="G2060"/>
      <c r="H2060"/>
      <c r="I2060"/>
    </row>
    <row r="2061" spans="1:9" x14ac:dyDescent="0.2">
      <c r="A2061"/>
      <c r="B2061"/>
      <c r="C2061"/>
      <c r="D2061"/>
      <c r="E2061"/>
      <c r="F2061"/>
      <c r="G2061"/>
      <c r="H2061"/>
      <c r="I2061"/>
    </row>
    <row r="2062" spans="1:9" x14ac:dyDescent="0.2">
      <c r="A2062"/>
      <c r="B2062"/>
      <c r="C2062"/>
      <c r="D2062"/>
      <c r="E2062"/>
      <c r="F2062"/>
      <c r="G2062"/>
      <c r="H2062"/>
      <c r="I2062"/>
    </row>
    <row r="2063" spans="1:9" x14ac:dyDescent="0.2">
      <c r="A2063"/>
      <c r="B2063"/>
      <c r="C2063"/>
      <c r="D2063"/>
      <c r="E2063"/>
      <c r="F2063"/>
      <c r="G2063"/>
      <c r="H2063"/>
      <c r="I2063"/>
    </row>
    <row r="2064" spans="1:9" x14ac:dyDescent="0.2">
      <c r="A2064"/>
      <c r="B2064"/>
      <c r="C2064"/>
      <c r="D2064"/>
      <c r="E2064"/>
      <c r="F2064"/>
      <c r="G2064"/>
      <c r="H2064"/>
      <c r="I2064"/>
    </row>
    <row r="2065" spans="1:9" x14ac:dyDescent="0.2">
      <c r="A2065"/>
      <c r="B2065"/>
      <c r="C2065"/>
      <c r="D2065"/>
      <c r="E2065"/>
      <c r="F2065"/>
      <c r="G2065"/>
      <c r="H2065"/>
      <c r="I2065"/>
    </row>
    <row r="2066" spans="1:9" x14ac:dyDescent="0.2">
      <c r="A2066"/>
      <c r="B2066"/>
      <c r="C2066"/>
      <c r="D2066"/>
      <c r="E2066"/>
      <c r="F2066"/>
      <c r="G2066"/>
      <c r="H2066"/>
      <c r="I2066"/>
    </row>
    <row r="2067" spans="1:9" x14ac:dyDescent="0.2">
      <c r="A2067"/>
      <c r="B2067"/>
      <c r="C2067"/>
      <c r="D2067"/>
      <c r="E2067"/>
      <c r="F2067"/>
      <c r="G2067"/>
      <c r="H2067"/>
      <c r="I2067"/>
    </row>
    <row r="2068" spans="1:9" x14ac:dyDescent="0.2">
      <c r="A2068"/>
      <c r="B2068"/>
      <c r="C2068"/>
      <c r="D2068"/>
      <c r="E2068"/>
      <c r="F2068"/>
      <c r="G2068"/>
      <c r="H2068"/>
      <c r="I2068"/>
    </row>
    <row r="2069" spans="1:9" x14ac:dyDescent="0.2">
      <c r="A2069"/>
      <c r="B2069"/>
      <c r="C2069"/>
      <c r="D2069"/>
      <c r="E2069"/>
      <c r="F2069"/>
      <c r="G2069"/>
      <c r="H2069"/>
      <c r="I2069"/>
    </row>
    <row r="2070" spans="1:9" x14ac:dyDescent="0.2">
      <c r="A2070"/>
      <c r="B2070"/>
      <c r="C2070"/>
      <c r="D2070"/>
      <c r="E2070"/>
      <c r="F2070"/>
      <c r="G2070"/>
      <c r="H2070"/>
      <c r="I2070"/>
    </row>
    <row r="2071" spans="1:9" x14ac:dyDescent="0.2">
      <c r="A2071"/>
      <c r="B2071"/>
      <c r="C2071"/>
      <c r="D2071"/>
      <c r="E2071"/>
      <c r="F2071"/>
      <c r="G2071"/>
      <c r="H2071"/>
      <c r="I2071"/>
    </row>
    <row r="2072" spans="1:9" x14ac:dyDescent="0.2">
      <c r="A2072"/>
      <c r="B2072"/>
      <c r="C2072"/>
      <c r="D2072"/>
      <c r="E2072"/>
      <c r="F2072"/>
      <c r="G2072"/>
      <c r="H2072"/>
      <c r="I2072"/>
    </row>
    <row r="2073" spans="1:9" x14ac:dyDescent="0.2">
      <c r="A2073"/>
      <c r="B2073"/>
      <c r="C2073"/>
      <c r="D2073"/>
      <c r="E2073"/>
      <c r="F2073"/>
      <c r="G2073"/>
      <c r="H2073"/>
      <c r="I2073"/>
    </row>
    <row r="2074" spans="1:9" x14ac:dyDescent="0.2">
      <c r="A2074"/>
      <c r="B2074"/>
      <c r="C2074"/>
      <c r="D2074"/>
      <c r="E2074"/>
      <c r="F2074"/>
      <c r="G2074"/>
      <c r="H2074"/>
      <c r="I2074"/>
    </row>
    <row r="2075" spans="1:9" x14ac:dyDescent="0.2">
      <c r="A2075"/>
      <c r="B2075"/>
      <c r="C2075"/>
      <c r="D2075"/>
      <c r="E2075"/>
      <c r="F2075"/>
      <c r="G2075"/>
      <c r="H2075"/>
      <c r="I2075"/>
    </row>
    <row r="2076" spans="1:9" x14ac:dyDescent="0.2">
      <c r="A2076"/>
      <c r="B2076"/>
      <c r="C2076"/>
      <c r="D2076"/>
      <c r="E2076"/>
      <c r="F2076"/>
      <c r="G2076"/>
      <c r="H2076"/>
      <c r="I2076"/>
    </row>
    <row r="2077" spans="1:9" x14ac:dyDescent="0.2">
      <c r="A2077"/>
      <c r="B2077"/>
      <c r="C2077"/>
      <c r="D2077"/>
      <c r="E2077"/>
      <c r="F2077"/>
      <c r="G2077"/>
      <c r="H2077"/>
      <c r="I2077"/>
    </row>
    <row r="2078" spans="1:9" x14ac:dyDescent="0.2">
      <c r="A2078"/>
      <c r="B2078"/>
      <c r="C2078"/>
      <c r="D2078"/>
      <c r="E2078"/>
      <c r="F2078"/>
      <c r="G2078"/>
      <c r="H2078"/>
      <c r="I2078"/>
    </row>
    <row r="2079" spans="1:9" x14ac:dyDescent="0.2">
      <c r="A2079"/>
      <c r="B2079"/>
      <c r="C2079"/>
      <c r="D2079"/>
      <c r="E2079"/>
      <c r="F2079"/>
      <c r="G2079"/>
      <c r="H2079"/>
      <c r="I2079"/>
    </row>
    <row r="2080" spans="1:9" x14ac:dyDescent="0.2">
      <c r="A2080"/>
      <c r="B2080"/>
      <c r="C2080"/>
      <c r="D2080"/>
      <c r="E2080"/>
      <c r="F2080"/>
      <c r="G2080"/>
      <c r="H2080"/>
      <c r="I2080"/>
    </row>
    <row r="2081" spans="1:9" x14ac:dyDescent="0.2">
      <c r="A2081"/>
      <c r="B2081"/>
      <c r="C2081"/>
      <c r="D2081"/>
      <c r="E2081"/>
      <c r="F2081"/>
      <c r="G2081"/>
      <c r="H2081"/>
      <c r="I2081"/>
    </row>
    <row r="2082" spans="1:9" x14ac:dyDescent="0.2">
      <c r="A2082"/>
      <c r="B2082"/>
      <c r="C2082"/>
      <c r="D2082"/>
      <c r="E2082"/>
      <c r="F2082"/>
      <c r="G2082"/>
      <c r="H2082"/>
      <c r="I2082"/>
    </row>
    <row r="2083" spans="1:9" x14ac:dyDescent="0.2">
      <c r="A2083"/>
      <c r="B2083"/>
      <c r="C2083"/>
      <c r="D2083"/>
      <c r="E2083"/>
      <c r="F2083"/>
      <c r="G2083"/>
      <c r="H2083"/>
      <c r="I2083"/>
    </row>
    <row r="2084" spans="1:9" x14ac:dyDescent="0.2">
      <c r="A2084"/>
      <c r="B2084"/>
      <c r="C2084"/>
      <c r="D2084"/>
      <c r="E2084"/>
      <c r="F2084"/>
      <c r="G2084"/>
      <c r="H2084"/>
      <c r="I2084"/>
    </row>
    <row r="2085" spans="1:9" x14ac:dyDescent="0.2">
      <c r="A2085"/>
      <c r="B2085"/>
      <c r="C2085"/>
      <c r="D2085"/>
      <c r="E2085"/>
      <c r="F2085"/>
      <c r="G2085"/>
      <c r="H2085"/>
      <c r="I2085"/>
    </row>
    <row r="2086" spans="1:9" x14ac:dyDescent="0.2">
      <c r="A2086"/>
      <c r="B2086"/>
      <c r="C2086"/>
      <c r="D2086"/>
      <c r="E2086"/>
      <c r="F2086"/>
      <c r="G2086"/>
      <c r="H2086"/>
      <c r="I2086"/>
    </row>
    <row r="2087" spans="1:9" x14ac:dyDescent="0.2">
      <c r="A2087"/>
      <c r="B2087"/>
      <c r="C2087"/>
      <c r="D2087"/>
      <c r="E2087"/>
      <c r="F2087"/>
      <c r="G2087"/>
      <c r="H2087"/>
      <c r="I2087"/>
    </row>
    <row r="2088" spans="1:9" x14ac:dyDescent="0.2">
      <c r="A2088"/>
      <c r="B2088"/>
      <c r="C2088"/>
      <c r="D2088"/>
      <c r="E2088"/>
      <c r="F2088"/>
      <c r="G2088"/>
      <c r="H2088"/>
      <c r="I2088"/>
    </row>
    <row r="2089" spans="1:9" x14ac:dyDescent="0.2">
      <c r="A2089"/>
      <c r="B2089"/>
      <c r="C2089"/>
      <c r="D2089"/>
      <c r="E2089"/>
      <c r="F2089"/>
      <c r="G2089"/>
      <c r="H2089"/>
      <c r="I2089"/>
    </row>
    <row r="2090" spans="1:9" x14ac:dyDescent="0.2">
      <c r="A2090"/>
      <c r="B2090"/>
      <c r="C2090"/>
      <c r="D2090"/>
      <c r="E2090"/>
      <c r="F2090"/>
      <c r="G2090"/>
      <c r="H2090"/>
      <c r="I2090"/>
    </row>
    <row r="2091" spans="1:9" x14ac:dyDescent="0.2">
      <c r="A2091"/>
      <c r="B2091"/>
      <c r="C2091"/>
      <c r="D2091"/>
      <c r="E2091"/>
      <c r="F2091"/>
      <c r="G2091"/>
      <c r="H2091"/>
      <c r="I2091"/>
    </row>
    <row r="2092" spans="1:9" x14ac:dyDescent="0.2">
      <c r="A2092"/>
      <c r="B2092"/>
      <c r="C2092"/>
      <c r="D2092"/>
      <c r="E2092"/>
      <c r="F2092"/>
      <c r="G2092"/>
      <c r="H2092"/>
      <c r="I2092"/>
    </row>
    <row r="2093" spans="1:9" x14ac:dyDescent="0.2">
      <c r="A2093"/>
      <c r="B2093"/>
      <c r="C2093"/>
      <c r="D2093"/>
      <c r="E2093"/>
      <c r="F2093"/>
      <c r="G2093"/>
      <c r="H2093"/>
      <c r="I2093"/>
    </row>
    <row r="2094" spans="1:9" x14ac:dyDescent="0.2">
      <c r="A2094"/>
      <c r="B2094"/>
      <c r="C2094"/>
      <c r="D2094"/>
      <c r="E2094"/>
      <c r="F2094"/>
      <c r="G2094"/>
      <c r="H2094"/>
      <c r="I2094"/>
    </row>
    <row r="2095" spans="1:9" x14ac:dyDescent="0.2">
      <c r="A2095"/>
      <c r="B2095"/>
      <c r="C2095"/>
      <c r="D2095"/>
      <c r="E2095"/>
      <c r="F2095"/>
      <c r="G2095"/>
      <c r="H2095"/>
      <c r="I2095"/>
    </row>
    <row r="2096" spans="1:9" x14ac:dyDescent="0.2">
      <c r="A2096"/>
      <c r="B2096"/>
      <c r="C2096"/>
      <c r="D2096"/>
      <c r="E2096"/>
      <c r="F2096"/>
      <c r="G2096"/>
      <c r="H2096"/>
      <c r="I2096"/>
    </row>
    <row r="2097" spans="1:9" x14ac:dyDescent="0.2">
      <c r="A2097"/>
      <c r="B2097"/>
      <c r="C2097"/>
      <c r="D2097"/>
      <c r="E2097"/>
      <c r="F2097"/>
      <c r="G2097"/>
      <c r="H2097"/>
      <c r="I2097"/>
    </row>
    <row r="2098" spans="1:9" x14ac:dyDescent="0.2">
      <c r="A2098"/>
      <c r="B2098"/>
      <c r="C2098"/>
      <c r="D2098"/>
      <c r="E2098"/>
      <c r="F2098"/>
      <c r="G2098"/>
      <c r="H2098"/>
      <c r="I2098"/>
    </row>
    <row r="2099" spans="1:9" x14ac:dyDescent="0.2">
      <c r="A2099"/>
      <c r="B2099"/>
      <c r="C2099"/>
      <c r="D2099"/>
      <c r="E2099"/>
      <c r="F2099"/>
      <c r="G2099"/>
      <c r="H2099"/>
      <c r="I2099"/>
    </row>
    <row r="2100" spans="1:9" x14ac:dyDescent="0.2">
      <c r="A2100"/>
      <c r="B2100"/>
      <c r="C2100"/>
      <c r="D2100"/>
      <c r="E2100"/>
      <c r="F2100"/>
      <c r="G2100"/>
      <c r="H2100"/>
      <c r="I2100"/>
    </row>
    <row r="2101" spans="1:9" x14ac:dyDescent="0.2">
      <c r="A2101"/>
      <c r="B2101"/>
      <c r="C2101"/>
      <c r="D2101"/>
      <c r="E2101"/>
      <c r="F2101"/>
      <c r="G2101"/>
      <c r="H2101"/>
      <c r="I2101"/>
    </row>
    <row r="2102" spans="1:9" x14ac:dyDescent="0.2">
      <c r="A2102"/>
      <c r="B2102"/>
      <c r="C2102"/>
      <c r="D2102"/>
      <c r="E2102"/>
      <c r="F2102"/>
      <c r="G2102"/>
      <c r="H2102"/>
      <c r="I2102"/>
    </row>
    <row r="2103" spans="1:9" x14ac:dyDescent="0.2">
      <c r="A2103"/>
      <c r="B2103"/>
      <c r="C2103"/>
      <c r="D2103"/>
      <c r="E2103"/>
      <c r="F2103"/>
      <c r="G2103"/>
      <c r="H2103"/>
      <c r="I2103"/>
    </row>
    <row r="2104" spans="1:9" x14ac:dyDescent="0.2">
      <c r="A2104"/>
      <c r="B2104"/>
      <c r="C2104"/>
      <c r="D2104"/>
      <c r="E2104"/>
      <c r="F2104"/>
      <c r="G2104"/>
      <c r="H2104"/>
      <c r="I2104"/>
    </row>
    <row r="2105" spans="1:9" x14ac:dyDescent="0.2">
      <c r="A2105"/>
      <c r="B2105"/>
      <c r="C2105"/>
      <c r="D2105"/>
      <c r="E2105"/>
      <c r="F2105"/>
      <c r="G2105"/>
      <c r="H2105"/>
      <c r="I2105"/>
    </row>
    <row r="2106" spans="1:9" x14ac:dyDescent="0.2">
      <c r="A2106"/>
      <c r="B2106"/>
      <c r="C2106"/>
      <c r="D2106"/>
      <c r="E2106"/>
      <c r="F2106"/>
      <c r="G2106"/>
      <c r="H2106"/>
      <c r="I2106"/>
    </row>
    <row r="2107" spans="1:9" x14ac:dyDescent="0.2">
      <c r="A2107"/>
      <c r="B2107"/>
      <c r="C2107"/>
      <c r="D2107"/>
      <c r="E2107"/>
      <c r="F2107"/>
      <c r="G2107"/>
      <c r="H2107"/>
      <c r="I2107"/>
    </row>
    <row r="2108" spans="1:9" x14ac:dyDescent="0.2">
      <c r="A2108"/>
      <c r="B2108"/>
      <c r="C2108"/>
      <c r="D2108"/>
      <c r="E2108"/>
      <c r="F2108"/>
      <c r="G2108"/>
      <c r="H2108"/>
      <c r="I2108"/>
    </row>
    <row r="2109" spans="1:9" x14ac:dyDescent="0.2">
      <c r="A2109"/>
      <c r="B2109"/>
      <c r="C2109"/>
      <c r="D2109"/>
      <c r="E2109"/>
      <c r="F2109"/>
      <c r="G2109"/>
      <c r="H2109"/>
      <c r="I2109"/>
    </row>
    <row r="2110" spans="1:9" x14ac:dyDescent="0.2">
      <c r="A2110"/>
      <c r="B2110"/>
      <c r="C2110"/>
      <c r="D2110"/>
      <c r="E2110"/>
      <c r="F2110"/>
      <c r="G2110"/>
      <c r="H2110"/>
      <c r="I2110"/>
    </row>
    <row r="2111" spans="1:9" x14ac:dyDescent="0.2">
      <c r="A2111"/>
      <c r="B2111"/>
      <c r="C2111"/>
      <c r="D2111"/>
      <c r="E2111"/>
      <c r="F2111"/>
      <c r="G2111"/>
      <c r="H2111"/>
      <c r="I2111"/>
    </row>
    <row r="2112" spans="1:9" x14ac:dyDescent="0.2">
      <c r="A2112"/>
      <c r="B2112"/>
      <c r="C2112"/>
      <c r="D2112"/>
      <c r="E2112"/>
      <c r="F2112"/>
      <c r="G2112"/>
      <c r="H2112"/>
      <c r="I2112"/>
    </row>
    <row r="2113" spans="1:9" x14ac:dyDescent="0.2">
      <c r="A2113"/>
      <c r="B2113"/>
      <c r="C2113"/>
      <c r="D2113"/>
      <c r="E2113"/>
      <c r="F2113"/>
      <c r="G2113"/>
      <c r="H2113"/>
      <c r="I2113"/>
    </row>
    <row r="2114" spans="1:9" x14ac:dyDescent="0.2">
      <c r="A2114"/>
      <c r="B2114"/>
      <c r="C2114"/>
      <c r="D2114"/>
      <c r="E2114"/>
      <c r="F2114"/>
      <c r="G2114"/>
      <c r="H2114"/>
      <c r="I2114"/>
    </row>
    <row r="2115" spans="1:9" x14ac:dyDescent="0.2">
      <c r="A2115"/>
      <c r="B2115"/>
      <c r="C2115"/>
      <c r="D2115"/>
      <c r="E2115"/>
      <c r="F2115"/>
      <c r="G2115"/>
      <c r="H2115"/>
      <c r="I2115"/>
    </row>
    <row r="2116" spans="1:9" x14ac:dyDescent="0.2">
      <c r="A2116"/>
      <c r="B2116"/>
      <c r="C2116"/>
      <c r="D2116"/>
      <c r="E2116"/>
      <c r="F2116"/>
      <c r="G2116"/>
      <c r="H2116"/>
      <c r="I2116"/>
    </row>
    <row r="2117" spans="1:9" x14ac:dyDescent="0.2">
      <c r="A2117"/>
      <c r="B2117"/>
      <c r="C2117"/>
      <c r="D2117"/>
      <c r="E2117"/>
      <c r="F2117"/>
      <c r="G2117"/>
      <c r="H2117"/>
      <c r="I2117"/>
    </row>
    <row r="2118" spans="1:9" x14ac:dyDescent="0.2">
      <c r="A2118"/>
      <c r="B2118"/>
      <c r="C2118"/>
      <c r="D2118"/>
      <c r="E2118"/>
      <c r="F2118"/>
      <c r="G2118"/>
      <c r="H2118"/>
      <c r="I2118"/>
    </row>
    <row r="2119" spans="1:9" x14ac:dyDescent="0.2">
      <c r="A2119"/>
      <c r="B2119"/>
      <c r="C2119"/>
      <c r="D2119"/>
      <c r="E2119"/>
      <c r="F2119"/>
      <c r="G2119"/>
      <c r="H2119"/>
      <c r="I2119"/>
    </row>
    <row r="2120" spans="1:9" x14ac:dyDescent="0.2">
      <c r="A2120"/>
      <c r="B2120"/>
      <c r="C2120"/>
      <c r="D2120"/>
      <c r="E2120"/>
      <c r="F2120"/>
      <c r="G2120"/>
      <c r="H2120"/>
      <c r="I2120"/>
    </row>
    <row r="2121" spans="1:9" x14ac:dyDescent="0.2">
      <c r="A2121"/>
      <c r="B2121"/>
      <c r="C2121"/>
      <c r="D2121"/>
      <c r="E2121"/>
      <c r="F2121"/>
      <c r="G2121"/>
      <c r="H2121"/>
      <c r="I2121"/>
    </row>
    <row r="2122" spans="1:9" x14ac:dyDescent="0.2">
      <c r="A2122"/>
      <c r="B2122"/>
      <c r="C2122"/>
      <c r="D2122"/>
      <c r="E2122"/>
      <c r="F2122"/>
      <c r="G2122"/>
      <c r="H2122"/>
      <c r="I2122"/>
    </row>
    <row r="2123" spans="1:9" x14ac:dyDescent="0.2">
      <c r="A2123"/>
      <c r="B2123"/>
      <c r="C2123"/>
      <c r="D2123"/>
      <c r="E2123"/>
      <c r="F2123"/>
      <c r="G2123"/>
      <c r="H2123"/>
      <c r="I2123"/>
    </row>
    <row r="2124" spans="1:9" x14ac:dyDescent="0.2">
      <c r="A2124"/>
      <c r="B2124"/>
      <c r="C2124"/>
      <c r="D2124"/>
      <c r="E2124"/>
      <c r="F2124"/>
      <c r="G2124"/>
      <c r="H2124"/>
      <c r="I2124"/>
    </row>
    <row r="2125" spans="1:9" x14ac:dyDescent="0.2">
      <c r="A2125"/>
      <c r="B2125"/>
      <c r="C2125"/>
      <c r="D2125"/>
      <c r="E2125"/>
      <c r="F2125"/>
      <c r="G2125"/>
      <c r="H2125"/>
      <c r="I2125"/>
    </row>
    <row r="2126" spans="1:9" x14ac:dyDescent="0.2">
      <c r="A2126"/>
      <c r="B2126"/>
      <c r="C2126"/>
      <c r="D2126"/>
      <c r="E2126"/>
      <c r="F2126"/>
      <c r="G2126"/>
      <c r="H2126"/>
      <c r="I2126"/>
    </row>
    <row r="2127" spans="1:9" x14ac:dyDescent="0.2">
      <c r="A2127"/>
      <c r="B2127"/>
      <c r="C2127"/>
      <c r="D2127"/>
      <c r="E2127"/>
      <c r="F2127"/>
      <c r="G2127"/>
      <c r="H2127"/>
      <c r="I2127"/>
    </row>
    <row r="2128" spans="1:9" x14ac:dyDescent="0.2">
      <c r="A2128"/>
      <c r="B2128"/>
      <c r="C2128"/>
      <c r="D2128"/>
      <c r="E2128"/>
      <c r="F2128"/>
      <c r="G2128"/>
      <c r="H2128"/>
      <c r="I2128"/>
    </row>
    <row r="2129" spans="1:9" x14ac:dyDescent="0.2">
      <c r="A2129"/>
      <c r="B2129"/>
      <c r="C2129"/>
      <c r="D2129"/>
      <c r="E2129"/>
      <c r="F2129"/>
      <c r="G2129"/>
      <c r="H2129"/>
      <c r="I2129"/>
    </row>
    <row r="2130" spans="1:9" x14ac:dyDescent="0.2">
      <c r="A2130"/>
      <c r="B2130"/>
      <c r="C2130"/>
      <c r="D2130"/>
      <c r="E2130"/>
      <c r="F2130"/>
      <c r="G2130"/>
      <c r="H2130"/>
      <c r="I2130"/>
    </row>
    <row r="2131" spans="1:9" x14ac:dyDescent="0.2">
      <c r="A2131"/>
      <c r="B2131"/>
      <c r="C2131"/>
      <c r="D2131"/>
      <c r="E2131"/>
      <c r="F2131"/>
      <c r="G2131"/>
      <c r="H2131"/>
      <c r="I2131"/>
    </row>
    <row r="2132" spans="1:9" x14ac:dyDescent="0.2">
      <c r="A2132"/>
      <c r="B2132"/>
      <c r="C2132"/>
      <c r="D2132"/>
      <c r="E2132"/>
      <c r="F2132"/>
      <c r="G2132"/>
      <c r="H2132"/>
      <c r="I2132"/>
    </row>
    <row r="2133" spans="1:9" x14ac:dyDescent="0.2">
      <c r="A2133"/>
      <c r="B2133"/>
      <c r="C2133"/>
      <c r="D2133"/>
      <c r="E2133"/>
      <c r="F2133"/>
      <c r="G2133"/>
      <c r="H2133"/>
      <c r="I2133"/>
    </row>
    <row r="2134" spans="1:9" x14ac:dyDescent="0.2">
      <c r="A2134"/>
      <c r="B2134"/>
      <c r="C2134"/>
      <c r="D2134"/>
      <c r="E2134"/>
      <c r="F2134"/>
      <c r="G2134"/>
      <c r="H2134"/>
      <c r="I2134"/>
    </row>
    <row r="2135" spans="1:9" x14ac:dyDescent="0.2">
      <c r="A2135"/>
      <c r="B2135"/>
      <c r="C2135"/>
      <c r="D2135"/>
      <c r="E2135"/>
      <c r="F2135"/>
      <c r="G2135"/>
      <c r="H2135"/>
      <c r="I2135"/>
    </row>
    <row r="2136" spans="1:9" x14ac:dyDescent="0.2">
      <c r="A2136"/>
      <c r="B2136"/>
      <c r="C2136"/>
      <c r="D2136"/>
      <c r="E2136"/>
      <c r="F2136"/>
      <c r="G2136"/>
      <c r="H2136"/>
      <c r="I2136"/>
    </row>
    <row r="2137" spans="1:9" x14ac:dyDescent="0.2">
      <c r="A2137"/>
      <c r="B2137"/>
      <c r="C2137"/>
      <c r="D2137"/>
      <c r="E2137"/>
      <c r="F2137"/>
      <c r="G2137"/>
      <c r="H2137"/>
      <c r="I2137"/>
    </row>
    <row r="2138" spans="1:9" x14ac:dyDescent="0.2">
      <c r="A2138"/>
      <c r="B2138"/>
      <c r="C2138"/>
      <c r="D2138"/>
      <c r="E2138"/>
      <c r="F2138"/>
      <c r="G2138"/>
      <c r="H2138"/>
      <c r="I2138"/>
    </row>
    <row r="2139" spans="1:9" x14ac:dyDescent="0.2">
      <c r="A2139"/>
      <c r="B2139"/>
      <c r="C2139"/>
      <c r="D2139"/>
      <c r="E2139"/>
      <c r="F2139"/>
      <c r="G2139"/>
      <c r="H2139"/>
      <c r="I2139"/>
    </row>
    <row r="2140" spans="1:9" x14ac:dyDescent="0.2">
      <c r="A2140"/>
      <c r="B2140"/>
      <c r="C2140"/>
      <c r="D2140"/>
      <c r="E2140"/>
      <c r="F2140"/>
      <c r="G2140"/>
      <c r="H2140"/>
      <c r="I2140"/>
    </row>
    <row r="2141" spans="1:9" x14ac:dyDescent="0.2">
      <c r="A2141"/>
      <c r="B2141"/>
      <c r="C2141"/>
      <c r="D2141"/>
      <c r="E2141"/>
      <c r="F2141"/>
      <c r="G2141"/>
      <c r="H2141"/>
      <c r="I2141"/>
    </row>
    <row r="2142" spans="1:9" x14ac:dyDescent="0.2">
      <c r="A2142"/>
      <c r="B2142"/>
      <c r="C2142"/>
      <c r="D2142"/>
      <c r="E2142"/>
      <c r="F2142"/>
      <c r="G2142"/>
      <c r="H2142"/>
      <c r="I2142"/>
    </row>
    <row r="2143" spans="1:9" x14ac:dyDescent="0.2">
      <c r="A2143"/>
      <c r="B2143"/>
      <c r="C2143"/>
      <c r="D2143"/>
      <c r="E2143"/>
      <c r="F2143"/>
      <c r="G2143"/>
      <c r="H2143"/>
      <c r="I2143"/>
    </row>
    <row r="2144" spans="1:9" x14ac:dyDescent="0.2">
      <c r="A2144"/>
      <c r="B2144"/>
      <c r="C2144"/>
      <c r="D2144"/>
      <c r="E2144"/>
      <c r="F2144"/>
      <c r="G2144"/>
      <c r="H2144"/>
      <c r="I2144"/>
    </row>
    <row r="2145" spans="1:9" x14ac:dyDescent="0.2">
      <c r="A2145"/>
      <c r="B2145"/>
      <c r="C2145"/>
      <c r="D2145"/>
      <c r="E2145"/>
      <c r="F2145"/>
      <c r="G2145"/>
      <c r="H2145"/>
      <c r="I2145"/>
    </row>
    <row r="2146" spans="1:9" x14ac:dyDescent="0.2">
      <c r="A2146"/>
      <c r="B2146"/>
      <c r="C2146"/>
      <c r="D2146"/>
      <c r="E2146"/>
      <c r="F2146"/>
      <c r="G2146"/>
      <c r="H2146"/>
      <c r="I2146"/>
    </row>
    <row r="2147" spans="1:9" x14ac:dyDescent="0.2">
      <c r="A2147"/>
      <c r="B2147"/>
      <c r="C2147"/>
      <c r="D2147"/>
      <c r="E2147"/>
      <c r="F2147"/>
      <c r="G2147"/>
      <c r="H2147"/>
      <c r="I2147"/>
    </row>
    <row r="2148" spans="1:9" x14ac:dyDescent="0.2">
      <c r="A2148"/>
      <c r="B2148"/>
      <c r="C2148"/>
      <c r="D2148"/>
      <c r="E2148"/>
      <c r="F2148"/>
      <c r="G2148"/>
      <c r="H2148"/>
      <c r="I2148"/>
    </row>
    <row r="2149" spans="1:9" x14ac:dyDescent="0.2">
      <c r="A2149"/>
      <c r="B2149"/>
      <c r="C2149"/>
      <c r="D2149"/>
      <c r="E2149"/>
      <c r="F2149"/>
      <c r="G2149"/>
      <c r="H2149"/>
      <c r="I2149"/>
    </row>
    <row r="2150" spans="1:9" x14ac:dyDescent="0.2">
      <c r="A2150"/>
      <c r="B2150"/>
      <c r="C2150"/>
      <c r="D2150"/>
      <c r="E2150"/>
      <c r="F2150"/>
      <c r="G2150"/>
      <c r="H2150"/>
      <c r="I2150"/>
    </row>
    <row r="2151" spans="1:9" x14ac:dyDescent="0.2">
      <c r="A2151"/>
      <c r="B2151"/>
      <c r="C2151"/>
      <c r="D2151"/>
      <c r="E2151"/>
      <c r="F2151"/>
      <c r="G2151"/>
      <c r="H2151"/>
      <c r="I2151"/>
    </row>
    <row r="2152" spans="1:9" x14ac:dyDescent="0.2">
      <c r="A2152"/>
      <c r="B2152"/>
      <c r="C2152"/>
      <c r="D2152"/>
      <c r="E2152"/>
      <c r="F2152"/>
      <c r="G2152"/>
      <c r="H2152"/>
      <c r="I2152"/>
    </row>
    <row r="2153" spans="1:9" x14ac:dyDescent="0.2">
      <c r="A2153"/>
      <c r="B2153"/>
      <c r="C2153"/>
      <c r="D2153"/>
      <c r="E2153"/>
      <c r="F2153"/>
      <c r="G2153"/>
      <c r="H2153"/>
      <c r="I2153"/>
    </row>
    <row r="2154" spans="1:9" x14ac:dyDescent="0.2">
      <c r="A2154"/>
      <c r="B2154"/>
      <c r="C2154"/>
      <c r="D2154"/>
      <c r="E2154"/>
      <c r="F2154"/>
      <c r="G2154"/>
      <c r="H2154"/>
      <c r="I2154"/>
    </row>
    <row r="2155" spans="1:9" x14ac:dyDescent="0.2">
      <c r="A2155"/>
      <c r="B2155"/>
      <c r="C2155"/>
      <c r="D2155"/>
      <c r="E2155"/>
      <c r="F2155"/>
      <c r="G2155"/>
      <c r="H2155"/>
      <c r="I2155"/>
    </row>
    <row r="2156" spans="1:9" x14ac:dyDescent="0.2">
      <c r="A2156"/>
      <c r="B2156"/>
      <c r="C2156"/>
      <c r="D2156"/>
      <c r="E2156"/>
      <c r="F2156"/>
      <c r="G2156"/>
      <c r="H2156"/>
      <c r="I2156"/>
    </row>
    <row r="2157" spans="1:9" x14ac:dyDescent="0.2">
      <c r="A2157"/>
      <c r="B2157"/>
      <c r="C2157"/>
      <c r="D2157"/>
      <c r="E2157"/>
      <c r="F2157"/>
      <c r="G2157"/>
      <c r="H2157"/>
      <c r="I2157"/>
    </row>
    <row r="2158" spans="1:9" x14ac:dyDescent="0.2">
      <c r="A2158"/>
      <c r="B2158"/>
      <c r="C2158"/>
      <c r="D2158"/>
      <c r="E2158"/>
      <c r="F2158"/>
      <c r="G2158"/>
      <c r="H2158"/>
      <c r="I2158"/>
    </row>
    <row r="2159" spans="1:9" x14ac:dyDescent="0.2">
      <c r="A2159"/>
      <c r="B2159"/>
      <c r="C2159"/>
      <c r="D2159"/>
      <c r="E2159"/>
      <c r="F2159"/>
      <c r="G2159"/>
      <c r="H2159"/>
      <c r="I2159"/>
    </row>
    <row r="2160" spans="1:9" x14ac:dyDescent="0.2">
      <c r="A2160"/>
      <c r="B2160"/>
      <c r="C2160"/>
      <c r="D2160"/>
      <c r="E2160"/>
      <c r="F2160"/>
      <c r="G2160"/>
      <c r="H2160"/>
      <c r="I2160"/>
    </row>
    <row r="2161" spans="1:9" x14ac:dyDescent="0.2">
      <c r="A2161"/>
      <c r="B2161"/>
      <c r="C2161"/>
      <c r="D2161"/>
      <c r="E2161"/>
      <c r="F2161"/>
      <c r="G2161"/>
      <c r="H2161"/>
      <c r="I2161"/>
    </row>
    <row r="2162" spans="1:9" x14ac:dyDescent="0.2">
      <c r="A2162"/>
      <c r="B2162"/>
      <c r="C2162"/>
      <c r="D2162"/>
      <c r="E2162"/>
      <c r="F2162"/>
      <c r="G2162"/>
      <c r="H2162"/>
      <c r="I2162"/>
    </row>
    <row r="2163" spans="1:9" x14ac:dyDescent="0.2">
      <c r="A2163"/>
      <c r="B2163"/>
      <c r="C2163"/>
      <c r="D2163"/>
      <c r="E2163"/>
      <c r="F2163"/>
      <c r="G2163"/>
      <c r="H2163"/>
      <c r="I2163"/>
    </row>
    <row r="2164" spans="1:9" x14ac:dyDescent="0.2">
      <c r="A2164"/>
      <c r="B2164"/>
      <c r="C2164"/>
      <c r="D2164"/>
      <c r="E2164"/>
      <c r="F2164"/>
      <c r="G2164"/>
      <c r="H2164"/>
      <c r="I2164"/>
    </row>
    <row r="2165" spans="1:9" x14ac:dyDescent="0.2">
      <c r="A2165"/>
      <c r="B2165"/>
      <c r="C2165"/>
      <c r="D2165"/>
      <c r="E2165"/>
      <c r="F2165"/>
      <c r="G2165"/>
      <c r="H2165"/>
      <c r="I2165"/>
    </row>
    <row r="2166" spans="1:9" x14ac:dyDescent="0.2">
      <c r="A2166"/>
      <c r="B2166"/>
      <c r="C2166"/>
      <c r="D2166"/>
      <c r="E2166"/>
      <c r="F2166"/>
      <c r="G2166"/>
      <c r="H2166"/>
      <c r="I2166"/>
    </row>
    <row r="2167" spans="1:9" x14ac:dyDescent="0.2">
      <c r="A2167"/>
      <c r="B2167"/>
      <c r="C2167"/>
      <c r="D2167"/>
      <c r="E2167"/>
      <c r="F2167"/>
      <c r="G2167"/>
      <c r="H2167"/>
      <c r="I2167"/>
    </row>
    <row r="2168" spans="1:9" x14ac:dyDescent="0.2">
      <c r="A2168"/>
      <c r="B2168"/>
      <c r="C2168"/>
      <c r="D2168"/>
      <c r="E2168"/>
      <c r="F2168"/>
      <c r="G2168"/>
      <c r="H2168"/>
      <c r="I2168"/>
    </row>
    <row r="2169" spans="1:9" x14ac:dyDescent="0.2">
      <c r="A2169"/>
      <c r="B2169"/>
      <c r="C2169"/>
      <c r="D2169"/>
      <c r="E2169"/>
      <c r="F2169"/>
      <c r="G2169"/>
      <c r="H2169"/>
      <c r="I2169"/>
    </row>
    <row r="2170" spans="1:9" x14ac:dyDescent="0.2">
      <c r="A2170"/>
      <c r="B2170"/>
      <c r="C2170"/>
      <c r="D2170"/>
      <c r="E2170"/>
      <c r="F2170"/>
      <c r="G2170"/>
      <c r="H2170"/>
      <c r="I2170"/>
    </row>
    <row r="2171" spans="1:9" x14ac:dyDescent="0.2">
      <c r="A2171"/>
      <c r="B2171"/>
      <c r="C2171"/>
      <c r="D2171"/>
      <c r="E2171"/>
      <c r="F2171"/>
      <c r="G2171"/>
      <c r="H2171"/>
      <c r="I2171"/>
    </row>
    <row r="2172" spans="1:9" x14ac:dyDescent="0.2">
      <c r="A2172"/>
      <c r="B2172"/>
      <c r="C2172"/>
      <c r="D2172"/>
      <c r="E2172"/>
      <c r="F2172"/>
      <c r="G2172"/>
      <c r="H2172"/>
      <c r="I2172"/>
    </row>
    <row r="2173" spans="1:9" x14ac:dyDescent="0.2">
      <c r="A2173"/>
      <c r="B2173"/>
      <c r="C2173"/>
      <c r="D2173"/>
      <c r="E2173"/>
      <c r="F2173"/>
      <c r="G2173"/>
      <c r="H2173"/>
      <c r="I2173"/>
    </row>
    <row r="2174" spans="1:9" x14ac:dyDescent="0.2">
      <c r="A2174"/>
      <c r="B2174"/>
      <c r="C2174"/>
      <c r="D2174"/>
      <c r="E2174"/>
      <c r="F2174"/>
      <c r="G2174"/>
      <c r="H2174"/>
      <c r="I2174"/>
    </row>
    <row r="2175" spans="1:9" x14ac:dyDescent="0.2">
      <c r="A2175"/>
      <c r="B2175"/>
      <c r="C2175"/>
      <c r="D2175"/>
      <c r="E2175"/>
      <c r="F2175"/>
      <c r="G2175"/>
      <c r="H2175"/>
      <c r="I2175"/>
    </row>
    <row r="2176" spans="1:9" x14ac:dyDescent="0.2">
      <c r="A2176"/>
      <c r="B2176"/>
      <c r="C2176"/>
      <c r="D2176"/>
      <c r="E2176"/>
      <c r="F2176"/>
      <c r="G2176"/>
      <c r="H2176"/>
      <c r="I2176"/>
    </row>
    <row r="2177" spans="1:9" x14ac:dyDescent="0.2">
      <c r="A2177"/>
      <c r="B2177"/>
      <c r="C2177"/>
      <c r="D2177"/>
      <c r="E2177"/>
      <c r="F2177"/>
      <c r="G2177"/>
      <c r="H2177"/>
      <c r="I2177"/>
    </row>
    <row r="2178" spans="1:9" x14ac:dyDescent="0.2">
      <c r="A2178"/>
      <c r="B2178"/>
      <c r="C2178"/>
      <c r="D2178"/>
      <c r="E2178"/>
      <c r="F2178"/>
      <c r="G2178"/>
      <c r="H2178"/>
      <c r="I2178"/>
    </row>
    <row r="2179" spans="1:9" x14ac:dyDescent="0.2">
      <c r="A2179"/>
      <c r="B2179"/>
      <c r="C2179"/>
      <c r="D2179"/>
      <c r="E2179"/>
      <c r="F2179"/>
      <c r="G2179"/>
      <c r="H2179"/>
      <c r="I2179"/>
    </row>
    <row r="2180" spans="1:9" x14ac:dyDescent="0.2">
      <c r="A2180"/>
      <c r="B2180"/>
      <c r="C2180"/>
      <c r="D2180"/>
      <c r="E2180"/>
      <c r="F2180"/>
      <c r="G2180"/>
      <c r="H2180"/>
      <c r="I2180"/>
    </row>
    <row r="2181" spans="1:9" x14ac:dyDescent="0.2">
      <c r="A2181"/>
      <c r="B2181"/>
      <c r="C2181"/>
      <c r="D2181"/>
      <c r="E2181"/>
      <c r="F2181"/>
      <c r="G2181"/>
      <c r="H2181"/>
      <c r="I2181"/>
    </row>
    <row r="2182" spans="1:9" x14ac:dyDescent="0.2">
      <c r="A2182"/>
      <c r="B2182"/>
      <c r="C2182"/>
      <c r="D2182"/>
      <c r="E2182"/>
      <c r="F2182"/>
      <c r="G2182"/>
      <c r="H2182"/>
      <c r="I2182"/>
    </row>
    <row r="2183" spans="1:9" x14ac:dyDescent="0.2">
      <c r="A2183"/>
      <c r="B2183"/>
      <c r="C2183"/>
      <c r="D2183"/>
      <c r="E2183"/>
      <c r="F2183"/>
      <c r="G2183"/>
      <c r="H2183"/>
      <c r="I2183"/>
    </row>
    <row r="2184" spans="1:9" x14ac:dyDescent="0.2">
      <c r="A2184"/>
      <c r="B2184"/>
      <c r="C2184"/>
      <c r="D2184"/>
      <c r="E2184"/>
      <c r="F2184"/>
      <c r="G2184"/>
      <c r="H2184"/>
      <c r="I2184"/>
    </row>
    <row r="2185" spans="1:9" x14ac:dyDescent="0.2">
      <c r="A2185"/>
      <c r="B2185"/>
      <c r="C2185"/>
      <c r="D2185"/>
      <c r="E2185"/>
      <c r="F2185"/>
      <c r="G2185"/>
      <c r="H2185"/>
      <c r="I2185"/>
    </row>
    <row r="2186" spans="1:9" x14ac:dyDescent="0.2">
      <c r="A2186"/>
      <c r="B2186"/>
      <c r="C2186"/>
      <c r="D2186"/>
      <c r="E2186"/>
      <c r="F2186"/>
      <c r="G2186"/>
      <c r="H2186"/>
      <c r="I2186"/>
    </row>
    <row r="2187" spans="1:9" x14ac:dyDescent="0.2">
      <c r="A2187"/>
      <c r="B2187"/>
      <c r="C2187"/>
      <c r="D2187"/>
      <c r="E2187"/>
      <c r="F2187"/>
      <c r="G2187"/>
      <c r="H2187"/>
      <c r="I2187"/>
    </row>
    <row r="2188" spans="1:9" x14ac:dyDescent="0.2">
      <c r="A2188"/>
      <c r="B2188"/>
      <c r="C2188"/>
      <c r="D2188"/>
      <c r="E2188"/>
      <c r="F2188"/>
      <c r="G2188"/>
      <c r="H2188"/>
      <c r="I2188"/>
    </row>
  </sheetData>
  <mergeCells count="8">
    <mergeCell ref="G277:G278"/>
    <mergeCell ref="A1:D1"/>
    <mergeCell ref="A8:D8"/>
    <mergeCell ref="A9:D9"/>
    <mergeCell ref="A10:A11"/>
    <mergeCell ref="B10:B11"/>
    <mergeCell ref="C10:C11"/>
    <mergeCell ref="D10:D11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D9A0-D7E7-4133-A543-2F7A0867433A}">
  <sheetPr>
    <tabColor rgb="FFFFFF00"/>
    <outlinePr summaryBelow="0"/>
  </sheetPr>
  <dimension ref="A1:I2465"/>
  <sheetViews>
    <sheetView showGridLines="0" zoomScale="130" zoomScaleNormal="130" workbookViewId="0">
      <pane ySplit="1" topLeftCell="A1220" activePane="bottomLeft" state="frozen"/>
      <selection activeCell="B525" sqref="B525"/>
      <selection pane="bottomLeft" activeCell="D1318" sqref="C1318:D1323"/>
    </sheetView>
  </sheetViews>
  <sheetFormatPr defaultRowHeight="15" outlineLevelRow="2" x14ac:dyDescent="0.25"/>
  <cols>
    <col min="1" max="1" width="2.140625" style="1072" customWidth="1"/>
    <col min="2" max="2" width="2" style="1072" customWidth="1"/>
    <col min="3" max="3" width="7.42578125" style="1072" customWidth="1"/>
    <col min="4" max="4" width="70.5703125" style="1107" customWidth="1"/>
    <col min="5" max="5" width="9.140625" style="1073" customWidth="1"/>
    <col min="6" max="6" width="10.140625" style="1074" customWidth="1"/>
    <col min="7" max="8" width="15.140625" style="1108" bestFit="1" customWidth="1"/>
    <col min="9" max="9" width="17.140625" style="1108" customWidth="1"/>
    <col min="10" max="16384" width="9.140625" style="1072"/>
  </cols>
  <sheetData>
    <row r="1" spans="1:9" x14ac:dyDescent="0.25">
      <c r="A1" s="1072" t="s">
        <v>1357</v>
      </c>
      <c r="B1" s="1072" t="s">
        <v>95</v>
      </c>
      <c r="C1" s="1072" t="s">
        <v>0</v>
      </c>
      <c r="D1" s="1073" t="s">
        <v>0</v>
      </c>
      <c r="E1" s="1073" t="s">
        <v>1358</v>
      </c>
      <c r="F1" s="1074" t="s">
        <v>110</v>
      </c>
      <c r="G1" s="1075" t="s">
        <v>1359</v>
      </c>
      <c r="H1" s="1075" t="s">
        <v>1360</v>
      </c>
      <c r="I1" s="1075" t="s">
        <v>465</v>
      </c>
    </row>
    <row r="2" spans="1:9" collapsed="1" x14ac:dyDescent="0.25">
      <c r="A2" s="1076">
        <f t="shared" ref="A2:A65" si="0">COUNTIFS($D$2:$D$2465,D2,$B$2:$B$2465,B2)</f>
        <v>1</v>
      </c>
      <c r="B2" s="1076" t="s">
        <v>469</v>
      </c>
      <c r="C2" s="1076"/>
      <c r="D2" s="1076" t="s">
        <v>1361</v>
      </c>
      <c r="E2" s="1077"/>
      <c r="F2" s="1076"/>
      <c r="G2" s="1078" t="str">
        <f>IF(B2="insumo",_xlfn.XLOOKUP($D2,Insumos!$B$1:$B$670,Insumos!$D$1:$D$670),"")</f>
        <v/>
      </c>
      <c r="H2" s="1078" t="str" cm="1">
        <f t="array" ref="H2">_xlfn.IFS(B2="Serviço",SUMIFS(H3:$H$2465,C3:$C$2465,$C2),B2="Insumo",F2*G2,B2="Etapa","")</f>
        <v/>
      </c>
      <c r="I2" s="1078"/>
    </row>
    <row r="3" spans="1:9" hidden="1" outlineLevel="1" collapsed="1" x14ac:dyDescent="0.25">
      <c r="A3" s="1079">
        <f t="shared" si="0"/>
        <v>1</v>
      </c>
      <c r="B3" s="1079" t="s">
        <v>471</v>
      </c>
      <c r="C3" s="1079" t="str">
        <f t="shared" ref="C3:C66" si="1">IF(B3="serviço",D3,C2)</f>
        <v>Central de aço</v>
      </c>
      <c r="D3" s="1079" t="s">
        <v>896</v>
      </c>
      <c r="E3" s="1080" t="s">
        <v>17</v>
      </c>
      <c r="F3" s="1079"/>
      <c r="G3" s="1081" t="str">
        <f>IF(B3="insumo",_xlfn.XLOOKUP($D3,Insumos!$B$1:$B$670,Insumos!$D$1:$D$670),"")</f>
        <v/>
      </c>
      <c r="H3" s="1081" cm="1">
        <f t="array" ref="H3">_xlfn.IFS(B3="Serviço",SUMIFS(H4:$H$2465,C4:$C$2465,$C3),B3="Insumo",F3*G3,B3="Etapa","")</f>
        <v>118.10449999999999</v>
      </c>
      <c r="I3" s="1082" t="s">
        <v>872</v>
      </c>
    </row>
    <row r="4" spans="1:9" hidden="1" outlineLevel="2" x14ac:dyDescent="0.25">
      <c r="A4" s="1079">
        <f t="shared" si="0"/>
        <v>3</v>
      </c>
      <c r="B4" s="1079" t="s">
        <v>1362</v>
      </c>
      <c r="C4" s="1079" t="str">
        <f t="shared" si="1"/>
        <v>Central de aço</v>
      </c>
      <c r="D4" s="1079" t="s">
        <v>1363</v>
      </c>
      <c r="E4" s="1080" t="str">
        <f>_xlfn.XLOOKUP(D4,Insumos!$B$1:$B$670,Insumos!$C$1:$C$670)</f>
        <v>M2</v>
      </c>
      <c r="F4" s="1083">
        <v>1</v>
      </c>
      <c r="G4" s="1081">
        <f>IF(B4="insumo",_xlfn.XLOOKUP($D4,Insumos!$B$1:$B$670,Insumos!$D$1:$D$670),"")</f>
        <v>1.25</v>
      </c>
      <c r="H4" s="1081" cm="1">
        <f t="array" ref="H4">_xlfn.IFS(B4="Serviço",SUMIFS(H5:$H$2465,C5:$C$2465,$C4),B4="Insumo",F4*G4,B4="Etapa","")</f>
        <v>1.25</v>
      </c>
      <c r="I4" s="1082"/>
    </row>
    <row r="5" spans="1:9" hidden="1" outlineLevel="2" x14ac:dyDescent="0.25">
      <c r="A5" s="1079">
        <f t="shared" si="0"/>
        <v>3</v>
      </c>
      <c r="B5" s="1079" t="s">
        <v>1362</v>
      </c>
      <c r="C5" s="1079" t="str">
        <f t="shared" si="1"/>
        <v>Central de aço</v>
      </c>
      <c r="D5" s="1079" t="s">
        <v>1364</v>
      </c>
      <c r="E5" s="1080" t="str">
        <f>_xlfn.XLOOKUP(D5,Insumos!$B$1:$B$670,Insumos!$C$1:$C$670)</f>
        <v>M2</v>
      </c>
      <c r="F5" s="1083">
        <v>1</v>
      </c>
      <c r="G5" s="1081">
        <f>IF(B5="insumo",_xlfn.XLOOKUP($D5,Insumos!$B$1:$B$670,Insumos!$D$1:$D$670),"")</f>
        <v>31</v>
      </c>
      <c r="H5" s="1081" cm="1">
        <f t="array" ref="H5">_xlfn.IFS(B5="Serviço",SUMIFS(H6:$H$2465,C6:$C$2465,$C5),B5="Insumo",F5*G5,B5="Etapa","")</f>
        <v>31</v>
      </c>
      <c r="I5" s="1082"/>
    </row>
    <row r="6" spans="1:9" hidden="1" outlineLevel="2" x14ac:dyDescent="0.25">
      <c r="A6" s="1079">
        <f t="shared" si="0"/>
        <v>9</v>
      </c>
      <c r="B6" s="1079" t="s">
        <v>1362</v>
      </c>
      <c r="C6" s="1079" t="str">
        <f t="shared" si="1"/>
        <v>Central de aço</v>
      </c>
      <c r="D6" s="1079" t="s">
        <v>1365</v>
      </c>
      <c r="E6" s="1080" t="str">
        <f>_xlfn.XLOOKUP(D6,Insumos!$B$1:$B$670,Insumos!$C$1:$C$670)</f>
        <v>M3</v>
      </c>
      <c r="F6" s="1083">
        <v>7.3999999999999996E-2</v>
      </c>
      <c r="G6" s="1081">
        <f>IF(B6="insumo",_xlfn.XLOOKUP($D6,Insumos!$B$1:$B$670,Insumos!$D$1:$D$670),"")</f>
        <v>490</v>
      </c>
      <c r="H6" s="1081" cm="1">
        <f t="array" ref="H6">_xlfn.IFS(B6="Serviço",SUMIFS(H7:$H$2465,C7:$C$2465,$C6),B6="Insumo",F6*G6,B6="Etapa","")</f>
        <v>36.26</v>
      </c>
      <c r="I6" s="1082"/>
    </row>
    <row r="7" spans="1:9" hidden="1" outlineLevel="2" x14ac:dyDescent="0.25">
      <c r="A7" s="1079">
        <f t="shared" si="0"/>
        <v>3</v>
      </c>
      <c r="B7" s="1079" t="s">
        <v>1362</v>
      </c>
      <c r="C7" s="1079" t="str">
        <f t="shared" si="1"/>
        <v>Central de aço</v>
      </c>
      <c r="D7" s="1079" t="s">
        <v>1366</v>
      </c>
      <c r="E7" s="1080" t="str">
        <f>_xlfn.XLOOKUP(D7,Insumos!$B$1:$B$670,Insumos!$C$1:$C$670)</f>
        <v>KG</v>
      </c>
      <c r="F7" s="1083">
        <v>0.15</v>
      </c>
      <c r="G7" s="1081">
        <f>IF(B7="insumo",_xlfn.XLOOKUP($D7,Insumos!$B$1:$B$670,Insumos!$D$1:$D$670),"")</f>
        <v>10.029999999999999</v>
      </c>
      <c r="H7" s="1081" cm="1">
        <f t="array" ref="H7">_xlfn.IFS(B7="Serviço",SUMIFS(H8:$H$2465,C8:$C$2465,$C7),B7="Insumo",F7*G7,B7="Etapa","")</f>
        <v>1.5044999999999999</v>
      </c>
      <c r="I7" s="1082"/>
    </row>
    <row r="8" spans="1:9" hidden="1" outlineLevel="2" x14ac:dyDescent="0.25">
      <c r="A8" s="1079">
        <f t="shared" si="0"/>
        <v>3</v>
      </c>
      <c r="B8" s="1079" t="s">
        <v>1362</v>
      </c>
      <c r="C8" s="1079" t="str">
        <f t="shared" si="1"/>
        <v>Central de aço</v>
      </c>
      <c r="D8" s="1079" t="s">
        <v>1367</v>
      </c>
      <c r="E8" s="1080" t="str">
        <f>_xlfn.XLOOKUP(D8,Insumos!$B$1:$B$670,Insumos!$C$1:$C$670)</f>
        <v>UN</v>
      </c>
      <c r="F8" s="1083">
        <v>9</v>
      </c>
      <c r="G8" s="1081">
        <f>IF(B8="insumo",_xlfn.XLOOKUP($D8,Insumos!$B$1:$B$670,Insumos!$D$1:$D$670),"")</f>
        <v>2.95</v>
      </c>
      <c r="H8" s="1081" cm="1">
        <f t="array" ref="H8">_xlfn.IFS(B8="Serviço",SUMIFS(H9:$H$2465,C9:$C$2465,$C8),B8="Insumo",F8*G8,B8="Etapa","")</f>
        <v>26.55</v>
      </c>
      <c r="I8" s="1082"/>
    </row>
    <row r="9" spans="1:9" hidden="1" outlineLevel="2" x14ac:dyDescent="0.25">
      <c r="A9" s="1079">
        <f t="shared" si="0"/>
        <v>3</v>
      </c>
      <c r="B9" s="1079" t="s">
        <v>1362</v>
      </c>
      <c r="C9" s="1079" t="str">
        <f t="shared" si="1"/>
        <v>Central de aço</v>
      </c>
      <c r="D9" s="1079" t="s">
        <v>1368</v>
      </c>
      <c r="E9" s="1080" t="str">
        <f>_xlfn.XLOOKUP(D9,Insumos!$B$1:$B$670,Insumos!$C$1:$C$670)</f>
        <v>KG</v>
      </c>
      <c r="F9" s="1083">
        <v>24</v>
      </c>
      <c r="G9" s="1081">
        <f>IF(B9="insumo",_xlfn.XLOOKUP($D9,Insumos!$B$1:$B$670,Insumos!$D$1:$D$670),"")</f>
        <v>0.46</v>
      </c>
      <c r="H9" s="1081" cm="1">
        <f t="array" ref="H9">_xlfn.IFS(B9="Serviço",SUMIFS(H10:$H$2465,C10:$C$2465,$C9),B9="Insumo",F9*G9,B9="Etapa","")</f>
        <v>11.040000000000001</v>
      </c>
      <c r="I9" s="1082"/>
    </row>
    <row r="10" spans="1:9" hidden="1" outlineLevel="2" x14ac:dyDescent="0.25">
      <c r="A10" s="1079">
        <f t="shared" si="0"/>
        <v>3</v>
      </c>
      <c r="B10" s="1079" t="s">
        <v>1362</v>
      </c>
      <c r="C10" s="1079" t="str">
        <f t="shared" si="1"/>
        <v>Central de aço</v>
      </c>
      <c r="D10" s="1079" t="s">
        <v>1369</v>
      </c>
      <c r="E10" s="1080" t="str">
        <f>_xlfn.XLOOKUP(D10,Insumos!$B$1:$B$670,Insumos!$C$1:$C$670)</f>
        <v>M2</v>
      </c>
      <c r="F10" s="1083">
        <v>1</v>
      </c>
      <c r="G10" s="1081">
        <f>IF(B10="insumo",_xlfn.XLOOKUP($D10,Insumos!$B$1:$B$670,Insumos!$D$1:$D$670),"")</f>
        <v>10.5</v>
      </c>
      <c r="H10" s="1081" cm="1">
        <f t="array" ref="H10">_xlfn.IFS(B10="Serviço",SUMIFS(H11:$H$2465,C11:$C$2465,$C10),B10="Insumo",F10*G10,B10="Etapa","")</f>
        <v>10.5</v>
      </c>
      <c r="I10" s="1082"/>
    </row>
    <row r="11" spans="1:9" hidden="1" outlineLevel="1" collapsed="1" x14ac:dyDescent="0.25">
      <c r="A11" s="1079">
        <f t="shared" si="0"/>
        <v>1</v>
      </c>
      <c r="B11" s="1079" t="s">
        <v>471</v>
      </c>
      <c r="C11" s="1079" t="str">
        <f t="shared" si="1"/>
        <v>Central de fôrmas</v>
      </c>
      <c r="D11" s="1079" t="s">
        <v>897</v>
      </c>
      <c r="E11" s="1080" t="s">
        <v>17</v>
      </c>
      <c r="F11" s="1079"/>
      <c r="G11" s="1081" t="str">
        <f>IF(B11="insumo",_xlfn.XLOOKUP($D11,Insumos!$B$1:$B$670,Insumos!$D$1:$D$670),"")</f>
        <v/>
      </c>
      <c r="H11" s="1081" cm="1">
        <f t="array" ref="H11">_xlfn.IFS(B11="Serviço",SUMIFS(H12:$H$2465,C12:$C$2465,$C11),B11="Insumo",F11*G11,B11="Etapa","")</f>
        <v>118.10449999999999</v>
      </c>
      <c r="I11" s="1082" t="s">
        <v>872</v>
      </c>
    </row>
    <row r="12" spans="1:9" hidden="1" outlineLevel="2" x14ac:dyDescent="0.25">
      <c r="A12" s="1079">
        <f t="shared" si="0"/>
        <v>3</v>
      </c>
      <c r="B12" s="1079" t="s">
        <v>1362</v>
      </c>
      <c r="C12" s="1079" t="str">
        <f t="shared" si="1"/>
        <v>Central de fôrmas</v>
      </c>
      <c r="D12" s="1079" t="s">
        <v>1363</v>
      </c>
      <c r="E12" s="1080" t="str">
        <f>_xlfn.XLOOKUP(D12,Insumos!$B$1:$B$670,Insumos!$C$1:$C$670)</f>
        <v>M2</v>
      </c>
      <c r="F12" s="1083">
        <v>1</v>
      </c>
      <c r="G12" s="1081">
        <f>IF(B12="insumo",_xlfn.XLOOKUP($D12,Insumos!$B$1:$B$670,Insumos!$D$1:$D$670),"")</f>
        <v>1.25</v>
      </c>
      <c r="H12" s="1081" cm="1">
        <f t="array" ref="H12">_xlfn.IFS(B12="Serviço",SUMIFS(H13:$H$2465,C13:$C$2465,$C12),B12="Insumo",F12*G12,B12="Etapa","")</f>
        <v>1.25</v>
      </c>
      <c r="I12" s="1082"/>
    </row>
    <row r="13" spans="1:9" hidden="1" outlineLevel="2" x14ac:dyDescent="0.25">
      <c r="A13" s="1079">
        <f t="shared" si="0"/>
        <v>3</v>
      </c>
      <c r="B13" s="1079" t="s">
        <v>1362</v>
      </c>
      <c r="C13" s="1079" t="str">
        <f t="shared" si="1"/>
        <v>Central de fôrmas</v>
      </c>
      <c r="D13" s="1079" t="s">
        <v>1364</v>
      </c>
      <c r="E13" s="1080" t="str">
        <f>_xlfn.XLOOKUP(D13,Insumos!$B$1:$B$670,Insumos!$C$1:$C$670)</f>
        <v>M2</v>
      </c>
      <c r="F13" s="1083">
        <v>1</v>
      </c>
      <c r="G13" s="1081">
        <f>IF(B13="insumo",_xlfn.XLOOKUP($D13,Insumos!$B$1:$B$670,Insumos!$D$1:$D$670),"")</f>
        <v>31</v>
      </c>
      <c r="H13" s="1081" cm="1">
        <f t="array" ref="H13">_xlfn.IFS(B13="Serviço",SUMIFS(H14:$H$2465,C14:$C$2465,$C13),B13="Insumo",F13*G13,B13="Etapa","")</f>
        <v>31</v>
      </c>
      <c r="I13" s="1082"/>
    </row>
    <row r="14" spans="1:9" hidden="1" outlineLevel="2" x14ac:dyDescent="0.25">
      <c r="A14" s="1079">
        <f t="shared" si="0"/>
        <v>9</v>
      </c>
      <c r="B14" s="1079" t="s">
        <v>1362</v>
      </c>
      <c r="C14" s="1079" t="str">
        <f t="shared" si="1"/>
        <v>Central de fôrmas</v>
      </c>
      <c r="D14" s="1079" t="s">
        <v>1365</v>
      </c>
      <c r="E14" s="1080" t="str">
        <f>_xlfn.XLOOKUP(D14,Insumos!$B$1:$B$670,Insumos!$C$1:$C$670)</f>
        <v>M3</v>
      </c>
      <c r="F14" s="1083">
        <v>7.3999999999999996E-2</v>
      </c>
      <c r="G14" s="1081">
        <f>IF(B14="insumo",_xlfn.XLOOKUP($D14,Insumos!$B$1:$B$670,Insumos!$D$1:$D$670),"")</f>
        <v>490</v>
      </c>
      <c r="H14" s="1081" cm="1">
        <f t="array" ref="H14">_xlfn.IFS(B14="Serviço",SUMIFS(H15:$H$2465,C15:$C$2465,$C14),B14="Insumo",F14*G14,B14="Etapa","")</f>
        <v>36.26</v>
      </c>
      <c r="I14" s="1082"/>
    </row>
    <row r="15" spans="1:9" hidden="1" outlineLevel="2" x14ac:dyDescent="0.25">
      <c r="A15" s="1079">
        <f t="shared" si="0"/>
        <v>3</v>
      </c>
      <c r="B15" s="1079" t="s">
        <v>1362</v>
      </c>
      <c r="C15" s="1079" t="str">
        <f t="shared" si="1"/>
        <v>Central de fôrmas</v>
      </c>
      <c r="D15" s="1079" t="s">
        <v>1366</v>
      </c>
      <c r="E15" s="1080" t="str">
        <f>_xlfn.XLOOKUP(D15,Insumos!$B$1:$B$670,Insumos!$C$1:$C$670)</f>
        <v>KG</v>
      </c>
      <c r="F15" s="1083">
        <v>0.15</v>
      </c>
      <c r="G15" s="1081">
        <f>IF(B15="insumo",_xlfn.XLOOKUP($D15,Insumos!$B$1:$B$670,Insumos!$D$1:$D$670),"")</f>
        <v>10.029999999999999</v>
      </c>
      <c r="H15" s="1081" cm="1">
        <f t="array" ref="H15">_xlfn.IFS(B15="Serviço",SUMIFS(H16:$H$2465,C16:$C$2465,$C15),B15="Insumo",F15*G15,B15="Etapa","")</f>
        <v>1.5044999999999999</v>
      </c>
      <c r="I15" s="1082"/>
    </row>
    <row r="16" spans="1:9" hidden="1" outlineLevel="2" x14ac:dyDescent="0.25">
      <c r="A16" s="1079">
        <f t="shared" si="0"/>
        <v>3</v>
      </c>
      <c r="B16" s="1079" t="s">
        <v>1362</v>
      </c>
      <c r="C16" s="1079" t="str">
        <f t="shared" si="1"/>
        <v>Central de fôrmas</v>
      </c>
      <c r="D16" s="1079" t="s">
        <v>1367</v>
      </c>
      <c r="E16" s="1080" t="str">
        <f>_xlfn.XLOOKUP(D16,Insumos!$B$1:$B$670,Insumos!$C$1:$C$670)</f>
        <v>UN</v>
      </c>
      <c r="F16" s="1083">
        <v>9</v>
      </c>
      <c r="G16" s="1081">
        <f>IF(B16="insumo",_xlfn.XLOOKUP($D16,Insumos!$B$1:$B$670,Insumos!$D$1:$D$670),"")</f>
        <v>2.95</v>
      </c>
      <c r="H16" s="1081" cm="1">
        <f t="array" ref="H16">_xlfn.IFS(B16="Serviço",SUMIFS(H17:$H$2465,C17:$C$2465,$C16),B16="Insumo",F16*G16,B16="Etapa","")</f>
        <v>26.55</v>
      </c>
      <c r="I16" s="1082"/>
    </row>
    <row r="17" spans="1:9" hidden="1" outlineLevel="2" x14ac:dyDescent="0.25">
      <c r="A17" s="1079">
        <f t="shared" si="0"/>
        <v>3</v>
      </c>
      <c r="B17" s="1079" t="s">
        <v>1362</v>
      </c>
      <c r="C17" s="1079" t="str">
        <f t="shared" si="1"/>
        <v>Central de fôrmas</v>
      </c>
      <c r="D17" s="1079" t="s">
        <v>1368</v>
      </c>
      <c r="E17" s="1080" t="str">
        <f>_xlfn.XLOOKUP(D17,Insumos!$B$1:$B$670,Insumos!$C$1:$C$670)</f>
        <v>KG</v>
      </c>
      <c r="F17" s="1083">
        <v>24</v>
      </c>
      <c r="G17" s="1081">
        <f>IF(B17="insumo",_xlfn.XLOOKUP($D17,Insumos!$B$1:$B$670,Insumos!$D$1:$D$670),"")</f>
        <v>0.46</v>
      </c>
      <c r="H17" s="1081" cm="1">
        <f t="array" ref="H17">_xlfn.IFS(B17="Serviço",SUMIFS(H18:$H$2465,C18:$C$2465,$C17),B17="Insumo",F17*G17,B17="Etapa","")</f>
        <v>11.040000000000001</v>
      </c>
      <c r="I17" s="1082"/>
    </row>
    <row r="18" spans="1:9" hidden="1" outlineLevel="2" x14ac:dyDescent="0.25">
      <c r="A18" s="1079">
        <f t="shared" si="0"/>
        <v>3</v>
      </c>
      <c r="B18" s="1079" t="s">
        <v>1362</v>
      </c>
      <c r="C18" s="1079" t="str">
        <f t="shared" si="1"/>
        <v>Central de fôrmas</v>
      </c>
      <c r="D18" s="1079" t="s">
        <v>1369</v>
      </c>
      <c r="E18" s="1080" t="str">
        <f>_xlfn.XLOOKUP(D18,Insumos!$B$1:$B$670,Insumos!$C$1:$C$670)</f>
        <v>M2</v>
      </c>
      <c r="F18" s="1083">
        <v>1</v>
      </c>
      <c r="G18" s="1081">
        <f>IF(B18="insumo",_xlfn.XLOOKUP($D18,Insumos!$B$1:$B$670,Insumos!$D$1:$D$670),"")</f>
        <v>10.5</v>
      </c>
      <c r="H18" s="1081" cm="1">
        <f t="array" ref="H18">_xlfn.IFS(B18="Serviço",SUMIFS(H19:$H$2465,C19:$C$2465,$C18),B18="Insumo",F18*G18,B18="Etapa","")</f>
        <v>10.5</v>
      </c>
      <c r="I18" s="1082"/>
    </row>
    <row r="19" spans="1:9" hidden="1" outlineLevel="1" collapsed="1" x14ac:dyDescent="0.25">
      <c r="A19" s="1079">
        <f t="shared" si="0"/>
        <v>1</v>
      </c>
      <c r="B19" s="1079" t="s">
        <v>471</v>
      </c>
      <c r="C19" s="1079" t="str">
        <f t="shared" si="1"/>
        <v>Central de Argamassa</v>
      </c>
      <c r="D19" s="1079" t="s">
        <v>898</v>
      </c>
      <c r="E19" s="1080" t="s">
        <v>17</v>
      </c>
      <c r="F19" s="1079"/>
      <c r="G19" s="1081" t="str">
        <f>IF(B19="insumo",_xlfn.XLOOKUP($D19,Insumos!$B$1:$B$670,Insumos!$D$1:$D$670),"")</f>
        <v/>
      </c>
      <c r="H19" s="1081" cm="1">
        <f t="array" ref="H19">_xlfn.IFS(B19="Serviço",SUMIFS(H20:$H$2465,C20:$C$2465,$C19),B19="Insumo",F19*G19,B19="Etapa","")</f>
        <v>118.10449999999999</v>
      </c>
      <c r="I19" s="1082" t="s">
        <v>872</v>
      </c>
    </row>
    <row r="20" spans="1:9" hidden="1" outlineLevel="2" x14ac:dyDescent="0.25">
      <c r="A20" s="1079">
        <f t="shared" si="0"/>
        <v>3</v>
      </c>
      <c r="B20" s="1079" t="s">
        <v>1362</v>
      </c>
      <c r="C20" s="1079" t="str">
        <f t="shared" si="1"/>
        <v>Central de Argamassa</v>
      </c>
      <c r="D20" s="1079" t="s">
        <v>1363</v>
      </c>
      <c r="E20" s="1080" t="str">
        <f>_xlfn.XLOOKUP(D20,Insumos!$B$1:$B$670,Insumos!$C$1:$C$670)</f>
        <v>M2</v>
      </c>
      <c r="F20" s="1083">
        <v>1</v>
      </c>
      <c r="G20" s="1081">
        <f>IF(B20="insumo",_xlfn.XLOOKUP($D20,Insumos!$B$1:$B$670,Insumos!$D$1:$D$670),"")</f>
        <v>1.25</v>
      </c>
      <c r="H20" s="1081" cm="1">
        <f t="array" ref="H20">_xlfn.IFS(B20="Serviço",SUMIFS(H21:$H$2465,C21:$C$2465,$C20),B20="Insumo",F20*G20,B20="Etapa","")</f>
        <v>1.25</v>
      </c>
      <c r="I20" s="1082"/>
    </row>
    <row r="21" spans="1:9" hidden="1" outlineLevel="2" x14ac:dyDescent="0.25">
      <c r="A21" s="1079">
        <f t="shared" si="0"/>
        <v>3</v>
      </c>
      <c r="B21" s="1079" t="s">
        <v>1362</v>
      </c>
      <c r="C21" s="1079" t="str">
        <f t="shared" si="1"/>
        <v>Central de Argamassa</v>
      </c>
      <c r="D21" s="1079" t="s">
        <v>1364</v>
      </c>
      <c r="E21" s="1080" t="str">
        <f>_xlfn.XLOOKUP(D21,Insumos!$B$1:$B$670,Insumos!$C$1:$C$670)</f>
        <v>M2</v>
      </c>
      <c r="F21" s="1083">
        <v>1</v>
      </c>
      <c r="G21" s="1081">
        <f>IF(B21="insumo",_xlfn.XLOOKUP($D21,Insumos!$B$1:$B$670,Insumos!$D$1:$D$670),"")</f>
        <v>31</v>
      </c>
      <c r="H21" s="1081" cm="1">
        <f t="array" ref="H21">_xlfn.IFS(B21="Serviço",SUMIFS(H22:$H$2465,C22:$C$2465,$C21),B21="Insumo",F21*G21,B21="Etapa","")</f>
        <v>31</v>
      </c>
      <c r="I21" s="1082"/>
    </row>
    <row r="22" spans="1:9" hidden="1" outlineLevel="2" x14ac:dyDescent="0.25">
      <c r="A22" s="1079">
        <f t="shared" si="0"/>
        <v>9</v>
      </c>
      <c r="B22" s="1079" t="s">
        <v>1362</v>
      </c>
      <c r="C22" s="1079" t="str">
        <f t="shared" si="1"/>
        <v>Central de Argamassa</v>
      </c>
      <c r="D22" s="1079" t="s">
        <v>1365</v>
      </c>
      <c r="E22" s="1080" t="str">
        <f>_xlfn.XLOOKUP(D22,Insumos!$B$1:$B$670,Insumos!$C$1:$C$670)</f>
        <v>M3</v>
      </c>
      <c r="F22" s="1083">
        <v>7.3999999999999996E-2</v>
      </c>
      <c r="G22" s="1081">
        <f>IF(B22="insumo",_xlfn.XLOOKUP($D22,Insumos!$B$1:$B$670,Insumos!$D$1:$D$670),"")</f>
        <v>490</v>
      </c>
      <c r="H22" s="1081" cm="1">
        <f t="array" ref="H22">_xlfn.IFS(B22="Serviço",SUMIFS(H23:$H$2465,C23:$C$2465,$C22),B22="Insumo",F22*G22,B22="Etapa","")</f>
        <v>36.26</v>
      </c>
      <c r="I22" s="1082"/>
    </row>
    <row r="23" spans="1:9" hidden="1" outlineLevel="2" x14ac:dyDescent="0.25">
      <c r="A23" s="1079">
        <f t="shared" si="0"/>
        <v>3</v>
      </c>
      <c r="B23" s="1079" t="s">
        <v>1362</v>
      </c>
      <c r="C23" s="1079" t="str">
        <f t="shared" si="1"/>
        <v>Central de Argamassa</v>
      </c>
      <c r="D23" s="1079" t="s">
        <v>1366</v>
      </c>
      <c r="E23" s="1080" t="str">
        <f>_xlfn.XLOOKUP(D23,Insumos!$B$1:$B$670,Insumos!$C$1:$C$670)</f>
        <v>KG</v>
      </c>
      <c r="F23" s="1083">
        <v>0.15</v>
      </c>
      <c r="G23" s="1081">
        <f>IF(B23="insumo",_xlfn.XLOOKUP($D23,Insumos!$B$1:$B$670,Insumos!$D$1:$D$670),"")</f>
        <v>10.029999999999999</v>
      </c>
      <c r="H23" s="1081" cm="1">
        <f t="array" ref="H23">_xlfn.IFS(B23="Serviço",SUMIFS(H24:$H$2465,C24:$C$2465,$C23),B23="Insumo",F23*G23,B23="Etapa","")</f>
        <v>1.5044999999999999</v>
      </c>
      <c r="I23" s="1082"/>
    </row>
    <row r="24" spans="1:9" hidden="1" outlineLevel="2" x14ac:dyDescent="0.25">
      <c r="A24" s="1079">
        <f t="shared" si="0"/>
        <v>3</v>
      </c>
      <c r="B24" s="1079" t="s">
        <v>1362</v>
      </c>
      <c r="C24" s="1079" t="str">
        <f t="shared" si="1"/>
        <v>Central de Argamassa</v>
      </c>
      <c r="D24" s="1079" t="s">
        <v>1367</v>
      </c>
      <c r="E24" s="1080" t="str">
        <f>_xlfn.XLOOKUP(D24,Insumos!$B$1:$B$670,Insumos!$C$1:$C$670)</f>
        <v>UN</v>
      </c>
      <c r="F24" s="1083">
        <v>9</v>
      </c>
      <c r="G24" s="1081">
        <f>IF(B24="insumo",_xlfn.XLOOKUP($D24,Insumos!$B$1:$B$670,Insumos!$D$1:$D$670),"")</f>
        <v>2.95</v>
      </c>
      <c r="H24" s="1081" cm="1">
        <f t="array" ref="H24">_xlfn.IFS(B24="Serviço",SUMIFS(H25:$H$2465,C25:$C$2465,$C24),B24="Insumo",F24*G24,B24="Etapa","")</f>
        <v>26.55</v>
      </c>
      <c r="I24" s="1082"/>
    </row>
    <row r="25" spans="1:9" hidden="1" outlineLevel="2" x14ac:dyDescent="0.25">
      <c r="A25" s="1079">
        <f t="shared" si="0"/>
        <v>3</v>
      </c>
      <c r="B25" s="1079" t="s">
        <v>1362</v>
      </c>
      <c r="C25" s="1079" t="str">
        <f t="shared" si="1"/>
        <v>Central de Argamassa</v>
      </c>
      <c r="D25" s="1079" t="s">
        <v>1368</v>
      </c>
      <c r="E25" s="1080" t="str">
        <f>_xlfn.XLOOKUP(D25,Insumos!$B$1:$B$670,Insumos!$C$1:$C$670)</f>
        <v>KG</v>
      </c>
      <c r="F25" s="1083">
        <v>24</v>
      </c>
      <c r="G25" s="1081">
        <f>IF(B25="insumo",_xlfn.XLOOKUP($D25,Insumos!$B$1:$B$670,Insumos!$D$1:$D$670),"")</f>
        <v>0.46</v>
      </c>
      <c r="H25" s="1081" cm="1">
        <f t="array" ref="H25">_xlfn.IFS(B25="Serviço",SUMIFS(H26:$H$2465,C26:$C$2465,$C25),B25="Insumo",F25*G25,B25="Etapa","")</f>
        <v>11.040000000000001</v>
      </c>
      <c r="I25" s="1082"/>
    </row>
    <row r="26" spans="1:9" hidden="1" outlineLevel="2" x14ac:dyDescent="0.25">
      <c r="A26" s="1079">
        <f t="shared" si="0"/>
        <v>3</v>
      </c>
      <c r="B26" s="1079" t="s">
        <v>1362</v>
      </c>
      <c r="C26" s="1079" t="str">
        <f t="shared" si="1"/>
        <v>Central de Argamassa</v>
      </c>
      <c r="D26" s="1079" t="s">
        <v>1369</v>
      </c>
      <c r="E26" s="1080" t="str">
        <f>_xlfn.XLOOKUP(D26,Insumos!$B$1:$B$670,Insumos!$C$1:$C$670)</f>
        <v>M2</v>
      </c>
      <c r="F26" s="1083">
        <v>1</v>
      </c>
      <c r="G26" s="1081">
        <f>IF(B26="insumo",_xlfn.XLOOKUP($D26,Insumos!$B$1:$B$670,Insumos!$D$1:$D$670),"")</f>
        <v>10.5</v>
      </c>
      <c r="H26" s="1081" cm="1">
        <f t="array" ref="H26">_xlfn.IFS(B26="Serviço",SUMIFS(H27:$H$2465,C27:$C$2465,$C26),B26="Insumo",F26*G26,B26="Etapa","")</f>
        <v>10.5</v>
      </c>
      <c r="I26" s="1082"/>
    </row>
    <row r="27" spans="1:9" hidden="1" outlineLevel="1" collapsed="1" x14ac:dyDescent="0.25">
      <c r="A27" s="1079">
        <f t="shared" si="0"/>
        <v>1</v>
      </c>
      <c r="B27" s="1079" t="s">
        <v>471</v>
      </c>
      <c r="C27" s="1079" t="str">
        <f t="shared" si="1"/>
        <v>Armazenamento de cerâmicas*</v>
      </c>
      <c r="D27" s="1079" t="s">
        <v>899</v>
      </c>
      <c r="E27" s="1080" t="s">
        <v>17</v>
      </c>
      <c r="F27" s="1079"/>
      <c r="G27" s="1081" t="str">
        <f>IF(B27="insumo",_xlfn.XLOOKUP($D27,Insumos!$B$1:$B$670,Insumos!$D$1:$D$670),"")</f>
        <v/>
      </c>
      <c r="H27" s="1081" cm="1">
        <f t="array" ref="H27">_xlfn.IFS(B27="Serviço",SUMIFS(H28:$H$2465,C28:$C$2465,$C27),B27="Insumo",F27*G27,B27="Etapa","")</f>
        <v>376.71488999999997</v>
      </c>
      <c r="I27" s="1082" t="s">
        <v>872</v>
      </c>
    </row>
    <row r="28" spans="1:9" hidden="1" outlineLevel="2" x14ac:dyDescent="0.25">
      <c r="A28" s="1079">
        <f t="shared" si="0"/>
        <v>11</v>
      </c>
      <c r="B28" s="1079" t="s">
        <v>1362</v>
      </c>
      <c r="C28" s="1079" t="str">
        <f t="shared" si="1"/>
        <v>Armazenamento de cerâmicas*</v>
      </c>
      <c r="D28" s="1079" t="s">
        <v>1370</v>
      </c>
      <c r="E28" s="1080" t="str">
        <f>_xlfn.XLOOKUP(D28,Insumos!$B$1:$B$670,Insumos!$C$1:$C$670)</f>
        <v>M2</v>
      </c>
      <c r="F28" s="1083">
        <v>0.59099999999999997</v>
      </c>
      <c r="G28" s="1081">
        <f>IF(B28="insumo",_xlfn.XLOOKUP($D28,Insumos!$B$1:$B$670,Insumos!$D$1:$D$670),"")</f>
        <v>46.5</v>
      </c>
      <c r="H28" s="1081" cm="1">
        <f t="array" ref="H28">_xlfn.IFS(B28="Serviço",SUMIFS(H29:$H$2465,C29:$C$2465,$C28),B28="Insumo",F28*G28,B28="Etapa","")</f>
        <v>27.481499999999997</v>
      </c>
      <c r="I28" s="1082"/>
    </row>
    <row r="29" spans="1:9" hidden="1" outlineLevel="2" x14ac:dyDescent="0.25">
      <c r="A29" s="1079">
        <f t="shared" si="0"/>
        <v>10</v>
      </c>
      <c r="B29" s="1079" t="s">
        <v>1362</v>
      </c>
      <c r="C29" s="1079" t="str">
        <f t="shared" si="1"/>
        <v>Armazenamento de cerâmicas*</v>
      </c>
      <c r="D29" s="1079" t="s">
        <v>1371</v>
      </c>
      <c r="E29" s="1080" t="str">
        <f>_xlfn.XLOOKUP(D29,Insumos!$B$1:$B$670,Insumos!$C$1:$C$670)</f>
        <v>UN</v>
      </c>
      <c r="F29" s="1083">
        <v>0.40400000000000003</v>
      </c>
      <c r="G29" s="1081">
        <f>IF(B29="insumo",_xlfn.XLOOKUP($D29,Insumos!$B$1:$B$670,Insumos!$D$1:$D$670),"")</f>
        <v>58.46</v>
      </c>
      <c r="H29" s="1081" cm="1">
        <f t="array" ref="H29">_xlfn.IFS(B29="Serviço",SUMIFS(H30:$H$2465,C30:$C$2465,$C29),B29="Insumo",F29*G29,B29="Etapa","")</f>
        <v>23.617840000000001</v>
      </c>
      <c r="I29" s="1082"/>
    </row>
    <row r="30" spans="1:9" hidden="1" outlineLevel="2" x14ac:dyDescent="0.25">
      <c r="A30" s="1079">
        <f t="shared" si="0"/>
        <v>21</v>
      </c>
      <c r="B30" s="1079" t="s">
        <v>1362</v>
      </c>
      <c r="C30" s="1079" t="str">
        <f t="shared" si="1"/>
        <v>Armazenamento de cerâmicas*</v>
      </c>
      <c r="D30" s="1079" t="s">
        <v>1372</v>
      </c>
      <c r="E30" s="1080" t="str">
        <f>_xlfn.XLOOKUP(D30,Insumos!$B$1:$B$670,Insumos!$C$1:$C$670)</f>
        <v>M</v>
      </c>
      <c r="F30" s="1083">
        <v>4.3899999999999997</v>
      </c>
      <c r="G30" s="1081">
        <f>IF(B30="insumo",_xlfn.XLOOKUP($D30,Insumos!$B$1:$B$670,Insumos!$D$1:$D$670),"")</f>
        <v>7</v>
      </c>
      <c r="H30" s="1081" cm="1">
        <f t="array" ref="H30">_xlfn.IFS(B30="Serviço",SUMIFS(H31:$H$2465,C31:$C$2465,$C30),B30="Insumo",F30*G30,B30="Etapa","")</f>
        <v>30.729999999999997</v>
      </c>
      <c r="I30" s="1082"/>
    </row>
    <row r="31" spans="1:9" hidden="1" outlineLevel="2" x14ac:dyDescent="0.25">
      <c r="A31" s="1079">
        <f t="shared" si="0"/>
        <v>11</v>
      </c>
      <c r="B31" s="1079" t="s">
        <v>1362</v>
      </c>
      <c r="C31" s="1079" t="str">
        <f t="shared" si="1"/>
        <v>Armazenamento de cerâmicas*</v>
      </c>
      <c r="D31" s="1079" t="s">
        <v>1373</v>
      </c>
      <c r="E31" s="1080" t="str">
        <f>_xlfn.XLOOKUP(D31,Insumos!$B$1:$B$670,Insumos!$C$1:$C$670)</f>
        <v>M2</v>
      </c>
      <c r="F31" s="1083">
        <v>0.15</v>
      </c>
      <c r="G31" s="1081">
        <f>IF(B31="insumo",_xlfn.XLOOKUP($D31,Insumos!$B$1:$B$670,Insumos!$D$1:$D$670),"")</f>
        <v>46.5</v>
      </c>
      <c r="H31" s="1081" cm="1">
        <f t="array" ref="H31">_xlfn.IFS(B31="Serviço",SUMIFS(H32:$H$2465,C32:$C$2465,$C31),B31="Insumo",F31*G31,B31="Etapa","")</f>
        <v>6.9749999999999996</v>
      </c>
      <c r="I31" s="1082"/>
    </row>
    <row r="32" spans="1:9" hidden="1" outlineLevel="2" x14ac:dyDescent="0.25">
      <c r="A32" s="1079">
        <f t="shared" si="0"/>
        <v>10</v>
      </c>
      <c r="B32" s="1079" t="s">
        <v>1362</v>
      </c>
      <c r="C32" s="1079" t="str">
        <f t="shared" si="1"/>
        <v>Armazenamento de cerâmicas*</v>
      </c>
      <c r="D32" s="1079" t="s">
        <v>1374</v>
      </c>
      <c r="E32" s="1080" t="str">
        <f>_xlfn.XLOOKUP(D32,Insumos!$B$1:$B$670,Insumos!$C$1:$C$670)</f>
        <v>M</v>
      </c>
      <c r="F32" s="1083">
        <v>1</v>
      </c>
      <c r="G32" s="1081">
        <f>IF(B32="insumo",_xlfn.XLOOKUP($D32,Insumos!$B$1:$B$670,Insumos!$D$1:$D$670),"")</f>
        <v>2</v>
      </c>
      <c r="H32" s="1081" cm="1">
        <f t="array" ref="H32">_xlfn.IFS(B32="Serviço",SUMIFS(H33:$H$2465,C33:$C$2465,$C32),B32="Insumo",F32*G32,B32="Etapa","")</f>
        <v>2</v>
      </c>
      <c r="I32" s="1082"/>
    </row>
    <row r="33" spans="1:9" hidden="1" outlineLevel="2" x14ac:dyDescent="0.25">
      <c r="A33" s="1079">
        <f t="shared" si="0"/>
        <v>33</v>
      </c>
      <c r="B33" s="1079" t="s">
        <v>1362</v>
      </c>
      <c r="C33" s="1079" t="str">
        <f t="shared" si="1"/>
        <v>Armazenamento de cerâmicas*</v>
      </c>
      <c r="D33" s="1079" t="s">
        <v>1375</v>
      </c>
      <c r="E33" s="1080" t="str">
        <f>_xlfn.XLOOKUP(D33,Insumos!$B$1:$B$670,Insumos!$C$1:$C$670)</f>
        <v>KG</v>
      </c>
      <c r="F33" s="1083">
        <v>1</v>
      </c>
      <c r="G33" s="1081">
        <f>IF(B33="insumo",_xlfn.XLOOKUP($D33,Insumos!$B$1:$B$670,Insumos!$D$1:$D$670),"")</f>
        <v>18.13</v>
      </c>
      <c r="H33" s="1081" cm="1">
        <f t="array" ref="H33">_xlfn.IFS(B33="Serviço",SUMIFS(H34:$H$2465,C34:$C$2465,$C33),B33="Insumo",F33*G33,B33="Etapa","")</f>
        <v>18.13</v>
      </c>
      <c r="I33" s="1082"/>
    </row>
    <row r="34" spans="1:9" hidden="1" outlineLevel="2" x14ac:dyDescent="0.25">
      <c r="A34" s="1079">
        <f t="shared" si="0"/>
        <v>10</v>
      </c>
      <c r="B34" s="1079" t="s">
        <v>1362</v>
      </c>
      <c r="C34" s="1079" t="str">
        <f t="shared" si="1"/>
        <v>Armazenamento de cerâmicas*</v>
      </c>
      <c r="D34" s="1079" t="s">
        <v>1376</v>
      </c>
      <c r="E34" s="1080" t="str">
        <f>_xlfn.XLOOKUP(D34,Insumos!$B$1:$B$670,Insumos!$C$1:$C$670)</f>
        <v>UN</v>
      </c>
      <c r="F34" s="1083">
        <v>1.4999999999999999E-2</v>
      </c>
      <c r="G34" s="1081">
        <f>IF(B34="insumo",_xlfn.XLOOKUP($D34,Insumos!$B$1:$B$670,Insumos!$D$1:$D$670),"")</f>
        <v>185.37</v>
      </c>
      <c r="H34" s="1081" cm="1">
        <f t="array" ref="H34">_xlfn.IFS(B34="Serviço",SUMIFS(H35:$H$2465,C35:$C$2465,$C34),B34="Insumo",F34*G34,B34="Etapa","")</f>
        <v>2.7805499999999999</v>
      </c>
      <c r="I34" s="1082"/>
    </row>
    <row r="35" spans="1:9" hidden="1" outlineLevel="2" x14ac:dyDescent="0.25">
      <c r="A35" s="1079">
        <f t="shared" si="0"/>
        <v>10</v>
      </c>
      <c r="B35" s="1079" t="s">
        <v>1362</v>
      </c>
      <c r="C35" s="1079" t="str">
        <f t="shared" si="1"/>
        <v>Armazenamento de cerâmicas*</v>
      </c>
      <c r="D35" s="1079" t="s">
        <v>1377</v>
      </c>
      <c r="E35" s="1080" t="str">
        <f>_xlfn.XLOOKUP(D35,Insumos!$B$1:$B$670,Insumos!$C$1:$C$670)</f>
        <v>VB</v>
      </c>
      <c r="F35" s="1083">
        <v>1</v>
      </c>
      <c r="G35" s="1081">
        <f>IF(B35="insumo",_xlfn.XLOOKUP($D35,Insumos!$B$1:$B$670,Insumos!$D$1:$D$670),"")</f>
        <v>215</v>
      </c>
      <c r="H35" s="1081" cm="1">
        <f t="array" ref="H35">_xlfn.IFS(B35="Serviço",SUMIFS(H36:$H$2465,C36:$C$2465,$C35),B35="Insumo",F35*G35,B35="Etapa","")</f>
        <v>215</v>
      </c>
      <c r="I35" s="1082"/>
    </row>
    <row r="36" spans="1:9" hidden="1" outlineLevel="2" x14ac:dyDescent="0.25">
      <c r="A36" s="1079">
        <f t="shared" si="0"/>
        <v>10</v>
      </c>
      <c r="B36" s="1079" t="s">
        <v>1362</v>
      </c>
      <c r="C36" s="1079" t="str">
        <f t="shared" si="1"/>
        <v>Armazenamento de cerâmicas*</v>
      </c>
      <c r="D36" s="1079" t="s">
        <v>1378</v>
      </c>
      <c r="E36" s="1080" t="str">
        <f>_xlfn.XLOOKUP(D36,Insumos!$B$1:$B$670,Insumos!$C$1:$C$670)</f>
        <v>M2</v>
      </c>
      <c r="F36" s="1083">
        <v>1</v>
      </c>
      <c r="G36" s="1081">
        <f>IF(B36="insumo",_xlfn.XLOOKUP($D36,Insumos!$B$1:$B$670,Insumos!$D$1:$D$670),"")</f>
        <v>50</v>
      </c>
      <c r="H36" s="1081" cm="1">
        <f t="array" ref="H36">_xlfn.IFS(B36="Serviço",SUMIFS(H37:$H$2465,C37:$C$2465,$C36),B36="Insumo",F36*G36,B36="Etapa","")</f>
        <v>50</v>
      </c>
      <c r="I36" s="1082"/>
    </row>
    <row r="37" spans="1:9" hidden="1" outlineLevel="1" collapsed="1" x14ac:dyDescent="0.25">
      <c r="A37" s="1079">
        <f t="shared" si="0"/>
        <v>1</v>
      </c>
      <c r="B37" s="1079" t="s">
        <v>471</v>
      </c>
      <c r="C37" s="1079" t="str">
        <f t="shared" si="1"/>
        <v>Armazenamento de placas degesso*</v>
      </c>
      <c r="D37" s="1079" t="s">
        <v>900</v>
      </c>
      <c r="E37" s="1080" t="s">
        <v>17</v>
      </c>
      <c r="F37" s="1079"/>
      <c r="G37" s="1081" t="str">
        <f>IF(B37="insumo",_xlfn.XLOOKUP($D37,Insumos!$B$1:$B$670,Insumos!$D$1:$D$670),"")</f>
        <v/>
      </c>
      <c r="H37" s="1081" cm="1">
        <f t="array" ref="H37">_xlfn.IFS(B37="Serviço",SUMIFS(H38:$H$2465,C38:$C$2465,$C37),B37="Insumo",F37*G37,B37="Etapa","")</f>
        <v>376.71488999999997</v>
      </c>
      <c r="I37" s="1082" t="s">
        <v>872</v>
      </c>
    </row>
    <row r="38" spans="1:9" hidden="1" outlineLevel="2" x14ac:dyDescent="0.25">
      <c r="A38" s="1079">
        <f t="shared" si="0"/>
        <v>11</v>
      </c>
      <c r="B38" s="1079" t="s">
        <v>1362</v>
      </c>
      <c r="C38" s="1079" t="str">
        <f t="shared" si="1"/>
        <v>Armazenamento de placas degesso*</v>
      </c>
      <c r="D38" s="1079" t="s">
        <v>1370</v>
      </c>
      <c r="E38" s="1080" t="str">
        <f>_xlfn.XLOOKUP(D38,Insumos!$B$1:$B$670,Insumos!$C$1:$C$670)</f>
        <v>M2</v>
      </c>
      <c r="F38" s="1083">
        <v>0.59099999999999997</v>
      </c>
      <c r="G38" s="1081">
        <f>IF(B38="insumo",_xlfn.XLOOKUP($D38,Insumos!$B$1:$B$670,Insumos!$D$1:$D$670),"")</f>
        <v>46.5</v>
      </c>
      <c r="H38" s="1081" cm="1">
        <f t="array" ref="H38">_xlfn.IFS(B38="Serviço",SUMIFS(H39:$H$2465,C39:$C$2465,$C38),B38="Insumo",F38*G38,B38="Etapa","")</f>
        <v>27.481499999999997</v>
      </c>
      <c r="I38" s="1082"/>
    </row>
    <row r="39" spans="1:9" hidden="1" outlineLevel="2" x14ac:dyDescent="0.25">
      <c r="A39" s="1079">
        <f t="shared" si="0"/>
        <v>10</v>
      </c>
      <c r="B39" s="1079" t="s">
        <v>1362</v>
      </c>
      <c r="C39" s="1079" t="str">
        <f t="shared" si="1"/>
        <v>Armazenamento de placas degesso*</v>
      </c>
      <c r="D39" s="1079" t="s">
        <v>1371</v>
      </c>
      <c r="E39" s="1080" t="str">
        <f>_xlfn.XLOOKUP(D39,Insumos!$B$1:$B$670,Insumos!$C$1:$C$670)</f>
        <v>UN</v>
      </c>
      <c r="F39" s="1083">
        <v>0.40400000000000003</v>
      </c>
      <c r="G39" s="1081">
        <f>IF(B39="insumo",_xlfn.XLOOKUP($D39,Insumos!$B$1:$B$670,Insumos!$D$1:$D$670),"")</f>
        <v>58.46</v>
      </c>
      <c r="H39" s="1081" cm="1">
        <f t="array" ref="H39">_xlfn.IFS(B39="Serviço",SUMIFS(H40:$H$2465,C40:$C$2465,$C39),B39="Insumo",F39*G39,B39="Etapa","")</f>
        <v>23.617840000000001</v>
      </c>
      <c r="I39" s="1082"/>
    </row>
    <row r="40" spans="1:9" hidden="1" outlineLevel="2" x14ac:dyDescent="0.25">
      <c r="A40" s="1079">
        <f t="shared" si="0"/>
        <v>21</v>
      </c>
      <c r="B40" s="1079" t="s">
        <v>1362</v>
      </c>
      <c r="C40" s="1079" t="str">
        <f t="shared" si="1"/>
        <v>Armazenamento de placas degesso*</v>
      </c>
      <c r="D40" s="1079" t="s">
        <v>1372</v>
      </c>
      <c r="E40" s="1080" t="str">
        <f>_xlfn.XLOOKUP(D40,Insumos!$B$1:$B$670,Insumos!$C$1:$C$670)</f>
        <v>M</v>
      </c>
      <c r="F40" s="1083">
        <v>4.3899999999999997</v>
      </c>
      <c r="G40" s="1081">
        <f>IF(B40="insumo",_xlfn.XLOOKUP($D40,Insumos!$B$1:$B$670,Insumos!$D$1:$D$670),"")</f>
        <v>7</v>
      </c>
      <c r="H40" s="1081" cm="1">
        <f t="array" ref="H40">_xlfn.IFS(B40="Serviço",SUMIFS(H41:$H$2465,C41:$C$2465,$C40),B40="Insumo",F40*G40,B40="Etapa","")</f>
        <v>30.729999999999997</v>
      </c>
      <c r="I40" s="1082"/>
    </row>
    <row r="41" spans="1:9" hidden="1" outlineLevel="2" x14ac:dyDescent="0.25">
      <c r="A41" s="1079">
        <f t="shared" si="0"/>
        <v>11</v>
      </c>
      <c r="B41" s="1079" t="s">
        <v>1362</v>
      </c>
      <c r="C41" s="1079" t="str">
        <f t="shared" si="1"/>
        <v>Armazenamento de placas degesso*</v>
      </c>
      <c r="D41" s="1079" t="s">
        <v>1373</v>
      </c>
      <c r="E41" s="1080" t="str">
        <f>_xlfn.XLOOKUP(D41,Insumos!$B$1:$B$670,Insumos!$C$1:$C$670)</f>
        <v>M2</v>
      </c>
      <c r="F41" s="1083">
        <v>0.15</v>
      </c>
      <c r="G41" s="1081">
        <f>IF(B41="insumo",_xlfn.XLOOKUP($D41,Insumos!$B$1:$B$670,Insumos!$D$1:$D$670),"")</f>
        <v>46.5</v>
      </c>
      <c r="H41" s="1081" cm="1">
        <f t="array" ref="H41">_xlfn.IFS(B41="Serviço",SUMIFS(H42:$H$2465,C42:$C$2465,$C41),B41="Insumo",F41*G41,B41="Etapa","")</f>
        <v>6.9749999999999996</v>
      </c>
      <c r="I41" s="1082"/>
    </row>
    <row r="42" spans="1:9" hidden="1" outlineLevel="2" x14ac:dyDescent="0.25">
      <c r="A42" s="1079">
        <f t="shared" si="0"/>
        <v>10</v>
      </c>
      <c r="B42" s="1079" t="s">
        <v>1362</v>
      </c>
      <c r="C42" s="1079" t="str">
        <f t="shared" si="1"/>
        <v>Armazenamento de placas degesso*</v>
      </c>
      <c r="D42" s="1079" t="s">
        <v>1374</v>
      </c>
      <c r="E42" s="1080" t="str">
        <f>_xlfn.XLOOKUP(D42,Insumos!$B$1:$B$670,Insumos!$C$1:$C$670)</f>
        <v>M</v>
      </c>
      <c r="F42" s="1083">
        <v>1</v>
      </c>
      <c r="G42" s="1081">
        <f>IF(B42="insumo",_xlfn.XLOOKUP($D42,Insumos!$B$1:$B$670,Insumos!$D$1:$D$670),"")</f>
        <v>2</v>
      </c>
      <c r="H42" s="1081" cm="1">
        <f t="array" ref="H42">_xlfn.IFS(B42="Serviço",SUMIFS(H43:$H$2465,C43:$C$2465,$C42),B42="Insumo",F42*G42,B42="Etapa","")</f>
        <v>2</v>
      </c>
      <c r="I42" s="1082"/>
    </row>
    <row r="43" spans="1:9" hidden="1" outlineLevel="2" x14ac:dyDescent="0.25">
      <c r="A43" s="1079">
        <f t="shared" si="0"/>
        <v>33</v>
      </c>
      <c r="B43" s="1079" t="s">
        <v>1362</v>
      </c>
      <c r="C43" s="1079" t="str">
        <f t="shared" si="1"/>
        <v>Armazenamento de placas degesso*</v>
      </c>
      <c r="D43" s="1079" t="s">
        <v>1375</v>
      </c>
      <c r="E43" s="1080" t="str">
        <f>_xlfn.XLOOKUP(D43,Insumos!$B$1:$B$670,Insumos!$C$1:$C$670)</f>
        <v>KG</v>
      </c>
      <c r="F43" s="1083">
        <v>1</v>
      </c>
      <c r="G43" s="1081">
        <f>IF(B43="insumo",_xlfn.XLOOKUP($D43,Insumos!$B$1:$B$670,Insumos!$D$1:$D$670),"")</f>
        <v>18.13</v>
      </c>
      <c r="H43" s="1081" cm="1">
        <f t="array" ref="H43">_xlfn.IFS(B43="Serviço",SUMIFS(H44:$H$2465,C44:$C$2465,$C43),B43="Insumo",F43*G43,B43="Etapa","")</f>
        <v>18.13</v>
      </c>
      <c r="I43" s="1082"/>
    </row>
    <row r="44" spans="1:9" hidden="1" outlineLevel="2" x14ac:dyDescent="0.25">
      <c r="A44" s="1079">
        <f t="shared" si="0"/>
        <v>10</v>
      </c>
      <c r="B44" s="1079" t="s">
        <v>1362</v>
      </c>
      <c r="C44" s="1079" t="str">
        <f t="shared" si="1"/>
        <v>Armazenamento de placas degesso*</v>
      </c>
      <c r="D44" s="1079" t="s">
        <v>1376</v>
      </c>
      <c r="E44" s="1080" t="str">
        <f>_xlfn.XLOOKUP(D44,Insumos!$B$1:$B$670,Insumos!$C$1:$C$670)</f>
        <v>UN</v>
      </c>
      <c r="F44" s="1083">
        <v>1.4999999999999999E-2</v>
      </c>
      <c r="G44" s="1081">
        <f>IF(B44="insumo",_xlfn.XLOOKUP($D44,Insumos!$B$1:$B$670,Insumos!$D$1:$D$670),"")</f>
        <v>185.37</v>
      </c>
      <c r="H44" s="1081" cm="1">
        <f t="array" ref="H44">_xlfn.IFS(B44="Serviço",SUMIFS(H45:$H$2465,C45:$C$2465,$C44),B44="Insumo",F44*G44,B44="Etapa","")</f>
        <v>2.7805499999999999</v>
      </c>
      <c r="I44" s="1082"/>
    </row>
    <row r="45" spans="1:9" hidden="1" outlineLevel="2" x14ac:dyDescent="0.25">
      <c r="A45" s="1079">
        <f t="shared" si="0"/>
        <v>10</v>
      </c>
      <c r="B45" s="1079" t="s">
        <v>1362</v>
      </c>
      <c r="C45" s="1079" t="str">
        <f t="shared" si="1"/>
        <v>Armazenamento de placas degesso*</v>
      </c>
      <c r="D45" s="1079" t="s">
        <v>1377</v>
      </c>
      <c r="E45" s="1080" t="str">
        <f>_xlfn.XLOOKUP(D45,Insumos!$B$1:$B$670,Insumos!$C$1:$C$670)</f>
        <v>VB</v>
      </c>
      <c r="F45" s="1083">
        <v>1</v>
      </c>
      <c r="G45" s="1081">
        <f>IF(B45="insumo",_xlfn.XLOOKUP($D45,Insumos!$B$1:$B$670,Insumos!$D$1:$D$670),"")</f>
        <v>215</v>
      </c>
      <c r="H45" s="1081" cm="1">
        <f t="array" ref="H45">_xlfn.IFS(B45="Serviço",SUMIFS(H46:$H$2465,C46:$C$2465,$C45),B45="Insumo",F45*G45,B45="Etapa","")</f>
        <v>215</v>
      </c>
      <c r="I45" s="1082"/>
    </row>
    <row r="46" spans="1:9" hidden="1" outlineLevel="2" x14ac:dyDescent="0.25">
      <c r="A46" s="1079">
        <f t="shared" si="0"/>
        <v>10</v>
      </c>
      <c r="B46" s="1079" t="s">
        <v>1362</v>
      </c>
      <c r="C46" s="1079" t="str">
        <f t="shared" si="1"/>
        <v>Armazenamento de placas degesso*</v>
      </c>
      <c r="D46" s="1079" t="s">
        <v>1378</v>
      </c>
      <c r="E46" s="1080" t="str">
        <f>_xlfn.XLOOKUP(D46,Insumos!$B$1:$B$670,Insumos!$C$1:$C$670)</f>
        <v>M2</v>
      </c>
      <c r="F46" s="1083">
        <v>1</v>
      </c>
      <c r="G46" s="1081">
        <f>IF(B46="insumo",_xlfn.XLOOKUP($D46,Insumos!$B$1:$B$670,Insumos!$D$1:$D$670),"")</f>
        <v>50</v>
      </c>
      <c r="H46" s="1081" cm="1">
        <f t="array" ref="H46">_xlfn.IFS(B46="Serviço",SUMIFS(H47:$H$2465,C47:$C$2465,$C46),B46="Insumo",F46*G46,B46="Etapa","")</f>
        <v>50</v>
      </c>
      <c r="I46" s="1082"/>
    </row>
    <row r="47" spans="1:9" hidden="1" outlineLevel="1" collapsed="1" x14ac:dyDescent="0.25">
      <c r="A47" s="1079">
        <f t="shared" si="0"/>
        <v>1</v>
      </c>
      <c r="B47" s="1079" t="s">
        <v>471</v>
      </c>
      <c r="C47" s="1079" t="str">
        <f t="shared" si="1"/>
        <v>Armazenamento de blocos*</v>
      </c>
      <c r="D47" s="1079" t="s">
        <v>901</v>
      </c>
      <c r="E47" s="1080" t="s">
        <v>17</v>
      </c>
      <c r="F47" s="1079"/>
      <c r="G47" s="1081" t="str">
        <f>IF(B47="insumo",_xlfn.XLOOKUP($D47,Insumos!$B$1:$B$670,Insumos!$D$1:$D$670),"")</f>
        <v/>
      </c>
      <c r="H47" s="1081" cm="1">
        <f t="array" ref="H47">_xlfn.IFS(B47="Serviço",SUMIFS(H48:$H$2465,C48:$C$2465,$C47),B47="Insumo",F47*G47,B47="Etapa","")</f>
        <v>376.71488999999997</v>
      </c>
      <c r="I47" s="1082" t="s">
        <v>872</v>
      </c>
    </row>
    <row r="48" spans="1:9" hidden="1" outlineLevel="2" x14ac:dyDescent="0.25">
      <c r="A48" s="1079">
        <f t="shared" si="0"/>
        <v>11</v>
      </c>
      <c r="B48" s="1079" t="s">
        <v>1362</v>
      </c>
      <c r="C48" s="1079" t="str">
        <f t="shared" si="1"/>
        <v>Armazenamento de blocos*</v>
      </c>
      <c r="D48" s="1079" t="s">
        <v>1370</v>
      </c>
      <c r="E48" s="1080" t="str">
        <f>_xlfn.XLOOKUP(D48,Insumos!$B$1:$B$670,Insumos!$C$1:$C$670)</f>
        <v>M2</v>
      </c>
      <c r="F48" s="1083">
        <v>0.59099999999999997</v>
      </c>
      <c r="G48" s="1081">
        <f>IF(B48="insumo",_xlfn.XLOOKUP($D48,Insumos!$B$1:$B$670,Insumos!$D$1:$D$670),"")</f>
        <v>46.5</v>
      </c>
      <c r="H48" s="1081" cm="1">
        <f t="array" ref="H48">_xlfn.IFS(B48="Serviço",SUMIFS(H49:$H$2465,C49:$C$2465,$C48),B48="Insumo",F48*G48,B48="Etapa","")</f>
        <v>27.481499999999997</v>
      </c>
      <c r="I48" s="1082"/>
    </row>
    <row r="49" spans="1:9" hidden="1" outlineLevel="2" x14ac:dyDescent="0.25">
      <c r="A49" s="1079">
        <f t="shared" si="0"/>
        <v>10</v>
      </c>
      <c r="B49" s="1079" t="s">
        <v>1362</v>
      </c>
      <c r="C49" s="1079" t="str">
        <f t="shared" si="1"/>
        <v>Armazenamento de blocos*</v>
      </c>
      <c r="D49" s="1079" t="s">
        <v>1371</v>
      </c>
      <c r="E49" s="1080" t="str">
        <f>_xlfn.XLOOKUP(D49,Insumos!$B$1:$B$670,Insumos!$C$1:$C$670)</f>
        <v>UN</v>
      </c>
      <c r="F49" s="1083">
        <v>0.40400000000000003</v>
      </c>
      <c r="G49" s="1081">
        <f>IF(B49="insumo",_xlfn.XLOOKUP($D49,Insumos!$B$1:$B$670,Insumos!$D$1:$D$670),"")</f>
        <v>58.46</v>
      </c>
      <c r="H49" s="1081" cm="1">
        <f t="array" ref="H49">_xlfn.IFS(B49="Serviço",SUMIFS(H50:$H$2465,C50:$C$2465,$C49),B49="Insumo",F49*G49,B49="Etapa","")</f>
        <v>23.617840000000001</v>
      </c>
      <c r="I49" s="1082"/>
    </row>
    <row r="50" spans="1:9" hidden="1" outlineLevel="2" x14ac:dyDescent="0.25">
      <c r="A50" s="1079">
        <f t="shared" si="0"/>
        <v>21</v>
      </c>
      <c r="B50" s="1079" t="s">
        <v>1362</v>
      </c>
      <c r="C50" s="1079" t="str">
        <f t="shared" si="1"/>
        <v>Armazenamento de blocos*</v>
      </c>
      <c r="D50" s="1079" t="s">
        <v>1372</v>
      </c>
      <c r="E50" s="1080" t="str">
        <f>_xlfn.XLOOKUP(D50,Insumos!$B$1:$B$670,Insumos!$C$1:$C$670)</f>
        <v>M</v>
      </c>
      <c r="F50" s="1083">
        <v>4.3899999999999997</v>
      </c>
      <c r="G50" s="1081">
        <f>IF(B50="insumo",_xlfn.XLOOKUP($D50,Insumos!$B$1:$B$670,Insumos!$D$1:$D$670),"")</f>
        <v>7</v>
      </c>
      <c r="H50" s="1081" cm="1">
        <f t="array" ref="H50">_xlfn.IFS(B50="Serviço",SUMIFS(H51:$H$2465,C51:$C$2465,$C50),B50="Insumo",F50*G50,B50="Etapa","")</f>
        <v>30.729999999999997</v>
      </c>
      <c r="I50" s="1082"/>
    </row>
    <row r="51" spans="1:9" hidden="1" outlineLevel="2" x14ac:dyDescent="0.25">
      <c r="A51" s="1079">
        <f t="shared" si="0"/>
        <v>11</v>
      </c>
      <c r="B51" s="1079" t="s">
        <v>1362</v>
      </c>
      <c r="C51" s="1079" t="str">
        <f t="shared" si="1"/>
        <v>Armazenamento de blocos*</v>
      </c>
      <c r="D51" s="1079" t="s">
        <v>1373</v>
      </c>
      <c r="E51" s="1080" t="str">
        <f>_xlfn.XLOOKUP(D51,Insumos!$B$1:$B$670,Insumos!$C$1:$C$670)</f>
        <v>M2</v>
      </c>
      <c r="F51" s="1083">
        <v>0.15</v>
      </c>
      <c r="G51" s="1081">
        <f>IF(B51="insumo",_xlfn.XLOOKUP($D51,Insumos!$B$1:$B$670,Insumos!$D$1:$D$670),"")</f>
        <v>46.5</v>
      </c>
      <c r="H51" s="1081" cm="1">
        <f t="array" ref="H51">_xlfn.IFS(B51="Serviço",SUMIFS(H52:$H$2465,C52:$C$2465,$C51),B51="Insumo",F51*G51,B51="Etapa","")</f>
        <v>6.9749999999999996</v>
      </c>
      <c r="I51" s="1082"/>
    </row>
    <row r="52" spans="1:9" hidden="1" outlineLevel="2" x14ac:dyDescent="0.25">
      <c r="A52" s="1079">
        <f t="shared" si="0"/>
        <v>10</v>
      </c>
      <c r="B52" s="1079" t="s">
        <v>1362</v>
      </c>
      <c r="C52" s="1079" t="str">
        <f t="shared" si="1"/>
        <v>Armazenamento de blocos*</v>
      </c>
      <c r="D52" s="1079" t="s">
        <v>1374</v>
      </c>
      <c r="E52" s="1080" t="str">
        <f>_xlfn.XLOOKUP(D52,Insumos!$B$1:$B$670,Insumos!$C$1:$C$670)</f>
        <v>M</v>
      </c>
      <c r="F52" s="1083">
        <v>1</v>
      </c>
      <c r="G52" s="1081">
        <f>IF(B52="insumo",_xlfn.XLOOKUP($D52,Insumos!$B$1:$B$670,Insumos!$D$1:$D$670),"")</f>
        <v>2</v>
      </c>
      <c r="H52" s="1081" cm="1">
        <f t="array" ref="H52">_xlfn.IFS(B52="Serviço",SUMIFS(H53:$H$2465,C53:$C$2465,$C52),B52="Insumo",F52*G52,B52="Etapa","")</f>
        <v>2</v>
      </c>
      <c r="I52" s="1082"/>
    </row>
    <row r="53" spans="1:9" hidden="1" outlineLevel="2" x14ac:dyDescent="0.25">
      <c r="A53" s="1079">
        <f t="shared" si="0"/>
        <v>33</v>
      </c>
      <c r="B53" s="1079" t="s">
        <v>1362</v>
      </c>
      <c r="C53" s="1079" t="str">
        <f t="shared" si="1"/>
        <v>Armazenamento de blocos*</v>
      </c>
      <c r="D53" s="1079" t="s">
        <v>1375</v>
      </c>
      <c r="E53" s="1080" t="str">
        <f>_xlfn.XLOOKUP(D53,Insumos!$B$1:$B$670,Insumos!$C$1:$C$670)</f>
        <v>KG</v>
      </c>
      <c r="F53" s="1083">
        <v>1</v>
      </c>
      <c r="G53" s="1081">
        <f>IF(B53="insumo",_xlfn.XLOOKUP($D53,Insumos!$B$1:$B$670,Insumos!$D$1:$D$670),"")</f>
        <v>18.13</v>
      </c>
      <c r="H53" s="1081" cm="1">
        <f t="array" ref="H53">_xlfn.IFS(B53="Serviço",SUMIFS(H54:$H$2465,C54:$C$2465,$C53),B53="Insumo",F53*G53,B53="Etapa","")</f>
        <v>18.13</v>
      </c>
      <c r="I53" s="1082"/>
    </row>
    <row r="54" spans="1:9" hidden="1" outlineLevel="2" x14ac:dyDescent="0.25">
      <c r="A54" s="1079">
        <f t="shared" si="0"/>
        <v>10</v>
      </c>
      <c r="B54" s="1079" t="s">
        <v>1362</v>
      </c>
      <c r="C54" s="1079" t="str">
        <f t="shared" si="1"/>
        <v>Armazenamento de blocos*</v>
      </c>
      <c r="D54" s="1079" t="s">
        <v>1376</v>
      </c>
      <c r="E54" s="1080" t="str">
        <f>_xlfn.XLOOKUP(D54,Insumos!$B$1:$B$670,Insumos!$C$1:$C$670)</f>
        <v>UN</v>
      </c>
      <c r="F54" s="1083">
        <v>1.4999999999999999E-2</v>
      </c>
      <c r="G54" s="1081">
        <f>IF(B54="insumo",_xlfn.XLOOKUP($D54,Insumos!$B$1:$B$670,Insumos!$D$1:$D$670),"")</f>
        <v>185.37</v>
      </c>
      <c r="H54" s="1081" cm="1">
        <f t="array" ref="H54">_xlfn.IFS(B54="Serviço",SUMIFS(H55:$H$2465,C55:$C$2465,$C54),B54="Insumo",F54*G54,B54="Etapa","")</f>
        <v>2.7805499999999999</v>
      </c>
      <c r="I54" s="1082"/>
    </row>
    <row r="55" spans="1:9" hidden="1" outlineLevel="2" x14ac:dyDescent="0.25">
      <c r="A55" s="1079">
        <f t="shared" si="0"/>
        <v>10</v>
      </c>
      <c r="B55" s="1079" t="s">
        <v>1362</v>
      </c>
      <c r="C55" s="1079" t="str">
        <f t="shared" si="1"/>
        <v>Armazenamento de blocos*</v>
      </c>
      <c r="D55" s="1079" t="s">
        <v>1377</v>
      </c>
      <c r="E55" s="1080" t="str">
        <f>_xlfn.XLOOKUP(D55,Insumos!$B$1:$B$670,Insumos!$C$1:$C$670)</f>
        <v>VB</v>
      </c>
      <c r="F55" s="1083">
        <v>1</v>
      </c>
      <c r="G55" s="1081">
        <f>IF(B55="insumo",_xlfn.XLOOKUP($D55,Insumos!$B$1:$B$670,Insumos!$D$1:$D$670),"")</f>
        <v>215</v>
      </c>
      <c r="H55" s="1081" cm="1">
        <f t="array" ref="H55">_xlfn.IFS(B55="Serviço",SUMIFS(H56:$H$2465,C56:$C$2465,$C55),B55="Insumo",F55*G55,B55="Etapa","")</f>
        <v>215</v>
      </c>
      <c r="I55" s="1082"/>
    </row>
    <row r="56" spans="1:9" hidden="1" outlineLevel="2" x14ac:dyDescent="0.25">
      <c r="A56" s="1079">
        <f t="shared" si="0"/>
        <v>10</v>
      </c>
      <c r="B56" s="1079" t="s">
        <v>1362</v>
      </c>
      <c r="C56" s="1079" t="str">
        <f t="shared" si="1"/>
        <v>Armazenamento de blocos*</v>
      </c>
      <c r="D56" s="1079" t="s">
        <v>1378</v>
      </c>
      <c r="E56" s="1080" t="str">
        <f>_xlfn.XLOOKUP(D56,Insumos!$B$1:$B$670,Insumos!$C$1:$C$670)</f>
        <v>M2</v>
      </c>
      <c r="F56" s="1083">
        <v>1</v>
      </c>
      <c r="G56" s="1081">
        <f>IF(B56="insumo",_xlfn.XLOOKUP($D56,Insumos!$B$1:$B$670,Insumos!$D$1:$D$670),"")</f>
        <v>50</v>
      </c>
      <c r="H56" s="1081" cm="1">
        <f t="array" ref="H56">_xlfn.IFS(B56="Serviço",SUMIFS(H57:$H$2465,C57:$C$2465,$C56),B56="Insumo",F56*G56,B56="Etapa","")</f>
        <v>50</v>
      </c>
      <c r="I56" s="1082"/>
    </row>
    <row r="57" spans="1:9" hidden="1" outlineLevel="1" collapsed="1" x14ac:dyDescent="0.25">
      <c r="A57" s="1079">
        <f t="shared" si="0"/>
        <v>1</v>
      </c>
      <c r="B57" s="1079" t="s">
        <v>471</v>
      </c>
      <c r="C57" s="1079" t="str">
        <f t="shared" si="1"/>
        <v>Armazenamento de contramarcos*</v>
      </c>
      <c r="D57" s="1079" t="s">
        <v>902</v>
      </c>
      <c r="E57" s="1080" t="s">
        <v>17</v>
      </c>
      <c r="F57" s="1079"/>
      <c r="G57" s="1081" t="str">
        <f>IF(B57="insumo",_xlfn.XLOOKUP($D57,Insumos!$B$1:$B$670,Insumos!$D$1:$D$670),"")</f>
        <v/>
      </c>
      <c r="H57" s="1081" cm="1">
        <f t="array" ref="H57">_xlfn.IFS(B57="Serviço",SUMIFS(H58:$H$2465,C58:$C$2465,$C57),B57="Insumo",F57*G57,B57="Etapa","")</f>
        <v>376.71488999999997</v>
      </c>
      <c r="I57" s="1082" t="s">
        <v>872</v>
      </c>
    </row>
    <row r="58" spans="1:9" hidden="1" outlineLevel="2" x14ac:dyDescent="0.25">
      <c r="A58" s="1079">
        <f t="shared" si="0"/>
        <v>11</v>
      </c>
      <c r="B58" s="1079" t="s">
        <v>1362</v>
      </c>
      <c r="C58" s="1079" t="str">
        <f t="shared" si="1"/>
        <v>Armazenamento de contramarcos*</v>
      </c>
      <c r="D58" s="1079" t="s">
        <v>1370</v>
      </c>
      <c r="E58" s="1080" t="str">
        <f>_xlfn.XLOOKUP(D58,Insumos!$B$1:$B$670,Insumos!$C$1:$C$670)</f>
        <v>M2</v>
      </c>
      <c r="F58" s="1083">
        <v>0.59099999999999997</v>
      </c>
      <c r="G58" s="1081">
        <f>IF(B58="insumo",_xlfn.XLOOKUP($D58,Insumos!$B$1:$B$670,Insumos!$D$1:$D$670),"")</f>
        <v>46.5</v>
      </c>
      <c r="H58" s="1081" cm="1">
        <f t="array" ref="H58">_xlfn.IFS(B58="Serviço",SUMIFS(H59:$H$2465,C59:$C$2465,$C58),B58="Insumo",F58*G58,B58="Etapa","")</f>
        <v>27.481499999999997</v>
      </c>
      <c r="I58" s="1082"/>
    </row>
    <row r="59" spans="1:9" hidden="1" outlineLevel="2" x14ac:dyDescent="0.25">
      <c r="A59" s="1079">
        <f t="shared" si="0"/>
        <v>10</v>
      </c>
      <c r="B59" s="1079" t="s">
        <v>1362</v>
      </c>
      <c r="C59" s="1079" t="str">
        <f t="shared" si="1"/>
        <v>Armazenamento de contramarcos*</v>
      </c>
      <c r="D59" s="1079" t="s">
        <v>1371</v>
      </c>
      <c r="E59" s="1080" t="str">
        <f>_xlfn.XLOOKUP(D59,Insumos!$B$1:$B$670,Insumos!$C$1:$C$670)</f>
        <v>UN</v>
      </c>
      <c r="F59" s="1083">
        <v>0.40400000000000003</v>
      </c>
      <c r="G59" s="1081">
        <f>IF(B59="insumo",_xlfn.XLOOKUP($D59,Insumos!$B$1:$B$670,Insumos!$D$1:$D$670),"")</f>
        <v>58.46</v>
      </c>
      <c r="H59" s="1081" cm="1">
        <f t="array" ref="H59">_xlfn.IFS(B59="Serviço",SUMIFS(H60:$H$2465,C60:$C$2465,$C59),B59="Insumo",F59*G59,B59="Etapa","")</f>
        <v>23.617840000000001</v>
      </c>
      <c r="I59" s="1082"/>
    </row>
    <row r="60" spans="1:9" hidden="1" outlineLevel="2" x14ac:dyDescent="0.25">
      <c r="A60" s="1079">
        <f t="shared" si="0"/>
        <v>21</v>
      </c>
      <c r="B60" s="1079" t="s">
        <v>1362</v>
      </c>
      <c r="C60" s="1079" t="str">
        <f t="shared" si="1"/>
        <v>Armazenamento de contramarcos*</v>
      </c>
      <c r="D60" s="1079" t="s">
        <v>1372</v>
      </c>
      <c r="E60" s="1080" t="str">
        <f>_xlfn.XLOOKUP(D60,Insumos!$B$1:$B$670,Insumos!$C$1:$C$670)</f>
        <v>M</v>
      </c>
      <c r="F60" s="1083">
        <v>4.3899999999999997</v>
      </c>
      <c r="G60" s="1081">
        <f>IF(B60="insumo",_xlfn.XLOOKUP($D60,Insumos!$B$1:$B$670,Insumos!$D$1:$D$670),"")</f>
        <v>7</v>
      </c>
      <c r="H60" s="1081" cm="1">
        <f t="array" ref="H60">_xlfn.IFS(B60="Serviço",SUMIFS(H61:$H$2465,C61:$C$2465,$C60),B60="Insumo",F60*G60,B60="Etapa","")</f>
        <v>30.729999999999997</v>
      </c>
      <c r="I60" s="1082"/>
    </row>
    <row r="61" spans="1:9" hidden="1" outlineLevel="2" x14ac:dyDescent="0.25">
      <c r="A61" s="1079">
        <f t="shared" si="0"/>
        <v>11</v>
      </c>
      <c r="B61" s="1079" t="s">
        <v>1362</v>
      </c>
      <c r="C61" s="1079" t="str">
        <f t="shared" si="1"/>
        <v>Armazenamento de contramarcos*</v>
      </c>
      <c r="D61" s="1079" t="s">
        <v>1373</v>
      </c>
      <c r="E61" s="1080" t="str">
        <f>_xlfn.XLOOKUP(D61,Insumos!$B$1:$B$670,Insumos!$C$1:$C$670)</f>
        <v>M2</v>
      </c>
      <c r="F61" s="1083">
        <v>0.15</v>
      </c>
      <c r="G61" s="1081">
        <f>IF(B61="insumo",_xlfn.XLOOKUP($D61,Insumos!$B$1:$B$670,Insumos!$D$1:$D$670),"")</f>
        <v>46.5</v>
      </c>
      <c r="H61" s="1081" cm="1">
        <f t="array" ref="H61">_xlfn.IFS(B61="Serviço",SUMIFS(H62:$H$2465,C62:$C$2465,$C61),B61="Insumo",F61*G61,B61="Etapa","")</f>
        <v>6.9749999999999996</v>
      </c>
      <c r="I61" s="1082"/>
    </row>
    <row r="62" spans="1:9" hidden="1" outlineLevel="2" x14ac:dyDescent="0.25">
      <c r="A62" s="1079">
        <f t="shared" si="0"/>
        <v>10</v>
      </c>
      <c r="B62" s="1079" t="s">
        <v>1362</v>
      </c>
      <c r="C62" s="1079" t="str">
        <f t="shared" si="1"/>
        <v>Armazenamento de contramarcos*</v>
      </c>
      <c r="D62" s="1079" t="s">
        <v>1374</v>
      </c>
      <c r="E62" s="1080" t="str">
        <f>_xlfn.XLOOKUP(D62,Insumos!$B$1:$B$670,Insumos!$C$1:$C$670)</f>
        <v>M</v>
      </c>
      <c r="F62" s="1083">
        <v>1</v>
      </c>
      <c r="G62" s="1081">
        <f>IF(B62="insumo",_xlfn.XLOOKUP($D62,Insumos!$B$1:$B$670,Insumos!$D$1:$D$670),"")</f>
        <v>2</v>
      </c>
      <c r="H62" s="1081" cm="1">
        <f t="array" ref="H62">_xlfn.IFS(B62="Serviço",SUMIFS(H63:$H$2465,C63:$C$2465,$C62),B62="Insumo",F62*G62,B62="Etapa","")</f>
        <v>2</v>
      </c>
      <c r="I62" s="1082"/>
    </row>
    <row r="63" spans="1:9" hidden="1" outlineLevel="2" x14ac:dyDescent="0.25">
      <c r="A63" s="1079">
        <f t="shared" si="0"/>
        <v>33</v>
      </c>
      <c r="B63" s="1079" t="s">
        <v>1362</v>
      </c>
      <c r="C63" s="1079" t="str">
        <f t="shared" si="1"/>
        <v>Armazenamento de contramarcos*</v>
      </c>
      <c r="D63" s="1079" t="s">
        <v>1375</v>
      </c>
      <c r="E63" s="1080" t="str">
        <f>_xlfn.XLOOKUP(D63,Insumos!$B$1:$B$670,Insumos!$C$1:$C$670)</f>
        <v>KG</v>
      </c>
      <c r="F63" s="1083">
        <v>1</v>
      </c>
      <c r="G63" s="1081">
        <f>IF(B63="insumo",_xlfn.XLOOKUP($D63,Insumos!$B$1:$B$670,Insumos!$D$1:$D$670),"")</f>
        <v>18.13</v>
      </c>
      <c r="H63" s="1081" cm="1">
        <f t="array" ref="H63">_xlfn.IFS(B63="Serviço",SUMIFS(H64:$H$2465,C64:$C$2465,$C63),B63="Insumo",F63*G63,B63="Etapa","")</f>
        <v>18.13</v>
      </c>
      <c r="I63" s="1082"/>
    </row>
    <row r="64" spans="1:9" hidden="1" outlineLevel="2" x14ac:dyDescent="0.25">
      <c r="A64" s="1079">
        <f t="shared" si="0"/>
        <v>10</v>
      </c>
      <c r="B64" s="1079" t="s">
        <v>1362</v>
      </c>
      <c r="C64" s="1079" t="str">
        <f t="shared" si="1"/>
        <v>Armazenamento de contramarcos*</v>
      </c>
      <c r="D64" s="1079" t="s">
        <v>1376</v>
      </c>
      <c r="E64" s="1080" t="str">
        <f>_xlfn.XLOOKUP(D64,Insumos!$B$1:$B$670,Insumos!$C$1:$C$670)</f>
        <v>UN</v>
      </c>
      <c r="F64" s="1083">
        <v>1.4999999999999999E-2</v>
      </c>
      <c r="G64" s="1081">
        <f>IF(B64="insumo",_xlfn.XLOOKUP($D64,Insumos!$B$1:$B$670,Insumos!$D$1:$D$670),"")</f>
        <v>185.37</v>
      </c>
      <c r="H64" s="1081" cm="1">
        <f t="array" ref="H64">_xlfn.IFS(B64="Serviço",SUMIFS(H65:$H$2465,C65:$C$2465,$C64),B64="Insumo",F64*G64,B64="Etapa","")</f>
        <v>2.7805499999999999</v>
      </c>
      <c r="I64" s="1082"/>
    </row>
    <row r="65" spans="1:9" hidden="1" outlineLevel="2" x14ac:dyDescent="0.25">
      <c r="A65" s="1079">
        <f t="shared" si="0"/>
        <v>10</v>
      </c>
      <c r="B65" s="1079" t="s">
        <v>1362</v>
      </c>
      <c r="C65" s="1079" t="str">
        <f t="shared" si="1"/>
        <v>Armazenamento de contramarcos*</v>
      </c>
      <c r="D65" s="1079" t="s">
        <v>1377</v>
      </c>
      <c r="E65" s="1080" t="str">
        <f>_xlfn.XLOOKUP(D65,Insumos!$B$1:$B$670,Insumos!$C$1:$C$670)</f>
        <v>VB</v>
      </c>
      <c r="F65" s="1083">
        <v>1</v>
      </c>
      <c r="G65" s="1081">
        <f>IF(B65="insumo",_xlfn.XLOOKUP($D65,Insumos!$B$1:$B$670,Insumos!$D$1:$D$670),"")</f>
        <v>215</v>
      </c>
      <c r="H65" s="1081" cm="1">
        <f t="array" ref="H65">_xlfn.IFS(B65="Serviço",SUMIFS(H66:$H$2465,C66:$C$2465,$C65),B65="Insumo",F65*G65,B65="Etapa","")</f>
        <v>215</v>
      </c>
      <c r="I65" s="1082"/>
    </row>
    <row r="66" spans="1:9" hidden="1" outlineLevel="2" x14ac:dyDescent="0.25">
      <c r="A66" s="1079">
        <f t="shared" ref="A66:A129" si="2">COUNTIFS($D$2:$D$2465,D66,$B$2:$B$2465,B66)</f>
        <v>10</v>
      </c>
      <c r="B66" s="1079" t="s">
        <v>1362</v>
      </c>
      <c r="C66" s="1079" t="str">
        <f t="shared" si="1"/>
        <v>Armazenamento de contramarcos*</v>
      </c>
      <c r="D66" s="1079" t="s">
        <v>1378</v>
      </c>
      <c r="E66" s="1080" t="str">
        <f>_xlfn.XLOOKUP(D66,Insumos!$B$1:$B$670,Insumos!$C$1:$C$670)</f>
        <v>M2</v>
      </c>
      <c r="F66" s="1083">
        <v>1</v>
      </c>
      <c r="G66" s="1081">
        <f>IF(B66="insumo",_xlfn.XLOOKUP($D66,Insumos!$B$1:$B$670,Insumos!$D$1:$D$670),"")</f>
        <v>50</v>
      </c>
      <c r="H66" s="1081" cm="1">
        <f t="array" ref="H66">_xlfn.IFS(B66="Serviço",SUMIFS(H67:$H$2465,C67:$C$2465,$C66),B66="Insumo",F66*G66,B66="Etapa","")</f>
        <v>50</v>
      </c>
      <c r="I66" s="1082"/>
    </row>
    <row r="67" spans="1:9" hidden="1" outlineLevel="1" collapsed="1" x14ac:dyDescent="0.25">
      <c r="A67" s="1079">
        <f t="shared" si="2"/>
        <v>1</v>
      </c>
      <c r="B67" s="1079" t="s">
        <v>471</v>
      </c>
      <c r="C67" s="1079" t="str">
        <f t="shared" ref="C67:C130" si="3">IF(B67="serviço",D67,C66)</f>
        <v>Armazenamento de portas e rodapés*</v>
      </c>
      <c r="D67" s="1079" t="s">
        <v>903</v>
      </c>
      <c r="E67" s="1080" t="s">
        <v>17</v>
      </c>
      <c r="F67" s="1079"/>
      <c r="G67" s="1081" t="str">
        <f>IF(B67="insumo",_xlfn.XLOOKUP($D67,Insumos!$B$1:$B$670,Insumos!$D$1:$D$670),"")</f>
        <v/>
      </c>
      <c r="H67" s="1081" cm="1">
        <f t="array" ref="H67">_xlfn.IFS(B67="Serviço",SUMIFS(H68:$H$2465,C68:$C$2465,$C67),B67="Insumo",F67*G67,B67="Etapa","")</f>
        <v>376.71488999999997</v>
      </c>
      <c r="I67" s="1082" t="s">
        <v>872</v>
      </c>
    </row>
    <row r="68" spans="1:9" hidden="1" outlineLevel="2" x14ac:dyDescent="0.25">
      <c r="A68" s="1079">
        <f t="shared" si="2"/>
        <v>11</v>
      </c>
      <c r="B68" s="1079" t="s">
        <v>1362</v>
      </c>
      <c r="C68" s="1079" t="str">
        <f t="shared" si="3"/>
        <v>Armazenamento de portas e rodapés*</v>
      </c>
      <c r="D68" s="1079" t="s">
        <v>1370</v>
      </c>
      <c r="E68" s="1080" t="str">
        <f>_xlfn.XLOOKUP(D68,Insumos!$B$1:$B$670,Insumos!$C$1:$C$670)</f>
        <v>M2</v>
      </c>
      <c r="F68" s="1083">
        <v>0.59099999999999997</v>
      </c>
      <c r="G68" s="1081">
        <f>IF(B68="insumo",_xlfn.XLOOKUP($D68,Insumos!$B$1:$B$670,Insumos!$D$1:$D$670),"")</f>
        <v>46.5</v>
      </c>
      <c r="H68" s="1081" cm="1">
        <f t="array" ref="H68">_xlfn.IFS(B68="Serviço",SUMIFS(H69:$H$2465,C69:$C$2465,$C68),B68="Insumo",F68*G68,B68="Etapa","")</f>
        <v>27.481499999999997</v>
      </c>
      <c r="I68" s="1082"/>
    </row>
    <row r="69" spans="1:9" hidden="1" outlineLevel="2" x14ac:dyDescent="0.25">
      <c r="A69" s="1079">
        <f t="shared" si="2"/>
        <v>10</v>
      </c>
      <c r="B69" s="1079" t="s">
        <v>1362</v>
      </c>
      <c r="C69" s="1079" t="str">
        <f t="shared" si="3"/>
        <v>Armazenamento de portas e rodapés*</v>
      </c>
      <c r="D69" s="1079" t="s">
        <v>1371</v>
      </c>
      <c r="E69" s="1080" t="str">
        <f>_xlfn.XLOOKUP(D69,Insumos!$B$1:$B$670,Insumos!$C$1:$C$670)</f>
        <v>UN</v>
      </c>
      <c r="F69" s="1083">
        <v>0.40400000000000003</v>
      </c>
      <c r="G69" s="1081">
        <f>IF(B69="insumo",_xlfn.XLOOKUP($D69,Insumos!$B$1:$B$670,Insumos!$D$1:$D$670),"")</f>
        <v>58.46</v>
      </c>
      <c r="H69" s="1081" cm="1">
        <f t="array" ref="H69">_xlfn.IFS(B69="Serviço",SUMIFS(H70:$H$2465,C70:$C$2465,$C69),B69="Insumo",F69*G69,B69="Etapa","")</f>
        <v>23.617840000000001</v>
      </c>
      <c r="I69" s="1082"/>
    </row>
    <row r="70" spans="1:9" hidden="1" outlineLevel="2" x14ac:dyDescent="0.25">
      <c r="A70" s="1079">
        <f t="shared" si="2"/>
        <v>21</v>
      </c>
      <c r="B70" s="1079" t="s">
        <v>1362</v>
      </c>
      <c r="C70" s="1079" t="str">
        <f t="shared" si="3"/>
        <v>Armazenamento de portas e rodapés*</v>
      </c>
      <c r="D70" s="1079" t="s">
        <v>1372</v>
      </c>
      <c r="E70" s="1080" t="str">
        <f>_xlfn.XLOOKUP(D70,Insumos!$B$1:$B$670,Insumos!$C$1:$C$670)</f>
        <v>M</v>
      </c>
      <c r="F70" s="1083">
        <v>4.3899999999999997</v>
      </c>
      <c r="G70" s="1081">
        <f>IF(B70="insumo",_xlfn.XLOOKUP($D70,Insumos!$B$1:$B$670,Insumos!$D$1:$D$670),"")</f>
        <v>7</v>
      </c>
      <c r="H70" s="1081" cm="1">
        <f t="array" ref="H70">_xlfn.IFS(B70="Serviço",SUMIFS(H71:$H$2465,C71:$C$2465,$C70),B70="Insumo",F70*G70,B70="Etapa","")</f>
        <v>30.729999999999997</v>
      </c>
      <c r="I70" s="1082"/>
    </row>
    <row r="71" spans="1:9" hidden="1" outlineLevel="2" x14ac:dyDescent="0.25">
      <c r="A71" s="1079">
        <f t="shared" si="2"/>
        <v>11</v>
      </c>
      <c r="B71" s="1079" t="s">
        <v>1362</v>
      </c>
      <c r="C71" s="1079" t="str">
        <f t="shared" si="3"/>
        <v>Armazenamento de portas e rodapés*</v>
      </c>
      <c r="D71" s="1079" t="s">
        <v>1373</v>
      </c>
      <c r="E71" s="1080" t="str">
        <f>_xlfn.XLOOKUP(D71,Insumos!$B$1:$B$670,Insumos!$C$1:$C$670)</f>
        <v>M2</v>
      </c>
      <c r="F71" s="1083">
        <v>0.15</v>
      </c>
      <c r="G71" s="1081">
        <f>IF(B71="insumo",_xlfn.XLOOKUP($D71,Insumos!$B$1:$B$670,Insumos!$D$1:$D$670),"")</f>
        <v>46.5</v>
      </c>
      <c r="H71" s="1081" cm="1">
        <f t="array" ref="H71">_xlfn.IFS(B71="Serviço",SUMIFS(H72:$H$2465,C72:$C$2465,$C71),B71="Insumo",F71*G71,B71="Etapa","")</f>
        <v>6.9749999999999996</v>
      </c>
      <c r="I71" s="1082"/>
    </row>
    <row r="72" spans="1:9" hidden="1" outlineLevel="2" x14ac:dyDescent="0.25">
      <c r="A72" s="1079">
        <f t="shared" si="2"/>
        <v>10</v>
      </c>
      <c r="B72" s="1079" t="s">
        <v>1362</v>
      </c>
      <c r="C72" s="1079" t="str">
        <f t="shared" si="3"/>
        <v>Armazenamento de portas e rodapés*</v>
      </c>
      <c r="D72" s="1079" t="s">
        <v>1374</v>
      </c>
      <c r="E72" s="1080" t="str">
        <f>_xlfn.XLOOKUP(D72,Insumos!$B$1:$B$670,Insumos!$C$1:$C$670)</f>
        <v>M</v>
      </c>
      <c r="F72" s="1083">
        <v>1</v>
      </c>
      <c r="G72" s="1081">
        <f>IF(B72="insumo",_xlfn.XLOOKUP($D72,Insumos!$B$1:$B$670,Insumos!$D$1:$D$670),"")</f>
        <v>2</v>
      </c>
      <c r="H72" s="1081" cm="1">
        <f t="array" ref="H72">_xlfn.IFS(B72="Serviço",SUMIFS(H73:$H$2465,C73:$C$2465,$C72),B72="Insumo",F72*G72,B72="Etapa","")</f>
        <v>2</v>
      </c>
      <c r="I72" s="1082"/>
    </row>
    <row r="73" spans="1:9" hidden="1" outlineLevel="2" x14ac:dyDescent="0.25">
      <c r="A73" s="1079">
        <f t="shared" si="2"/>
        <v>33</v>
      </c>
      <c r="B73" s="1079" t="s">
        <v>1362</v>
      </c>
      <c r="C73" s="1079" t="str">
        <f t="shared" si="3"/>
        <v>Armazenamento de portas e rodapés*</v>
      </c>
      <c r="D73" s="1079" t="s">
        <v>1375</v>
      </c>
      <c r="E73" s="1080" t="str">
        <f>_xlfn.XLOOKUP(D73,Insumos!$B$1:$B$670,Insumos!$C$1:$C$670)</f>
        <v>KG</v>
      </c>
      <c r="F73" s="1083">
        <v>1</v>
      </c>
      <c r="G73" s="1081">
        <f>IF(B73="insumo",_xlfn.XLOOKUP($D73,Insumos!$B$1:$B$670,Insumos!$D$1:$D$670),"")</f>
        <v>18.13</v>
      </c>
      <c r="H73" s="1081" cm="1">
        <f t="array" ref="H73">_xlfn.IFS(B73="Serviço",SUMIFS(H74:$H$2465,C74:$C$2465,$C73),B73="Insumo",F73*G73,B73="Etapa","")</f>
        <v>18.13</v>
      </c>
      <c r="I73" s="1082"/>
    </row>
    <row r="74" spans="1:9" hidden="1" outlineLevel="2" x14ac:dyDescent="0.25">
      <c r="A74" s="1079">
        <f t="shared" si="2"/>
        <v>10</v>
      </c>
      <c r="B74" s="1079" t="s">
        <v>1362</v>
      </c>
      <c r="C74" s="1079" t="str">
        <f t="shared" si="3"/>
        <v>Armazenamento de portas e rodapés*</v>
      </c>
      <c r="D74" s="1079" t="s">
        <v>1376</v>
      </c>
      <c r="E74" s="1080" t="str">
        <f>_xlfn.XLOOKUP(D74,Insumos!$B$1:$B$670,Insumos!$C$1:$C$670)</f>
        <v>UN</v>
      </c>
      <c r="F74" s="1083">
        <v>1.4999999999999999E-2</v>
      </c>
      <c r="G74" s="1081">
        <f>IF(B74="insumo",_xlfn.XLOOKUP($D74,Insumos!$B$1:$B$670,Insumos!$D$1:$D$670),"")</f>
        <v>185.37</v>
      </c>
      <c r="H74" s="1081" cm="1">
        <f t="array" ref="H74">_xlfn.IFS(B74="Serviço",SUMIFS(H75:$H$2465,C75:$C$2465,$C74),B74="Insumo",F74*G74,B74="Etapa","")</f>
        <v>2.7805499999999999</v>
      </c>
      <c r="I74" s="1082"/>
    </row>
    <row r="75" spans="1:9" hidden="1" outlineLevel="2" x14ac:dyDescent="0.25">
      <c r="A75" s="1079">
        <f t="shared" si="2"/>
        <v>10</v>
      </c>
      <c r="B75" s="1079" t="s">
        <v>1362</v>
      </c>
      <c r="C75" s="1079" t="str">
        <f t="shared" si="3"/>
        <v>Armazenamento de portas e rodapés*</v>
      </c>
      <c r="D75" s="1079" t="s">
        <v>1377</v>
      </c>
      <c r="E75" s="1080" t="str">
        <f>_xlfn.XLOOKUP(D75,Insumos!$B$1:$B$670,Insumos!$C$1:$C$670)</f>
        <v>VB</v>
      </c>
      <c r="F75" s="1083">
        <v>1</v>
      </c>
      <c r="G75" s="1081">
        <f>IF(B75="insumo",_xlfn.XLOOKUP($D75,Insumos!$B$1:$B$670,Insumos!$D$1:$D$670),"")</f>
        <v>215</v>
      </c>
      <c r="H75" s="1081" cm="1">
        <f t="array" ref="H75">_xlfn.IFS(B75="Serviço",SUMIFS(H76:$H$2465,C76:$C$2465,$C75),B75="Insumo",F75*G75,B75="Etapa","")</f>
        <v>215</v>
      </c>
      <c r="I75" s="1082"/>
    </row>
    <row r="76" spans="1:9" hidden="1" outlineLevel="2" x14ac:dyDescent="0.25">
      <c r="A76" s="1079">
        <f t="shared" si="2"/>
        <v>10</v>
      </c>
      <c r="B76" s="1079" t="s">
        <v>1362</v>
      </c>
      <c r="C76" s="1079" t="str">
        <f t="shared" si="3"/>
        <v>Armazenamento de portas e rodapés*</v>
      </c>
      <c r="D76" s="1079" t="s">
        <v>1378</v>
      </c>
      <c r="E76" s="1080" t="str">
        <f>_xlfn.XLOOKUP(D76,Insumos!$B$1:$B$670,Insumos!$C$1:$C$670)</f>
        <v>M2</v>
      </c>
      <c r="F76" s="1083">
        <v>1</v>
      </c>
      <c r="G76" s="1081">
        <f>IF(B76="insumo",_xlfn.XLOOKUP($D76,Insumos!$B$1:$B$670,Insumos!$D$1:$D$670),"")</f>
        <v>50</v>
      </c>
      <c r="H76" s="1081" cm="1">
        <f t="array" ref="H76">_xlfn.IFS(B76="Serviço",SUMIFS(H77:$H$2465,C77:$C$2465,$C76),B76="Insumo",F76*G76,B76="Etapa","")</f>
        <v>50</v>
      </c>
      <c r="I76" s="1082"/>
    </row>
    <row r="77" spans="1:9" hidden="1" outlineLevel="1" collapsed="1" x14ac:dyDescent="0.25">
      <c r="A77" s="1079">
        <f t="shared" si="2"/>
        <v>1</v>
      </c>
      <c r="B77" s="1079" t="s">
        <v>471</v>
      </c>
      <c r="C77" s="1079" t="str">
        <f t="shared" si="3"/>
        <v>Armazenamento de esquadrias*</v>
      </c>
      <c r="D77" s="1079" t="s">
        <v>904</v>
      </c>
      <c r="E77" s="1080" t="s">
        <v>17</v>
      </c>
      <c r="F77" s="1079"/>
      <c r="G77" s="1081" t="str">
        <f>IF(B77="insumo",_xlfn.XLOOKUP($D77,Insumos!$B$1:$B$670,Insumos!$D$1:$D$670),"")</f>
        <v/>
      </c>
      <c r="H77" s="1081" cm="1">
        <f t="array" ref="H77">_xlfn.IFS(B77="Serviço",SUMIFS(H78:$H$2465,C78:$C$2465,$C77),B77="Insumo",F77*G77,B77="Etapa","")</f>
        <v>376.71488999999997</v>
      </c>
      <c r="I77" s="1082" t="s">
        <v>872</v>
      </c>
    </row>
    <row r="78" spans="1:9" hidden="1" outlineLevel="2" x14ac:dyDescent="0.25">
      <c r="A78" s="1079">
        <f t="shared" si="2"/>
        <v>11</v>
      </c>
      <c r="B78" s="1079" t="s">
        <v>1362</v>
      </c>
      <c r="C78" s="1079" t="str">
        <f t="shared" si="3"/>
        <v>Armazenamento de esquadrias*</v>
      </c>
      <c r="D78" s="1079" t="s">
        <v>1370</v>
      </c>
      <c r="E78" s="1080" t="str">
        <f>_xlfn.XLOOKUP(D78,Insumos!$B$1:$B$670,Insumos!$C$1:$C$670)</f>
        <v>M2</v>
      </c>
      <c r="F78" s="1083">
        <v>0.59099999999999997</v>
      </c>
      <c r="G78" s="1081">
        <f>IF(B78="insumo",_xlfn.XLOOKUP($D78,Insumos!$B$1:$B$670,Insumos!$D$1:$D$670),"")</f>
        <v>46.5</v>
      </c>
      <c r="H78" s="1081" cm="1">
        <f t="array" ref="H78">_xlfn.IFS(B78="Serviço",SUMIFS(H79:$H$2465,C79:$C$2465,$C78),B78="Insumo",F78*G78,B78="Etapa","")</f>
        <v>27.481499999999997</v>
      </c>
      <c r="I78" s="1082"/>
    </row>
    <row r="79" spans="1:9" hidden="1" outlineLevel="2" x14ac:dyDescent="0.25">
      <c r="A79" s="1079">
        <f t="shared" si="2"/>
        <v>10</v>
      </c>
      <c r="B79" s="1079" t="s">
        <v>1362</v>
      </c>
      <c r="C79" s="1079" t="str">
        <f t="shared" si="3"/>
        <v>Armazenamento de esquadrias*</v>
      </c>
      <c r="D79" s="1079" t="s">
        <v>1371</v>
      </c>
      <c r="E79" s="1080" t="str">
        <f>_xlfn.XLOOKUP(D79,Insumos!$B$1:$B$670,Insumos!$C$1:$C$670)</f>
        <v>UN</v>
      </c>
      <c r="F79" s="1083">
        <v>0.40400000000000003</v>
      </c>
      <c r="G79" s="1081">
        <f>IF(B79="insumo",_xlfn.XLOOKUP($D79,Insumos!$B$1:$B$670,Insumos!$D$1:$D$670),"")</f>
        <v>58.46</v>
      </c>
      <c r="H79" s="1081" cm="1">
        <f t="array" ref="H79">_xlfn.IFS(B79="Serviço",SUMIFS(H80:$H$2465,C80:$C$2465,$C79),B79="Insumo",F79*G79,B79="Etapa","")</f>
        <v>23.617840000000001</v>
      </c>
      <c r="I79" s="1082"/>
    </row>
    <row r="80" spans="1:9" hidden="1" outlineLevel="2" x14ac:dyDescent="0.25">
      <c r="A80" s="1079">
        <f t="shared" si="2"/>
        <v>21</v>
      </c>
      <c r="B80" s="1079" t="s">
        <v>1362</v>
      </c>
      <c r="C80" s="1079" t="str">
        <f t="shared" si="3"/>
        <v>Armazenamento de esquadrias*</v>
      </c>
      <c r="D80" s="1079" t="s">
        <v>1372</v>
      </c>
      <c r="E80" s="1080" t="str">
        <f>_xlfn.XLOOKUP(D80,Insumos!$B$1:$B$670,Insumos!$C$1:$C$670)</f>
        <v>M</v>
      </c>
      <c r="F80" s="1083">
        <v>4.3899999999999997</v>
      </c>
      <c r="G80" s="1081">
        <f>IF(B80="insumo",_xlfn.XLOOKUP($D80,Insumos!$B$1:$B$670,Insumos!$D$1:$D$670),"")</f>
        <v>7</v>
      </c>
      <c r="H80" s="1081" cm="1">
        <f t="array" ref="H80">_xlfn.IFS(B80="Serviço",SUMIFS(H81:$H$2465,C81:$C$2465,$C80),B80="Insumo",F80*G80,B80="Etapa","")</f>
        <v>30.729999999999997</v>
      </c>
      <c r="I80" s="1082"/>
    </row>
    <row r="81" spans="1:9" hidden="1" outlineLevel="2" x14ac:dyDescent="0.25">
      <c r="A81" s="1079">
        <f t="shared" si="2"/>
        <v>11</v>
      </c>
      <c r="B81" s="1079" t="s">
        <v>1362</v>
      </c>
      <c r="C81" s="1079" t="str">
        <f t="shared" si="3"/>
        <v>Armazenamento de esquadrias*</v>
      </c>
      <c r="D81" s="1079" t="s">
        <v>1373</v>
      </c>
      <c r="E81" s="1080" t="str">
        <f>_xlfn.XLOOKUP(D81,Insumos!$B$1:$B$670,Insumos!$C$1:$C$670)</f>
        <v>M2</v>
      </c>
      <c r="F81" s="1083">
        <v>0.15</v>
      </c>
      <c r="G81" s="1081">
        <f>IF(B81="insumo",_xlfn.XLOOKUP($D81,Insumos!$B$1:$B$670,Insumos!$D$1:$D$670),"")</f>
        <v>46.5</v>
      </c>
      <c r="H81" s="1081" cm="1">
        <f t="array" ref="H81">_xlfn.IFS(B81="Serviço",SUMIFS(H82:$H$2465,C82:$C$2465,$C81),B81="Insumo",F81*G81,B81="Etapa","")</f>
        <v>6.9749999999999996</v>
      </c>
      <c r="I81" s="1082"/>
    </row>
    <row r="82" spans="1:9" hidden="1" outlineLevel="2" x14ac:dyDescent="0.25">
      <c r="A82" s="1079">
        <f t="shared" si="2"/>
        <v>10</v>
      </c>
      <c r="B82" s="1079" t="s">
        <v>1362</v>
      </c>
      <c r="C82" s="1079" t="str">
        <f t="shared" si="3"/>
        <v>Armazenamento de esquadrias*</v>
      </c>
      <c r="D82" s="1079" t="s">
        <v>1374</v>
      </c>
      <c r="E82" s="1080" t="str">
        <f>_xlfn.XLOOKUP(D82,Insumos!$B$1:$B$670,Insumos!$C$1:$C$670)</f>
        <v>M</v>
      </c>
      <c r="F82" s="1083">
        <v>1</v>
      </c>
      <c r="G82" s="1081">
        <f>IF(B82="insumo",_xlfn.XLOOKUP($D82,Insumos!$B$1:$B$670,Insumos!$D$1:$D$670),"")</f>
        <v>2</v>
      </c>
      <c r="H82" s="1081" cm="1">
        <f t="array" ref="H82">_xlfn.IFS(B82="Serviço",SUMIFS(H83:$H$2465,C83:$C$2465,$C82),B82="Insumo",F82*G82,B82="Etapa","")</f>
        <v>2</v>
      </c>
      <c r="I82" s="1082"/>
    </row>
    <row r="83" spans="1:9" hidden="1" outlineLevel="2" x14ac:dyDescent="0.25">
      <c r="A83" s="1079">
        <f t="shared" si="2"/>
        <v>33</v>
      </c>
      <c r="B83" s="1079" t="s">
        <v>1362</v>
      </c>
      <c r="C83" s="1079" t="str">
        <f t="shared" si="3"/>
        <v>Armazenamento de esquadrias*</v>
      </c>
      <c r="D83" s="1079" t="s">
        <v>1375</v>
      </c>
      <c r="E83" s="1080" t="str">
        <f>_xlfn.XLOOKUP(D83,Insumos!$B$1:$B$670,Insumos!$C$1:$C$670)</f>
        <v>KG</v>
      </c>
      <c r="F83" s="1083">
        <v>1</v>
      </c>
      <c r="G83" s="1081">
        <f>IF(B83="insumo",_xlfn.XLOOKUP($D83,Insumos!$B$1:$B$670,Insumos!$D$1:$D$670),"")</f>
        <v>18.13</v>
      </c>
      <c r="H83" s="1081" cm="1">
        <f t="array" ref="H83">_xlfn.IFS(B83="Serviço",SUMIFS(H84:$H$2465,C84:$C$2465,$C83),B83="Insumo",F83*G83,B83="Etapa","")</f>
        <v>18.13</v>
      </c>
      <c r="I83" s="1082"/>
    </row>
    <row r="84" spans="1:9" hidden="1" outlineLevel="2" x14ac:dyDescent="0.25">
      <c r="A84" s="1079">
        <f t="shared" si="2"/>
        <v>10</v>
      </c>
      <c r="B84" s="1079" t="s">
        <v>1362</v>
      </c>
      <c r="C84" s="1079" t="str">
        <f t="shared" si="3"/>
        <v>Armazenamento de esquadrias*</v>
      </c>
      <c r="D84" s="1079" t="s">
        <v>1376</v>
      </c>
      <c r="E84" s="1080" t="str">
        <f>_xlfn.XLOOKUP(D84,Insumos!$B$1:$B$670,Insumos!$C$1:$C$670)</f>
        <v>UN</v>
      </c>
      <c r="F84" s="1083">
        <v>1.4999999999999999E-2</v>
      </c>
      <c r="G84" s="1081">
        <f>IF(B84="insumo",_xlfn.XLOOKUP($D84,Insumos!$B$1:$B$670,Insumos!$D$1:$D$670),"")</f>
        <v>185.37</v>
      </c>
      <c r="H84" s="1081" cm="1">
        <f t="array" ref="H84">_xlfn.IFS(B84="Serviço",SUMIFS(H85:$H$2465,C85:$C$2465,$C84),B84="Insumo",F84*G84,B84="Etapa","")</f>
        <v>2.7805499999999999</v>
      </c>
      <c r="I84" s="1082"/>
    </row>
    <row r="85" spans="1:9" hidden="1" outlineLevel="2" x14ac:dyDescent="0.25">
      <c r="A85" s="1079">
        <f t="shared" si="2"/>
        <v>10</v>
      </c>
      <c r="B85" s="1079" t="s">
        <v>1362</v>
      </c>
      <c r="C85" s="1079" t="str">
        <f t="shared" si="3"/>
        <v>Armazenamento de esquadrias*</v>
      </c>
      <c r="D85" s="1079" t="s">
        <v>1377</v>
      </c>
      <c r="E85" s="1080" t="str">
        <f>_xlfn.XLOOKUP(D85,Insumos!$B$1:$B$670,Insumos!$C$1:$C$670)</f>
        <v>VB</v>
      </c>
      <c r="F85" s="1083">
        <v>1</v>
      </c>
      <c r="G85" s="1081">
        <f>IF(B85="insumo",_xlfn.XLOOKUP($D85,Insumos!$B$1:$B$670,Insumos!$D$1:$D$670),"")</f>
        <v>215</v>
      </c>
      <c r="H85" s="1081" cm="1">
        <f t="array" ref="H85">_xlfn.IFS(B85="Serviço",SUMIFS(H86:$H$2465,C86:$C$2465,$C85),B85="Insumo",F85*G85,B85="Etapa","")</f>
        <v>215</v>
      </c>
      <c r="I85" s="1082"/>
    </row>
    <row r="86" spans="1:9" hidden="1" outlineLevel="2" x14ac:dyDescent="0.25">
      <c r="A86" s="1079">
        <f t="shared" si="2"/>
        <v>10</v>
      </c>
      <c r="B86" s="1079" t="s">
        <v>1362</v>
      </c>
      <c r="C86" s="1079" t="str">
        <f t="shared" si="3"/>
        <v>Armazenamento de esquadrias*</v>
      </c>
      <c r="D86" s="1079" t="s">
        <v>1378</v>
      </c>
      <c r="E86" s="1080" t="str">
        <f>_xlfn.XLOOKUP(D86,Insumos!$B$1:$B$670,Insumos!$C$1:$C$670)</f>
        <v>M2</v>
      </c>
      <c r="F86" s="1083">
        <v>1</v>
      </c>
      <c r="G86" s="1081">
        <f>IF(B86="insumo",_xlfn.XLOOKUP($D86,Insumos!$B$1:$B$670,Insumos!$D$1:$D$670),"")</f>
        <v>50</v>
      </c>
      <c r="H86" s="1081" cm="1">
        <f t="array" ref="H86">_xlfn.IFS(B86="Serviço",SUMIFS(H87:$H$2465,C87:$C$2465,$C86),B86="Insumo",F86*G86,B86="Etapa","")</f>
        <v>50</v>
      </c>
      <c r="I86" s="1082"/>
    </row>
    <row r="87" spans="1:9" hidden="1" outlineLevel="1" collapsed="1" x14ac:dyDescent="0.25">
      <c r="A87" s="1079">
        <f t="shared" si="2"/>
        <v>1</v>
      </c>
      <c r="B87" s="1079" t="s">
        <v>471</v>
      </c>
      <c r="C87" s="1079" t="str">
        <f t="shared" si="3"/>
        <v>Armazenamento de instalações complementares*</v>
      </c>
      <c r="D87" s="1079" t="s">
        <v>905</v>
      </c>
      <c r="E87" s="1080" t="s">
        <v>17</v>
      </c>
      <c r="F87" s="1079"/>
      <c r="G87" s="1081" t="str">
        <f>IF(B87="insumo",_xlfn.XLOOKUP($D87,Insumos!$B$1:$B$670,Insumos!$D$1:$D$670),"")</f>
        <v/>
      </c>
      <c r="H87" s="1081" cm="1">
        <f t="array" ref="H87">_xlfn.IFS(B87="Serviço",SUMIFS(H88:$H$2465,C88:$C$2465,$C87),B87="Insumo",F87*G87,B87="Etapa","")</f>
        <v>376.71488999999997</v>
      </c>
      <c r="I87" s="1082" t="s">
        <v>872</v>
      </c>
    </row>
    <row r="88" spans="1:9" hidden="1" outlineLevel="2" x14ac:dyDescent="0.25">
      <c r="A88" s="1079">
        <f t="shared" si="2"/>
        <v>11</v>
      </c>
      <c r="B88" s="1079" t="s">
        <v>1362</v>
      </c>
      <c r="C88" s="1079" t="str">
        <f t="shared" si="3"/>
        <v>Armazenamento de instalações complementares*</v>
      </c>
      <c r="D88" s="1079" t="s">
        <v>1370</v>
      </c>
      <c r="E88" s="1080" t="str">
        <f>_xlfn.XLOOKUP(D88,Insumos!$B$1:$B$670,Insumos!$C$1:$C$670)</f>
        <v>M2</v>
      </c>
      <c r="F88" s="1083">
        <v>0.59099999999999997</v>
      </c>
      <c r="G88" s="1081">
        <f>IF(B88="insumo",_xlfn.XLOOKUP($D88,Insumos!$B$1:$B$670,Insumos!$D$1:$D$670),"")</f>
        <v>46.5</v>
      </c>
      <c r="H88" s="1081" cm="1">
        <f t="array" ref="H88">_xlfn.IFS(B88="Serviço",SUMIFS(H89:$H$2465,C89:$C$2465,$C88),B88="Insumo",F88*G88,B88="Etapa","")</f>
        <v>27.481499999999997</v>
      </c>
      <c r="I88" s="1082"/>
    </row>
    <row r="89" spans="1:9" hidden="1" outlineLevel="2" x14ac:dyDescent="0.25">
      <c r="A89" s="1079">
        <f t="shared" si="2"/>
        <v>10</v>
      </c>
      <c r="B89" s="1079" t="s">
        <v>1362</v>
      </c>
      <c r="C89" s="1079" t="str">
        <f t="shared" si="3"/>
        <v>Armazenamento de instalações complementares*</v>
      </c>
      <c r="D89" s="1079" t="s">
        <v>1371</v>
      </c>
      <c r="E89" s="1080" t="str">
        <f>_xlfn.XLOOKUP(D89,Insumos!$B$1:$B$670,Insumos!$C$1:$C$670)</f>
        <v>UN</v>
      </c>
      <c r="F89" s="1083">
        <v>0.40400000000000003</v>
      </c>
      <c r="G89" s="1081">
        <f>IF(B89="insumo",_xlfn.XLOOKUP($D89,Insumos!$B$1:$B$670,Insumos!$D$1:$D$670),"")</f>
        <v>58.46</v>
      </c>
      <c r="H89" s="1081" cm="1">
        <f t="array" ref="H89">_xlfn.IFS(B89="Serviço",SUMIFS(H90:$H$2465,C90:$C$2465,$C89),B89="Insumo",F89*G89,B89="Etapa","")</f>
        <v>23.617840000000001</v>
      </c>
      <c r="I89" s="1082"/>
    </row>
    <row r="90" spans="1:9" hidden="1" outlineLevel="2" x14ac:dyDescent="0.25">
      <c r="A90" s="1079">
        <f t="shared" si="2"/>
        <v>21</v>
      </c>
      <c r="B90" s="1079" t="s">
        <v>1362</v>
      </c>
      <c r="C90" s="1079" t="str">
        <f t="shared" si="3"/>
        <v>Armazenamento de instalações complementares*</v>
      </c>
      <c r="D90" s="1079" t="s">
        <v>1372</v>
      </c>
      <c r="E90" s="1080" t="str">
        <f>_xlfn.XLOOKUP(D90,Insumos!$B$1:$B$670,Insumos!$C$1:$C$670)</f>
        <v>M</v>
      </c>
      <c r="F90" s="1083">
        <v>4.3899999999999997</v>
      </c>
      <c r="G90" s="1081">
        <f>IF(B90="insumo",_xlfn.XLOOKUP($D90,Insumos!$B$1:$B$670,Insumos!$D$1:$D$670),"")</f>
        <v>7</v>
      </c>
      <c r="H90" s="1081" cm="1">
        <f t="array" ref="H90">_xlfn.IFS(B90="Serviço",SUMIFS(H91:$H$2465,C91:$C$2465,$C90),B90="Insumo",F90*G90,B90="Etapa","")</f>
        <v>30.729999999999997</v>
      </c>
      <c r="I90" s="1082"/>
    </row>
    <row r="91" spans="1:9" hidden="1" outlineLevel="2" x14ac:dyDescent="0.25">
      <c r="A91" s="1079">
        <f t="shared" si="2"/>
        <v>11</v>
      </c>
      <c r="B91" s="1079" t="s">
        <v>1362</v>
      </c>
      <c r="C91" s="1079" t="str">
        <f t="shared" si="3"/>
        <v>Armazenamento de instalações complementares*</v>
      </c>
      <c r="D91" s="1079" t="s">
        <v>1373</v>
      </c>
      <c r="E91" s="1080" t="str">
        <f>_xlfn.XLOOKUP(D91,Insumos!$B$1:$B$670,Insumos!$C$1:$C$670)</f>
        <v>M2</v>
      </c>
      <c r="F91" s="1083">
        <v>0.15</v>
      </c>
      <c r="G91" s="1081">
        <f>IF(B91="insumo",_xlfn.XLOOKUP($D91,Insumos!$B$1:$B$670,Insumos!$D$1:$D$670),"")</f>
        <v>46.5</v>
      </c>
      <c r="H91" s="1081" cm="1">
        <f t="array" ref="H91">_xlfn.IFS(B91="Serviço",SUMIFS(H92:$H$2465,C92:$C$2465,$C91),B91="Insumo",F91*G91,B91="Etapa","")</f>
        <v>6.9749999999999996</v>
      </c>
      <c r="I91" s="1082"/>
    </row>
    <row r="92" spans="1:9" hidden="1" outlineLevel="2" x14ac:dyDescent="0.25">
      <c r="A92" s="1079">
        <f t="shared" si="2"/>
        <v>10</v>
      </c>
      <c r="B92" s="1079" t="s">
        <v>1362</v>
      </c>
      <c r="C92" s="1079" t="str">
        <f t="shared" si="3"/>
        <v>Armazenamento de instalações complementares*</v>
      </c>
      <c r="D92" s="1079" t="s">
        <v>1374</v>
      </c>
      <c r="E92" s="1080" t="str">
        <f>_xlfn.XLOOKUP(D92,Insumos!$B$1:$B$670,Insumos!$C$1:$C$670)</f>
        <v>M</v>
      </c>
      <c r="F92" s="1083">
        <v>1</v>
      </c>
      <c r="G92" s="1081">
        <f>IF(B92="insumo",_xlfn.XLOOKUP($D92,Insumos!$B$1:$B$670,Insumos!$D$1:$D$670),"")</f>
        <v>2</v>
      </c>
      <c r="H92" s="1081" cm="1">
        <f t="array" ref="H92">_xlfn.IFS(B92="Serviço",SUMIFS(H93:$H$2465,C93:$C$2465,$C92),B92="Insumo",F92*G92,B92="Etapa","")</f>
        <v>2</v>
      </c>
      <c r="I92" s="1082"/>
    </row>
    <row r="93" spans="1:9" hidden="1" outlineLevel="2" x14ac:dyDescent="0.25">
      <c r="A93" s="1079">
        <f t="shared" si="2"/>
        <v>33</v>
      </c>
      <c r="B93" s="1079" t="s">
        <v>1362</v>
      </c>
      <c r="C93" s="1079" t="str">
        <f t="shared" si="3"/>
        <v>Armazenamento de instalações complementares*</v>
      </c>
      <c r="D93" s="1079" t="s">
        <v>1375</v>
      </c>
      <c r="E93" s="1080" t="str">
        <f>_xlfn.XLOOKUP(D93,Insumos!$B$1:$B$670,Insumos!$C$1:$C$670)</f>
        <v>KG</v>
      </c>
      <c r="F93" s="1083">
        <v>1</v>
      </c>
      <c r="G93" s="1081">
        <f>IF(B93="insumo",_xlfn.XLOOKUP($D93,Insumos!$B$1:$B$670,Insumos!$D$1:$D$670),"")</f>
        <v>18.13</v>
      </c>
      <c r="H93" s="1081" cm="1">
        <f t="array" ref="H93">_xlfn.IFS(B93="Serviço",SUMIFS(H94:$H$2465,C94:$C$2465,$C93),B93="Insumo",F93*G93,B93="Etapa","")</f>
        <v>18.13</v>
      </c>
      <c r="I93" s="1082"/>
    </row>
    <row r="94" spans="1:9" hidden="1" outlineLevel="2" x14ac:dyDescent="0.25">
      <c r="A94" s="1079">
        <f t="shared" si="2"/>
        <v>10</v>
      </c>
      <c r="B94" s="1079" t="s">
        <v>1362</v>
      </c>
      <c r="C94" s="1079" t="str">
        <f t="shared" si="3"/>
        <v>Armazenamento de instalações complementares*</v>
      </c>
      <c r="D94" s="1079" t="s">
        <v>1376</v>
      </c>
      <c r="E94" s="1080" t="str">
        <f>_xlfn.XLOOKUP(D94,Insumos!$B$1:$B$670,Insumos!$C$1:$C$670)</f>
        <v>UN</v>
      </c>
      <c r="F94" s="1083">
        <v>1.4999999999999999E-2</v>
      </c>
      <c r="G94" s="1081">
        <f>IF(B94="insumo",_xlfn.XLOOKUP($D94,Insumos!$B$1:$B$670,Insumos!$D$1:$D$670),"")</f>
        <v>185.37</v>
      </c>
      <c r="H94" s="1081" cm="1">
        <f t="array" ref="H94">_xlfn.IFS(B94="Serviço",SUMIFS(H95:$H$2465,C95:$C$2465,$C94),B94="Insumo",F94*G94,B94="Etapa","")</f>
        <v>2.7805499999999999</v>
      </c>
      <c r="I94" s="1082"/>
    </row>
    <row r="95" spans="1:9" hidden="1" outlineLevel="2" x14ac:dyDescent="0.25">
      <c r="A95" s="1079">
        <f t="shared" si="2"/>
        <v>10</v>
      </c>
      <c r="B95" s="1079" t="s">
        <v>1362</v>
      </c>
      <c r="C95" s="1079" t="str">
        <f t="shared" si="3"/>
        <v>Armazenamento de instalações complementares*</v>
      </c>
      <c r="D95" s="1079" t="s">
        <v>1377</v>
      </c>
      <c r="E95" s="1080" t="str">
        <f>_xlfn.XLOOKUP(D95,Insumos!$B$1:$B$670,Insumos!$C$1:$C$670)</f>
        <v>VB</v>
      </c>
      <c r="F95" s="1083">
        <v>1</v>
      </c>
      <c r="G95" s="1081">
        <f>IF(B95="insumo",_xlfn.XLOOKUP($D95,Insumos!$B$1:$B$670,Insumos!$D$1:$D$670),"")</f>
        <v>215</v>
      </c>
      <c r="H95" s="1081" cm="1">
        <f t="array" ref="H95">_xlfn.IFS(B95="Serviço",SUMIFS(H96:$H$2465,C96:$C$2465,$C95),B95="Insumo",F95*G95,B95="Etapa","")</f>
        <v>215</v>
      </c>
      <c r="I95" s="1082"/>
    </row>
    <row r="96" spans="1:9" hidden="1" outlineLevel="2" x14ac:dyDescent="0.25">
      <c r="A96" s="1079">
        <f t="shared" si="2"/>
        <v>10</v>
      </c>
      <c r="B96" s="1079" t="s">
        <v>1362</v>
      </c>
      <c r="C96" s="1079" t="str">
        <f t="shared" si="3"/>
        <v>Armazenamento de instalações complementares*</v>
      </c>
      <c r="D96" s="1079" t="s">
        <v>1378</v>
      </c>
      <c r="E96" s="1080" t="str">
        <f>_xlfn.XLOOKUP(D96,Insumos!$B$1:$B$670,Insumos!$C$1:$C$670)</f>
        <v>M2</v>
      </c>
      <c r="F96" s="1083">
        <v>1</v>
      </c>
      <c r="G96" s="1081">
        <f>IF(B96="insumo",_xlfn.XLOOKUP($D96,Insumos!$B$1:$B$670,Insumos!$D$1:$D$670),"")</f>
        <v>50</v>
      </c>
      <c r="H96" s="1081" cm="1">
        <f t="array" ref="H96">_xlfn.IFS(B96="Serviço",SUMIFS(H97:$H$2465,C97:$C$2465,$C96),B96="Insumo",F96*G96,B96="Etapa","")</f>
        <v>50</v>
      </c>
      <c r="I96" s="1082"/>
    </row>
    <row r="97" spans="1:9" hidden="1" outlineLevel="1" collapsed="1" x14ac:dyDescent="0.25">
      <c r="A97" s="1079">
        <f t="shared" si="2"/>
        <v>1</v>
      </c>
      <c r="B97" s="1079" t="s">
        <v>471</v>
      </c>
      <c r="C97" s="1079" t="str">
        <f t="shared" si="3"/>
        <v>Armazenamento para estoque geral*</v>
      </c>
      <c r="D97" s="1079" t="s">
        <v>906</v>
      </c>
      <c r="E97" s="1080" t="s">
        <v>17</v>
      </c>
      <c r="F97" s="1079"/>
      <c r="G97" s="1081" t="str">
        <f>IF(B97="insumo",_xlfn.XLOOKUP($D97,Insumos!$B$1:$B$670,Insumos!$D$1:$D$670),"")</f>
        <v/>
      </c>
      <c r="H97" s="1081" cm="1">
        <f t="array" ref="H97">_xlfn.IFS(B97="Serviço",SUMIFS(H98:$H$2465,C98:$C$2465,$C97),B97="Insumo",F97*G97,B97="Etapa","")</f>
        <v>376.71488999999997</v>
      </c>
      <c r="I97" s="1082" t="s">
        <v>872</v>
      </c>
    </row>
    <row r="98" spans="1:9" hidden="1" outlineLevel="2" x14ac:dyDescent="0.25">
      <c r="A98" s="1079">
        <f t="shared" si="2"/>
        <v>11</v>
      </c>
      <c r="B98" s="1079" t="s">
        <v>1362</v>
      </c>
      <c r="C98" s="1079" t="str">
        <f t="shared" si="3"/>
        <v>Armazenamento para estoque geral*</v>
      </c>
      <c r="D98" s="1079" t="s">
        <v>1370</v>
      </c>
      <c r="E98" s="1080" t="str">
        <f>_xlfn.XLOOKUP(D98,Insumos!$B$1:$B$670,Insumos!$C$1:$C$670)</f>
        <v>M2</v>
      </c>
      <c r="F98" s="1083">
        <v>0.59099999999999997</v>
      </c>
      <c r="G98" s="1081">
        <f>IF(B98="insumo",_xlfn.XLOOKUP($D98,Insumos!$B$1:$B$670,Insumos!$D$1:$D$670),"")</f>
        <v>46.5</v>
      </c>
      <c r="H98" s="1081" cm="1">
        <f t="array" ref="H98">_xlfn.IFS(B98="Serviço",SUMIFS(H99:$H$2465,C99:$C$2465,$C98),B98="Insumo",F98*G98,B98="Etapa","")</f>
        <v>27.481499999999997</v>
      </c>
      <c r="I98" s="1082"/>
    </row>
    <row r="99" spans="1:9" hidden="1" outlineLevel="2" x14ac:dyDescent="0.25">
      <c r="A99" s="1079">
        <f t="shared" si="2"/>
        <v>10</v>
      </c>
      <c r="B99" s="1079" t="s">
        <v>1362</v>
      </c>
      <c r="C99" s="1079" t="str">
        <f t="shared" si="3"/>
        <v>Armazenamento para estoque geral*</v>
      </c>
      <c r="D99" s="1079" t="s">
        <v>1371</v>
      </c>
      <c r="E99" s="1080" t="str">
        <f>_xlfn.XLOOKUP(D99,Insumos!$B$1:$B$670,Insumos!$C$1:$C$670)</f>
        <v>UN</v>
      </c>
      <c r="F99" s="1083">
        <v>0.40400000000000003</v>
      </c>
      <c r="G99" s="1081">
        <f>IF(B99="insumo",_xlfn.XLOOKUP($D99,Insumos!$B$1:$B$670,Insumos!$D$1:$D$670),"")</f>
        <v>58.46</v>
      </c>
      <c r="H99" s="1081" cm="1">
        <f t="array" ref="H99">_xlfn.IFS(B99="Serviço",SUMIFS(H100:$H$2465,C100:$C$2465,$C99),B99="Insumo",F99*G99,B99="Etapa","")</f>
        <v>23.617840000000001</v>
      </c>
      <c r="I99" s="1082"/>
    </row>
    <row r="100" spans="1:9" hidden="1" outlineLevel="2" x14ac:dyDescent="0.25">
      <c r="A100" s="1079">
        <f t="shared" si="2"/>
        <v>21</v>
      </c>
      <c r="B100" s="1079" t="s">
        <v>1362</v>
      </c>
      <c r="C100" s="1079" t="str">
        <f t="shared" si="3"/>
        <v>Armazenamento para estoque geral*</v>
      </c>
      <c r="D100" s="1079" t="s">
        <v>1372</v>
      </c>
      <c r="E100" s="1080" t="str">
        <f>_xlfn.XLOOKUP(D100,Insumos!$B$1:$B$670,Insumos!$C$1:$C$670)</f>
        <v>M</v>
      </c>
      <c r="F100" s="1083">
        <v>4.3899999999999997</v>
      </c>
      <c r="G100" s="1081">
        <f>IF(B100="insumo",_xlfn.XLOOKUP($D100,Insumos!$B$1:$B$670,Insumos!$D$1:$D$670),"")</f>
        <v>7</v>
      </c>
      <c r="H100" s="1081" cm="1">
        <f t="array" ref="H100">_xlfn.IFS(B100="Serviço",SUMIFS(H101:$H$2465,C101:$C$2465,$C100),B100="Insumo",F100*G100,B100="Etapa","")</f>
        <v>30.729999999999997</v>
      </c>
      <c r="I100" s="1082"/>
    </row>
    <row r="101" spans="1:9" hidden="1" outlineLevel="2" x14ac:dyDescent="0.25">
      <c r="A101" s="1079">
        <f t="shared" si="2"/>
        <v>11</v>
      </c>
      <c r="B101" s="1079" t="s">
        <v>1362</v>
      </c>
      <c r="C101" s="1079" t="str">
        <f t="shared" si="3"/>
        <v>Armazenamento para estoque geral*</v>
      </c>
      <c r="D101" s="1079" t="s">
        <v>1373</v>
      </c>
      <c r="E101" s="1080" t="str">
        <f>_xlfn.XLOOKUP(D101,Insumos!$B$1:$B$670,Insumos!$C$1:$C$670)</f>
        <v>M2</v>
      </c>
      <c r="F101" s="1083">
        <v>0.15</v>
      </c>
      <c r="G101" s="1081">
        <f>IF(B101="insumo",_xlfn.XLOOKUP($D101,Insumos!$B$1:$B$670,Insumos!$D$1:$D$670),"")</f>
        <v>46.5</v>
      </c>
      <c r="H101" s="1081" cm="1">
        <f t="array" ref="H101">_xlfn.IFS(B101="Serviço",SUMIFS(H102:$H$2465,C102:$C$2465,$C101),B101="Insumo",F101*G101,B101="Etapa","")</f>
        <v>6.9749999999999996</v>
      </c>
      <c r="I101" s="1082"/>
    </row>
    <row r="102" spans="1:9" hidden="1" outlineLevel="2" x14ac:dyDescent="0.25">
      <c r="A102" s="1079">
        <f t="shared" si="2"/>
        <v>10</v>
      </c>
      <c r="B102" s="1079" t="s">
        <v>1362</v>
      </c>
      <c r="C102" s="1079" t="str">
        <f t="shared" si="3"/>
        <v>Armazenamento para estoque geral*</v>
      </c>
      <c r="D102" s="1079" t="s">
        <v>1374</v>
      </c>
      <c r="E102" s="1080" t="str">
        <f>_xlfn.XLOOKUP(D102,Insumos!$B$1:$B$670,Insumos!$C$1:$C$670)</f>
        <v>M</v>
      </c>
      <c r="F102" s="1083">
        <v>1</v>
      </c>
      <c r="G102" s="1081">
        <f>IF(B102="insumo",_xlfn.XLOOKUP($D102,Insumos!$B$1:$B$670,Insumos!$D$1:$D$670),"")</f>
        <v>2</v>
      </c>
      <c r="H102" s="1081" cm="1">
        <f t="array" ref="H102">_xlfn.IFS(B102="Serviço",SUMIFS(H103:$H$2465,C103:$C$2465,$C102),B102="Insumo",F102*G102,B102="Etapa","")</f>
        <v>2</v>
      </c>
      <c r="I102" s="1082"/>
    </row>
    <row r="103" spans="1:9" hidden="1" outlineLevel="2" x14ac:dyDescent="0.25">
      <c r="A103" s="1079">
        <f t="shared" si="2"/>
        <v>33</v>
      </c>
      <c r="B103" s="1079" t="s">
        <v>1362</v>
      </c>
      <c r="C103" s="1079" t="str">
        <f t="shared" si="3"/>
        <v>Armazenamento para estoque geral*</v>
      </c>
      <c r="D103" s="1079" t="s">
        <v>1375</v>
      </c>
      <c r="E103" s="1080" t="str">
        <f>_xlfn.XLOOKUP(D103,Insumos!$B$1:$B$670,Insumos!$C$1:$C$670)</f>
        <v>KG</v>
      </c>
      <c r="F103" s="1083">
        <v>1</v>
      </c>
      <c r="G103" s="1081">
        <f>IF(B103="insumo",_xlfn.XLOOKUP($D103,Insumos!$B$1:$B$670,Insumos!$D$1:$D$670),"")</f>
        <v>18.13</v>
      </c>
      <c r="H103" s="1081" cm="1">
        <f t="array" ref="H103">_xlfn.IFS(B103="Serviço",SUMIFS(H104:$H$2465,C104:$C$2465,$C103),B103="Insumo",F103*G103,B103="Etapa","")</f>
        <v>18.13</v>
      </c>
      <c r="I103" s="1082"/>
    </row>
    <row r="104" spans="1:9" hidden="1" outlineLevel="2" x14ac:dyDescent="0.25">
      <c r="A104" s="1079">
        <f t="shared" si="2"/>
        <v>10</v>
      </c>
      <c r="B104" s="1079" t="s">
        <v>1362</v>
      </c>
      <c r="C104" s="1079" t="str">
        <f t="shared" si="3"/>
        <v>Armazenamento para estoque geral*</v>
      </c>
      <c r="D104" s="1079" t="s">
        <v>1376</v>
      </c>
      <c r="E104" s="1080" t="str">
        <f>_xlfn.XLOOKUP(D104,Insumos!$B$1:$B$670,Insumos!$C$1:$C$670)</f>
        <v>UN</v>
      </c>
      <c r="F104" s="1083">
        <v>1.4999999999999999E-2</v>
      </c>
      <c r="G104" s="1081">
        <f>IF(B104="insumo",_xlfn.XLOOKUP($D104,Insumos!$B$1:$B$670,Insumos!$D$1:$D$670),"")</f>
        <v>185.37</v>
      </c>
      <c r="H104" s="1081" cm="1">
        <f t="array" ref="H104">_xlfn.IFS(B104="Serviço",SUMIFS(H105:$H$2465,C105:$C$2465,$C104),B104="Insumo",F104*G104,B104="Etapa","")</f>
        <v>2.7805499999999999</v>
      </c>
      <c r="I104" s="1082"/>
    </row>
    <row r="105" spans="1:9" hidden="1" outlineLevel="2" x14ac:dyDescent="0.25">
      <c r="A105" s="1079">
        <f t="shared" si="2"/>
        <v>10</v>
      </c>
      <c r="B105" s="1079" t="s">
        <v>1362</v>
      </c>
      <c r="C105" s="1079" t="str">
        <f t="shared" si="3"/>
        <v>Armazenamento para estoque geral*</v>
      </c>
      <c r="D105" s="1079" t="s">
        <v>1377</v>
      </c>
      <c r="E105" s="1080" t="str">
        <f>_xlfn.XLOOKUP(D105,Insumos!$B$1:$B$670,Insumos!$C$1:$C$670)</f>
        <v>VB</v>
      </c>
      <c r="F105" s="1083">
        <v>1</v>
      </c>
      <c r="G105" s="1081">
        <f>IF(B105="insumo",_xlfn.XLOOKUP($D105,Insumos!$B$1:$B$670,Insumos!$D$1:$D$670),"")</f>
        <v>215</v>
      </c>
      <c r="H105" s="1081" cm="1">
        <f t="array" ref="H105">_xlfn.IFS(B105="Serviço",SUMIFS(H106:$H$2465,C106:$C$2465,$C105),B105="Insumo",F105*G105,B105="Etapa","")</f>
        <v>215</v>
      </c>
      <c r="I105" s="1082"/>
    </row>
    <row r="106" spans="1:9" hidden="1" outlineLevel="2" x14ac:dyDescent="0.25">
      <c r="A106" s="1079">
        <f t="shared" si="2"/>
        <v>10</v>
      </c>
      <c r="B106" s="1079" t="s">
        <v>1362</v>
      </c>
      <c r="C106" s="1079" t="str">
        <f t="shared" si="3"/>
        <v>Armazenamento para estoque geral*</v>
      </c>
      <c r="D106" s="1079" t="s">
        <v>1378</v>
      </c>
      <c r="E106" s="1080" t="str">
        <f>_xlfn.XLOOKUP(D106,Insumos!$B$1:$B$670,Insumos!$C$1:$C$670)</f>
        <v>M2</v>
      </c>
      <c r="F106" s="1083">
        <v>1</v>
      </c>
      <c r="G106" s="1081">
        <f>IF(B106="insumo",_xlfn.XLOOKUP($D106,Insumos!$B$1:$B$670,Insumos!$D$1:$D$670),"")</f>
        <v>50</v>
      </c>
      <c r="H106" s="1081" cm="1">
        <f t="array" ref="H106">_xlfn.IFS(B106="Serviço",SUMIFS(H107:$H$2465,C107:$C$2465,$C106),B106="Insumo",F106*G106,B106="Etapa","")</f>
        <v>50</v>
      </c>
      <c r="I106" s="1082"/>
    </row>
    <row r="107" spans="1:9" hidden="1" outlineLevel="1" collapsed="1" x14ac:dyDescent="0.25">
      <c r="A107" s="1079">
        <f t="shared" si="2"/>
        <v>1</v>
      </c>
      <c r="B107" s="1079" t="s">
        <v>471</v>
      </c>
      <c r="C107" s="1079" t="str">
        <f t="shared" si="3"/>
        <v>Construções temporárias</v>
      </c>
      <c r="D107" s="1079" t="s">
        <v>907</v>
      </c>
      <c r="E107" s="1080" t="s">
        <v>17</v>
      </c>
      <c r="F107" s="1079"/>
      <c r="G107" s="1081" t="str">
        <f>IF(B107="insumo",_xlfn.XLOOKUP($D107,Insumos!$B$1:$B$670,Insumos!$D$1:$D$670),"")</f>
        <v/>
      </c>
      <c r="H107" s="1081" cm="1">
        <f t="array" ref="H107">_xlfn.IFS(B107="Serviço",SUMIFS(H108:$H$2465,C108:$C$2465,$C107),B107="Insumo",F107*G107,B107="Etapa","")</f>
        <v>449.1549</v>
      </c>
      <c r="I107" s="1082" t="s">
        <v>872</v>
      </c>
    </row>
    <row r="108" spans="1:9" hidden="1" outlineLevel="2" x14ac:dyDescent="0.25">
      <c r="A108" s="1079">
        <f t="shared" si="2"/>
        <v>11</v>
      </c>
      <c r="B108" s="1079" t="s">
        <v>1362</v>
      </c>
      <c r="C108" s="1079" t="str">
        <f t="shared" si="3"/>
        <v>Construções temporárias</v>
      </c>
      <c r="D108" s="1079" t="s">
        <v>1370</v>
      </c>
      <c r="E108" s="1080" t="str">
        <f>_xlfn.XLOOKUP(D108,Insumos!$B$1:$B$670,Insumos!$C$1:$C$670)</f>
        <v>M2</v>
      </c>
      <c r="F108" s="1083">
        <v>0.59099999999999997</v>
      </c>
      <c r="G108" s="1081">
        <f>IF(B108="insumo",_xlfn.XLOOKUP($D108,Insumos!$B$1:$B$670,Insumos!$D$1:$D$670),"")</f>
        <v>46.5</v>
      </c>
      <c r="H108" s="1081" cm="1">
        <f t="array" ref="H108">_xlfn.IFS(B108="Serviço",SUMIFS(H109:$H$2465,C109:$C$2465,$C108),B108="Insumo",F108*G108,B108="Etapa","")</f>
        <v>27.481499999999997</v>
      </c>
      <c r="I108" s="1082"/>
    </row>
    <row r="109" spans="1:9" hidden="1" outlineLevel="2" x14ac:dyDescent="0.25">
      <c r="A109" s="1079">
        <f t="shared" si="2"/>
        <v>10</v>
      </c>
      <c r="B109" s="1079" t="s">
        <v>1362</v>
      </c>
      <c r="C109" s="1079" t="str">
        <f t="shared" si="3"/>
        <v>Construções temporárias</v>
      </c>
      <c r="D109" s="1079" t="s">
        <v>1371</v>
      </c>
      <c r="E109" s="1080" t="str">
        <f>_xlfn.XLOOKUP(D109,Insumos!$B$1:$B$670,Insumos!$C$1:$C$670)</f>
        <v>UN</v>
      </c>
      <c r="F109" s="1083">
        <v>0.40400000000000003</v>
      </c>
      <c r="G109" s="1081">
        <f>IF(B109="insumo",_xlfn.XLOOKUP($D109,Insumos!$B$1:$B$670,Insumos!$D$1:$D$670),"")</f>
        <v>58.46</v>
      </c>
      <c r="H109" s="1081" cm="1">
        <f t="array" ref="H109">_xlfn.IFS(B109="Serviço",SUMIFS(H110:$H$2465,C110:$C$2465,$C109),B109="Insumo",F109*G109,B109="Etapa","")</f>
        <v>23.617840000000001</v>
      </c>
      <c r="I109" s="1082"/>
    </row>
    <row r="110" spans="1:9" hidden="1" outlineLevel="2" x14ac:dyDescent="0.25">
      <c r="A110" s="1079">
        <f t="shared" si="2"/>
        <v>21</v>
      </c>
      <c r="B110" s="1079" t="s">
        <v>1362</v>
      </c>
      <c r="C110" s="1079" t="str">
        <f t="shared" si="3"/>
        <v>Construções temporárias</v>
      </c>
      <c r="D110" s="1079" t="s">
        <v>1372</v>
      </c>
      <c r="E110" s="1080" t="str">
        <f>_xlfn.XLOOKUP(D110,Insumos!$B$1:$B$670,Insumos!$C$1:$C$670)</f>
        <v>M</v>
      </c>
      <c r="F110" s="1083">
        <v>4.3899999999999997</v>
      </c>
      <c r="G110" s="1081">
        <f>IF(B110="insumo",_xlfn.XLOOKUP($D110,Insumos!$B$1:$B$670,Insumos!$D$1:$D$670),"")</f>
        <v>7</v>
      </c>
      <c r="H110" s="1081" cm="1">
        <f t="array" ref="H110">_xlfn.IFS(B110="Serviço",SUMIFS(H111:$H$2465,C111:$C$2465,$C110),B110="Insumo",F110*G110,B110="Etapa","")</f>
        <v>30.729999999999997</v>
      </c>
      <c r="I110" s="1082"/>
    </row>
    <row r="111" spans="1:9" hidden="1" outlineLevel="2" x14ac:dyDescent="0.25">
      <c r="A111" s="1079">
        <f t="shared" si="2"/>
        <v>11</v>
      </c>
      <c r="B111" s="1079" t="s">
        <v>1362</v>
      </c>
      <c r="C111" s="1079" t="str">
        <f t="shared" si="3"/>
        <v>Construções temporárias</v>
      </c>
      <c r="D111" s="1079" t="s">
        <v>1373</v>
      </c>
      <c r="E111" s="1080" t="str">
        <f>_xlfn.XLOOKUP(D111,Insumos!$B$1:$B$670,Insumos!$C$1:$C$670)</f>
        <v>M2</v>
      </c>
      <c r="F111" s="1083">
        <v>0.15</v>
      </c>
      <c r="G111" s="1081">
        <f>IF(B111="insumo",_xlfn.XLOOKUP($D111,Insumos!$B$1:$B$670,Insumos!$D$1:$D$670),"")</f>
        <v>46.5</v>
      </c>
      <c r="H111" s="1081" cm="1">
        <f t="array" ref="H111">_xlfn.IFS(B111="Serviço",SUMIFS(H112:$H$2465,C112:$C$2465,$C111),B111="Insumo",F111*G111,B111="Etapa","")</f>
        <v>6.9749999999999996</v>
      </c>
      <c r="I111" s="1082"/>
    </row>
    <row r="112" spans="1:9" hidden="1" outlineLevel="2" x14ac:dyDescent="0.25">
      <c r="A112" s="1079">
        <f t="shared" si="2"/>
        <v>10</v>
      </c>
      <c r="B112" s="1079" t="s">
        <v>1362</v>
      </c>
      <c r="C112" s="1079" t="str">
        <f t="shared" si="3"/>
        <v>Construções temporárias</v>
      </c>
      <c r="D112" s="1079" t="s">
        <v>1374</v>
      </c>
      <c r="E112" s="1080" t="str">
        <f>_xlfn.XLOOKUP(D112,Insumos!$B$1:$B$670,Insumos!$C$1:$C$670)</f>
        <v>M</v>
      </c>
      <c r="F112" s="1083">
        <v>1</v>
      </c>
      <c r="G112" s="1081">
        <f>IF(B112="insumo",_xlfn.XLOOKUP($D112,Insumos!$B$1:$B$670,Insumos!$D$1:$D$670),"")</f>
        <v>2</v>
      </c>
      <c r="H112" s="1081" cm="1">
        <f t="array" ref="H112">_xlfn.IFS(B112="Serviço",SUMIFS(H113:$H$2465,C113:$C$2465,$C112),B112="Insumo",F112*G112,B112="Etapa","")</f>
        <v>2</v>
      </c>
      <c r="I112" s="1082"/>
    </row>
    <row r="113" spans="1:9" hidden="1" outlineLevel="2" x14ac:dyDescent="0.25">
      <c r="A113" s="1079">
        <f t="shared" si="2"/>
        <v>33</v>
      </c>
      <c r="B113" s="1079" t="s">
        <v>1362</v>
      </c>
      <c r="C113" s="1079" t="str">
        <f t="shared" si="3"/>
        <v>Construções temporárias</v>
      </c>
      <c r="D113" s="1079" t="s">
        <v>1375</v>
      </c>
      <c r="E113" s="1080" t="str">
        <f>_xlfn.XLOOKUP(D113,Insumos!$B$1:$B$670,Insumos!$C$1:$C$670)</f>
        <v>KG</v>
      </c>
      <c r="F113" s="1083">
        <v>1</v>
      </c>
      <c r="G113" s="1081">
        <f>IF(B113="insumo",_xlfn.XLOOKUP($D113,Insumos!$B$1:$B$670,Insumos!$D$1:$D$670),"")</f>
        <v>18.13</v>
      </c>
      <c r="H113" s="1081" cm="1">
        <f t="array" ref="H113">_xlfn.IFS(B113="Serviço",SUMIFS(H114:$H$2465,C114:$C$2465,$C113),B113="Insumo",F113*G113,B113="Etapa","")</f>
        <v>18.13</v>
      </c>
      <c r="I113" s="1082"/>
    </row>
    <row r="114" spans="1:9" hidden="1" outlineLevel="2" x14ac:dyDescent="0.25">
      <c r="A114" s="1079">
        <f t="shared" si="2"/>
        <v>9</v>
      </c>
      <c r="B114" s="1079" t="s">
        <v>1362</v>
      </c>
      <c r="C114" s="1079" t="str">
        <f t="shared" si="3"/>
        <v>Construções temporárias</v>
      </c>
      <c r="D114" s="1079" t="s">
        <v>1365</v>
      </c>
      <c r="E114" s="1080" t="str">
        <f>_xlfn.XLOOKUP(D114,Insumos!$B$1:$B$670,Insumos!$C$1:$C$670)</f>
        <v>M3</v>
      </c>
      <c r="F114" s="1083">
        <v>7.3999999999999996E-2</v>
      </c>
      <c r="G114" s="1081">
        <f>IF(B114="insumo",_xlfn.XLOOKUP($D114,Insumos!$B$1:$B$670,Insumos!$D$1:$D$670),"")</f>
        <v>490</v>
      </c>
      <c r="H114" s="1081" cm="1">
        <f t="array" ref="H114">_xlfn.IFS(B114="Serviço",SUMIFS(H115:$H$2465,C115:$C$2465,$C114),B114="Insumo",F114*G114,B114="Etapa","")</f>
        <v>36.26</v>
      </c>
      <c r="I114" s="1082"/>
    </row>
    <row r="115" spans="1:9" hidden="1" outlineLevel="2" x14ac:dyDescent="0.25">
      <c r="A115" s="1079">
        <f t="shared" si="2"/>
        <v>2</v>
      </c>
      <c r="B115" s="1079" t="s">
        <v>1362</v>
      </c>
      <c r="C115" s="1079" t="str">
        <f t="shared" si="3"/>
        <v>Construções temporárias</v>
      </c>
      <c r="D115" s="1079" t="s">
        <v>1379</v>
      </c>
      <c r="E115" s="1080" t="str">
        <f>_xlfn.XLOOKUP(D115,Insumos!$B$1:$B$670,Insumos!$C$1:$C$670)</f>
        <v>KG</v>
      </c>
      <c r="F115" s="1083">
        <v>1.3339999999999999</v>
      </c>
      <c r="G115" s="1081">
        <f>IF(B115="insumo",_xlfn.XLOOKUP($D115,Insumos!$B$1:$B$670,Insumos!$D$1:$D$670),"")</f>
        <v>6.1</v>
      </c>
      <c r="H115" s="1081" cm="1">
        <f t="array" ref="H115">_xlfn.IFS(B115="Serviço",SUMIFS(H116:$H$2465,C116:$C$2465,$C115),B115="Insumo",F115*G115,B115="Etapa","")</f>
        <v>8.1373999999999977</v>
      </c>
      <c r="I115" s="1082"/>
    </row>
    <row r="116" spans="1:9" hidden="1" outlineLevel="2" x14ac:dyDescent="0.25">
      <c r="A116" s="1079">
        <f t="shared" si="2"/>
        <v>2</v>
      </c>
      <c r="B116" s="1079" t="s">
        <v>1362</v>
      </c>
      <c r="C116" s="1079" t="str">
        <f t="shared" si="3"/>
        <v>Construções temporárias</v>
      </c>
      <c r="D116" s="1079" t="s">
        <v>1380</v>
      </c>
      <c r="E116" s="1080" t="str">
        <f>_xlfn.XLOOKUP(D116,Insumos!$B$1:$B$670,Insumos!$C$1:$C$670)</f>
        <v>M2</v>
      </c>
      <c r="F116" s="1083">
        <v>1.19</v>
      </c>
      <c r="G116" s="1081">
        <f>IF(B116="insumo",_xlfn.XLOOKUP($D116,Insumos!$B$1:$B$670,Insumos!$D$1:$D$670),"")</f>
        <v>21.31</v>
      </c>
      <c r="H116" s="1081" cm="1">
        <f t="array" ref="H116">_xlfn.IFS(B116="Serviço",SUMIFS(H117:$H$2465,C117:$C$2465,$C116),B116="Insumo",F116*G116,B116="Etapa","")</f>
        <v>25.358899999999998</v>
      </c>
      <c r="I116" s="1082"/>
    </row>
    <row r="117" spans="1:9" hidden="1" outlineLevel="2" x14ac:dyDescent="0.25">
      <c r="A117" s="1079">
        <f t="shared" si="2"/>
        <v>2</v>
      </c>
      <c r="B117" s="1079" t="s">
        <v>1362</v>
      </c>
      <c r="C117" s="1079" t="str">
        <f t="shared" si="3"/>
        <v>Construções temporárias</v>
      </c>
      <c r="D117" s="1079" t="s">
        <v>1381</v>
      </c>
      <c r="E117" s="1080" t="str">
        <f>_xlfn.XLOOKUP(D117,Insumos!$B$1:$B$670,Insumos!$C$1:$C$670)</f>
        <v>L</v>
      </c>
      <c r="F117" s="1083">
        <v>0.18</v>
      </c>
      <c r="G117" s="1081">
        <f>IF(B117="insumo",_xlfn.XLOOKUP($D117,Insumos!$B$1:$B$670,Insumos!$D$1:$D$670),"")</f>
        <v>8.5</v>
      </c>
      <c r="H117" s="1081" cm="1">
        <f t="array" ref="H117">_xlfn.IFS(B117="Serviço",SUMIFS(H118:$H$2465,C118:$C$2465,$C117),B117="Insumo",F117*G117,B117="Etapa","")</f>
        <v>1.53</v>
      </c>
      <c r="I117" s="1082"/>
    </row>
    <row r="118" spans="1:9" hidden="1" outlineLevel="2" x14ac:dyDescent="0.25">
      <c r="A118" s="1079">
        <f t="shared" si="2"/>
        <v>2</v>
      </c>
      <c r="B118" s="1079" t="s">
        <v>1362</v>
      </c>
      <c r="C118" s="1079" t="str">
        <f t="shared" si="3"/>
        <v>Construções temporárias</v>
      </c>
      <c r="D118" s="1079" t="s">
        <v>1382</v>
      </c>
      <c r="E118" s="1080" t="str">
        <f>_xlfn.XLOOKUP(D118,Insumos!$B$1:$B$670,Insumos!$C$1:$C$670)</f>
        <v>KG</v>
      </c>
      <c r="F118" s="1083">
        <v>0.06</v>
      </c>
      <c r="G118" s="1081">
        <f>IF(B118="insumo",_xlfn.XLOOKUP($D118,Insumos!$B$1:$B$670,Insumos!$D$1:$D$670),"")</f>
        <v>10</v>
      </c>
      <c r="H118" s="1081" cm="1">
        <f t="array" ref="H118">_xlfn.IFS(B118="Serviço",SUMIFS(H119:$H$2465,C119:$C$2465,$C118),B118="Insumo",F118*G118,B118="Etapa","")</f>
        <v>0.6</v>
      </c>
      <c r="I118" s="1082"/>
    </row>
    <row r="119" spans="1:9" hidden="1" outlineLevel="2" x14ac:dyDescent="0.25">
      <c r="A119" s="1079">
        <f t="shared" si="2"/>
        <v>2</v>
      </c>
      <c r="B119" s="1079" t="s">
        <v>1362</v>
      </c>
      <c r="C119" s="1079" t="str">
        <f t="shared" si="3"/>
        <v>Construções temporárias</v>
      </c>
      <c r="D119" s="1079" t="s">
        <v>1383</v>
      </c>
      <c r="E119" s="1080" t="str">
        <f>_xlfn.XLOOKUP(D119,Insumos!$B$1:$B$670,Insumos!$C$1:$C$670)</f>
        <v>L</v>
      </c>
      <c r="F119" s="1083">
        <v>0.03</v>
      </c>
      <c r="G119" s="1081">
        <f>IF(B119="insumo",_xlfn.XLOOKUP($D119,Insumos!$B$1:$B$670,Insumos!$D$1:$D$670),"")</f>
        <v>16</v>
      </c>
      <c r="H119" s="1081" cm="1">
        <f t="array" ref="H119">_xlfn.IFS(B119="Serviço",SUMIFS(H120:$H$2465,C120:$C$2465,$C119),B119="Insumo",F119*G119,B119="Etapa","")</f>
        <v>0.48</v>
      </c>
      <c r="I119" s="1082"/>
    </row>
    <row r="120" spans="1:9" hidden="1" outlineLevel="2" x14ac:dyDescent="0.25">
      <c r="A120" s="1079">
        <f t="shared" si="2"/>
        <v>24</v>
      </c>
      <c r="B120" s="1079" t="s">
        <v>1362</v>
      </c>
      <c r="C120" s="1079" t="str">
        <f t="shared" si="3"/>
        <v>Construções temporárias</v>
      </c>
      <c r="D120" s="1079" t="s">
        <v>1384</v>
      </c>
      <c r="E120" s="1080" t="str">
        <f>_xlfn.XLOOKUP(D120,Insumos!$B$1:$B$670,Insumos!$C$1:$C$670)</f>
        <v>UN</v>
      </c>
      <c r="F120" s="1083">
        <v>3.9E-2</v>
      </c>
      <c r="G120" s="1081">
        <f>IF(B120="insumo",_xlfn.XLOOKUP($D120,Insumos!$B$1:$B$670,Insumos!$D$1:$D$670),"")</f>
        <v>1.89</v>
      </c>
      <c r="H120" s="1081" cm="1">
        <f t="array" ref="H120">_xlfn.IFS(B120="Serviço",SUMIFS(H121:$H$2465,C121:$C$2465,$C120),B120="Insumo",F120*G120,B120="Etapa","")</f>
        <v>7.3709999999999998E-2</v>
      </c>
      <c r="I120" s="1082"/>
    </row>
    <row r="121" spans="1:9" hidden="1" outlineLevel="2" x14ac:dyDescent="0.25">
      <c r="A121" s="1079">
        <f t="shared" si="2"/>
        <v>10</v>
      </c>
      <c r="B121" s="1079" t="s">
        <v>1362</v>
      </c>
      <c r="C121" s="1079" t="str">
        <f t="shared" si="3"/>
        <v>Construções temporárias</v>
      </c>
      <c r="D121" s="1079" t="s">
        <v>1376</v>
      </c>
      <c r="E121" s="1080" t="str">
        <f>_xlfn.XLOOKUP(D121,Insumos!$B$1:$B$670,Insumos!$C$1:$C$670)</f>
        <v>UN</v>
      </c>
      <c r="F121" s="1083">
        <v>1.4999999999999999E-2</v>
      </c>
      <c r="G121" s="1081">
        <f>IF(B121="insumo",_xlfn.XLOOKUP($D121,Insumos!$B$1:$B$670,Insumos!$D$1:$D$670),"")</f>
        <v>185.37</v>
      </c>
      <c r="H121" s="1081" cm="1">
        <f t="array" ref="H121">_xlfn.IFS(B121="Serviço",SUMIFS(H122:$H$2465,C122:$C$2465,$C121),B121="Insumo",F121*G121,B121="Etapa","")</f>
        <v>2.7805499999999999</v>
      </c>
      <c r="I121" s="1082"/>
    </row>
    <row r="122" spans="1:9" hidden="1" outlineLevel="2" x14ac:dyDescent="0.25">
      <c r="A122" s="1079">
        <f t="shared" si="2"/>
        <v>10</v>
      </c>
      <c r="B122" s="1079" t="s">
        <v>1362</v>
      </c>
      <c r="C122" s="1079" t="str">
        <f t="shared" si="3"/>
        <v>Construções temporárias</v>
      </c>
      <c r="D122" s="1079" t="s">
        <v>1377</v>
      </c>
      <c r="E122" s="1080" t="str">
        <f>_xlfn.XLOOKUP(D122,Insumos!$B$1:$B$670,Insumos!$C$1:$C$670)</f>
        <v>VB</v>
      </c>
      <c r="F122" s="1083">
        <v>1</v>
      </c>
      <c r="G122" s="1081">
        <f>IF(B122="insumo",_xlfn.XLOOKUP($D122,Insumos!$B$1:$B$670,Insumos!$D$1:$D$670),"")</f>
        <v>215</v>
      </c>
      <c r="H122" s="1081" cm="1">
        <f t="array" ref="H122">_xlfn.IFS(B122="Serviço",SUMIFS(H123:$H$2465,C123:$C$2465,$C122),B122="Insumo",F122*G122,B122="Etapa","")</f>
        <v>215</v>
      </c>
      <c r="I122" s="1082"/>
    </row>
    <row r="123" spans="1:9" hidden="1" outlineLevel="2" x14ac:dyDescent="0.25">
      <c r="A123" s="1079">
        <f t="shared" si="2"/>
        <v>10</v>
      </c>
      <c r="B123" s="1079" t="s">
        <v>1362</v>
      </c>
      <c r="C123" s="1079" t="str">
        <f t="shared" si="3"/>
        <v>Construções temporárias</v>
      </c>
      <c r="D123" s="1079" t="s">
        <v>1378</v>
      </c>
      <c r="E123" s="1080" t="str">
        <f>_xlfn.XLOOKUP(D123,Insumos!$B$1:$B$670,Insumos!$C$1:$C$670)</f>
        <v>M2</v>
      </c>
      <c r="F123" s="1083">
        <v>1</v>
      </c>
      <c r="G123" s="1081">
        <f>IF(B123="insumo",_xlfn.XLOOKUP($D123,Insumos!$B$1:$B$670,Insumos!$D$1:$D$670),"")</f>
        <v>50</v>
      </c>
      <c r="H123" s="1081" cm="1">
        <f t="array" ref="H123">_xlfn.IFS(B123="Serviço",SUMIFS(H124:$H$2465,C124:$C$2465,$C123),B123="Insumo",F123*G123,B123="Etapa","")</f>
        <v>50</v>
      </c>
      <c r="I123" s="1082"/>
    </row>
    <row r="124" spans="1:9" hidden="1" outlineLevel="1" collapsed="1" x14ac:dyDescent="0.25">
      <c r="A124" s="1079">
        <f t="shared" si="2"/>
        <v>1</v>
      </c>
      <c r="B124" s="1079" t="s">
        <v>471</v>
      </c>
      <c r="C124" s="1079" t="str">
        <f t="shared" si="3"/>
        <v>Almoxarifado geral</v>
      </c>
      <c r="D124" s="1079" t="s">
        <v>908</v>
      </c>
      <c r="E124" s="1080" t="s">
        <v>17</v>
      </c>
      <c r="F124" s="1079"/>
      <c r="G124" s="1081" t="str">
        <f>IF(B124="insumo",_xlfn.XLOOKUP($D124,Insumos!$B$1:$B$670,Insumos!$D$1:$D$670),"")</f>
        <v/>
      </c>
      <c r="H124" s="1081" cm="1">
        <f t="array" ref="H124">_xlfn.IFS(B124="Serviço",SUMIFS(H125:$H$2465,C125:$C$2465,$C124),B124="Insumo",F124*G124,B124="Etapa","")</f>
        <v>449.1549</v>
      </c>
      <c r="I124" s="1082" t="s">
        <v>872</v>
      </c>
    </row>
    <row r="125" spans="1:9" hidden="1" outlineLevel="2" x14ac:dyDescent="0.25">
      <c r="A125" s="1079">
        <f t="shared" si="2"/>
        <v>11</v>
      </c>
      <c r="B125" s="1079" t="s">
        <v>1362</v>
      </c>
      <c r="C125" s="1079" t="str">
        <f t="shared" si="3"/>
        <v>Almoxarifado geral</v>
      </c>
      <c r="D125" s="1079" t="s">
        <v>1370</v>
      </c>
      <c r="E125" s="1080" t="str">
        <f>_xlfn.XLOOKUP(D125,Insumos!$B$1:$B$670,Insumos!$C$1:$C$670)</f>
        <v>M2</v>
      </c>
      <c r="F125" s="1083">
        <v>0.59099999999999997</v>
      </c>
      <c r="G125" s="1081">
        <f>IF(B125="insumo",_xlfn.XLOOKUP($D125,Insumos!$B$1:$B$670,Insumos!$D$1:$D$670),"")</f>
        <v>46.5</v>
      </c>
      <c r="H125" s="1081" cm="1">
        <f t="array" ref="H125">_xlfn.IFS(B125="Serviço",SUMIFS(H126:$H$2465,C126:$C$2465,$C125),B125="Insumo",F125*G125,B125="Etapa","")</f>
        <v>27.481499999999997</v>
      </c>
      <c r="I125" s="1082"/>
    </row>
    <row r="126" spans="1:9" hidden="1" outlineLevel="2" x14ac:dyDescent="0.25">
      <c r="A126" s="1079">
        <f t="shared" si="2"/>
        <v>10</v>
      </c>
      <c r="B126" s="1079" t="s">
        <v>1362</v>
      </c>
      <c r="C126" s="1079" t="str">
        <f t="shared" si="3"/>
        <v>Almoxarifado geral</v>
      </c>
      <c r="D126" s="1079" t="s">
        <v>1371</v>
      </c>
      <c r="E126" s="1080" t="str">
        <f>_xlfn.XLOOKUP(D126,Insumos!$B$1:$B$670,Insumos!$C$1:$C$670)</f>
        <v>UN</v>
      </c>
      <c r="F126" s="1083">
        <v>0.40400000000000003</v>
      </c>
      <c r="G126" s="1081">
        <f>IF(B126="insumo",_xlfn.XLOOKUP($D126,Insumos!$B$1:$B$670,Insumos!$D$1:$D$670),"")</f>
        <v>58.46</v>
      </c>
      <c r="H126" s="1081" cm="1">
        <f t="array" ref="H126">_xlfn.IFS(B126="Serviço",SUMIFS(H127:$H$2465,C127:$C$2465,$C126),B126="Insumo",F126*G126,B126="Etapa","")</f>
        <v>23.617840000000001</v>
      </c>
      <c r="I126" s="1082"/>
    </row>
    <row r="127" spans="1:9" hidden="1" outlineLevel="2" x14ac:dyDescent="0.25">
      <c r="A127" s="1079">
        <f t="shared" si="2"/>
        <v>21</v>
      </c>
      <c r="B127" s="1079" t="s">
        <v>1362</v>
      </c>
      <c r="C127" s="1079" t="str">
        <f t="shared" si="3"/>
        <v>Almoxarifado geral</v>
      </c>
      <c r="D127" s="1079" t="s">
        <v>1372</v>
      </c>
      <c r="E127" s="1080" t="str">
        <f>_xlfn.XLOOKUP(D127,Insumos!$B$1:$B$670,Insumos!$C$1:$C$670)</f>
        <v>M</v>
      </c>
      <c r="F127" s="1083">
        <v>4.3899999999999997</v>
      </c>
      <c r="G127" s="1081">
        <f>IF(B127="insumo",_xlfn.XLOOKUP($D127,Insumos!$B$1:$B$670,Insumos!$D$1:$D$670),"")</f>
        <v>7</v>
      </c>
      <c r="H127" s="1081" cm="1">
        <f t="array" ref="H127">_xlfn.IFS(B127="Serviço",SUMIFS(H128:$H$2465,C128:$C$2465,$C127),B127="Insumo",F127*G127,B127="Etapa","")</f>
        <v>30.729999999999997</v>
      </c>
      <c r="I127" s="1082"/>
    </row>
    <row r="128" spans="1:9" hidden="1" outlineLevel="2" x14ac:dyDescent="0.25">
      <c r="A128" s="1079">
        <f t="shared" si="2"/>
        <v>11</v>
      </c>
      <c r="B128" s="1079" t="s">
        <v>1362</v>
      </c>
      <c r="C128" s="1079" t="str">
        <f t="shared" si="3"/>
        <v>Almoxarifado geral</v>
      </c>
      <c r="D128" s="1079" t="s">
        <v>1373</v>
      </c>
      <c r="E128" s="1080" t="str">
        <f>_xlfn.XLOOKUP(D128,Insumos!$B$1:$B$670,Insumos!$C$1:$C$670)</f>
        <v>M2</v>
      </c>
      <c r="F128" s="1083">
        <v>0.15</v>
      </c>
      <c r="G128" s="1081">
        <f>IF(B128="insumo",_xlfn.XLOOKUP($D128,Insumos!$B$1:$B$670,Insumos!$D$1:$D$670),"")</f>
        <v>46.5</v>
      </c>
      <c r="H128" s="1081" cm="1">
        <f t="array" ref="H128">_xlfn.IFS(B128="Serviço",SUMIFS(H129:$H$2465,C129:$C$2465,$C128),B128="Insumo",F128*G128,B128="Etapa","")</f>
        <v>6.9749999999999996</v>
      </c>
      <c r="I128" s="1082"/>
    </row>
    <row r="129" spans="1:9" hidden="1" outlineLevel="2" x14ac:dyDescent="0.25">
      <c r="A129" s="1079">
        <f t="shared" si="2"/>
        <v>10</v>
      </c>
      <c r="B129" s="1079" t="s">
        <v>1362</v>
      </c>
      <c r="C129" s="1079" t="str">
        <f t="shared" si="3"/>
        <v>Almoxarifado geral</v>
      </c>
      <c r="D129" s="1079" t="s">
        <v>1374</v>
      </c>
      <c r="E129" s="1080" t="str">
        <f>_xlfn.XLOOKUP(D129,Insumos!$B$1:$B$670,Insumos!$C$1:$C$670)</f>
        <v>M</v>
      </c>
      <c r="F129" s="1083">
        <v>1</v>
      </c>
      <c r="G129" s="1081">
        <f>IF(B129="insumo",_xlfn.XLOOKUP($D129,Insumos!$B$1:$B$670,Insumos!$D$1:$D$670),"")</f>
        <v>2</v>
      </c>
      <c r="H129" s="1081" cm="1">
        <f t="array" ref="H129">_xlfn.IFS(B129="Serviço",SUMIFS(H130:$H$2465,C130:$C$2465,$C129),B129="Insumo",F129*G129,B129="Etapa","")</f>
        <v>2</v>
      </c>
      <c r="I129" s="1082"/>
    </row>
    <row r="130" spans="1:9" hidden="1" outlineLevel="2" x14ac:dyDescent="0.25">
      <c r="A130" s="1079">
        <f t="shared" ref="A130:A193" si="4">COUNTIFS($D$2:$D$2465,D130,$B$2:$B$2465,B130)</f>
        <v>33</v>
      </c>
      <c r="B130" s="1079" t="s">
        <v>1362</v>
      </c>
      <c r="C130" s="1079" t="str">
        <f t="shared" si="3"/>
        <v>Almoxarifado geral</v>
      </c>
      <c r="D130" s="1079" t="s">
        <v>1375</v>
      </c>
      <c r="E130" s="1080" t="str">
        <f>_xlfn.XLOOKUP(D130,Insumos!$B$1:$B$670,Insumos!$C$1:$C$670)</f>
        <v>KG</v>
      </c>
      <c r="F130" s="1083">
        <v>1</v>
      </c>
      <c r="G130" s="1081">
        <f>IF(B130="insumo",_xlfn.XLOOKUP($D130,Insumos!$B$1:$B$670,Insumos!$D$1:$D$670),"")</f>
        <v>18.13</v>
      </c>
      <c r="H130" s="1081" cm="1">
        <f t="array" ref="H130">_xlfn.IFS(B130="Serviço",SUMIFS(H131:$H$2465,C131:$C$2465,$C130),B130="Insumo",F130*G130,B130="Etapa","")</f>
        <v>18.13</v>
      </c>
      <c r="I130" s="1082"/>
    </row>
    <row r="131" spans="1:9" hidden="1" outlineLevel="2" x14ac:dyDescent="0.25">
      <c r="A131" s="1079">
        <f t="shared" si="4"/>
        <v>9</v>
      </c>
      <c r="B131" s="1079" t="s">
        <v>1362</v>
      </c>
      <c r="C131" s="1079" t="str">
        <f t="shared" ref="C131:C150" si="5">IF(B131="serviço",D131,C130)</f>
        <v>Almoxarifado geral</v>
      </c>
      <c r="D131" s="1079" t="s">
        <v>1365</v>
      </c>
      <c r="E131" s="1080" t="str">
        <f>_xlfn.XLOOKUP(D131,Insumos!$B$1:$B$670,Insumos!$C$1:$C$670)</f>
        <v>M3</v>
      </c>
      <c r="F131" s="1083">
        <v>7.3999999999999996E-2</v>
      </c>
      <c r="G131" s="1081">
        <f>IF(B131="insumo",_xlfn.XLOOKUP($D131,Insumos!$B$1:$B$670,Insumos!$D$1:$D$670),"")</f>
        <v>490</v>
      </c>
      <c r="H131" s="1081" cm="1">
        <f t="array" ref="H131">_xlfn.IFS(B131="Serviço",SUMIFS(H132:$H$2465,C132:$C$2465,$C131),B131="Insumo",F131*G131,B131="Etapa","")</f>
        <v>36.26</v>
      </c>
      <c r="I131" s="1082"/>
    </row>
    <row r="132" spans="1:9" hidden="1" outlineLevel="2" x14ac:dyDescent="0.25">
      <c r="A132" s="1079">
        <f t="shared" si="4"/>
        <v>2</v>
      </c>
      <c r="B132" s="1079" t="s">
        <v>1362</v>
      </c>
      <c r="C132" s="1079" t="str">
        <f t="shared" si="5"/>
        <v>Almoxarifado geral</v>
      </c>
      <c r="D132" s="1079" t="s">
        <v>1379</v>
      </c>
      <c r="E132" s="1080" t="str">
        <f>_xlfn.XLOOKUP(D132,Insumos!$B$1:$B$670,Insumos!$C$1:$C$670)</f>
        <v>KG</v>
      </c>
      <c r="F132" s="1083">
        <v>1.3339999999999999</v>
      </c>
      <c r="G132" s="1081">
        <f>IF(B132="insumo",_xlfn.XLOOKUP($D132,Insumos!$B$1:$B$670,Insumos!$D$1:$D$670),"")</f>
        <v>6.1</v>
      </c>
      <c r="H132" s="1081" cm="1">
        <f t="array" ref="H132">_xlfn.IFS(B132="Serviço",SUMIFS(H133:$H$2465,C133:$C$2465,$C132),B132="Insumo",F132*G132,B132="Etapa","")</f>
        <v>8.1373999999999977</v>
      </c>
      <c r="I132" s="1082"/>
    </row>
    <row r="133" spans="1:9" hidden="1" outlineLevel="2" x14ac:dyDescent="0.25">
      <c r="A133" s="1079">
        <f t="shared" si="4"/>
        <v>2</v>
      </c>
      <c r="B133" s="1079" t="s">
        <v>1362</v>
      </c>
      <c r="C133" s="1079" t="str">
        <f t="shared" si="5"/>
        <v>Almoxarifado geral</v>
      </c>
      <c r="D133" s="1079" t="s">
        <v>1380</v>
      </c>
      <c r="E133" s="1080" t="str">
        <f>_xlfn.XLOOKUP(D133,Insumos!$B$1:$B$670,Insumos!$C$1:$C$670)</f>
        <v>M2</v>
      </c>
      <c r="F133" s="1083">
        <v>1.19</v>
      </c>
      <c r="G133" s="1081">
        <f>IF(B133="insumo",_xlfn.XLOOKUP($D133,Insumos!$B$1:$B$670,Insumos!$D$1:$D$670),"")</f>
        <v>21.31</v>
      </c>
      <c r="H133" s="1081" cm="1">
        <f t="array" ref="H133">_xlfn.IFS(B133="Serviço",SUMIFS(H134:$H$2465,C134:$C$2465,$C133),B133="Insumo",F133*G133,B133="Etapa","")</f>
        <v>25.358899999999998</v>
      </c>
      <c r="I133" s="1082"/>
    </row>
    <row r="134" spans="1:9" hidden="1" outlineLevel="2" x14ac:dyDescent="0.25">
      <c r="A134" s="1079">
        <f t="shared" si="4"/>
        <v>2</v>
      </c>
      <c r="B134" s="1079" t="s">
        <v>1362</v>
      </c>
      <c r="C134" s="1079" t="str">
        <f t="shared" si="5"/>
        <v>Almoxarifado geral</v>
      </c>
      <c r="D134" s="1079" t="s">
        <v>1381</v>
      </c>
      <c r="E134" s="1080" t="str">
        <f>_xlfn.XLOOKUP(D134,Insumos!$B$1:$B$670,Insumos!$C$1:$C$670)</f>
        <v>L</v>
      </c>
      <c r="F134" s="1083">
        <v>0.18</v>
      </c>
      <c r="G134" s="1081">
        <f>IF(B134="insumo",_xlfn.XLOOKUP($D134,Insumos!$B$1:$B$670,Insumos!$D$1:$D$670),"")</f>
        <v>8.5</v>
      </c>
      <c r="H134" s="1081" cm="1">
        <f t="array" ref="H134">_xlfn.IFS(B134="Serviço",SUMIFS(H135:$H$2465,C135:$C$2465,$C134),B134="Insumo",F134*G134,B134="Etapa","")</f>
        <v>1.53</v>
      </c>
      <c r="I134" s="1082"/>
    </row>
    <row r="135" spans="1:9" hidden="1" outlineLevel="2" x14ac:dyDescent="0.25">
      <c r="A135" s="1079">
        <f t="shared" si="4"/>
        <v>2</v>
      </c>
      <c r="B135" s="1079" t="s">
        <v>1362</v>
      </c>
      <c r="C135" s="1079" t="str">
        <f t="shared" si="5"/>
        <v>Almoxarifado geral</v>
      </c>
      <c r="D135" s="1079" t="s">
        <v>1382</v>
      </c>
      <c r="E135" s="1080" t="str">
        <f>_xlfn.XLOOKUP(D135,Insumos!$B$1:$B$670,Insumos!$C$1:$C$670)</f>
        <v>KG</v>
      </c>
      <c r="F135" s="1083">
        <v>0.06</v>
      </c>
      <c r="G135" s="1081">
        <f>IF(B135="insumo",_xlfn.XLOOKUP($D135,Insumos!$B$1:$B$670,Insumos!$D$1:$D$670),"")</f>
        <v>10</v>
      </c>
      <c r="H135" s="1081" cm="1">
        <f t="array" ref="H135">_xlfn.IFS(B135="Serviço",SUMIFS(H136:$H$2465,C136:$C$2465,$C135),B135="Insumo",F135*G135,B135="Etapa","")</f>
        <v>0.6</v>
      </c>
      <c r="I135" s="1082"/>
    </row>
    <row r="136" spans="1:9" hidden="1" outlineLevel="2" x14ac:dyDescent="0.25">
      <c r="A136" s="1079">
        <f t="shared" si="4"/>
        <v>2</v>
      </c>
      <c r="B136" s="1079" t="s">
        <v>1362</v>
      </c>
      <c r="C136" s="1079" t="str">
        <f t="shared" si="5"/>
        <v>Almoxarifado geral</v>
      </c>
      <c r="D136" s="1079" t="s">
        <v>1383</v>
      </c>
      <c r="E136" s="1080" t="str">
        <f>_xlfn.XLOOKUP(D136,Insumos!$B$1:$B$670,Insumos!$C$1:$C$670)</f>
        <v>L</v>
      </c>
      <c r="F136" s="1083">
        <v>0.03</v>
      </c>
      <c r="G136" s="1081">
        <f>IF(B136="insumo",_xlfn.XLOOKUP($D136,Insumos!$B$1:$B$670,Insumos!$D$1:$D$670),"")</f>
        <v>16</v>
      </c>
      <c r="H136" s="1081" cm="1">
        <f t="array" ref="H136">_xlfn.IFS(B136="Serviço",SUMIFS(H137:$H$2465,C137:$C$2465,$C136),B136="Insumo",F136*G136,B136="Etapa","")</f>
        <v>0.48</v>
      </c>
      <c r="I136" s="1082"/>
    </row>
    <row r="137" spans="1:9" hidden="1" outlineLevel="2" x14ac:dyDescent="0.25">
      <c r="A137" s="1079">
        <f t="shared" si="4"/>
        <v>24</v>
      </c>
      <c r="B137" s="1079" t="s">
        <v>1362</v>
      </c>
      <c r="C137" s="1079" t="str">
        <f t="shared" si="5"/>
        <v>Almoxarifado geral</v>
      </c>
      <c r="D137" s="1079" t="s">
        <v>1384</v>
      </c>
      <c r="E137" s="1080" t="str">
        <f>_xlfn.XLOOKUP(D137,Insumos!$B$1:$B$670,Insumos!$C$1:$C$670)</f>
        <v>UN</v>
      </c>
      <c r="F137" s="1083">
        <v>3.9E-2</v>
      </c>
      <c r="G137" s="1081">
        <f>IF(B137="insumo",_xlfn.XLOOKUP($D137,Insumos!$B$1:$B$670,Insumos!$D$1:$D$670),"")</f>
        <v>1.89</v>
      </c>
      <c r="H137" s="1081" cm="1">
        <f t="array" ref="H137">_xlfn.IFS(B137="Serviço",SUMIFS(H138:$H$2465,C138:$C$2465,$C137),B137="Insumo",F137*G137,B137="Etapa","")</f>
        <v>7.3709999999999998E-2</v>
      </c>
      <c r="I137" s="1082"/>
    </row>
    <row r="138" spans="1:9" hidden="1" outlineLevel="2" x14ac:dyDescent="0.25">
      <c r="A138" s="1079">
        <f t="shared" si="4"/>
        <v>10</v>
      </c>
      <c r="B138" s="1079" t="s">
        <v>1362</v>
      </c>
      <c r="C138" s="1079" t="str">
        <f t="shared" si="5"/>
        <v>Almoxarifado geral</v>
      </c>
      <c r="D138" s="1079" t="s">
        <v>1376</v>
      </c>
      <c r="E138" s="1080" t="str">
        <f>_xlfn.XLOOKUP(D138,Insumos!$B$1:$B$670,Insumos!$C$1:$C$670)</f>
        <v>UN</v>
      </c>
      <c r="F138" s="1083">
        <v>1.4999999999999999E-2</v>
      </c>
      <c r="G138" s="1081">
        <f>IF(B138="insumo",_xlfn.XLOOKUP($D138,Insumos!$B$1:$B$670,Insumos!$D$1:$D$670),"")</f>
        <v>185.37</v>
      </c>
      <c r="H138" s="1081" cm="1">
        <f t="array" ref="H138">_xlfn.IFS(B138="Serviço",SUMIFS(H139:$H$2465,C139:$C$2465,$C138),B138="Insumo",F138*G138,B138="Etapa","")</f>
        <v>2.7805499999999999</v>
      </c>
      <c r="I138" s="1082"/>
    </row>
    <row r="139" spans="1:9" hidden="1" outlineLevel="2" x14ac:dyDescent="0.25">
      <c r="A139" s="1079">
        <f t="shared" si="4"/>
        <v>10</v>
      </c>
      <c r="B139" s="1079" t="s">
        <v>1362</v>
      </c>
      <c r="C139" s="1079" t="str">
        <f t="shared" si="5"/>
        <v>Almoxarifado geral</v>
      </c>
      <c r="D139" s="1079" t="s">
        <v>1377</v>
      </c>
      <c r="E139" s="1080" t="str">
        <f>_xlfn.XLOOKUP(D139,Insumos!$B$1:$B$670,Insumos!$C$1:$C$670)</f>
        <v>VB</v>
      </c>
      <c r="F139" s="1083">
        <v>1</v>
      </c>
      <c r="G139" s="1081">
        <f>IF(B139="insumo",_xlfn.XLOOKUP($D139,Insumos!$B$1:$B$670,Insumos!$D$1:$D$670),"")</f>
        <v>215</v>
      </c>
      <c r="H139" s="1081" cm="1">
        <f t="array" ref="H139">_xlfn.IFS(B139="Serviço",SUMIFS(H140:$H$2465,C140:$C$2465,$C139),B139="Insumo",F139*G139,B139="Etapa","")</f>
        <v>215</v>
      </c>
      <c r="I139" s="1082"/>
    </row>
    <row r="140" spans="1:9" hidden="1" outlineLevel="2" x14ac:dyDescent="0.25">
      <c r="A140" s="1079">
        <f t="shared" si="4"/>
        <v>10</v>
      </c>
      <c r="B140" s="1079" t="s">
        <v>1362</v>
      </c>
      <c r="C140" s="1079" t="str">
        <f t="shared" si="5"/>
        <v>Almoxarifado geral</v>
      </c>
      <c r="D140" s="1079" t="s">
        <v>1378</v>
      </c>
      <c r="E140" s="1080" t="str">
        <f>_xlfn.XLOOKUP(D140,Insumos!$B$1:$B$670,Insumos!$C$1:$C$670)</f>
        <v>M2</v>
      </c>
      <c r="F140" s="1083">
        <v>1</v>
      </c>
      <c r="G140" s="1081">
        <f>IF(B140="insumo",_xlfn.XLOOKUP($D140,Insumos!$B$1:$B$670,Insumos!$D$1:$D$670),"")</f>
        <v>50</v>
      </c>
      <c r="H140" s="1081" cm="1">
        <f t="array" ref="H140">_xlfn.IFS(B140="Serviço",SUMIFS(H141:$H$2465,C141:$C$2465,$C140),B140="Insumo",F140*G140,B140="Etapa","")</f>
        <v>50</v>
      </c>
      <c r="I140" s="1082"/>
    </row>
    <row r="141" spans="1:9" hidden="1" outlineLevel="1" collapsed="1" x14ac:dyDescent="0.25">
      <c r="A141" s="1079">
        <f t="shared" si="4"/>
        <v>1</v>
      </c>
      <c r="B141" s="1079" t="s">
        <v>471</v>
      </c>
      <c r="C141" s="1079" t="str">
        <f t="shared" si="5"/>
        <v>Placa indicativa fixada na estrutura por pregos</v>
      </c>
      <c r="D141" s="1079" t="s">
        <v>909</v>
      </c>
      <c r="E141" s="1080" t="s">
        <v>17</v>
      </c>
      <c r="F141" s="1079"/>
      <c r="G141" s="1081" t="str">
        <f>IF(B141="insumo",_xlfn.XLOOKUP($D141,Insumos!$B$1:$B$670,Insumos!$D$1:$D$670),"")</f>
        <v/>
      </c>
      <c r="H141" s="1081" cm="1">
        <f t="array" ref="H141">_xlfn.IFS(B141="Serviço",SUMIFS(H142:$H$2465,C142:$C$2465,$C141),B141="Insumo",F141*G141,B141="Etapa","")</f>
        <v>7891.02</v>
      </c>
      <c r="I141" s="1082" t="s">
        <v>872</v>
      </c>
    </row>
    <row r="142" spans="1:9" hidden="1" outlineLevel="2" x14ac:dyDescent="0.25">
      <c r="A142" s="1079">
        <f t="shared" si="4"/>
        <v>1</v>
      </c>
      <c r="B142" s="1079" t="s">
        <v>1362</v>
      </c>
      <c r="C142" s="1079" t="str">
        <f t="shared" si="5"/>
        <v>Placa indicativa fixada na estrutura por pregos</v>
      </c>
      <c r="D142" s="1079" t="s">
        <v>1385</v>
      </c>
      <c r="E142" s="1080" t="str">
        <f>_xlfn.XLOOKUP(D142,Insumos!$B$1:$B$670,Insumos!$C$1:$C$670)</f>
        <v>UN</v>
      </c>
      <c r="F142" s="1083">
        <v>3</v>
      </c>
      <c r="G142" s="1081">
        <f>IF(B142="insumo",_xlfn.XLOOKUP($D142,Insumos!$B$1:$B$670,Insumos!$D$1:$D$670),"")</f>
        <v>1052.1099999999999</v>
      </c>
      <c r="H142" s="1081" cm="1">
        <f t="array" ref="H142">_xlfn.IFS(B142="Serviço",SUMIFS(H143:$H$2465,C143:$C$2465,$C142),B142="Insumo",F142*G142,B142="Etapa","")</f>
        <v>3156.33</v>
      </c>
      <c r="I142" s="1082"/>
    </row>
    <row r="143" spans="1:9" hidden="1" outlineLevel="2" x14ac:dyDescent="0.25">
      <c r="A143" s="1079">
        <f t="shared" si="4"/>
        <v>1</v>
      </c>
      <c r="B143" s="1079" t="s">
        <v>1362</v>
      </c>
      <c r="C143" s="1079" t="str">
        <f t="shared" si="5"/>
        <v>Placa indicativa fixada na estrutura por pregos</v>
      </c>
      <c r="D143" s="1079" t="s">
        <v>1386</v>
      </c>
      <c r="E143" s="1080" t="str">
        <f>_xlfn.XLOOKUP(D143,Insumos!$B$1:$B$670,Insumos!$C$1:$C$670)</f>
        <v>UN</v>
      </c>
      <c r="F143" s="1083">
        <v>3</v>
      </c>
      <c r="G143" s="1081">
        <f>IF(B143="insumo",_xlfn.XLOOKUP($D143,Insumos!$B$1:$B$670,Insumos!$D$1:$D$670),"")</f>
        <v>536.53</v>
      </c>
      <c r="H143" s="1081" cm="1">
        <f t="array" ref="H143">_xlfn.IFS(B143="Serviço",SUMIFS(H144:$H$2465,C144:$C$2465,$C143),B143="Insumo",F143*G143,B143="Etapa","")</f>
        <v>1609.59</v>
      </c>
      <c r="I143" s="1082"/>
    </row>
    <row r="144" spans="1:9" hidden="1" outlineLevel="2" x14ac:dyDescent="0.25">
      <c r="A144" s="1079">
        <f t="shared" si="4"/>
        <v>1</v>
      </c>
      <c r="B144" s="1079" t="s">
        <v>1362</v>
      </c>
      <c r="C144" s="1079" t="str">
        <f t="shared" si="5"/>
        <v>Placa indicativa fixada na estrutura por pregos</v>
      </c>
      <c r="D144" s="1079" t="s">
        <v>1387</v>
      </c>
      <c r="E144" s="1080" t="str">
        <f>_xlfn.XLOOKUP(D144,Insumos!$B$1:$B$670,Insumos!$C$1:$C$670)</f>
        <v>UN</v>
      </c>
      <c r="F144" s="1083">
        <v>6</v>
      </c>
      <c r="G144" s="1081">
        <f>IF(B144="insumo",_xlfn.XLOOKUP($D144,Insumos!$B$1:$B$670,Insumos!$D$1:$D$670),"")</f>
        <v>520.85</v>
      </c>
      <c r="H144" s="1081" cm="1">
        <f t="array" ref="H144">_xlfn.IFS(B144="Serviço",SUMIFS(H145:$H$2465,C145:$C$2465,$C144),B144="Insumo",F144*G144,B144="Etapa","")</f>
        <v>3125.1000000000004</v>
      </c>
      <c r="I144" s="1082"/>
    </row>
    <row r="145" spans="1:9" hidden="1" outlineLevel="1" collapsed="1" x14ac:dyDescent="0.25">
      <c r="A145" s="1079">
        <f t="shared" si="4"/>
        <v>1</v>
      </c>
      <c r="B145" s="1079" t="s">
        <v>471</v>
      </c>
      <c r="C145" s="1079" t="str">
        <f t="shared" si="5"/>
        <v>Locação da obra</v>
      </c>
      <c r="D145" s="1079" t="s">
        <v>841</v>
      </c>
      <c r="E145" s="1080" t="s">
        <v>17</v>
      </c>
      <c r="F145" s="1079"/>
      <c r="G145" s="1081" t="str">
        <f>IF(B145="insumo",_xlfn.XLOOKUP($D145,Insumos!$B$1:$B$670,Insumos!$D$1:$D$670),"")</f>
        <v/>
      </c>
      <c r="H145" s="1081" cm="1">
        <f t="array" ref="H145">_xlfn.IFS(B145="Serviço",SUMIFS(H146:$H$2465,C146:$C$2465,$C145),B145="Insumo",F145*G145,B145="Etapa","")</f>
        <v>24.961985999999996</v>
      </c>
      <c r="I145" s="1082" t="s">
        <v>872</v>
      </c>
    </row>
    <row r="146" spans="1:9" hidden="1" outlineLevel="2" x14ac:dyDescent="0.25">
      <c r="A146" s="1079">
        <f t="shared" si="4"/>
        <v>2</v>
      </c>
      <c r="B146" s="1079" t="s">
        <v>1362</v>
      </c>
      <c r="C146" s="1079" t="str">
        <f t="shared" si="5"/>
        <v>Locação da obra</v>
      </c>
      <c r="D146" s="1079" t="s">
        <v>1388</v>
      </c>
      <c r="E146" s="1080" t="str">
        <f>_xlfn.XLOOKUP(D146,Insumos!$B$1:$B$670,Insumos!$C$1:$C$670)</f>
        <v>L</v>
      </c>
      <c r="F146" s="1083">
        <v>2.5600000000000001E-2</v>
      </c>
      <c r="G146" s="1081">
        <f>IF(B146="insumo",_xlfn.XLOOKUP($D146,Insumos!$B$1:$B$670,Insumos!$D$1:$D$670),"")</f>
        <v>23.01</v>
      </c>
      <c r="H146" s="1081" cm="1">
        <f t="array" ref="H146">_xlfn.IFS(B146="Serviço",SUMIFS(H147:$H$2465,C147:$C$2465,$C146),B146="Insumo",F146*G146,B146="Etapa","")</f>
        <v>0.58905600000000002</v>
      </c>
      <c r="I146" s="1082"/>
    </row>
    <row r="147" spans="1:9" hidden="1" outlineLevel="2" x14ac:dyDescent="0.25">
      <c r="A147" s="1079">
        <f t="shared" si="4"/>
        <v>11</v>
      </c>
      <c r="B147" s="1079" t="s">
        <v>1362</v>
      </c>
      <c r="C147" s="1079" t="str">
        <f t="shared" si="5"/>
        <v>Locação da obra</v>
      </c>
      <c r="D147" s="1079" t="s">
        <v>1370</v>
      </c>
      <c r="E147" s="1080" t="str">
        <f>_xlfn.XLOOKUP(D147,Insumos!$B$1:$B$670,Insumos!$C$1:$C$670)</f>
        <v>M2</v>
      </c>
      <c r="F147" s="1083">
        <v>0.11199999999999999</v>
      </c>
      <c r="G147" s="1081">
        <f>IF(B147="insumo",_xlfn.XLOOKUP($D147,Insumos!$B$1:$B$670,Insumos!$D$1:$D$670),"")</f>
        <v>46.5</v>
      </c>
      <c r="H147" s="1081" cm="1">
        <f t="array" ref="H147">_xlfn.IFS(B147="Serviço",SUMIFS(H148:$H$2465,C148:$C$2465,$C147),B147="Insumo",F147*G147,B147="Etapa","")</f>
        <v>5.2079999999999993</v>
      </c>
      <c r="I147" s="1082"/>
    </row>
    <row r="148" spans="1:9" hidden="1" outlineLevel="2" x14ac:dyDescent="0.25">
      <c r="A148" s="1079">
        <f t="shared" si="4"/>
        <v>33</v>
      </c>
      <c r="B148" s="1079" t="s">
        <v>1362</v>
      </c>
      <c r="C148" s="1079" t="str">
        <f t="shared" si="5"/>
        <v>Locação da obra</v>
      </c>
      <c r="D148" s="1079" t="s">
        <v>1375</v>
      </c>
      <c r="E148" s="1080" t="str">
        <f>_xlfn.XLOOKUP(D148,Insumos!$B$1:$B$670,Insumos!$C$1:$C$670)</f>
        <v>KG</v>
      </c>
      <c r="F148" s="1083">
        <v>0.111</v>
      </c>
      <c r="G148" s="1081">
        <f>IF(B148="insumo",_xlfn.XLOOKUP($D148,Insumos!$B$1:$B$670,Insumos!$D$1:$D$670),"")</f>
        <v>18.13</v>
      </c>
      <c r="H148" s="1081" cm="1">
        <f t="array" ref="H148">_xlfn.IFS(B148="Serviço",SUMIFS(H149:$H$2465,C149:$C$2465,$C148),B148="Insumo",F148*G148,B148="Etapa","")</f>
        <v>2.0124299999999997</v>
      </c>
      <c r="I148" s="1082"/>
    </row>
    <row r="149" spans="1:9" hidden="1" outlineLevel="2" x14ac:dyDescent="0.25">
      <c r="A149" s="1079">
        <f t="shared" si="4"/>
        <v>11</v>
      </c>
      <c r="B149" s="1079" t="s">
        <v>1362</v>
      </c>
      <c r="C149" s="1079" t="str">
        <f t="shared" si="5"/>
        <v>Locação da obra</v>
      </c>
      <c r="D149" s="1079" t="s">
        <v>1373</v>
      </c>
      <c r="E149" s="1080" t="str">
        <f>_xlfn.XLOOKUP(D149,Insumos!$B$1:$B$670,Insumos!$C$1:$C$670)</f>
        <v>M2</v>
      </c>
      <c r="F149" s="1083">
        <v>0.15</v>
      </c>
      <c r="G149" s="1081">
        <f>IF(B149="insumo",_xlfn.XLOOKUP($D149,Insumos!$B$1:$B$670,Insumos!$D$1:$D$670),"")</f>
        <v>46.5</v>
      </c>
      <c r="H149" s="1081" cm="1">
        <f t="array" ref="H149">_xlfn.IFS(B149="Serviço",SUMIFS(H150:$H$2465,C150:$C$2465,$C149),B149="Insumo",F149*G149,B149="Etapa","")</f>
        <v>6.9749999999999996</v>
      </c>
      <c r="I149" s="1082"/>
    </row>
    <row r="150" spans="1:9" hidden="1" outlineLevel="2" x14ac:dyDescent="0.25">
      <c r="A150" s="1079">
        <f t="shared" si="4"/>
        <v>1</v>
      </c>
      <c r="B150" s="1079" t="s">
        <v>1362</v>
      </c>
      <c r="C150" s="1079" t="str">
        <f t="shared" si="5"/>
        <v>Locação da obra</v>
      </c>
      <c r="D150" s="1079" t="s">
        <v>1389</v>
      </c>
      <c r="E150" s="1080" t="s">
        <v>281</v>
      </c>
      <c r="F150" s="1083">
        <v>0.34499999999999997</v>
      </c>
      <c r="G150" s="1081">
        <f>IF(B150="insumo",_xlfn.XLOOKUP($D150,Insumos!$B$1:$B$670,Insumos!$D$1:$D$670),"")</f>
        <v>29.5</v>
      </c>
      <c r="H150" s="1081" cm="1">
        <f t="array" ref="H150">_xlfn.IFS(B150="Serviço",SUMIFS(H151:$H$2465,C151:$C$2465,$C150),B150="Insumo",F150*G150,B150="Etapa","")</f>
        <v>10.177499999999998</v>
      </c>
      <c r="I150" s="1082"/>
    </row>
    <row r="151" spans="1:9" collapsed="1" x14ac:dyDescent="0.25">
      <c r="A151" s="1076">
        <f t="shared" si="4"/>
        <v>1</v>
      </c>
      <c r="B151" s="1076" t="s">
        <v>469</v>
      </c>
      <c r="C151" s="1076"/>
      <c r="D151" s="1076" t="s">
        <v>1390</v>
      </c>
      <c r="E151" s="1077"/>
      <c r="F151" s="1078"/>
      <c r="G151" s="1084" t="str">
        <f>IF(B151="insumo",_xlfn.XLOOKUP($D151,Insumos!$B$1:$B$670,Insumos!$D$1:$D$670),"")</f>
        <v/>
      </c>
      <c r="H151" s="1084" t="str" cm="1">
        <f t="array" ref="H151">_xlfn.IFS(B151="Serviço",SUMIFS(H152:$H$2465,C152:$C$2465,$C151),B151="Insumo",F151*G151,B151="Etapa","")</f>
        <v/>
      </c>
      <c r="I151" s="1078"/>
    </row>
    <row r="152" spans="1:9" hidden="1" outlineLevel="1" x14ac:dyDescent="0.25">
      <c r="A152" s="1079">
        <f t="shared" si="4"/>
        <v>1</v>
      </c>
      <c r="B152" s="1079" t="s">
        <v>471</v>
      </c>
      <c r="C152" s="1079" t="str">
        <f t="shared" ref="C152:C202" si="6">IF(B152="serviço",D152,C151)</f>
        <v>Bandeja de proteção primária</v>
      </c>
      <c r="D152" s="1079" t="s">
        <v>664</v>
      </c>
      <c r="E152" s="1080" t="s">
        <v>281</v>
      </c>
      <c r="F152" s="1079"/>
      <c r="G152" s="1081" t="str">
        <f>IF(B152="insumo",_xlfn.XLOOKUP($D152,Insumos!$B$1:$B$670,Insumos!$D$1:$D$670),"")</f>
        <v/>
      </c>
      <c r="H152" s="1081" cm="1">
        <f t="array" ref="H152">_xlfn.IFS(B152="Serviço",SUMIFS(H153:$H$2465,C153:$C$2465,$C152),B152="Insumo",F152*G152,B152="Etapa","")</f>
        <v>364.86614637281906</v>
      </c>
      <c r="I152" s="1082" t="s">
        <v>872</v>
      </c>
    </row>
    <row r="153" spans="1:9" hidden="1" outlineLevel="2" x14ac:dyDescent="0.25">
      <c r="A153" s="1079">
        <f t="shared" si="4"/>
        <v>2</v>
      </c>
      <c r="B153" s="1079" t="s">
        <v>1362</v>
      </c>
      <c r="C153" s="1079" t="str">
        <f t="shared" si="6"/>
        <v>Bandeja de proteção primária</v>
      </c>
      <c r="D153" s="1079" t="s">
        <v>1391</v>
      </c>
      <c r="E153" s="1080" t="str">
        <f>_xlfn.XLOOKUP(D153,Insumos!$B$1:$B$670,Insumos!$C$1:$C$670)</f>
        <v>KG</v>
      </c>
      <c r="F153" s="1083">
        <v>0.17</v>
      </c>
      <c r="G153" s="1081">
        <f>IF(B153="insumo",_xlfn.XLOOKUP($D153,Insumos!$B$1:$B$670,Insumos!$D$1:$D$670),"")</f>
        <v>13.08</v>
      </c>
      <c r="H153" s="1081" cm="1">
        <f t="array" ref="H153">_xlfn.IFS(B153="Serviço",SUMIFS(H154:$H$2465,C154:$C$2465,$C153),B153="Insumo",F153*G153,B153="Etapa","")</f>
        <v>2.2236000000000002</v>
      </c>
      <c r="I153" s="1082"/>
    </row>
    <row r="154" spans="1:9" hidden="1" outlineLevel="2" x14ac:dyDescent="0.25">
      <c r="A154" s="1079">
        <f t="shared" si="4"/>
        <v>2</v>
      </c>
      <c r="B154" s="1079" t="s">
        <v>1362</v>
      </c>
      <c r="C154" s="1079" t="str">
        <f t="shared" si="6"/>
        <v>Bandeja de proteção primária</v>
      </c>
      <c r="D154" s="1079" t="s">
        <v>1392</v>
      </c>
      <c r="E154" s="1080" t="str">
        <f>_xlfn.XLOOKUP(D154,Insumos!$B$1:$B$670,Insumos!$C$1:$C$670)</f>
        <v>M2</v>
      </c>
      <c r="F154" s="1083">
        <v>2.54</v>
      </c>
      <c r="G154" s="1081">
        <f>IF(B154="insumo",_xlfn.XLOOKUP($D154,Insumos!$B$1:$B$670,Insumos!$D$1:$D$670),"")</f>
        <v>46.120293847566572</v>
      </c>
      <c r="H154" s="1081" cm="1">
        <f t="array" ref="H154">_xlfn.IFS(B154="Serviço",SUMIFS(H155:$H$2465,C155:$C$2465,$C154),B154="Insumo",F154*G154,B154="Etapa","")</f>
        <v>117.1455463728191</v>
      </c>
      <c r="I154" s="1082"/>
    </row>
    <row r="155" spans="1:9" hidden="1" outlineLevel="2" x14ac:dyDescent="0.25">
      <c r="A155" s="1079">
        <f t="shared" si="4"/>
        <v>2</v>
      </c>
      <c r="B155" s="1079" t="s">
        <v>1362</v>
      </c>
      <c r="C155" s="1079" t="str">
        <f t="shared" si="6"/>
        <v>Bandeja de proteção primária</v>
      </c>
      <c r="D155" s="1079" t="s">
        <v>1393</v>
      </c>
      <c r="E155" s="1080" t="str">
        <f>_xlfn.XLOOKUP(D155,Insumos!$B$1:$B$670,Insumos!$C$1:$C$670)</f>
        <v>UN</v>
      </c>
      <c r="F155" s="1083">
        <v>3.39</v>
      </c>
      <c r="G155" s="1081">
        <f>IF(B155="insumo",_xlfn.XLOOKUP($D155,Insumos!$B$1:$B$670,Insumos!$D$1:$D$670),"")</f>
        <v>5.3</v>
      </c>
      <c r="H155" s="1081" cm="1">
        <f t="array" ref="H155">_xlfn.IFS(B155="Serviço",SUMIFS(H156:$H$2465,C156:$C$2465,$C155),B155="Insumo",F155*G155,B155="Etapa","")</f>
        <v>17.966999999999999</v>
      </c>
      <c r="I155" s="1082"/>
    </row>
    <row r="156" spans="1:9" hidden="1" outlineLevel="2" x14ac:dyDescent="0.25">
      <c r="A156" s="1079">
        <f t="shared" si="4"/>
        <v>1</v>
      </c>
      <c r="B156" s="1079" t="s">
        <v>1362</v>
      </c>
      <c r="C156" s="1079" t="str">
        <f t="shared" si="6"/>
        <v>Bandeja de proteção primária</v>
      </c>
      <c r="D156" s="1079" t="s">
        <v>1394</v>
      </c>
      <c r="E156" s="1080" t="str">
        <f>_xlfn.XLOOKUP(D156,Insumos!$B$1:$B$670,Insumos!$C$1:$C$670)</f>
        <v>UN</v>
      </c>
      <c r="F156" s="1083">
        <f>1.13*8</f>
        <v>9.0399999999999991</v>
      </c>
      <c r="G156" s="1081">
        <f>IF(B156="insumo",_xlfn.XLOOKUP($D156,Insumos!$B$1:$B$670,Insumos!$D$1:$D$670),"")</f>
        <v>19</v>
      </c>
      <c r="H156" s="1081" cm="1">
        <f t="array" ref="H156">_xlfn.IFS(B156="Serviço",SUMIFS(H157:$H$2465,C157:$C$2465,$C156),B156="Insumo",F156*G156,B156="Etapa","")</f>
        <v>171.76</v>
      </c>
      <c r="I156" s="1082"/>
    </row>
    <row r="157" spans="1:9" hidden="1" outlineLevel="2" x14ac:dyDescent="0.25">
      <c r="A157" s="1079">
        <f t="shared" si="4"/>
        <v>8</v>
      </c>
      <c r="B157" s="1079" t="s">
        <v>1362</v>
      </c>
      <c r="C157" s="1079" t="str">
        <f t="shared" si="6"/>
        <v>Bandeja de proteção primária</v>
      </c>
      <c r="D157" s="1079" t="s">
        <v>1395</v>
      </c>
      <c r="E157" s="1080" t="str">
        <f>_xlfn.XLOOKUP(D157,Insumos!$B$1:$B$670,Insumos!$C$1:$C$670)</f>
        <v>M3</v>
      </c>
      <c r="F157" s="1083">
        <v>5.0700000000000002E-2</v>
      </c>
      <c r="G157" s="1081">
        <f>IF(B157="insumo",_xlfn.XLOOKUP($D157,Insumos!$B$1:$B$670,Insumos!$D$1:$D$670),"")</f>
        <v>1100</v>
      </c>
      <c r="H157" s="1081" cm="1">
        <f t="array" ref="H157">_xlfn.IFS(B157="Serviço",SUMIFS(H158:$H$2465,C158:$C$2465,$C157),B157="Insumo",F157*G157,B157="Etapa","")</f>
        <v>55.77</v>
      </c>
      <c r="I157" s="1082"/>
    </row>
    <row r="158" spans="1:9" hidden="1" outlineLevel="1" x14ac:dyDescent="0.25">
      <c r="A158" s="1079">
        <f t="shared" si="4"/>
        <v>1</v>
      </c>
      <c r="B158" s="1079" t="s">
        <v>471</v>
      </c>
      <c r="C158" s="1079" t="str">
        <f t="shared" si="6"/>
        <v>Bandeja de proteção secundária</v>
      </c>
      <c r="D158" s="1079" t="s">
        <v>665</v>
      </c>
      <c r="E158" s="1080" t="s">
        <v>281</v>
      </c>
      <c r="F158" s="1079"/>
      <c r="G158" s="1081" t="str">
        <f>IF(B158="insumo",_xlfn.XLOOKUP($D158,Insumos!$B$1:$B$670,Insumos!$D$1:$D$670),"")</f>
        <v/>
      </c>
      <c r="H158" s="1081" cm="1">
        <f t="array" ref="H158">_xlfn.IFS(B158="Serviço",SUMIFS(H159:$H$2465,C159:$C$2465,$C158),B158="Insumo",F158*G158,B158="Etapa","")</f>
        <v>287.72614637281907</v>
      </c>
      <c r="I158" s="1082" t="s">
        <v>872</v>
      </c>
    </row>
    <row r="159" spans="1:9" hidden="1" outlineLevel="2" x14ac:dyDescent="0.25">
      <c r="A159" s="1079">
        <f t="shared" si="4"/>
        <v>2</v>
      </c>
      <c r="B159" s="1079" t="s">
        <v>1362</v>
      </c>
      <c r="C159" s="1079" t="str">
        <f t="shared" si="6"/>
        <v>Bandeja de proteção secundária</v>
      </c>
      <c r="D159" s="1079" t="s">
        <v>1391</v>
      </c>
      <c r="E159" s="1080" t="str">
        <f>_xlfn.XLOOKUP(D159,Insumos!$B$1:$B$670,Insumos!$C$1:$C$670)</f>
        <v>KG</v>
      </c>
      <c r="F159" s="1083">
        <v>0.17</v>
      </c>
      <c r="G159" s="1081">
        <f>IF(B159="insumo",_xlfn.XLOOKUP($D159,Insumos!$B$1:$B$670,Insumos!$D$1:$D$670),"")</f>
        <v>13.08</v>
      </c>
      <c r="H159" s="1081" cm="1">
        <f t="array" ref="H159">_xlfn.IFS(B159="Serviço",SUMIFS(H160:$H$2465,C160:$C$2465,$C159),B159="Insumo",F159*G159,B159="Etapa","")</f>
        <v>2.2236000000000002</v>
      </c>
      <c r="I159" s="1082"/>
    </row>
    <row r="160" spans="1:9" hidden="1" outlineLevel="2" x14ac:dyDescent="0.25">
      <c r="A160" s="1079">
        <f t="shared" si="4"/>
        <v>2</v>
      </c>
      <c r="B160" s="1079" t="s">
        <v>1362</v>
      </c>
      <c r="C160" s="1079" t="str">
        <f t="shared" si="6"/>
        <v>Bandeja de proteção secundária</v>
      </c>
      <c r="D160" s="1079" t="s">
        <v>1392</v>
      </c>
      <c r="E160" s="1080" t="str">
        <f>_xlfn.XLOOKUP(D160,Insumos!$B$1:$B$670,Insumos!$C$1:$C$670)</f>
        <v>M2</v>
      </c>
      <c r="F160" s="1083">
        <v>2.54</v>
      </c>
      <c r="G160" s="1081">
        <f>IF(B160="insumo",_xlfn.XLOOKUP($D160,Insumos!$B$1:$B$670,Insumos!$D$1:$D$670),"")</f>
        <v>46.120293847566572</v>
      </c>
      <c r="H160" s="1081" cm="1">
        <f t="array" ref="H160">_xlfn.IFS(B160="Serviço",SUMIFS(H161:$H$2465,C161:$C$2465,$C160),B160="Insumo",F160*G160,B160="Etapa","")</f>
        <v>117.1455463728191</v>
      </c>
      <c r="I160" s="1082"/>
    </row>
    <row r="161" spans="1:9" hidden="1" outlineLevel="2" x14ac:dyDescent="0.25">
      <c r="A161" s="1079">
        <f t="shared" si="4"/>
        <v>2</v>
      </c>
      <c r="B161" s="1079" t="s">
        <v>1362</v>
      </c>
      <c r="C161" s="1079" t="str">
        <f t="shared" si="6"/>
        <v>Bandeja de proteção secundária</v>
      </c>
      <c r="D161" s="1079" t="s">
        <v>1393</v>
      </c>
      <c r="E161" s="1080" t="str">
        <f>_xlfn.XLOOKUP(D161,Insumos!$B$1:$B$670,Insumos!$C$1:$C$670)</f>
        <v>UN</v>
      </c>
      <c r="F161" s="1083">
        <v>3.39</v>
      </c>
      <c r="G161" s="1081">
        <f>IF(B161="insumo",_xlfn.XLOOKUP($D161,Insumos!$B$1:$B$670,Insumos!$D$1:$D$670),"")</f>
        <v>5.3</v>
      </c>
      <c r="H161" s="1081" cm="1">
        <f t="array" ref="H161">_xlfn.IFS(B161="Serviço",SUMIFS(H162:$H$2465,C162:$C$2465,$C161),B161="Insumo",F161*G161,B161="Etapa","")</f>
        <v>17.966999999999999</v>
      </c>
      <c r="I161" s="1082"/>
    </row>
    <row r="162" spans="1:9" hidden="1" outlineLevel="2" x14ac:dyDescent="0.25">
      <c r="A162" s="1079">
        <f t="shared" si="4"/>
        <v>1</v>
      </c>
      <c r="B162" s="1079" t="s">
        <v>1362</v>
      </c>
      <c r="C162" s="1079" t="str">
        <f t="shared" si="6"/>
        <v>Bandeja de proteção secundária</v>
      </c>
      <c r="D162" s="1079" t="s">
        <v>1396</v>
      </c>
      <c r="E162" s="1080" t="str">
        <f>_xlfn.XLOOKUP(D162,Insumos!$B$1:$B$670,Insumos!$C$1:$C$670)</f>
        <v>UN</v>
      </c>
      <c r="F162" s="1083">
        <f>1.13*6</f>
        <v>6.7799999999999994</v>
      </c>
      <c r="G162" s="1081">
        <f>IF(B162="insumo",_xlfn.XLOOKUP($D162,Insumos!$B$1:$B$670,Insumos!$D$1:$D$670),"")</f>
        <v>16</v>
      </c>
      <c r="H162" s="1081" cm="1">
        <f t="array" ref="H162">_xlfn.IFS(B162="Serviço",SUMIFS(H163:$H$2465,C163:$C$2465,$C162),B162="Insumo",F162*G162,B162="Etapa","")</f>
        <v>108.47999999999999</v>
      </c>
      <c r="I162" s="1082"/>
    </row>
    <row r="163" spans="1:9" hidden="1" outlineLevel="2" x14ac:dyDescent="0.25">
      <c r="A163" s="1079">
        <f t="shared" si="4"/>
        <v>8</v>
      </c>
      <c r="B163" s="1079" t="s">
        <v>1362</v>
      </c>
      <c r="C163" s="1079" t="str">
        <f t="shared" si="6"/>
        <v>Bandeja de proteção secundária</v>
      </c>
      <c r="D163" s="1079" t="s">
        <v>1395</v>
      </c>
      <c r="E163" s="1080" t="str">
        <f>_xlfn.XLOOKUP(D163,Insumos!$B$1:$B$670,Insumos!$C$1:$C$670)</f>
        <v>M3</v>
      </c>
      <c r="F163" s="1083">
        <v>3.8100000000000002E-2</v>
      </c>
      <c r="G163" s="1081">
        <f>IF(B163="insumo",_xlfn.XLOOKUP($D163,Insumos!$B$1:$B$670,Insumos!$D$1:$D$670),"")</f>
        <v>1100</v>
      </c>
      <c r="H163" s="1081" cm="1">
        <f t="array" ref="H163">_xlfn.IFS(B163="Serviço",SUMIFS(H164:$H$2465,C164:$C$2465,$C163),B163="Insumo",F163*G163,B163="Etapa","")</f>
        <v>41.910000000000004</v>
      </c>
      <c r="I163" s="1082"/>
    </row>
    <row r="164" spans="1:9" hidden="1" outlineLevel="1" x14ac:dyDescent="0.25">
      <c r="A164" s="1079">
        <f t="shared" si="4"/>
        <v>1</v>
      </c>
      <c r="B164" s="1079" t="s">
        <v>471</v>
      </c>
      <c r="C164" s="1079" t="str">
        <f t="shared" si="6"/>
        <v>Guarda-corpo de vãos, fixado em fôrma de madeira, em trama de madeira com tela de polipropileno</v>
      </c>
      <c r="D164" s="1079" t="s">
        <v>725</v>
      </c>
      <c r="E164" s="1080" t="s">
        <v>17</v>
      </c>
      <c r="F164" s="1079"/>
      <c r="G164" s="1081" t="str">
        <f>IF(B164="insumo",_xlfn.XLOOKUP($D164,Insumos!$B$1:$B$670,Insumos!$D$1:$D$670),"")</f>
        <v/>
      </c>
      <c r="H164" s="1081" cm="1">
        <f t="array" ref="H164">_xlfn.IFS(B164="Serviço",SUMIFS(H165:$H$2465,C165:$C$2465,$C164),B164="Insumo",F164*G164,B164="Etapa","")</f>
        <v>38.622647000000001</v>
      </c>
      <c r="I164" s="1082" t="s">
        <v>872</v>
      </c>
    </row>
    <row r="165" spans="1:9" hidden="1" outlineLevel="2" x14ac:dyDescent="0.25">
      <c r="A165" s="1079">
        <f t="shared" si="4"/>
        <v>33</v>
      </c>
      <c r="B165" s="1079" t="s">
        <v>1362</v>
      </c>
      <c r="C165" s="1079" t="str">
        <f t="shared" si="6"/>
        <v>Guarda-corpo de vãos, fixado em fôrma de madeira, em trama de madeira com tela de polipropileno</v>
      </c>
      <c r="D165" s="1079" t="s">
        <v>1375</v>
      </c>
      <c r="E165" s="1080" t="str">
        <f>_xlfn.XLOOKUP(D165,Insumos!$B$1:$B$670,Insumos!$C$1:$C$670)</f>
        <v>KG</v>
      </c>
      <c r="F165" s="1083">
        <v>3.8899999999999997E-2</v>
      </c>
      <c r="G165" s="1081">
        <f>IF(B165="insumo",_xlfn.XLOOKUP($D165,Insumos!$B$1:$B$670,Insumos!$D$1:$D$670),"")</f>
        <v>18.13</v>
      </c>
      <c r="H165" s="1081" cm="1">
        <f t="array" ref="H165">_xlfn.IFS(B165="Serviço",SUMIFS(H166:$H$2465,C166:$C$2465,$C165),B165="Insumo",F165*G165,B165="Etapa","")</f>
        <v>0.70525699999999991</v>
      </c>
      <c r="I165" s="1082"/>
    </row>
    <row r="166" spans="1:9" hidden="1" outlineLevel="2" x14ac:dyDescent="0.25">
      <c r="A166" s="1079">
        <f t="shared" si="4"/>
        <v>3</v>
      </c>
      <c r="B166" s="1079" t="s">
        <v>1362</v>
      </c>
      <c r="C166" s="1079" t="str">
        <f t="shared" si="6"/>
        <v>Guarda-corpo de vãos, fixado em fôrma de madeira, em trama de madeira com tela de polipropileno</v>
      </c>
      <c r="D166" s="1079" t="s">
        <v>1397</v>
      </c>
      <c r="E166" s="1080" t="str">
        <f>_xlfn.XLOOKUP(D166,Insumos!$B$1:$B$670,Insumos!$C$1:$C$670)</f>
        <v>M</v>
      </c>
      <c r="F166" s="1083">
        <v>1.4179999999999999</v>
      </c>
      <c r="G166" s="1081">
        <f>IF(B166="insumo",_xlfn.XLOOKUP($D166,Insumos!$B$1:$B$670,Insumos!$D$1:$D$670),"")</f>
        <v>21.23</v>
      </c>
      <c r="H166" s="1081" cm="1">
        <f t="array" ref="H166">_xlfn.IFS(B166="Serviço",SUMIFS(H167:$H$2465,C167:$C$2465,$C166),B166="Insumo",F166*G166,B166="Etapa","")</f>
        <v>30.104139999999997</v>
      </c>
      <c r="I166" s="1082"/>
    </row>
    <row r="167" spans="1:9" hidden="1" outlineLevel="2" x14ac:dyDescent="0.25">
      <c r="A167" s="1079">
        <f t="shared" si="4"/>
        <v>2</v>
      </c>
      <c r="B167" s="1079" t="s">
        <v>1362</v>
      </c>
      <c r="C167" s="1079" t="str">
        <f t="shared" si="6"/>
        <v>Guarda-corpo de vãos, fixado em fôrma de madeira, em trama de madeira com tela de polipropileno</v>
      </c>
      <c r="D167" s="1079" t="s">
        <v>1398</v>
      </c>
      <c r="E167" s="1080" t="str">
        <f>_xlfn.XLOOKUP(D167,Insumos!$B$1:$B$670,Insumos!$C$1:$C$670)</f>
        <v>M</v>
      </c>
      <c r="F167" s="1083">
        <v>0.52500000000000002</v>
      </c>
      <c r="G167" s="1081">
        <f>IF(B167="insumo",_xlfn.XLOOKUP($D167,Insumos!$B$1:$B$670,Insumos!$D$1:$D$670),"")</f>
        <v>2.73</v>
      </c>
      <c r="H167" s="1081" cm="1">
        <f t="array" ref="H167">_xlfn.IFS(B167="Serviço",SUMIFS(H168:$H$2465,C168:$C$2465,$C167),B167="Insumo",F167*G167,B167="Etapa","")</f>
        <v>1.4332500000000001</v>
      </c>
      <c r="I167" s="1082"/>
    </row>
    <row r="168" spans="1:9" hidden="1" outlineLevel="2" x14ac:dyDescent="0.25">
      <c r="A168" s="1079">
        <f t="shared" si="4"/>
        <v>8</v>
      </c>
      <c r="B168" s="1079" t="s">
        <v>1362</v>
      </c>
      <c r="C168" s="1079" t="str">
        <f t="shared" si="6"/>
        <v>Guarda-corpo de vãos, fixado em fôrma de madeira, em trama de madeira com tela de polipropileno</v>
      </c>
      <c r="D168" s="1079" t="s">
        <v>1395</v>
      </c>
      <c r="E168" s="1080" t="str">
        <f>_xlfn.XLOOKUP(D168,Insumos!$B$1:$B$670,Insumos!$C$1:$C$670)</f>
        <v>M3</v>
      </c>
      <c r="F168" s="1083">
        <v>5.7999999999999996E-3</v>
      </c>
      <c r="G168" s="1081">
        <f>IF(B168="insumo",_xlfn.XLOOKUP($D168,Insumos!$B$1:$B$670,Insumos!$D$1:$D$670),"")</f>
        <v>1100</v>
      </c>
      <c r="H168" s="1081" cm="1">
        <f t="array" ref="H168">_xlfn.IFS(B168="Serviço",SUMIFS(H169:$H$2465,C169:$C$2465,$C168),B168="Insumo",F168*G168,B168="Etapa","")</f>
        <v>6.38</v>
      </c>
      <c r="I168" s="1082"/>
    </row>
    <row r="169" spans="1:9" hidden="1" outlineLevel="1" x14ac:dyDescent="0.25">
      <c r="A169" s="1079">
        <f t="shared" si="4"/>
        <v>1</v>
      </c>
      <c r="B169" s="1079" t="s">
        <v>471</v>
      </c>
      <c r="C169" s="1079" t="str">
        <f t="shared" si="6"/>
        <v>Guarda-corpo em laje pós-desforma com pontalete de madeira, travessões e tela</v>
      </c>
      <c r="D169" s="1079" t="s">
        <v>1399</v>
      </c>
      <c r="E169" s="1080" t="s">
        <v>281</v>
      </c>
      <c r="F169" s="1079"/>
      <c r="G169" s="1081" t="str">
        <f>IF(B169="insumo",_xlfn.XLOOKUP($D169,Insumos!$B$1:$B$670,Insumos!$D$1:$D$670),"")</f>
        <v/>
      </c>
      <c r="H169" s="1081" cm="1">
        <f t="array" ref="H169">_xlfn.IFS(B169="Serviço",SUMIFS(H170:$H$2465,C170:$C$2465,$C169),B169="Insumo",F169*G169,B169="Etapa","")</f>
        <v>42.421057000000005</v>
      </c>
      <c r="I169" s="1082" t="s">
        <v>872</v>
      </c>
    </row>
    <row r="170" spans="1:9" hidden="1" outlineLevel="2" x14ac:dyDescent="0.25">
      <c r="A170" s="1079">
        <f t="shared" si="4"/>
        <v>33</v>
      </c>
      <c r="B170" s="1079" t="s">
        <v>1362</v>
      </c>
      <c r="C170" s="1079" t="str">
        <f t="shared" si="6"/>
        <v>Guarda-corpo em laje pós-desforma com pontalete de madeira, travessões e tela</v>
      </c>
      <c r="D170" s="1079" t="s">
        <v>1375</v>
      </c>
      <c r="E170" s="1080" t="str">
        <f>_xlfn.XLOOKUP(D170,Insumos!$B$1:$B$670,Insumos!$C$1:$C$670)</f>
        <v>KG</v>
      </c>
      <c r="F170" s="1083">
        <v>3.8899999999999997E-2</v>
      </c>
      <c r="G170" s="1081">
        <f>IF(B170="insumo",_xlfn.XLOOKUP($D170,Insumos!$B$1:$B$670,Insumos!$D$1:$D$670),"")</f>
        <v>18.13</v>
      </c>
      <c r="H170" s="1081" cm="1">
        <f t="array" ref="H170">_xlfn.IFS(B170="Serviço",SUMIFS(H171:$H$2465,C171:$C$2465,$C170),B170="Insumo",F170*G170,B170="Etapa","")</f>
        <v>0.70525699999999991</v>
      </c>
      <c r="I170" s="1082"/>
    </row>
    <row r="171" spans="1:9" hidden="1" outlineLevel="2" x14ac:dyDescent="0.25">
      <c r="A171" s="1079">
        <f t="shared" si="4"/>
        <v>3</v>
      </c>
      <c r="B171" s="1079" t="s">
        <v>1362</v>
      </c>
      <c r="C171" s="1079" t="str">
        <f t="shared" si="6"/>
        <v>Guarda-corpo em laje pós-desforma com pontalete de madeira, travessões e tela</v>
      </c>
      <c r="D171" s="1079" t="s">
        <v>1397</v>
      </c>
      <c r="E171" s="1080" t="str">
        <f>_xlfn.XLOOKUP(D171,Insumos!$B$1:$B$670,Insumos!$C$1:$C$670)</f>
        <v>M</v>
      </c>
      <c r="F171" s="1083">
        <v>1.41</v>
      </c>
      <c r="G171" s="1081">
        <f>IF(B171="insumo",_xlfn.XLOOKUP($D171,Insumos!$B$1:$B$670,Insumos!$D$1:$D$670),"")</f>
        <v>21.23</v>
      </c>
      <c r="H171" s="1081" cm="1">
        <f t="array" ref="H171">_xlfn.IFS(B171="Serviço",SUMIFS(H172:$H$2465,C172:$C$2465,$C171),B171="Insumo",F171*G171,B171="Etapa","")</f>
        <v>29.9343</v>
      </c>
      <c r="I171" s="1082"/>
    </row>
    <row r="172" spans="1:9" hidden="1" outlineLevel="2" x14ac:dyDescent="0.25">
      <c r="A172" s="1079">
        <f t="shared" si="4"/>
        <v>1</v>
      </c>
      <c r="B172" s="1079" t="s">
        <v>1362</v>
      </c>
      <c r="C172" s="1079" t="str">
        <f t="shared" si="6"/>
        <v>Guarda-corpo em laje pós-desforma com pontalete de madeira, travessões e tela</v>
      </c>
      <c r="D172" s="1079" t="s">
        <v>1400</v>
      </c>
      <c r="E172" s="1080" t="str">
        <f>_xlfn.XLOOKUP(D172,Insumos!$B$1:$B$670,Insumos!$C$1:$C$670)</f>
        <v>UN</v>
      </c>
      <c r="F172" s="1083">
        <v>0.1</v>
      </c>
      <c r="G172" s="1081">
        <f>IF(B172="insumo",_xlfn.XLOOKUP($D172,Insumos!$B$1:$B$670,Insumos!$D$1:$D$670),"")</f>
        <v>39</v>
      </c>
      <c r="H172" s="1081" cm="1">
        <f t="array" ref="H172">_xlfn.IFS(B172="Serviço",SUMIFS(H173:$H$2465,C173:$C$2465,$C172),B172="Insumo",F172*G172,B172="Etapa","")</f>
        <v>3.9000000000000004</v>
      </c>
      <c r="I172" s="1082"/>
    </row>
    <row r="173" spans="1:9" hidden="1" outlineLevel="2" x14ac:dyDescent="0.25">
      <c r="A173" s="1079">
        <f t="shared" si="4"/>
        <v>2</v>
      </c>
      <c r="B173" s="1079" t="s">
        <v>1362</v>
      </c>
      <c r="C173" s="1079" t="str">
        <f t="shared" si="6"/>
        <v>Guarda-corpo em laje pós-desforma com pontalete de madeira, travessões e tela</v>
      </c>
      <c r="D173" s="1079" t="s">
        <v>1398</v>
      </c>
      <c r="E173" s="1080" t="str">
        <f>_xlfn.XLOOKUP(D173,Insumos!$B$1:$B$670,Insumos!$C$1:$C$670)</f>
        <v>M</v>
      </c>
      <c r="F173" s="1083">
        <v>0.55000000000000004</v>
      </c>
      <c r="G173" s="1081">
        <f>IF(B173="insumo",_xlfn.XLOOKUP($D173,Insumos!$B$1:$B$670,Insumos!$D$1:$D$670),"")</f>
        <v>2.73</v>
      </c>
      <c r="H173" s="1081" cm="1">
        <f t="array" ref="H173">_xlfn.IFS(B173="Serviço",SUMIFS(H174:$H$2465,C174:$C$2465,$C173),B173="Insumo",F173*G173,B173="Etapa","")</f>
        <v>1.5015000000000001</v>
      </c>
      <c r="I173" s="1082"/>
    </row>
    <row r="174" spans="1:9" hidden="1" outlineLevel="2" x14ac:dyDescent="0.25">
      <c r="A174" s="1079">
        <f t="shared" si="4"/>
        <v>8</v>
      </c>
      <c r="B174" s="1079" t="s">
        <v>1362</v>
      </c>
      <c r="C174" s="1079" t="str">
        <f t="shared" si="6"/>
        <v>Guarda-corpo em laje pós-desforma com pontalete de madeira, travessões e tela</v>
      </c>
      <c r="D174" s="1079" t="s">
        <v>1395</v>
      </c>
      <c r="E174" s="1080" t="str">
        <f>_xlfn.XLOOKUP(D174,Insumos!$B$1:$B$670,Insumos!$C$1:$C$670)</f>
        <v>M3</v>
      </c>
      <c r="F174" s="1083">
        <v>5.7999999999999996E-3</v>
      </c>
      <c r="G174" s="1081">
        <f>IF(B174="insumo",_xlfn.XLOOKUP($D174,Insumos!$B$1:$B$670,Insumos!$D$1:$D$670),"")</f>
        <v>1100</v>
      </c>
      <c r="H174" s="1081" cm="1">
        <f t="array" ref="H174">_xlfn.IFS(B174="Serviço",SUMIFS(H175:$H$2465,C175:$C$2465,$C174),B174="Insumo",F174*G174,B174="Etapa","")</f>
        <v>6.38</v>
      </c>
      <c r="I174" s="1082"/>
    </row>
    <row r="175" spans="1:9" hidden="1" outlineLevel="1" collapsed="1" x14ac:dyDescent="0.25">
      <c r="A175" s="1079">
        <f t="shared" si="4"/>
        <v>1</v>
      </c>
      <c r="B175" s="1079" t="s">
        <v>471</v>
      </c>
      <c r="C175" s="1079" t="str">
        <f t="shared" si="6"/>
        <v>Tela fachadeira</v>
      </c>
      <c r="D175" s="1079" t="s">
        <v>666</v>
      </c>
      <c r="E175" s="1080" t="s">
        <v>17</v>
      </c>
      <c r="F175" s="1079"/>
      <c r="G175" s="1081" t="str">
        <f>IF(B175="insumo",_xlfn.XLOOKUP($D175,Insumos!$B$1:$B$670,Insumos!$D$1:$D$670),"")</f>
        <v/>
      </c>
      <c r="H175" s="1081" cm="1">
        <f t="array" ref="H175">_xlfn.IFS(B175="Serviço",SUMIFS(H176:$H$2465,C176:$C$2465,$C175),B175="Insumo",F175*G175,B175="Etapa","")</f>
        <v>8.5113000000000003</v>
      </c>
      <c r="I175" s="1082" t="s">
        <v>872</v>
      </c>
    </row>
    <row r="176" spans="1:9" hidden="1" outlineLevel="2" x14ac:dyDescent="0.25">
      <c r="A176" s="1079">
        <f t="shared" si="4"/>
        <v>33</v>
      </c>
      <c r="B176" s="1079" t="s">
        <v>1362</v>
      </c>
      <c r="C176" s="1079" t="str">
        <f t="shared" si="6"/>
        <v>Tela fachadeira</v>
      </c>
      <c r="D176" s="1079" t="s">
        <v>1375</v>
      </c>
      <c r="E176" s="1080" t="str">
        <f>_xlfn.XLOOKUP(D176,Insumos!$B$1:$B$670,Insumos!$C$1:$C$670)</f>
        <v>KG</v>
      </c>
      <c r="F176" s="1083">
        <v>0.01</v>
      </c>
      <c r="G176" s="1081">
        <f>IF(B176="insumo",_xlfn.XLOOKUP($D176,Insumos!$B$1:$B$670,Insumos!$D$1:$D$670),"")</f>
        <v>18.13</v>
      </c>
      <c r="H176" s="1081" cm="1">
        <f t="array" ref="H176">_xlfn.IFS(B176="Serviço",SUMIFS(H177:$H$2465,C177:$C$2465,$C176),B176="Insumo",F176*G176,B176="Etapa","")</f>
        <v>0.18129999999999999</v>
      </c>
      <c r="I176" s="1082"/>
    </row>
    <row r="177" spans="1:9" hidden="1" outlineLevel="2" x14ac:dyDescent="0.25">
      <c r="A177" s="1079">
        <f t="shared" si="4"/>
        <v>1</v>
      </c>
      <c r="B177" s="1079" t="s">
        <v>1362</v>
      </c>
      <c r="C177" s="1079" t="str">
        <f t="shared" si="6"/>
        <v>Tela fachadeira</v>
      </c>
      <c r="D177" s="1079" t="s">
        <v>1401</v>
      </c>
      <c r="E177" s="1080" t="str">
        <f>_xlfn.XLOOKUP(D177,Insumos!$B$1:$B$670,Insumos!$C$1:$C$670)</f>
        <v>M2</v>
      </c>
      <c r="F177" s="1083">
        <v>1.05</v>
      </c>
      <c r="G177" s="1081">
        <f>IF(B177="insumo",_xlfn.XLOOKUP($D177,Insumos!$B$1:$B$670,Insumos!$D$1:$D$670),"")</f>
        <v>3.5</v>
      </c>
      <c r="H177" s="1081" cm="1">
        <f t="array" ref="H177">_xlfn.IFS(B177="Serviço",SUMIFS(H178:$H$2465,C178:$C$2465,$C177),B177="Insumo",F177*G177,B177="Etapa","")</f>
        <v>3.6750000000000003</v>
      </c>
      <c r="I177" s="1082"/>
    </row>
    <row r="178" spans="1:9" hidden="1" outlineLevel="2" x14ac:dyDescent="0.25">
      <c r="A178" s="1079">
        <f t="shared" si="4"/>
        <v>8</v>
      </c>
      <c r="B178" s="1079" t="s">
        <v>1362</v>
      </c>
      <c r="C178" s="1079" t="str">
        <f t="shared" si="6"/>
        <v>Tela fachadeira</v>
      </c>
      <c r="D178" s="1079" t="s">
        <v>1395</v>
      </c>
      <c r="E178" s="1080" t="str">
        <f>_xlfn.XLOOKUP(D178,Insumos!$B$1:$B$670,Insumos!$C$1:$C$670)</f>
        <v>M3</v>
      </c>
      <c r="F178" s="1083">
        <v>1.9E-3</v>
      </c>
      <c r="G178" s="1081">
        <f>IF(B178="insumo",_xlfn.XLOOKUP($D178,Insumos!$B$1:$B$670,Insumos!$D$1:$D$670),"")</f>
        <v>1100</v>
      </c>
      <c r="H178" s="1081" cm="1">
        <f t="array" ref="H178">_xlfn.IFS(B178="Serviço",SUMIFS(H179:$H$2465,C179:$C$2465,$C178),B178="Insumo",F178*G178,B178="Etapa","")</f>
        <v>2.09</v>
      </c>
      <c r="I178" s="1082"/>
    </row>
    <row r="179" spans="1:9" hidden="1" outlineLevel="2" x14ac:dyDescent="0.25">
      <c r="A179" s="1079">
        <f t="shared" si="4"/>
        <v>15</v>
      </c>
      <c r="B179" s="1079" t="s">
        <v>1362</v>
      </c>
      <c r="C179" s="1079" t="str">
        <f t="shared" si="6"/>
        <v>Tela fachadeira</v>
      </c>
      <c r="D179" s="1079" t="s">
        <v>1402</v>
      </c>
      <c r="E179" s="1080" t="str">
        <f>_xlfn.XLOOKUP(D179,Insumos!$B$1:$B$670,Insumos!$C$1:$C$670)</f>
        <v>M3</v>
      </c>
      <c r="F179" s="1083">
        <v>1.9E-3</v>
      </c>
      <c r="G179" s="1081">
        <f>IF(B179="insumo",_xlfn.XLOOKUP($D179,Insumos!$B$1:$B$670,Insumos!$D$1:$D$670),"")</f>
        <v>1350</v>
      </c>
      <c r="H179" s="1081" cm="1">
        <f t="array" ref="H179">_xlfn.IFS(B179="Serviço",SUMIFS(H180:$H$2465,C180:$C$2465,$C179),B179="Insumo",F179*G179,B179="Etapa","")</f>
        <v>2.5649999999999999</v>
      </c>
      <c r="I179" s="1082"/>
    </row>
    <row r="180" spans="1:9" hidden="1" outlineLevel="1" x14ac:dyDescent="0.25">
      <c r="A180" s="1079">
        <f t="shared" si="4"/>
        <v>1</v>
      </c>
      <c r="B180" s="1079" t="s">
        <v>471</v>
      </c>
      <c r="C180" s="1079" t="str">
        <f t="shared" si="6"/>
        <v>Tela de polietileno reforçada com impressão digital</v>
      </c>
      <c r="D180" s="1079" t="s">
        <v>1403</v>
      </c>
      <c r="E180" s="1080" t="s">
        <v>17</v>
      </c>
      <c r="F180" s="1079"/>
      <c r="G180" s="1081" t="str">
        <f>IF(B180="insumo",_xlfn.XLOOKUP($D180,Insumos!$B$1:$B$670,Insumos!$D$1:$D$670),"")</f>
        <v/>
      </c>
      <c r="H180" s="1081" cm="1">
        <f t="array" ref="H180">_xlfn.IFS(B180="Serviço",SUMIFS(H181:$H$2465,C181:$C$2465,$C180),B180="Insumo",F180*G180,B180="Etapa","")</f>
        <v>19.086299999999998</v>
      </c>
      <c r="I180" s="1082" t="s">
        <v>872</v>
      </c>
    </row>
    <row r="181" spans="1:9" hidden="1" outlineLevel="2" x14ac:dyDescent="0.25">
      <c r="A181" s="1079">
        <f t="shared" si="4"/>
        <v>33</v>
      </c>
      <c r="B181" s="1079" t="s">
        <v>1362</v>
      </c>
      <c r="C181" s="1079" t="str">
        <f t="shared" si="6"/>
        <v>Tela de polietileno reforçada com impressão digital</v>
      </c>
      <c r="D181" s="1079" t="s">
        <v>1375</v>
      </c>
      <c r="E181" s="1080" t="str">
        <f>_xlfn.XLOOKUP(D181,Insumos!$B$1:$B$670,Insumos!$C$1:$C$670)</f>
        <v>KG</v>
      </c>
      <c r="F181" s="1083">
        <v>0.01</v>
      </c>
      <c r="G181" s="1081">
        <f>IF(B181="insumo",_xlfn.XLOOKUP($D181,Insumos!$B$1:$B$670,Insumos!$D$1:$D$670),"")</f>
        <v>18.13</v>
      </c>
      <c r="H181" s="1081" cm="1">
        <f t="array" ref="H181">_xlfn.IFS(B181="Serviço",SUMIFS(H182:$H$2465,C182:$C$2465,$C181),B181="Insumo",F181*G181,B181="Etapa","")</f>
        <v>0.18129999999999999</v>
      </c>
      <c r="I181" s="1082"/>
    </row>
    <row r="182" spans="1:9" hidden="1" outlineLevel="2" x14ac:dyDescent="0.25">
      <c r="A182" s="1079">
        <f t="shared" si="4"/>
        <v>1</v>
      </c>
      <c r="B182" s="1079" t="s">
        <v>1362</v>
      </c>
      <c r="C182" s="1079" t="str">
        <f t="shared" si="6"/>
        <v>Tela de polietileno reforçada com impressão digital</v>
      </c>
      <c r="D182" s="1079" t="s">
        <v>1404</v>
      </c>
      <c r="E182" s="1080" t="str">
        <f>_xlfn.XLOOKUP(D182,Insumos!$B$1:$B$670,Insumos!$C$1:$C$670)</f>
        <v>M2</v>
      </c>
      <c r="F182" s="1083">
        <v>1.1399999999999999</v>
      </c>
      <c r="G182" s="1085">
        <v>12.5</v>
      </c>
      <c r="H182" s="1081" cm="1">
        <f t="array" ref="H182">_xlfn.IFS(B182="Serviço",SUMIFS(H183:$H$2465,C183:$C$2465,$C182),B182="Insumo",F182*G182,B182="Etapa","")</f>
        <v>14.249999999999998</v>
      </c>
      <c r="I182" s="1086"/>
    </row>
    <row r="183" spans="1:9" hidden="1" outlineLevel="2" x14ac:dyDescent="0.25">
      <c r="A183" s="1079">
        <f t="shared" si="4"/>
        <v>8</v>
      </c>
      <c r="B183" s="1079" t="s">
        <v>1362</v>
      </c>
      <c r="C183" s="1079" t="str">
        <f t="shared" si="6"/>
        <v>Tela de polietileno reforçada com impressão digital</v>
      </c>
      <c r="D183" s="1079" t="s">
        <v>1395</v>
      </c>
      <c r="E183" s="1080" t="str">
        <f>_xlfn.XLOOKUP(D183,Insumos!$B$1:$B$670,Insumos!$C$1:$C$670)</f>
        <v>M3</v>
      </c>
      <c r="F183" s="1083">
        <v>1.9E-3</v>
      </c>
      <c r="G183" s="1081">
        <f>IF(B183="insumo",_xlfn.XLOOKUP($D183,Insumos!$B$1:$B$670,Insumos!$D$1:$D$670),"")</f>
        <v>1100</v>
      </c>
      <c r="H183" s="1081" cm="1">
        <f t="array" ref="H183">_xlfn.IFS(B183="Serviço",SUMIFS(H184:$H$2465,C184:$C$2465,$C183),B183="Insumo",F183*G183,B183="Etapa","")</f>
        <v>2.09</v>
      </c>
      <c r="I183" s="1082"/>
    </row>
    <row r="184" spans="1:9" hidden="1" outlineLevel="2" x14ac:dyDescent="0.25">
      <c r="A184" s="1079">
        <f t="shared" si="4"/>
        <v>15</v>
      </c>
      <c r="B184" s="1079" t="s">
        <v>1362</v>
      </c>
      <c r="C184" s="1079" t="str">
        <f t="shared" si="6"/>
        <v>Tela de polietileno reforçada com impressão digital</v>
      </c>
      <c r="D184" s="1079" t="s">
        <v>1402</v>
      </c>
      <c r="E184" s="1080" t="str">
        <f>_xlfn.XLOOKUP(D184,Insumos!$B$1:$B$670,Insumos!$C$1:$C$670)</f>
        <v>M3</v>
      </c>
      <c r="F184" s="1083">
        <v>1.9E-3</v>
      </c>
      <c r="G184" s="1081">
        <f>IF(B184="insumo",_xlfn.XLOOKUP($D184,Insumos!$B$1:$B$670,Insumos!$D$1:$D$670),"")</f>
        <v>1350</v>
      </c>
      <c r="H184" s="1081" cm="1">
        <f t="array" ref="H184">_xlfn.IFS(B184="Serviço",SUMIFS(H185:$H$2465,C185:$C$2465,$C184),B184="Insumo",F184*G184,B184="Etapa","")</f>
        <v>2.5649999999999999</v>
      </c>
      <c r="I184" s="1082"/>
    </row>
    <row r="185" spans="1:9" hidden="1" outlineLevel="1" x14ac:dyDescent="0.25">
      <c r="A185" s="1079">
        <f t="shared" si="4"/>
        <v>1</v>
      </c>
      <c r="B185" s="1079" t="s">
        <v>471</v>
      </c>
      <c r="C185" s="1079" t="str">
        <f t="shared" si="6"/>
        <v>Fechamento removível de vãos de porta de elevador em madeira</v>
      </c>
      <c r="D185" s="1079" t="s">
        <v>1405</v>
      </c>
      <c r="E185" s="1080" t="s">
        <v>17</v>
      </c>
      <c r="F185" s="1079"/>
      <c r="G185" s="1081" t="str">
        <f>IF(B185="insumo",_xlfn.XLOOKUP($D185,Insumos!$B$1:$B$670,Insumos!$D$1:$D$670),"")</f>
        <v/>
      </c>
      <c r="H185" s="1081" cm="1">
        <f t="array" ref="H185">_xlfn.IFS(B185="Serviço",SUMIFS(H186:$H$2465,C186:$C$2465,$C185),B185="Insumo",F185*G185,B185="Etapa","")</f>
        <v>49.519651000000003</v>
      </c>
      <c r="I185" s="1082" t="s">
        <v>872</v>
      </c>
    </row>
    <row r="186" spans="1:9" hidden="1" outlineLevel="2" x14ac:dyDescent="0.25">
      <c r="A186" s="1079">
        <f t="shared" si="4"/>
        <v>33</v>
      </c>
      <c r="B186" s="1079" t="s">
        <v>1362</v>
      </c>
      <c r="C186" s="1079" t="str">
        <f t="shared" si="6"/>
        <v>Fechamento removível de vãos de porta de elevador em madeira</v>
      </c>
      <c r="D186" s="1079" t="s">
        <v>1375</v>
      </c>
      <c r="E186" s="1080" t="str">
        <f>_xlfn.XLOOKUP(D186,Insumos!$B$1:$B$670,Insumos!$C$1:$C$670)</f>
        <v>KG</v>
      </c>
      <c r="F186" s="1083">
        <v>6.6699999999999995E-2</v>
      </c>
      <c r="G186" s="1081">
        <f>IF(B186="insumo",_xlfn.XLOOKUP($D186,Insumos!$B$1:$B$670,Insumos!$D$1:$D$670),"")</f>
        <v>18.13</v>
      </c>
      <c r="H186" s="1081" cm="1">
        <f t="array" ref="H186">_xlfn.IFS(B186="Serviço",SUMIFS(H187:$H$2465,C187:$C$2465,$C186),B186="Insumo",F186*G186,B186="Etapa","")</f>
        <v>1.2092709999999998</v>
      </c>
      <c r="I186" s="1082"/>
    </row>
    <row r="187" spans="1:9" hidden="1" outlineLevel="2" x14ac:dyDescent="0.25">
      <c r="A187" s="1079">
        <f t="shared" si="4"/>
        <v>1</v>
      </c>
      <c r="B187" s="1079" t="s">
        <v>1362</v>
      </c>
      <c r="C187" s="1079" t="str">
        <f t="shared" si="6"/>
        <v>Fechamento removível de vãos de porta de elevador em madeira</v>
      </c>
      <c r="D187" s="1079" t="s">
        <v>1406</v>
      </c>
      <c r="E187" s="1080" t="str">
        <f>_xlfn.XLOOKUP(D187,Insumos!$B$1:$B$670,Insumos!$C$1:$C$670)</f>
        <v>M2</v>
      </c>
      <c r="F187" s="1083">
        <v>1.071</v>
      </c>
      <c r="G187" s="1081">
        <f>IF(B187="insumo",_xlfn.XLOOKUP($D187,Insumos!$B$1:$B$670,Insumos!$D$1:$D$670),"")</f>
        <v>35.78</v>
      </c>
      <c r="H187" s="1081" cm="1">
        <f t="array" ref="H187">_xlfn.IFS(B187="Serviço",SUMIFS(H188:$H$2465,C188:$C$2465,$C187),B187="Insumo",F187*G187,B187="Etapa","")</f>
        <v>38.32038</v>
      </c>
      <c r="I187" s="1082"/>
    </row>
    <row r="188" spans="1:9" hidden="1" outlineLevel="2" x14ac:dyDescent="0.25">
      <c r="A188" s="1079">
        <f t="shared" si="4"/>
        <v>15</v>
      </c>
      <c r="B188" s="1079" t="s">
        <v>1362</v>
      </c>
      <c r="C188" s="1079" t="str">
        <f t="shared" si="6"/>
        <v>Fechamento removível de vãos de porta de elevador em madeira</v>
      </c>
      <c r="D188" s="1079" t="s">
        <v>1402</v>
      </c>
      <c r="E188" s="1080" t="str">
        <f>_xlfn.XLOOKUP(D188,Insumos!$B$1:$B$670,Insumos!$C$1:$C$670)</f>
        <v>M3</v>
      </c>
      <c r="F188" s="1083">
        <v>7.4000000000000003E-3</v>
      </c>
      <c r="G188" s="1081">
        <f>IF(B188="insumo",_xlfn.XLOOKUP($D188,Insumos!$B$1:$B$670,Insumos!$D$1:$D$670),"")</f>
        <v>1350</v>
      </c>
      <c r="H188" s="1081" cm="1">
        <f t="array" ref="H188">_xlfn.IFS(B188="Serviço",SUMIFS(H189:$H$2465,C189:$C$2465,$C188),B188="Insumo",F188*G188,B188="Etapa","")</f>
        <v>9.99</v>
      </c>
      <c r="I188" s="1082"/>
    </row>
    <row r="189" spans="1:9" hidden="1" outlineLevel="1" collapsed="1" x14ac:dyDescent="0.25">
      <c r="A189" s="1079">
        <f t="shared" si="4"/>
        <v>1</v>
      </c>
      <c r="B189" s="1079" t="s">
        <v>471</v>
      </c>
      <c r="C189" s="1079" t="str">
        <f t="shared" si="6"/>
        <v>Cobertura para Proteção de Pedestres</v>
      </c>
      <c r="D189" s="1079" t="s">
        <v>866</v>
      </c>
      <c r="E189" s="1080" t="s">
        <v>17</v>
      </c>
      <c r="F189" s="1079"/>
      <c r="G189" s="1081" t="str">
        <f>IF(B189="insumo",_xlfn.XLOOKUP($D189,Insumos!$B$1:$B$670,Insumos!$D$1:$D$670),"")</f>
        <v/>
      </c>
      <c r="H189" s="1081" cm="1">
        <f t="array" ref="H189">_xlfn.IFS(B189="Serviço",SUMIFS(H190:$H$2465,C190:$C$2465,$C189),B189="Insumo",F189*G189,B189="Etapa","")</f>
        <v>880</v>
      </c>
      <c r="I189" s="1082" t="s">
        <v>873</v>
      </c>
    </row>
    <row r="190" spans="1:9" hidden="1" outlineLevel="2" x14ac:dyDescent="0.25">
      <c r="A190" s="1079">
        <f t="shared" si="4"/>
        <v>1</v>
      </c>
      <c r="B190" s="1079" t="s">
        <v>1362</v>
      </c>
      <c r="C190" s="1079" t="str">
        <f t="shared" si="6"/>
        <v>Cobertura para Proteção de Pedestres</v>
      </c>
      <c r="D190" s="1079" t="s">
        <v>1407</v>
      </c>
      <c r="E190" s="1080" t="str">
        <f>_xlfn.XLOOKUP(D190,Insumos!$B$1:$B$670,Insumos!$C$1:$C$670)</f>
        <v>m2</v>
      </c>
      <c r="F190" s="1083">
        <v>1</v>
      </c>
      <c r="G190" s="1081">
        <f>IF(B190="insumo",_xlfn.XLOOKUP($D190,Insumos!$B$1:$B$670,Insumos!$D$1:$D$670),"")</f>
        <v>880</v>
      </c>
      <c r="H190" s="1081" cm="1">
        <f t="array" ref="H190">_xlfn.IFS(B190="Serviço",SUMIFS(H191:$H$2465,C191:$C$2465,$C190),B190="Insumo",F190*G190,B190="Etapa","")</f>
        <v>880</v>
      </c>
      <c r="I190" s="1082"/>
    </row>
    <row r="191" spans="1:9" hidden="1" outlineLevel="1" x14ac:dyDescent="0.25">
      <c r="A191" s="1079">
        <f t="shared" si="4"/>
        <v>1</v>
      </c>
      <c r="B191" s="1079" t="s">
        <v>471</v>
      </c>
      <c r="C191" s="1079" t="str">
        <f t="shared" si="6"/>
        <v>Tapume em telha metálica trapezoidal</v>
      </c>
      <c r="D191" s="1079" t="s">
        <v>1408</v>
      </c>
      <c r="E191" s="1080" t="s">
        <v>17</v>
      </c>
      <c r="F191" s="1079"/>
      <c r="G191" s="1081" t="str">
        <f>IF(B191="insumo",_xlfn.XLOOKUP($D191,Insumos!$B$1:$B$670,Insumos!$D$1:$D$670),"")</f>
        <v/>
      </c>
      <c r="H191" s="1081" cm="1">
        <f t="array" ref="H191">_xlfn.IFS(B191="Serviço",SUMIFS(H192:$H$2465,C192:$C$2465,$C191),B191="Insumo",F191*G191,B191="Etapa","")</f>
        <v>164.07660000000001</v>
      </c>
      <c r="I191" s="1082" t="s">
        <v>872</v>
      </c>
    </row>
    <row r="192" spans="1:9" hidden="1" outlineLevel="2" x14ac:dyDescent="0.25">
      <c r="A192" s="1079">
        <f t="shared" si="4"/>
        <v>7</v>
      </c>
      <c r="B192" s="1079" t="s">
        <v>1362</v>
      </c>
      <c r="C192" s="1079" t="str">
        <f t="shared" si="6"/>
        <v>Tapume em telha metálica trapezoidal</v>
      </c>
      <c r="D192" s="1079" t="s">
        <v>1409</v>
      </c>
      <c r="E192" s="1080" t="str">
        <f>_xlfn.XLOOKUP(D192,Insumos!$B$1:$B$670,Insumos!$C$1:$C$670)</f>
        <v>KG</v>
      </c>
      <c r="F192" s="1083">
        <v>6.8000000000000005E-2</v>
      </c>
      <c r="G192" s="1081">
        <f>IF(B192="insumo",_xlfn.XLOOKUP($D192,Insumos!$B$1:$B$670,Insumos!$D$1:$D$670),"")</f>
        <v>15.65</v>
      </c>
      <c r="H192" s="1081" cm="1">
        <f t="array" ref="H192">_xlfn.IFS(B192="Serviço",SUMIFS(H193:$H$2465,C193:$C$2465,$C192),B192="Insumo",F192*G192,B192="Etapa","")</f>
        <v>1.0642</v>
      </c>
      <c r="I192" s="1082"/>
    </row>
    <row r="193" spans="1:9" hidden="1" outlineLevel="2" x14ac:dyDescent="0.25">
      <c r="A193" s="1079">
        <f t="shared" si="4"/>
        <v>8</v>
      </c>
      <c r="B193" s="1079" t="s">
        <v>1362</v>
      </c>
      <c r="C193" s="1079" t="str">
        <f t="shared" si="6"/>
        <v>Tapume em telha metálica trapezoidal</v>
      </c>
      <c r="D193" s="1079" t="s">
        <v>1395</v>
      </c>
      <c r="E193" s="1080" t="str">
        <f>_xlfn.XLOOKUP(D193,Insumos!$B$1:$B$670,Insumos!$C$1:$C$670)</f>
        <v>M3</v>
      </c>
      <c r="F193" s="1083">
        <v>7.7999999999999996E-3</v>
      </c>
      <c r="G193" s="1081">
        <f>IF(B193="insumo",_xlfn.XLOOKUP($D193,Insumos!$B$1:$B$670,Insumos!$D$1:$D$670),"")</f>
        <v>1100</v>
      </c>
      <c r="H193" s="1081" cm="1">
        <f t="array" ref="H193">_xlfn.IFS(B193="Serviço",SUMIFS(H194:$H$2465,C194:$C$2465,$C193),B193="Insumo",F193*G193,B193="Etapa","")</f>
        <v>8.58</v>
      </c>
      <c r="I193" s="1082"/>
    </row>
    <row r="194" spans="1:9" hidden="1" outlineLevel="2" x14ac:dyDescent="0.25">
      <c r="A194" s="1079">
        <f t="shared" ref="A194:A257" si="7">COUNTIFS($D$2:$D$2465,D194,$B$2:$B$2465,B194)</f>
        <v>3</v>
      </c>
      <c r="B194" s="1079" t="s">
        <v>1362</v>
      </c>
      <c r="C194" s="1079" t="str">
        <f t="shared" si="6"/>
        <v>Tapume em telha metálica trapezoidal</v>
      </c>
      <c r="D194" s="1079" t="s">
        <v>1397</v>
      </c>
      <c r="E194" s="1080" t="str">
        <f>_xlfn.XLOOKUP(D194,Insumos!$B$1:$B$670,Insumos!$C$1:$C$670)</f>
        <v>M</v>
      </c>
      <c r="F194" s="1083">
        <v>2</v>
      </c>
      <c r="G194" s="1081">
        <f>IF(B194="insumo",_xlfn.XLOOKUP($D194,Insumos!$B$1:$B$670,Insumos!$D$1:$D$670),"")</f>
        <v>21.23</v>
      </c>
      <c r="H194" s="1081" cm="1">
        <f t="array" ref="H194">_xlfn.IFS(B194="Serviço",SUMIFS(H195:$H$2465,C195:$C$2465,$C194),B194="Insumo",F194*G194,B194="Etapa","")</f>
        <v>42.46</v>
      </c>
      <c r="I194" s="1082"/>
    </row>
    <row r="195" spans="1:9" hidden="1" outlineLevel="2" x14ac:dyDescent="0.25">
      <c r="A195" s="1079">
        <f t="shared" si="7"/>
        <v>1</v>
      </c>
      <c r="B195" s="1079" t="s">
        <v>1362</v>
      </c>
      <c r="C195" s="1079" t="str">
        <f t="shared" si="6"/>
        <v>Tapume em telha metálica trapezoidal</v>
      </c>
      <c r="D195" s="1079" t="s">
        <v>1410</v>
      </c>
      <c r="E195" s="1080" t="str">
        <f>_xlfn.XLOOKUP(D195,Insumos!$B$1:$B$670,Insumos!$C$1:$C$670)</f>
        <v>M2</v>
      </c>
      <c r="F195" s="1083">
        <v>1.1499999999999999</v>
      </c>
      <c r="G195" s="1081">
        <f>IF(B195="insumo",_xlfn.XLOOKUP($D195,Insumos!$B$1:$B$670,Insumos!$D$1:$D$670),"")</f>
        <v>97</v>
      </c>
      <c r="H195" s="1081" cm="1">
        <f t="array" ref="H195">_xlfn.IFS(B195="Serviço",SUMIFS(H196:$H$2465,C196:$C$2465,$C195),B195="Insumo",F195*G195,B195="Etapa","")</f>
        <v>111.55</v>
      </c>
      <c r="I195" s="1082"/>
    </row>
    <row r="196" spans="1:9" hidden="1" outlineLevel="2" x14ac:dyDescent="0.25">
      <c r="A196" s="1079">
        <f t="shared" si="7"/>
        <v>1</v>
      </c>
      <c r="B196" s="1079" t="s">
        <v>1362</v>
      </c>
      <c r="C196" s="1079" t="str">
        <f t="shared" si="6"/>
        <v>Tapume em telha metálica trapezoidal</v>
      </c>
      <c r="D196" s="1079" t="s">
        <v>1411</v>
      </c>
      <c r="E196" s="1080" t="str">
        <f>_xlfn.XLOOKUP(D196,Insumos!$B$1:$B$670,Insumos!$C$1:$C$670)</f>
        <v>M3</v>
      </c>
      <c r="F196" s="1083">
        <v>1.1999999999999999E-3</v>
      </c>
      <c r="G196" s="1081">
        <f>IF(B196="insumo",_xlfn.XLOOKUP($D196,Insumos!$B$1:$B$670,Insumos!$D$1:$D$670),"")</f>
        <v>352</v>
      </c>
      <c r="H196" s="1081" cm="1">
        <f t="array" ref="H196">_xlfn.IFS(B196="Serviço",SUMIFS(H197:$H$2465,C197:$C$2465,$C196),B196="Insumo",F196*G196,B196="Etapa","")</f>
        <v>0.42239999999999994</v>
      </c>
      <c r="I196" s="1082"/>
    </row>
    <row r="197" spans="1:9" hidden="1" outlineLevel="1" x14ac:dyDescent="0.25">
      <c r="A197" s="1079">
        <f t="shared" si="7"/>
        <v>1</v>
      </c>
      <c r="B197" s="1079" t="s">
        <v>471</v>
      </c>
      <c r="C197" s="1079" t="str">
        <f t="shared" si="6"/>
        <v>Varal de segurança com cabo de aço (linha de vida)</v>
      </c>
      <c r="D197" s="1079" t="s">
        <v>1412</v>
      </c>
      <c r="E197" s="1080" t="s">
        <v>281</v>
      </c>
      <c r="F197" s="1079"/>
      <c r="G197" s="1081" t="str">
        <f>IF(B197="insumo",_xlfn.XLOOKUP($D197,Insumos!$B$1:$B$670,Insumos!$D$1:$D$670),"")</f>
        <v/>
      </c>
      <c r="H197" s="1081" cm="1">
        <f t="array" ref="H197">_xlfn.IFS(B197="Serviço",SUMIFS(H198:$H$2465,C198:$C$2465,$C197),B197="Insumo",F197*G197,B197="Etapa","")</f>
        <v>61.164290000000008</v>
      </c>
      <c r="I197" s="1082" t="s">
        <v>872</v>
      </c>
    </row>
    <row r="198" spans="1:9" hidden="1" outlineLevel="2" x14ac:dyDescent="0.25">
      <c r="A198" s="1079">
        <f t="shared" si="7"/>
        <v>1</v>
      </c>
      <c r="B198" s="1079" t="s">
        <v>1362</v>
      </c>
      <c r="C198" s="1079" t="str">
        <f t="shared" si="6"/>
        <v>Varal de segurança com cabo de aço (linha de vida)</v>
      </c>
      <c r="D198" s="1079" t="s">
        <v>1413</v>
      </c>
      <c r="E198" s="1080" t="str">
        <f>_xlfn.XLOOKUP(D198,Insumos!$B$1:$B$670,Insumos!$C$1:$C$670)</f>
        <v>M</v>
      </c>
      <c r="F198" s="1083">
        <v>1</v>
      </c>
      <c r="G198" s="1081">
        <f>IF(B198="insumo",_xlfn.XLOOKUP($D198,Insumos!$B$1:$B$670,Insumos!$D$1:$D$670),"")</f>
        <v>5.2</v>
      </c>
      <c r="H198" s="1081" cm="1">
        <f t="array" ref="H198">_xlfn.IFS(B198="Serviço",SUMIFS(H199:$H$2465,C199:$C$2465,$C198),B198="Insumo",F198*G198,B198="Etapa","")</f>
        <v>5.2</v>
      </c>
      <c r="I198" s="1082"/>
    </row>
    <row r="199" spans="1:9" hidden="1" outlineLevel="2" x14ac:dyDescent="0.25">
      <c r="A199" s="1079">
        <f t="shared" si="7"/>
        <v>1</v>
      </c>
      <c r="B199" s="1079" t="s">
        <v>1362</v>
      </c>
      <c r="C199" s="1079" t="str">
        <f t="shared" si="6"/>
        <v>Varal de segurança com cabo de aço (linha de vida)</v>
      </c>
      <c r="D199" s="1079" t="s">
        <v>1414</v>
      </c>
      <c r="E199" s="1080" t="str">
        <f>_xlfn.XLOOKUP(D199,Insumos!$B$1:$B$670,Insumos!$C$1:$C$670)</f>
        <v>UN</v>
      </c>
      <c r="F199" s="1083">
        <v>0.92</v>
      </c>
      <c r="G199" s="1081">
        <f>IF(B199="insumo",_xlfn.XLOOKUP($D199,Insumos!$B$1:$B$670,Insumos!$D$1:$D$670),"")</f>
        <v>1.7</v>
      </c>
      <c r="H199" s="1081" cm="1">
        <f t="array" ref="H199">_xlfn.IFS(B199="Serviço",SUMIFS(H200:$H$2465,C200:$C$2465,$C199),B199="Insumo",F199*G199,B199="Etapa","")</f>
        <v>1.5640000000000001</v>
      </c>
      <c r="I199" s="1082"/>
    </row>
    <row r="200" spans="1:9" hidden="1" outlineLevel="2" x14ac:dyDescent="0.25">
      <c r="A200" s="1079">
        <f t="shared" si="7"/>
        <v>1</v>
      </c>
      <c r="B200" s="1079" t="s">
        <v>1362</v>
      </c>
      <c r="C200" s="1079" t="str">
        <f t="shared" si="6"/>
        <v>Varal de segurança com cabo de aço (linha de vida)</v>
      </c>
      <c r="D200" s="1079" t="s">
        <v>1415</v>
      </c>
      <c r="E200" s="1080" t="str">
        <f>_xlfn.XLOOKUP(D200,Insumos!$B$1:$B$670,Insumos!$C$1:$C$670)</f>
        <v>UN</v>
      </c>
      <c r="F200" s="1083">
        <v>1.609</v>
      </c>
      <c r="G200" s="1081">
        <f>IF(B200="insumo",_xlfn.XLOOKUP($D200,Insumos!$B$1:$B$670,Insumos!$D$1:$D$670),"")</f>
        <v>33.81</v>
      </c>
      <c r="H200" s="1081" cm="1">
        <f t="array" ref="H200">_xlfn.IFS(B200="Serviço",SUMIFS(H201:$H$2465,C201:$C$2465,$C200),B200="Insumo",F200*G200,B200="Etapa","")</f>
        <v>54.400290000000005</v>
      </c>
      <c r="I200" s="1082"/>
    </row>
    <row r="201" spans="1:9" hidden="1" outlineLevel="1" x14ac:dyDescent="0.25">
      <c r="A201" s="1079">
        <f t="shared" si="7"/>
        <v>1</v>
      </c>
      <c r="B201" s="1079" t="s">
        <v>471</v>
      </c>
      <c r="C201" s="1079" t="str">
        <f t="shared" si="6"/>
        <v>Tela SQLA</v>
      </c>
      <c r="D201" s="1079" t="s">
        <v>1416</v>
      </c>
      <c r="E201" s="1080" t="s">
        <v>281</v>
      </c>
      <c r="F201" s="1079"/>
      <c r="G201" s="1081" t="str">
        <f>IF(B201="insumo",_xlfn.XLOOKUP($D201,Insumos!$B$1:$B$670,Insumos!$D$1:$D$670),"")</f>
        <v/>
      </c>
      <c r="H201" s="1081" cm="1">
        <f t="array" ref="H201">_xlfn.IFS(B201="Serviço",SUMIFS(H202:$H$2465,C202:$C$2465,$C201),B201="Insumo",F201*G201,B201="Etapa","")</f>
        <v>400</v>
      </c>
      <c r="I201" s="1082" t="s">
        <v>873</v>
      </c>
    </row>
    <row r="202" spans="1:9" hidden="1" outlineLevel="2" x14ac:dyDescent="0.25">
      <c r="A202" s="1079">
        <f t="shared" si="7"/>
        <v>1</v>
      </c>
      <c r="B202" s="1079" t="s">
        <v>1362</v>
      </c>
      <c r="C202" s="1079" t="str">
        <f t="shared" si="6"/>
        <v>Tela SQLA</v>
      </c>
      <c r="D202" s="1079" t="s">
        <v>1417</v>
      </c>
      <c r="E202" s="1080" t="str">
        <f>_xlfn.XLOOKUP(D202,Insumos!$B$1:$B$670,Insumos!$C$1:$C$670)</f>
        <v>m</v>
      </c>
      <c r="F202" s="1083">
        <v>1</v>
      </c>
      <c r="G202" s="1081">
        <f>IF(B202="insumo",_xlfn.XLOOKUP($D202,Insumos!$B$1:$B$670,Insumos!$D$1:$D$670),"")</f>
        <v>400</v>
      </c>
      <c r="H202" s="1081" cm="1">
        <f t="array" ref="H202">_xlfn.IFS(B202="Serviço",SUMIFS(H203:$H$2465,C203:$C$2465,$C202),B202="Insumo",F202*G202,B202="Etapa","")</f>
        <v>400</v>
      </c>
      <c r="I202" s="1082"/>
    </row>
    <row r="203" spans="1:9" collapsed="1" x14ac:dyDescent="0.25">
      <c r="A203" s="1076">
        <f t="shared" si="7"/>
        <v>1</v>
      </c>
      <c r="B203" s="1076" t="s">
        <v>469</v>
      </c>
      <c r="C203" s="1076"/>
      <c r="D203" s="1076" t="s">
        <v>368</v>
      </c>
      <c r="E203" s="1077"/>
      <c r="F203" s="1078"/>
      <c r="G203" s="1084" t="str">
        <f>IF(B203="insumo",_xlfn.XLOOKUP($D203,Insumos!$B$1:$B$670,Insumos!$D$1:$D$670),"")</f>
        <v/>
      </c>
      <c r="H203" s="1084" t="str" cm="1">
        <f t="array" ref="H203">_xlfn.IFS(B203="Serviço",SUMIFS(H204:$H$2465,C204:$C$2465,$C203),B203="Insumo",F203*G203,B203="Etapa","")</f>
        <v/>
      </c>
      <c r="I203" s="1078"/>
    </row>
    <row r="204" spans="1:9" hidden="1" outlineLevel="1" collapsed="1" x14ac:dyDescent="0.25">
      <c r="A204" s="1079">
        <f t="shared" si="7"/>
        <v>1</v>
      </c>
      <c r="B204" s="1079" t="s">
        <v>471</v>
      </c>
      <c r="C204" s="1079" t="str">
        <f t="shared" ref="C204:C246" si="8">IF(B204="serviço",D204,C203)</f>
        <v>Rebaixamento de Lençol freático</v>
      </c>
      <c r="D204" s="1079" t="s">
        <v>1418</v>
      </c>
      <c r="E204" s="1080" t="s">
        <v>485</v>
      </c>
      <c r="F204" s="1079"/>
      <c r="G204" s="1081" t="str">
        <f>IF(B204="insumo",_xlfn.XLOOKUP($D204,Insumos!$B$1:$B$670,Insumos!$D$1:$D$670),"")</f>
        <v/>
      </c>
      <c r="H204" s="1081" cm="1">
        <f t="array" ref="H204">_xlfn.IFS(B204="Serviço",SUMIFS(H205:$H$2465,C205:$C$2465,$C204),B204="Insumo",F204*G204,B204="Etapa","")</f>
        <v>29600</v>
      </c>
      <c r="I204" s="1082" t="s">
        <v>872</v>
      </c>
    </row>
    <row r="205" spans="1:9" hidden="1" outlineLevel="2" x14ac:dyDescent="0.25">
      <c r="A205" s="1079">
        <f t="shared" si="7"/>
        <v>1</v>
      </c>
      <c r="B205" s="1079" t="s">
        <v>1362</v>
      </c>
      <c r="C205" s="1079" t="str">
        <f t="shared" si="8"/>
        <v>Rebaixamento de Lençol freático</v>
      </c>
      <c r="D205" s="1079" t="s">
        <v>1419</v>
      </c>
      <c r="E205" s="1080" t="str">
        <f>_xlfn.XLOOKUP(D205,Insumos!$B$1:$B$670,Insumos!$C$1:$C$670)</f>
        <v>MÊS</v>
      </c>
      <c r="F205" s="1083">
        <f>ROUNDUP(0.00347*$I$205,)</f>
        <v>4</v>
      </c>
      <c r="G205" s="1081">
        <f>IF(B205="insumo",_xlfn.XLOOKUP($D205,Insumos!$B$1:$B$670,Insumos!$D$1:$D$670),"")</f>
        <v>6500</v>
      </c>
      <c r="H205" s="1081" cm="1">
        <f t="array" ref="H205">_xlfn.IFS(B205="Serviço",SUMIFS(H206:$H$2465,C206:$C$2465,$C205),B205="Insumo",F205*G205,B205="Etapa","")</f>
        <v>26000</v>
      </c>
      <c r="I205" s="1087">
        <v>1069.8</v>
      </c>
    </row>
    <row r="206" spans="1:9" hidden="1" outlineLevel="2" x14ac:dyDescent="0.25">
      <c r="A206" s="1079">
        <f t="shared" si="7"/>
        <v>1</v>
      </c>
      <c r="B206" s="1079" t="s">
        <v>1362</v>
      </c>
      <c r="C206" s="1079" t="str">
        <f t="shared" si="8"/>
        <v>Rebaixamento de Lençol freático</v>
      </c>
      <c r="D206" s="1079" t="s">
        <v>1420</v>
      </c>
      <c r="E206" s="1080" t="str">
        <f>_xlfn.XLOOKUP(D206,Insumos!$B$1:$B$670,Insumos!$C$1:$C$670)</f>
        <v>MÊS</v>
      </c>
      <c r="F206" s="1083">
        <f>ROUNDUP(0.00347*$I$205,)</f>
        <v>4</v>
      </c>
      <c r="G206" s="1081">
        <f>IF(B206="insumo",_xlfn.XLOOKUP($D206,Insumos!$B$1:$B$670,Insumos!$D$1:$D$670),"")</f>
        <v>900</v>
      </c>
      <c r="H206" s="1081" cm="1">
        <f t="array" ref="H206">_xlfn.IFS(B206="Serviço",SUMIFS(H207:$H$2465,C207:$C$2465,$C206),B206="Insumo",F206*G206,B206="Etapa","")</f>
        <v>3600</v>
      </c>
      <c r="I206" s="1082"/>
    </row>
    <row r="207" spans="1:9" hidden="1" outlineLevel="1" collapsed="1" x14ac:dyDescent="0.25">
      <c r="A207" s="1079">
        <f t="shared" si="7"/>
        <v>1</v>
      </c>
      <c r="B207" s="1079" t="s">
        <v>471</v>
      </c>
      <c r="C207" s="1079" t="str">
        <f t="shared" si="8"/>
        <v>Instalação de equipamentos para Rebaixamento de Lençol freático</v>
      </c>
      <c r="D207" s="1079" t="s">
        <v>1421</v>
      </c>
      <c r="E207" s="1080" t="s">
        <v>1422</v>
      </c>
      <c r="F207" s="1079"/>
      <c r="G207" s="1081" t="str">
        <f>IF(B207="insumo",_xlfn.XLOOKUP($D207,Insumos!$B$1:$B$670,Insumos!$D$1:$D$670),"")</f>
        <v/>
      </c>
      <c r="H207" s="1081" cm="1">
        <f t="array" ref="H207">_xlfn.IFS(B207="Serviço",SUMIFS(H208:$H$2465,C208:$C$2465,$C207),B207="Insumo",F207*G207,B207="Etapa","")</f>
        <v>1200</v>
      </c>
      <c r="I207" s="1082" t="s">
        <v>872</v>
      </c>
    </row>
    <row r="208" spans="1:9" hidden="1" outlineLevel="2" x14ac:dyDescent="0.25">
      <c r="A208" s="1079">
        <f t="shared" si="7"/>
        <v>1</v>
      </c>
      <c r="B208" s="1079" t="s">
        <v>1362</v>
      </c>
      <c r="C208" s="1079" t="str">
        <f t="shared" si="8"/>
        <v>Instalação de equipamentos para Rebaixamento de Lençol freático</v>
      </c>
      <c r="D208" s="1079" t="s">
        <v>1423</v>
      </c>
      <c r="E208" s="1080" t="str">
        <f>_xlfn.XLOOKUP(D208,Insumos!$B$1:$B$670,Insumos!$C$1:$C$670)</f>
        <v>VB</v>
      </c>
      <c r="F208" s="1083">
        <v>1</v>
      </c>
      <c r="G208" s="1081">
        <f>IF(B208="insumo",_xlfn.XLOOKUP($D208,Insumos!$B$1:$B$670,Insumos!$D$1:$D$670),"")</f>
        <v>1200</v>
      </c>
      <c r="H208" s="1081" cm="1">
        <f t="array" ref="H208">_xlfn.IFS(B208="Serviço",SUMIFS(H209:$H$2465,C209:$C$2465,$C208),B208="Insumo",F208*G208,B208="Etapa","")</f>
        <v>1200</v>
      </c>
      <c r="I208" s="1082" t="s">
        <v>1424</v>
      </c>
    </row>
    <row r="209" spans="1:9" hidden="1" outlineLevel="1" collapsed="1" x14ac:dyDescent="0.25">
      <c r="A209" s="1079">
        <f t="shared" si="7"/>
        <v>1</v>
      </c>
      <c r="B209" s="1079" t="s">
        <v>471</v>
      </c>
      <c r="C209" s="1079" t="str">
        <f t="shared" si="8"/>
        <v>Detonação de rochas</v>
      </c>
      <c r="D209" s="1079" t="s">
        <v>1425</v>
      </c>
      <c r="E209" s="1080" t="s">
        <v>1426</v>
      </c>
      <c r="F209" s="1079"/>
      <c r="G209" s="1081" t="str">
        <f>IF(B209="insumo",_xlfn.XLOOKUP($D209,Insumos!$B$1:$B$670,Insumos!$D$1:$D$670),"")</f>
        <v/>
      </c>
      <c r="H209" s="1081" cm="1">
        <f t="array" ref="H209">_xlfn.IFS(B209="Serviço",SUMIFS(H210:$H$2465,C210:$C$2465,$C209),B209="Insumo",F209*G209,B209="Etapa","")</f>
        <v>320</v>
      </c>
      <c r="I209" s="1082" t="s">
        <v>872</v>
      </c>
    </row>
    <row r="210" spans="1:9" hidden="1" outlineLevel="2" x14ac:dyDescent="0.25">
      <c r="A210" s="1079">
        <f t="shared" si="7"/>
        <v>1</v>
      </c>
      <c r="B210" s="1079" t="s">
        <v>1362</v>
      </c>
      <c r="C210" s="1079" t="str">
        <f t="shared" si="8"/>
        <v>Detonação de rochas</v>
      </c>
      <c r="D210" s="1079" t="s">
        <v>1425</v>
      </c>
      <c r="E210" s="1080" t="str">
        <f>_xlfn.XLOOKUP(D210,Insumos!$B$1:$B$670,Insumos!$C$1:$C$670)</f>
        <v>M3</v>
      </c>
      <c r="F210" s="1083">
        <v>1</v>
      </c>
      <c r="G210" s="1081">
        <f>IF(B210="insumo",_xlfn.XLOOKUP($D210,Insumos!$B$1:$B$670,Insumos!$D$1:$D$670),"")</f>
        <v>320</v>
      </c>
      <c r="H210" s="1081" cm="1">
        <f t="array" ref="H210">_xlfn.IFS(B210="Serviço",SUMIFS(H211:$H$2465,C211:$C$2465,$C210),B210="Insumo",F210*G210,B210="Etapa","")</f>
        <v>320</v>
      </c>
      <c r="I210" s="1087">
        <v>1069.8</v>
      </c>
    </row>
    <row r="211" spans="1:9" hidden="1" outlineLevel="1" collapsed="1" x14ac:dyDescent="0.25">
      <c r="A211" s="1079">
        <f t="shared" si="7"/>
        <v>1</v>
      </c>
      <c r="B211" s="1079" t="s">
        <v>471</v>
      </c>
      <c r="C211" s="1079" t="str">
        <f t="shared" si="8"/>
        <v>Escavação mecanizada para blocos de fundação, vigas de fundação e poço de elevador, com retroescavadeira</v>
      </c>
      <c r="D211" s="1079" t="s">
        <v>1427</v>
      </c>
      <c r="E211" s="1080" t="s">
        <v>1426</v>
      </c>
      <c r="F211" s="1079"/>
      <c r="G211" s="1081" t="str">
        <f>IF(B211="insumo",_xlfn.XLOOKUP($D211,Insumos!$B$1:$B$670,Insumos!$D$1:$D$670),"")</f>
        <v/>
      </c>
      <c r="H211" s="1081" cm="1">
        <f t="array" ref="H211">_xlfn.IFS(B211="Serviço",SUMIFS(H212:$H$2465,C212:$C$2465,$C211),B211="Insumo",F211*G211,B211="Etapa","")</f>
        <v>36.36</v>
      </c>
      <c r="I211" s="1082" t="s">
        <v>872</v>
      </c>
    </row>
    <row r="212" spans="1:9" hidden="1" outlineLevel="2" x14ac:dyDescent="0.25">
      <c r="A212" s="1079">
        <f t="shared" si="7"/>
        <v>2</v>
      </c>
      <c r="B212" s="1079" t="s">
        <v>1362</v>
      </c>
      <c r="C212" s="1079" t="str">
        <f t="shared" si="8"/>
        <v>Escavação mecanizada para blocos de fundação, vigas de fundação e poço de elevador, com retroescavadeira</v>
      </c>
      <c r="D212" s="1079" t="s">
        <v>1428</v>
      </c>
      <c r="E212" s="1080" t="str">
        <f>_xlfn.XLOOKUP(D212,Insumos!$B$1:$B$670,Insumos!$C$1:$C$670)</f>
        <v>M3</v>
      </c>
      <c r="F212" s="1083">
        <v>1</v>
      </c>
      <c r="G212" s="1081">
        <f>IF(B212="insumo",_xlfn.XLOOKUP($D212,Insumos!$B$1:$B$670,Insumos!$D$1:$D$670),"")</f>
        <v>36.36</v>
      </c>
      <c r="H212" s="1081" cm="1">
        <f t="array" ref="H212">_xlfn.IFS(B212="Serviço",SUMIFS(H213:$H$2465,C213:$C$2465,$C212),B212="Insumo",F212*G212,B212="Etapa","")</f>
        <v>36.36</v>
      </c>
      <c r="I212" s="1082"/>
    </row>
    <row r="213" spans="1:9" hidden="1" outlineLevel="1" collapsed="1" x14ac:dyDescent="0.25">
      <c r="A213" s="1079">
        <f t="shared" si="7"/>
        <v>1</v>
      </c>
      <c r="B213" s="1079" t="s">
        <v>471</v>
      </c>
      <c r="C213" s="1079" t="str">
        <f t="shared" si="8"/>
        <v>Escavação mecanizada para estacas de fundação, com retroescavadeira</v>
      </c>
      <c r="D213" s="1079" t="s">
        <v>1429</v>
      </c>
      <c r="E213" s="1080" t="s">
        <v>1426</v>
      </c>
      <c r="F213" s="1079"/>
      <c r="G213" s="1081" t="str">
        <f>IF(B213="insumo",_xlfn.XLOOKUP($D213,Insumos!$B$1:$B$670,Insumos!$D$1:$D$670),"")</f>
        <v/>
      </c>
      <c r="H213" s="1081" cm="1">
        <f t="array" ref="H213">_xlfn.IFS(B213="Serviço",SUMIFS(H214:$H$2465,C214:$C$2465,$C213),B213="Insumo",F213*G213,B213="Etapa","")</f>
        <v>36.36</v>
      </c>
      <c r="I213" s="1082" t="s">
        <v>872</v>
      </c>
    </row>
    <row r="214" spans="1:9" hidden="1" outlineLevel="2" x14ac:dyDescent="0.25">
      <c r="A214" s="1079">
        <f t="shared" si="7"/>
        <v>2</v>
      </c>
      <c r="B214" s="1079" t="s">
        <v>1362</v>
      </c>
      <c r="C214" s="1079" t="str">
        <f t="shared" si="8"/>
        <v>Escavação mecanizada para estacas de fundação, com retroescavadeira</v>
      </c>
      <c r="D214" s="1079" t="s">
        <v>1428</v>
      </c>
      <c r="E214" s="1080" t="str">
        <f>_xlfn.XLOOKUP(D214,Insumos!$B$1:$B$670,Insumos!$C$1:$C$670)</f>
        <v>M3</v>
      </c>
      <c r="F214" s="1083">
        <v>1</v>
      </c>
      <c r="G214" s="1081">
        <f>IF(B214="insumo",_xlfn.XLOOKUP($D214,Insumos!$B$1:$B$670,Insumos!$D$1:$D$670),"")</f>
        <v>36.36</v>
      </c>
      <c r="H214" s="1081" cm="1">
        <f t="array" ref="H214">_xlfn.IFS(B214="Serviço",SUMIFS(H215:$H$2465,C215:$C$2465,$C214),B214="Insumo",F214*G214,B214="Etapa","")</f>
        <v>36.36</v>
      </c>
      <c r="I214" s="1082"/>
    </row>
    <row r="215" spans="1:9" hidden="1" outlineLevel="1" collapsed="1" x14ac:dyDescent="0.25">
      <c r="A215" s="1079">
        <f t="shared" si="7"/>
        <v>1</v>
      </c>
      <c r="B215" s="1079" t="s">
        <v>471</v>
      </c>
      <c r="C215" s="1079" t="str">
        <f t="shared" si="8"/>
        <v>Reaterro mecanizado de valas para blocos e vigas de fundação, com retroescavadeira</v>
      </c>
      <c r="D215" s="1079" t="s">
        <v>463</v>
      </c>
      <c r="E215" s="1080" t="s">
        <v>1426</v>
      </c>
      <c r="F215" s="1079"/>
      <c r="G215" s="1081" t="str">
        <f>IF(B215="insumo",_xlfn.XLOOKUP($D215,Insumos!$B$1:$B$670,Insumos!$D$1:$D$670),"")</f>
        <v/>
      </c>
      <c r="H215" s="1081" cm="1">
        <f t="array" ref="H215">_xlfn.IFS(B215="Serviço",SUMIFS(H216:$H$2465,C216:$C$2465,$C215),B215="Insumo",F215*G215,B215="Etapa","")</f>
        <v>14.55</v>
      </c>
      <c r="I215" s="1082" t="s">
        <v>872</v>
      </c>
    </row>
    <row r="216" spans="1:9" hidden="1" outlineLevel="2" x14ac:dyDescent="0.25">
      <c r="A216" s="1079">
        <f t="shared" si="7"/>
        <v>1</v>
      </c>
      <c r="B216" s="1079" t="s">
        <v>1362</v>
      </c>
      <c r="C216" s="1079" t="str">
        <f t="shared" si="8"/>
        <v>Reaterro mecanizado de valas para blocos e vigas de fundação, com retroescavadeira</v>
      </c>
      <c r="D216" s="1079" t="s">
        <v>1430</v>
      </c>
      <c r="E216" s="1080" t="str">
        <f>_xlfn.XLOOKUP(D216,Insumos!$B$1:$B$670,Insumos!$C$1:$C$670)</f>
        <v>M3</v>
      </c>
      <c r="F216" s="1083">
        <v>1</v>
      </c>
      <c r="G216" s="1081">
        <f>IF(B216="insumo",_xlfn.XLOOKUP($D216,Insumos!$B$1:$B$670,Insumos!$D$1:$D$670),"")</f>
        <v>14.55</v>
      </c>
      <c r="H216" s="1081" cm="1">
        <f t="array" ref="H216">_xlfn.IFS(B216="Serviço",SUMIFS(H221:$H$2465,C221:$C$2465,$C216),B216="Insumo",F216*G216,B216="Etapa","")</f>
        <v>14.55</v>
      </c>
      <c r="I216" s="1082"/>
    </row>
    <row r="217" spans="1:9" hidden="1" outlineLevel="1" x14ac:dyDescent="0.25">
      <c r="A217" s="1079">
        <f t="shared" si="7"/>
        <v>1</v>
      </c>
      <c r="B217" s="1079" t="s">
        <v>471</v>
      </c>
      <c r="C217" s="1079" t="str">
        <f t="shared" si="8"/>
        <v>Lastro de Concreto Magro, Aplicado em Blocos de Fundação, e=4cm</v>
      </c>
      <c r="D217" s="1079" t="s">
        <v>2558</v>
      </c>
      <c r="E217" s="1080" t="s">
        <v>1426</v>
      </c>
      <c r="F217" s="1079"/>
      <c r="G217" s="1081" t="str">
        <f>IF(B217="insumo",_xlfn.XLOOKUP($D217,Insumos!$B$1:$B$670,Insumos!$D$1:$D$670),"")</f>
        <v/>
      </c>
      <c r="H217" s="1081" cm="1">
        <f t="array" ref="H217">_xlfn.IFS(B217="Serviço",SUMIFS(H218:$H$2465,C218:$C$2465,$C217),B217="Insumo",F217*G217,B217="Etapa","")</f>
        <v>207.51759999999999</v>
      </c>
      <c r="I217" s="1082" t="s">
        <v>872</v>
      </c>
    </row>
    <row r="218" spans="1:9" hidden="1" outlineLevel="2" x14ac:dyDescent="0.25">
      <c r="A218" s="1079">
        <f t="shared" si="7"/>
        <v>3</v>
      </c>
      <c r="B218" s="1079" t="s">
        <v>1362</v>
      </c>
      <c r="C218" s="1079" t="str">
        <f t="shared" si="8"/>
        <v>Lastro de Concreto Magro, Aplicado em Blocos de Fundação, e=4cm</v>
      </c>
      <c r="D218" s="1079" t="s">
        <v>1432</v>
      </c>
      <c r="E218" s="1080" t="str">
        <f>_xlfn.XLOOKUP(D218,Insumos!$B$1:$B$670,Insumos!$C$1:$C$670)</f>
        <v>M3</v>
      </c>
      <c r="F218" s="1083">
        <f>1.1*0.04/0.1</f>
        <v>0.44</v>
      </c>
      <c r="G218" s="1081">
        <f>IF(B218="insumo",_xlfn.XLOOKUP($D218,Insumos!$B$1:$B$670,Insumos!$D$1:$D$670),"")</f>
        <v>430.94</v>
      </c>
      <c r="H218" s="1081" cm="1">
        <f t="array" ref="H218">_xlfn.IFS(B218="Serviço",SUMIFS(H219:$H$2465,C219:$C$2465,$C218),B218="Insumo",F218*G218,B218="Etapa","")</f>
        <v>189.61359999999999</v>
      </c>
      <c r="I218" s="1082"/>
    </row>
    <row r="219" spans="1:9" hidden="1" outlineLevel="2" x14ac:dyDescent="0.25">
      <c r="A219" s="1079">
        <f t="shared" si="7"/>
        <v>22</v>
      </c>
      <c r="B219" s="1079" t="s">
        <v>1362</v>
      </c>
      <c r="C219" s="1079" t="str">
        <f t="shared" si="8"/>
        <v>Lastro de Concreto Magro, Aplicado em Blocos de Fundação, e=4cm</v>
      </c>
      <c r="D219" s="1079" t="s">
        <v>1433</v>
      </c>
      <c r="E219" s="1080" t="str">
        <f>_xlfn.XLOOKUP(D219,Insumos!$B$1:$B$670,Insumos!$C$1:$C$670)</f>
        <v>M3</v>
      </c>
      <c r="F219" s="1083">
        <f t="shared" ref="F219" si="9">1.1*0.04/0.1</f>
        <v>0.44</v>
      </c>
      <c r="G219" s="1081">
        <f>IF(B219="insumo",_xlfn.XLOOKUP($D219,Insumos!$B$1:$B$670,Insumos!$D$1:$D$670),"")</f>
        <v>40</v>
      </c>
      <c r="H219" s="1081" cm="1">
        <f t="array" ref="H219">_xlfn.IFS(B219="Serviço",SUMIFS(H220:$H$2465,C220:$C$2465,$C219),B219="Insumo",F219*G219,B219="Etapa","")</f>
        <v>17.600000000000001</v>
      </c>
      <c r="I219" s="1082"/>
    </row>
    <row r="220" spans="1:9" hidden="1" outlineLevel="2" x14ac:dyDescent="0.25">
      <c r="A220" s="1079">
        <f t="shared" si="7"/>
        <v>38</v>
      </c>
      <c r="B220" s="1079" t="s">
        <v>1362</v>
      </c>
      <c r="C220" s="1079" t="str">
        <f t="shared" si="8"/>
        <v>Lastro de Concreto Magro, Aplicado em Blocos de Fundação, e=4cm</v>
      </c>
      <c r="D220" s="1079" t="s">
        <v>1434</v>
      </c>
      <c r="E220" s="1080" t="str">
        <f>_xlfn.XLOOKUP(D220,Insumos!$B$1:$B$670,Insumos!$C$1:$C$670)</f>
        <v>KG</v>
      </c>
      <c r="F220" s="1083">
        <f>1*0.04/0.1</f>
        <v>0.39999999999999997</v>
      </c>
      <c r="G220" s="1081">
        <f>IF(B220="insumo",_xlfn.XLOOKUP($D220,Insumos!$B$1:$B$670,Insumos!$D$1:$D$670),"")</f>
        <v>0.76</v>
      </c>
      <c r="H220" s="1081" cm="1">
        <f t="array" ref="H220">_xlfn.IFS(B220="Serviço",SUMIFS(H221:$H$2465,C221:$C$2465,$C220),B220="Insumo",F220*G220,B220="Etapa","")</f>
        <v>0.30399999999999999</v>
      </c>
      <c r="I220" s="1082"/>
    </row>
    <row r="221" spans="1:9" hidden="1" outlineLevel="1" x14ac:dyDescent="0.25">
      <c r="A221" s="1079">
        <f t="shared" si="7"/>
        <v>1</v>
      </c>
      <c r="B221" s="1079" t="s">
        <v>471</v>
      </c>
      <c r="C221" s="1079" t="str">
        <f t="shared" si="8"/>
        <v>Lastro de Concreto Magro, Aplicado em Blocos de Fundação</v>
      </c>
      <c r="D221" s="1079" t="s">
        <v>1431</v>
      </c>
      <c r="E221" s="1080" t="s">
        <v>1426</v>
      </c>
      <c r="F221" s="1079"/>
      <c r="G221" s="1081" t="str">
        <f>IF(B221="insumo",_xlfn.XLOOKUP($D221,Insumos!$B$1:$B$670,Insumos!$D$1:$D$670),"")</f>
        <v/>
      </c>
      <c r="H221" s="1081" cm="1">
        <f t="array" ref="H221">_xlfn.IFS(B221="Serviço",SUMIFS(H222:$H$2465,C222:$C$2465,$C221),B221="Insumo",F221*G221,B221="Etapa","")</f>
        <v>518.7940000000001</v>
      </c>
      <c r="I221" s="1082" t="s">
        <v>872</v>
      </c>
    </row>
    <row r="222" spans="1:9" hidden="1" outlineLevel="2" x14ac:dyDescent="0.25">
      <c r="A222" s="1079">
        <f t="shared" si="7"/>
        <v>3</v>
      </c>
      <c r="B222" s="1079" t="s">
        <v>1362</v>
      </c>
      <c r="C222" s="1079" t="str">
        <f t="shared" si="8"/>
        <v>Lastro de Concreto Magro, Aplicado em Blocos de Fundação</v>
      </c>
      <c r="D222" s="1079" t="s">
        <v>1432</v>
      </c>
      <c r="E222" s="1080" t="str">
        <f>_xlfn.XLOOKUP(D222,Insumos!$B$1:$B$670,Insumos!$C$1:$C$670)</f>
        <v>M3</v>
      </c>
      <c r="F222" s="1083">
        <v>1.1000000000000001</v>
      </c>
      <c r="G222" s="1081">
        <f>IF(B222="insumo",_xlfn.XLOOKUP($D222,Insumos!$B$1:$B$670,Insumos!$D$1:$D$670),"")</f>
        <v>430.94</v>
      </c>
      <c r="H222" s="1081" cm="1">
        <f t="array" ref="H222">_xlfn.IFS(B222="Serviço",SUMIFS(H223:$H$2465,C223:$C$2465,$C222),B222="Insumo",F222*G222,B222="Etapa","")</f>
        <v>474.03400000000005</v>
      </c>
      <c r="I222" s="1082"/>
    </row>
    <row r="223" spans="1:9" hidden="1" outlineLevel="2" x14ac:dyDescent="0.25">
      <c r="A223" s="1079">
        <f t="shared" si="7"/>
        <v>22</v>
      </c>
      <c r="B223" s="1079" t="s">
        <v>1362</v>
      </c>
      <c r="C223" s="1079" t="str">
        <f t="shared" si="8"/>
        <v>Lastro de Concreto Magro, Aplicado em Blocos de Fundação</v>
      </c>
      <c r="D223" s="1079" t="s">
        <v>1433</v>
      </c>
      <c r="E223" s="1080" t="str">
        <f>_xlfn.XLOOKUP(D223,Insumos!$B$1:$B$670,Insumos!$C$1:$C$670)</f>
        <v>M3</v>
      </c>
      <c r="F223" s="1083">
        <v>1.1000000000000001</v>
      </c>
      <c r="G223" s="1081">
        <f>IF(B223="insumo",_xlfn.XLOOKUP($D223,Insumos!$B$1:$B$670,Insumos!$D$1:$D$670),"")</f>
        <v>40</v>
      </c>
      <c r="H223" s="1081" cm="1">
        <f t="array" ref="H223">_xlfn.IFS(B223="Serviço",SUMIFS(H224:$H$2465,C224:$C$2465,$C223),B223="Insumo",F223*G223,B223="Etapa","")</f>
        <v>44</v>
      </c>
      <c r="I223" s="1082"/>
    </row>
    <row r="224" spans="1:9" hidden="1" outlineLevel="2" x14ac:dyDescent="0.25">
      <c r="A224" s="1079">
        <f t="shared" si="7"/>
        <v>38</v>
      </c>
      <c r="B224" s="1079" t="s">
        <v>1362</v>
      </c>
      <c r="C224" s="1079" t="str">
        <f t="shared" si="8"/>
        <v>Lastro de Concreto Magro, Aplicado em Blocos de Fundação</v>
      </c>
      <c r="D224" s="1079" t="s">
        <v>1434</v>
      </c>
      <c r="E224" s="1080" t="str">
        <f>_xlfn.XLOOKUP(D224,Insumos!$B$1:$B$670,Insumos!$C$1:$C$670)</f>
        <v>KG</v>
      </c>
      <c r="F224" s="1083">
        <v>1</v>
      </c>
      <c r="G224" s="1081">
        <f>IF(B224="insumo",_xlfn.XLOOKUP($D224,Insumos!$B$1:$B$670,Insumos!$D$1:$D$670),"")</f>
        <v>0.76</v>
      </c>
      <c r="H224" s="1081" cm="1">
        <f t="array" ref="H224">_xlfn.IFS(B224="Serviço",SUMIFS(H225:$H$2465,C225:$C$2465,$C224),B224="Insumo",F224*G224,B224="Etapa","")</f>
        <v>0.76</v>
      </c>
      <c r="I224" s="1082"/>
    </row>
    <row r="225" spans="1:9" hidden="1" outlineLevel="1" collapsed="1" x14ac:dyDescent="0.25">
      <c r="A225" s="1079">
        <f t="shared" si="7"/>
        <v>1</v>
      </c>
      <c r="B225" s="1079" t="s">
        <v>471</v>
      </c>
      <c r="C225" s="1079" t="str">
        <f t="shared" si="8"/>
        <v>Lastro de Brita, Aplicado em Blocos de Fundação, e= 5cm</v>
      </c>
      <c r="D225" s="1079" t="s">
        <v>1435</v>
      </c>
      <c r="E225" s="1080" t="s">
        <v>1426</v>
      </c>
      <c r="F225" s="1079"/>
      <c r="G225" s="1081" t="str">
        <f>IF(B225="insumo",_xlfn.XLOOKUP($D225,Insumos!$B$1:$B$670,Insumos!$D$1:$D$670),"")</f>
        <v/>
      </c>
      <c r="H225" s="1081" cm="1">
        <f t="array" ref="H225">_xlfn.IFS(B225="Serviço",SUMIFS(H226:$H$2465,C226:$C$2465,$C225),B225="Insumo",F225*G225,B225="Etapa","")</f>
        <v>208.65600000000001</v>
      </c>
      <c r="I225" s="1082" t="s">
        <v>872</v>
      </c>
    </row>
    <row r="226" spans="1:9" hidden="1" outlineLevel="2" x14ac:dyDescent="0.25">
      <c r="A226" s="1079">
        <f t="shared" si="7"/>
        <v>2</v>
      </c>
      <c r="B226" s="1079" t="s">
        <v>1362</v>
      </c>
      <c r="C226" s="1079" t="str">
        <f t="shared" si="8"/>
        <v>Lastro de Brita, Aplicado em Blocos de Fundação, e= 5cm</v>
      </c>
      <c r="D226" s="1079" t="s">
        <v>1436</v>
      </c>
      <c r="E226" s="1080" t="str">
        <f>_xlfn.XLOOKUP(D226,Insumos!$B$1:$B$670,Insumos!$C$1:$C$670)</f>
        <v>M3</v>
      </c>
      <c r="F226" s="1083">
        <v>1.38</v>
      </c>
      <c r="G226" s="1081">
        <f>IF(B226="insumo",_xlfn.XLOOKUP($D226,Insumos!$B$1:$B$670,Insumos!$D$1:$D$670),"")</f>
        <v>151.20000000000002</v>
      </c>
      <c r="H226" s="1081" cm="1">
        <f t="array" ref="H226">_xlfn.IFS(B226="Serviço",SUMIFS(H227:$H$2465,C227:$C$2465,$C226),B226="Insumo",F226*G226,B226="Etapa","")</f>
        <v>208.65600000000001</v>
      </c>
      <c r="I226" s="1082"/>
    </row>
    <row r="227" spans="1:9" hidden="1" outlineLevel="1" collapsed="1" x14ac:dyDescent="0.25">
      <c r="A227" s="1079">
        <f t="shared" si="7"/>
        <v>1</v>
      </c>
      <c r="B227" s="1079" t="s">
        <v>471</v>
      </c>
      <c r="C227" s="1079" t="str">
        <f t="shared" si="8"/>
        <v>Lastro de Brita, Aplicado em fundação rasa</v>
      </c>
      <c r="D227" s="1079" t="s">
        <v>1437</v>
      </c>
      <c r="E227" s="1080" t="s">
        <v>1426</v>
      </c>
      <c r="F227" s="1079"/>
      <c r="G227" s="1081" t="str">
        <f>IF(B227="insumo",_xlfn.XLOOKUP($D227,Insumos!$B$1:$B$670,Insumos!$D$1:$D$670),"")</f>
        <v/>
      </c>
      <c r="H227" s="1081" cm="1">
        <f t="array" ref="H227">_xlfn.IFS(B227="Serviço",SUMIFS(H228:$H$2465,C228:$C$2465,$C227),B227="Insumo",F227*G227,B227="Etapa","")</f>
        <v>208.65600000000001</v>
      </c>
      <c r="I227" s="1082" t="s">
        <v>872</v>
      </c>
    </row>
    <row r="228" spans="1:9" hidden="1" outlineLevel="2" x14ac:dyDescent="0.25">
      <c r="A228" s="1079">
        <f t="shared" si="7"/>
        <v>2</v>
      </c>
      <c r="B228" s="1079" t="s">
        <v>1362</v>
      </c>
      <c r="C228" s="1079" t="str">
        <f t="shared" si="8"/>
        <v>Lastro de Brita, Aplicado em fundação rasa</v>
      </c>
      <c r="D228" s="1079" t="s">
        <v>1436</v>
      </c>
      <c r="E228" s="1080" t="str">
        <f>_xlfn.XLOOKUP(D228,Insumos!$B$1:$B$670,Insumos!$C$1:$C$670)</f>
        <v>M3</v>
      </c>
      <c r="F228" s="1083">
        <v>1.38</v>
      </c>
      <c r="G228" s="1081">
        <f>IF(B228="insumo",_xlfn.XLOOKUP($D228,Insumos!$B$1:$B$670,Insumos!$D$1:$D$670),"")</f>
        <v>151.20000000000002</v>
      </c>
      <c r="H228" s="1081" cm="1">
        <f t="array" ref="H228">_xlfn.IFS(B228="Serviço",SUMIFS(H229:$H$2465,C229:$C$2465,$C228),B228="Insumo",F228*G228,B228="Etapa","")</f>
        <v>208.65600000000001</v>
      </c>
      <c r="I228" s="1082"/>
    </row>
    <row r="229" spans="1:9" hidden="1" outlineLevel="1" collapsed="1" x14ac:dyDescent="0.25">
      <c r="A229" s="1079">
        <f t="shared" si="7"/>
        <v>1</v>
      </c>
      <c r="B229" s="1079" t="s">
        <v>471</v>
      </c>
      <c r="C229" s="1079" t="str">
        <f t="shared" si="8"/>
        <v>Terraplanagem - Corte e Desaterro Solo</v>
      </c>
      <c r="D229" s="1079" t="s">
        <v>1438</v>
      </c>
      <c r="E229" s="1080" t="s">
        <v>1426</v>
      </c>
      <c r="F229" s="1079"/>
      <c r="G229" s="1081" t="str">
        <f>IF(B229="insumo",_xlfn.XLOOKUP($D229,Insumos!$B$1:$B$670,Insumos!$D$1:$D$670),"")</f>
        <v/>
      </c>
      <c r="H229" s="1081" cm="1">
        <f t="array" ref="H229">_xlfn.IFS(B229="Serviço",SUMIFS(H230:$H$2465,C230:$C$2465,$C229),B229="Insumo",F229*G229,B229="Etapa","")</f>
        <v>2.7132000000000001</v>
      </c>
      <c r="I229" s="1082" t="s">
        <v>872</v>
      </c>
    </row>
    <row r="230" spans="1:9" hidden="1" outlineLevel="2" x14ac:dyDescent="0.25">
      <c r="A230" s="1079">
        <f t="shared" si="7"/>
        <v>1</v>
      </c>
      <c r="B230" s="1079" t="s">
        <v>1362</v>
      </c>
      <c r="C230" s="1079" t="str">
        <f t="shared" si="8"/>
        <v>Terraplanagem - Corte e Desaterro Solo</v>
      </c>
      <c r="D230" s="1079" t="s">
        <v>1439</v>
      </c>
      <c r="E230" s="1080" t="str">
        <f>_xlfn.XLOOKUP(D230,Insumos!$B$1:$B$670,Insumos!$C$1:$C$670)</f>
        <v>M3</v>
      </c>
      <c r="F230" s="1083">
        <v>1</v>
      </c>
      <c r="G230" s="1081">
        <f>IF(B230="insumo",_xlfn.XLOOKUP($D230,Insumos!$B$1:$B$670,Insumos!$D$1:$D$670),"")</f>
        <v>2.7132000000000001</v>
      </c>
      <c r="H230" s="1081" cm="1">
        <f t="array" ref="H230">_xlfn.IFS(B230="Serviço",SUMIFS(H231:$H$2465,C231:$C$2465,$C230),B230="Insumo",F230*G230,B230="Etapa","")</f>
        <v>2.7132000000000001</v>
      </c>
      <c r="I230" s="1082"/>
    </row>
    <row r="231" spans="1:9" hidden="1" outlineLevel="1" collapsed="1" x14ac:dyDescent="0.25">
      <c r="A231" s="1079">
        <f t="shared" si="7"/>
        <v>1</v>
      </c>
      <c r="B231" s="1079" t="s">
        <v>471</v>
      </c>
      <c r="C231" s="1079" t="str">
        <f t="shared" si="8"/>
        <v>Desmonte de Rocha</v>
      </c>
      <c r="D231" s="1079" t="s">
        <v>1440</v>
      </c>
      <c r="E231" s="1080" t="s">
        <v>1426</v>
      </c>
      <c r="F231" s="1079"/>
      <c r="G231" s="1081" t="str">
        <f>IF(B231="insumo",_xlfn.XLOOKUP($D231,Insumos!$B$1:$B$670,Insumos!$D$1:$D$670),"")</f>
        <v/>
      </c>
      <c r="H231" s="1081" cm="1">
        <f t="array" ref="H231">_xlfn.IFS(B231="Serviço",SUMIFS(H232:$H$2465,C232:$C$2465,$C231),B231="Insumo",F231*G231,B231="Etapa","")</f>
        <v>4.4982000000000006</v>
      </c>
      <c r="I231" s="1082" t="s">
        <v>872</v>
      </c>
    </row>
    <row r="232" spans="1:9" hidden="1" outlineLevel="2" x14ac:dyDescent="0.25">
      <c r="A232" s="1079">
        <f t="shared" si="7"/>
        <v>1</v>
      </c>
      <c r="B232" s="1079" t="s">
        <v>1362</v>
      </c>
      <c r="C232" s="1079" t="str">
        <f t="shared" si="8"/>
        <v>Desmonte de Rocha</v>
      </c>
      <c r="D232" s="1079" t="s">
        <v>1441</v>
      </c>
      <c r="E232" s="1080" t="str">
        <f>_xlfn.XLOOKUP(D232,Insumos!$B$1:$B$670,Insumos!$C$1:$C$670)</f>
        <v>M3</v>
      </c>
      <c r="F232" s="1083">
        <v>1</v>
      </c>
      <c r="G232" s="1081">
        <f>IF(B232="insumo",_xlfn.XLOOKUP($D232,Insumos!$B$1:$B$670,Insumos!$D$1:$D$670),"")</f>
        <v>4.4982000000000006</v>
      </c>
      <c r="H232" s="1081" cm="1">
        <f t="array" ref="H232">_xlfn.IFS(B232="Serviço",SUMIFS(H233:$H$2465,C233:$C$2465,$C232),B232="Insumo",F232*G232,B232="Etapa","")</f>
        <v>4.4982000000000006</v>
      </c>
      <c r="I232" s="1082"/>
    </row>
    <row r="233" spans="1:9" hidden="1" outlineLevel="1" collapsed="1" x14ac:dyDescent="0.25">
      <c r="A233" s="1079">
        <f t="shared" si="7"/>
        <v>1</v>
      </c>
      <c r="B233" s="1079" t="s">
        <v>471</v>
      </c>
      <c r="C233" s="1079" t="str">
        <f t="shared" si="8"/>
        <v>Terraplanagem - Aterro material de 1º categoria</v>
      </c>
      <c r="D233" s="1079" t="s">
        <v>1442</v>
      </c>
      <c r="E233" s="1080" t="s">
        <v>1426</v>
      </c>
      <c r="F233" s="1079"/>
      <c r="G233" s="1081" t="str">
        <f>IF(B233="insumo",_xlfn.XLOOKUP($D233,Insumos!$B$1:$B$670,Insumos!$D$1:$D$670),"")</f>
        <v/>
      </c>
      <c r="H233" s="1081" cm="1">
        <f t="array" ref="H233">_xlfn.IFS(B233="Serviço",SUMIFS(H234:$H$2465,C234:$C$2465,$C233),B233="Insumo",F233*G233,B233="Etapa","")</f>
        <v>9.2718000000000007</v>
      </c>
      <c r="I233" s="1082" t="s">
        <v>872</v>
      </c>
    </row>
    <row r="234" spans="1:9" hidden="1" outlineLevel="2" x14ac:dyDescent="0.25">
      <c r="A234" s="1079">
        <f t="shared" si="7"/>
        <v>1</v>
      </c>
      <c r="B234" s="1079" t="s">
        <v>1362</v>
      </c>
      <c r="C234" s="1079" t="str">
        <f t="shared" si="8"/>
        <v>Terraplanagem - Aterro material de 1º categoria</v>
      </c>
      <c r="D234" s="1079" t="s">
        <v>1443</v>
      </c>
      <c r="E234" s="1080" t="str">
        <f>_xlfn.XLOOKUP(D234,Insumos!$B$1:$B$670,Insumos!$C$1:$C$670)</f>
        <v>M3</v>
      </c>
      <c r="F234" s="1083">
        <v>1</v>
      </c>
      <c r="G234" s="1081">
        <f>IF(B234="insumo",_xlfn.XLOOKUP($D234,Insumos!$B$1:$B$670,Insumos!$D$1:$D$670),"")</f>
        <v>9.2718000000000007</v>
      </c>
      <c r="H234" s="1081" cm="1">
        <f t="array" ref="H234">_xlfn.IFS(B234="Serviço",SUMIFS(H235:$H$2465,C235:$C$2465,$C234),B234="Insumo",F234*G234,B234="Etapa","")</f>
        <v>9.2718000000000007</v>
      </c>
      <c r="I234" s="1082"/>
    </row>
    <row r="235" spans="1:9" hidden="1" outlineLevel="1" collapsed="1" x14ac:dyDescent="0.25">
      <c r="A235" s="1079">
        <f t="shared" si="7"/>
        <v>1</v>
      </c>
      <c r="B235" s="1079" t="s">
        <v>471</v>
      </c>
      <c r="C235" s="1079" t="str">
        <f t="shared" si="8"/>
        <v>Terraplanagem - Corte e aterro (Produtividade 1890m3/dia) - Mão de Obra Própria</v>
      </c>
      <c r="D235" s="1079" t="s">
        <v>1444</v>
      </c>
      <c r="E235" s="1080" t="s">
        <v>1426</v>
      </c>
      <c r="F235" s="1079"/>
      <c r="G235" s="1081" t="str">
        <f>IF(B235="insumo",_xlfn.XLOOKUP($D235,Insumos!$B$1:$B$670,Insumos!$D$1:$D$670),"")</f>
        <v/>
      </c>
      <c r="H235" s="1081" cm="1">
        <f t="array" ref="H235">_xlfn.IFS(B235="Serviço",SUMIFS(H236:$H$2465,C236:$C$2465,$C235),B235="Insumo",F235*G235,B235="Etapa","")</f>
        <v>2.9215</v>
      </c>
      <c r="I235" s="1082" t="s">
        <v>872</v>
      </c>
    </row>
    <row r="236" spans="1:9" hidden="1" outlineLevel="2" x14ac:dyDescent="0.25">
      <c r="A236" s="1079">
        <f t="shared" si="7"/>
        <v>1</v>
      </c>
      <c r="B236" s="1079" t="s">
        <v>1362</v>
      </c>
      <c r="C236" s="1079" t="str">
        <f t="shared" si="8"/>
        <v>Terraplanagem - Corte e aterro (Produtividade 1890m3/dia) - Mão de Obra Própria</v>
      </c>
      <c r="D236" s="1079" t="s">
        <v>1445</v>
      </c>
      <c r="E236" s="1080" t="str">
        <f>_xlfn.XLOOKUP(D236,Insumos!$B$1:$B$670,Insumos!$C$1:$C$670)</f>
        <v>MÊS</v>
      </c>
      <c r="F236" s="1083">
        <v>1.1000000000000001E-5</v>
      </c>
      <c r="G236" s="1081">
        <f>IF(B236="insumo",_xlfn.XLOOKUP($D236,Insumos!$B$1:$B$670,Insumos!$D$1:$D$670),"")</f>
        <v>33660</v>
      </c>
      <c r="H236" s="1081" cm="1">
        <f t="array" ref="H236">_xlfn.IFS(B236="Serviço",SUMIFS(H237:$H$2465,C237:$C$2465,$C236),B236="Insumo",F236*G236,B236="Etapa","")</f>
        <v>0.37026000000000003</v>
      </c>
      <c r="I236" s="1082"/>
    </row>
    <row r="237" spans="1:9" hidden="1" outlineLevel="2" x14ac:dyDescent="0.25">
      <c r="A237" s="1079">
        <f t="shared" si="7"/>
        <v>1</v>
      </c>
      <c r="B237" s="1079" t="s">
        <v>1362</v>
      </c>
      <c r="C237" s="1079" t="str">
        <f t="shared" si="8"/>
        <v>Terraplanagem - Corte e aterro (Produtividade 1890m3/dia) - Mão de Obra Própria</v>
      </c>
      <c r="D237" s="1079" t="s">
        <v>1446</v>
      </c>
      <c r="E237" s="1080" t="str">
        <f>_xlfn.XLOOKUP(D237,Insumos!$B$1:$B$670,Insumos!$C$1:$C$670)</f>
        <v>MÊS</v>
      </c>
      <c r="F237" s="1083">
        <v>1.2E-5</v>
      </c>
      <c r="G237" s="1081">
        <f>IF(B237="insumo",_xlfn.XLOOKUP($D237,Insumos!$B$1:$B$670,Insumos!$D$1:$D$670),"")</f>
        <v>32270</v>
      </c>
      <c r="H237" s="1081" cm="1">
        <f t="array" ref="H237">_xlfn.IFS(B237="Serviço",SUMIFS(H238:$H$2465,C238:$C$2465,$C237),B237="Insumo",F237*G237,B237="Etapa","")</f>
        <v>0.38724000000000003</v>
      </c>
      <c r="I237" s="1082"/>
    </row>
    <row r="238" spans="1:9" hidden="1" outlineLevel="2" x14ac:dyDescent="0.25">
      <c r="A238" s="1079">
        <f t="shared" si="7"/>
        <v>1</v>
      </c>
      <c r="B238" s="1079" t="s">
        <v>1362</v>
      </c>
      <c r="C238" s="1079" t="str">
        <f t="shared" si="8"/>
        <v>Terraplanagem - Corte e aterro (Produtividade 1890m3/dia) - Mão de Obra Própria</v>
      </c>
      <c r="D238" s="1079" t="s">
        <v>1447</v>
      </c>
      <c r="E238" s="1080" t="str">
        <f>_xlfn.XLOOKUP(D238,Insumos!$B$1:$B$670,Insumos!$C$1:$C$670)</f>
        <v>MÊS</v>
      </c>
      <c r="F238" s="1083">
        <v>2.4000000000000001E-5</v>
      </c>
      <c r="G238" s="1081">
        <f>IF(B238="insumo",_xlfn.XLOOKUP($D238,Insumos!$B$1:$B$670,Insumos!$D$1:$D$670),"")</f>
        <v>15000</v>
      </c>
      <c r="H238" s="1081" cm="1">
        <f t="array" ref="H238">_xlfn.IFS(B238="Serviço",SUMIFS(H239:$H$2465,C239:$C$2465,$C238),B238="Insumo",F238*G238,B238="Etapa","")</f>
        <v>0.36</v>
      </c>
      <c r="I238" s="1082"/>
    </row>
    <row r="239" spans="1:9" hidden="1" outlineLevel="2" x14ac:dyDescent="0.25">
      <c r="A239" s="1079">
        <f t="shared" si="7"/>
        <v>1</v>
      </c>
      <c r="B239" s="1079" t="s">
        <v>1362</v>
      </c>
      <c r="C239" s="1079" t="str">
        <f t="shared" si="8"/>
        <v>Terraplanagem - Corte e aterro (Produtividade 1890m3/dia) - Mão de Obra Própria</v>
      </c>
      <c r="D239" s="1079" t="s">
        <v>1448</v>
      </c>
      <c r="E239" s="1080" t="str">
        <f>_xlfn.XLOOKUP(D239,Insumos!$B$1:$B$670,Insumos!$C$1:$C$670)</f>
        <v>MÊS</v>
      </c>
      <c r="F239" s="1083">
        <v>5.1999999999999997E-5</v>
      </c>
      <c r="G239" s="1081">
        <f>IF(B239="insumo",_xlfn.XLOOKUP($D239,Insumos!$B$1:$B$670,Insumos!$D$1:$D$670),"")</f>
        <v>7000</v>
      </c>
      <c r="H239" s="1081" cm="1">
        <f t="array" ref="H239">_xlfn.IFS(B239="Serviço",SUMIFS(H240:$H$2465,C240:$C$2465,$C239),B239="Insumo",F239*G239,B239="Etapa","")</f>
        <v>0.36399999999999999</v>
      </c>
      <c r="I239" s="1082"/>
    </row>
    <row r="240" spans="1:9" hidden="1" outlineLevel="2" x14ac:dyDescent="0.25">
      <c r="A240" s="1079">
        <f t="shared" si="7"/>
        <v>1</v>
      </c>
      <c r="B240" s="1079" t="s">
        <v>1362</v>
      </c>
      <c r="C240" s="1079" t="str">
        <f t="shared" si="8"/>
        <v>Terraplanagem - Corte e aterro (Produtividade 1890m3/dia) - Mão de Obra Própria</v>
      </c>
      <c r="D240" s="1079" t="s">
        <v>1449</v>
      </c>
      <c r="E240" s="1080" t="str">
        <f>_xlfn.XLOOKUP(D240,Insumos!$B$1:$B$670,Insumos!$C$1:$C$670)</f>
        <v>MÊS</v>
      </c>
      <c r="F240" s="1083">
        <v>3.6000000000000002E-4</v>
      </c>
      <c r="G240" s="1081">
        <f>IF(B240="insumo",_xlfn.XLOOKUP($D240,Insumos!$B$1:$B$670,Insumos!$D$1:$D$670),"")</f>
        <v>4000</v>
      </c>
      <c r="H240" s="1081" cm="1">
        <f t="array" ref="H240">_xlfn.IFS(B240="Serviço",SUMIFS(H241:$H$2465,C241:$C$2465,$C240),B240="Insumo",F240*G240,B240="Etapa","")</f>
        <v>1.4400000000000002</v>
      </c>
      <c r="I240" s="1082"/>
    </row>
    <row r="241" spans="1:9" hidden="1" outlineLevel="1" collapsed="1" x14ac:dyDescent="0.25">
      <c r="A241" s="1079">
        <f t="shared" si="7"/>
        <v>1</v>
      </c>
      <c r="B241" s="1079" t="s">
        <v>471</v>
      </c>
      <c r="C241" s="1079" t="str">
        <f t="shared" si="8"/>
        <v>Movimentação de terra para bota-fora - Escavação de Valas</v>
      </c>
      <c r="D241" s="1079" t="s">
        <v>1450</v>
      </c>
      <c r="E241" s="1080" t="s">
        <v>1426</v>
      </c>
      <c r="F241" s="1079"/>
      <c r="G241" s="1081" t="str">
        <f>IF(B241="insumo",_xlfn.XLOOKUP($D241,Insumos!$B$1:$B$670,Insumos!$D$1:$D$670),"")</f>
        <v/>
      </c>
      <c r="H241" s="1081" cm="1">
        <f t="array" ref="H241">_xlfn.IFS(B241="Serviço",SUMIFS(H242:$H$2465,C242:$C$2465,$C241),B241="Insumo",F241*G241,B241="Etapa","")</f>
        <v>45.45</v>
      </c>
      <c r="I241" s="1082" t="s">
        <v>872</v>
      </c>
    </row>
    <row r="242" spans="1:9" hidden="1" outlineLevel="2" x14ac:dyDescent="0.25">
      <c r="A242" s="1079">
        <f t="shared" si="7"/>
        <v>2</v>
      </c>
      <c r="B242" s="1079" t="s">
        <v>1362</v>
      </c>
      <c r="C242" s="1079" t="str">
        <f t="shared" si="8"/>
        <v>Movimentação de terra para bota-fora - Escavação de Valas</v>
      </c>
      <c r="D242" s="1079" t="s">
        <v>1450</v>
      </c>
      <c r="E242" s="1080" t="str">
        <f>_xlfn.XLOOKUP(D242,Insumos!$B$1:$B$670,Insumos!$C$1:$C$670)</f>
        <v>M3</v>
      </c>
      <c r="F242" s="1083">
        <v>1</v>
      </c>
      <c r="G242" s="1081">
        <f>IF(B242="insumo",_xlfn.XLOOKUP($D242,Insumos!$B$1:$B$670,Insumos!$D$1:$D$670),"")</f>
        <v>45.45</v>
      </c>
      <c r="H242" s="1081" cm="1">
        <f t="array" ref="H242">_xlfn.IFS(B242="Serviço",SUMIFS(H243:$H$2465,C243:$C$2465,$C242),B242="Insumo",F242*G242,B242="Etapa","")</f>
        <v>45.45</v>
      </c>
      <c r="I242" s="1082"/>
    </row>
    <row r="243" spans="1:9" hidden="1" outlineLevel="1" collapsed="1" x14ac:dyDescent="0.25">
      <c r="A243" s="1079">
        <f t="shared" si="7"/>
        <v>1</v>
      </c>
      <c r="B243" s="1079" t="s">
        <v>471</v>
      </c>
      <c r="C243" s="1079" t="str">
        <f t="shared" si="8"/>
        <v>Movimentação de terra para bota-fora - Estacas</v>
      </c>
      <c r="D243" s="1079" t="s">
        <v>1451</v>
      </c>
      <c r="E243" s="1080" t="s">
        <v>1426</v>
      </c>
      <c r="F243" s="1079"/>
      <c r="G243" s="1081" t="str">
        <f>IF(B243="insumo",_xlfn.XLOOKUP($D243,Insumos!$B$1:$B$670,Insumos!$D$1:$D$670),"")</f>
        <v/>
      </c>
      <c r="H243" s="1081" cm="1">
        <f t="array" ref="H243">_xlfn.IFS(B243="Serviço",SUMIFS(H244:$H$2465,C244:$C$2465,$C243),B243="Insumo",F243*G243,B243="Etapa","")</f>
        <v>68.180000000000007</v>
      </c>
      <c r="I243" s="1082" t="s">
        <v>872</v>
      </c>
    </row>
    <row r="244" spans="1:9" hidden="1" outlineLevel="2" x14ac:dyDescent="0.25">
      <c r="A244" s="1079">
        <f t="shared" si="7"/>
        <v>1</v>
      </c>
      <c r="B244" s="1079" t="s">
        <v>1362</v>
      </c>
      <c r="C244" s="1079" t="str">
        <f t="shared" si="8"/>
        <v>Movimentação de terra para bota-fora - Estacas</v>
      </c>
      <c r="D244" s="1079" t="s">
        <v>1451</v>
      </c>
      <c r="E244" s="1080" t="str">
        <f>_xlfn.XLOOKUP(D244,Insumos!$B$1:$B$670,Insumos!$C$1:$C$670)</f>
        <v>M3</v>
      </c>
      <c r="F244" s="1083">
        <v>1</v>
      </c>
      <c r="G244" s="1081">
        <f>IF(B244="insumo",_xlfn.XLOOKUP($D244,Insumos!$B$1:$B$670,Insumos!$D$1:$D$670),"")</f>
        <v>68.180000000000007</v>
      </c>
      <c r="H244" s="1081" cm="1">
        <f t="array" ref="H244">_xlfn.IFS(B244="Serviço",SUMIFS(H245:$H$2465,C245:$C$2465,$C244),B244="Insumo",F244*G244,B244="Etapa","")</f>
        <v>68.180000000000007</v>
      </c>
      <c r="I244" s="1082"/>
    </row>
    <row r="245" spans="1:9" hidden="1" outlineLevel="1" collapsed="1" x14ac:dyDescent="0.25">
      <c r="A245" s="1079">
        <f t="shared" si="7"/>
        <v>1</v>
      </c>
      <c r="B245" s="1079" t="s">
        <v>471</v>
      </c>
      <c r="C245" s="1079" t="str">
        <f t="shared" si="8"/>
        <v>Movimentação de terra para bota-fora - Escavação Vertical Terraplenagem</v>
      </c>
      <c r="D245" s="1079" t="s">
        <v>1452</v>
      </c>
      <c r="E245" s="1080" t="s">
        <v>1426</v>
      </c>
      <c r="F245" s="1079"/>
      <c r="G245" s="1081" t="str">
        <f>IF(B245="insumo",_xlfn.XLOOKUP($D245,Insumos!$B$1:$B$670,Insumos!$D$1:$D$670),"")</f>
        <v/>
      </c>
      <c r="H245" s="1081" cm="1">
        <f t="array" ref="H245">_xlfn.IFS(B245="Serviço",SUMIFS(H246:$H$2465,C246:$C$2465,$C245),B245="Insumo",F245*G245,B245="Etapa","")</f>
        <v>45.45</v>
      </c>
      <c r="I245" s="1082" t="s">
        <v>872</v>
      </c>
    </row>
    <row r="246" spans="1:9" hidden="1" outlineLevel="2" x14ac:dyDescent="0.25">
      <c r="A246" s="1079">
        <f t="shared" si="7"/>
        <v>2</v>
      </c>
      <c r="B246" s="1079" t="s">
        <v>1362</v>
      </c>
      <c r="C246" s="1079" t="str">
        <f t="shared" si="8"/>
        <v>Movimentação de terra para bota-fora - Escavação Vertical Terraplenagem</v>
      </c>
      <c r="D246" s="1079" t="s">
        <v>1450</v>
      </c>
      <c r="E246" s="1080" t="str">
        <f>_xlfn.XLOOKUP(D246,Insumos!$B$1:$B$670,Insumos!$C$1:$C$670)</f>
        <v>M3</v>
      </c>
      <c r="F246" s="1083">
        <v>1</v>
      </c>
      <c r="G246" s="1081">
        <f>IF(B246="insumo",_xlfn.XLOOKUP($D246,Insumos!$B$1:$B$670,Insumos!$D$1:$D$670),"")</f>
        <v>45.45</v>
      </c>
      <c r="H246" s="1081" cm="1">
        <f t="array" ref="H246">_xlfn.IFS(B246="Serviço",SUMIFS(H247:$H$2465,C247:$C$2465,$C246),B246="Insumo",F246*G246,B246="Etapa","")</f>
        <v>45.45</v>
      </c>
      <c r="I246" s="1082"/>
    </row>
    <row r="247" spans="1:9" collapsed="1" x14ac:dyDescent="0.25">
      <c r="A247" s="1076">
        <f t="shared" si="7"/>
        <v>1</v>
      </c>
      <c r="B247" s="1076" t="s">
        <v>469</v>
      </c>
      <c r="C247" s="1076"/>
      <c r="D247" s="1076" t="s">
        <v>366</v>
      </c>
      <c r="E247" s="1077"/>
      <c r="F247" s="1078"/>
      <c r="G247" s="1084" t="str">
        <f>IF(B247="insumo",_xlfn.XLOOKUP($D247,Insumos!$B$1:$B$670,Insumos!$D$1:$D$670),"")</f>
        <v/>
      </c>
      <c r="H247" s="1084" t="str" cm="1">
        <f t="array" ref="H247">_xlfn.IFS(B247="Serviço",SUMIFS(H248:$H$2465,C248:$C$2465,$C247),B247="Insumo",F247*G247,B247="Etapa","")</f>
        <v/>
      </c>
      <c r="I247" s="1078"/>
    </row>
    <row r="248" spans="1:9" hidden="1" outlineLevel="1" collapsed="1" x14ac:dyDescent="0.25">
      <c r="A248" s="1079">
        <f t="shared" si="7"/>
        <v>1</v>
      </c>
      <c r="B248" s="1079" t="s">
        <v>471</v>
      </c>
      <c r="C248" s="1079" t="str">
        <f t="shared" ref="C248:C311" si="10">IF(B248="serviço",D248,C247)</f>
        <v>Execucao Estaca Helice Continua 030Cm</v>
      </c>
      <c r="D248" s="1079" t="s">
        <v>1453</v>
      </c>
      <c r="E248" s="1080" t="s">
        <v>281</v>
      </c>
      <c r="F248" s="1079"/>
      <c r="G248" s="1081" t="str">
        <f>IF(B248="insumo",_xlfn.XLOOKUP($D248,Insumos!$B$1:$B$670,Insumos!$D$1:$D$670),"")</f>
        <v/>
      </c>
      <c r="H248" s="1081" cm="1">
        <f t="array" ref="H248">_xlfn.IFS(B248="Serviço",SUMIFS(H249:$H$2465,C249:$C$2465,$C248),B248="Insumo",F248*G248,B248="Etapa","")</f>
        <v>60</v>
      </c>
      <c r="I248" s="1082" t="s">
        <v>872</v>
      </c>
    </row>
    <row r="249" spans="1:9" hidden="1" outlineLevel="2" x14ac:dyDescent="0.25">
      <c r="A249" s="1079">
        <f t="shared" si="7"/>
        <v>1</v>
      </c>
      <c r="B249" s="1079" t="s">
        <v>1362</v>
      </c>
      <c r="C249" s="1079" t="str">
        <f t="shared" si="10"/>
        <v>Execucao Estaca Helice Continua 030Cm</v>
      </c>
      <c r="D249" s="1079" t="s">
        <v>1453</v>
      </c>
      <c r="E249" s="1080" t="str">
        <f>_xlfn.XLOOKUP(D249,Insumos!$B$1:$B$670,Insumos!$C$1:$C$670)</f>
        <v>M</v>
      </c>
      <c r="F249" s="1083">
        <v>1</v>
      </c>
      <c r="G249" s="1081">
        <f>IF(B249="insumo",_xlfn.XLOOKUP($D249,Insumos!$B$1:$B$670,Insumos!$D$1:$D$670),"")</f>
        <v>60</v>
      </c>
      <c r="H249" s="1081" cm="1">
        <f t="array" ref="H249">_xlfn.IFS(B249="Serviço",SUMIFS(H250:$H$2465,C250:$C$2465,$C249),B249="Insumo",F249*G249,B249="Etapa","")</f>
        <v>60</v>
      </c>
      <c r="I249" s="1082"/>
    </row>
    <row r="250" spans="1:9" hidden="1" outlineLevel="1" collapsed="1" x14ac:dyDescent="0.25">
      <c r="A250" s="1079">
        <f t="shared" si="7"/>
        <v>1</v>
      </c>
      <c r="B250" s="1079" t="s">
        <v>471</v>
      </c>
      <c r="C250" s="1079" t="str">
        <f t="shared" si="10"/>
        <v>Execucao Estaca Helice Continua 040Cm</v>
      </c>
      <c r="D250" s="1079" t="s">
        <v>1454</v>
      </c>
      <c r="E250" s="1080" t="s">
        <v>281</v>
      </c>
      <c r="F250" s="1079"/>
      <c r="G250" s="1081" t="str">
        <f>IF(B250="insumo",_xlfn.XLOOKUP($D250,Insumos!$B$1:$B$670,Insumos!$D$1:$D$670),"")</f>
        <v/>
      </c>
      <c r="H250" s="1081" cm="1">
        <f t="array" ref="H250">_xlfn.IFS(B250="Serviço",SUMIFS(H251:$H$2465,C251:$C$2465,$C250),B250="Insumo",F250*G250,B250="Etapa","")</f>
        <v>75</v>
      </c>
      <c r="I250" s="1082" t="s">
        <v>872</v>
      </c>
    </row>
    <row r="251" spans="1:9" hidden="1" outlineLevel="2" x14ac:dyDescent="0.25">
      <c r="A251" s="1079">
        <f t="shared" si="7"/>
        <v>1</v>
      </c>
      <c r="B251" s="1079" t="s">
        <v>1362</v>
      </c>
      <c r="C251" s="1079" t="str">
        <f t="shared" si="10"/>
        <v>Execucao Estaca Helice Continua 040Cm</v>
      </c>
      <c r="D251" s="1079" t="s">
        <v>1454</v>
      </c>
      <c r="E251" s="1080" t="str">
        <f>_xlfn.XLOOKUP(D251,Insumos!$B$1:$B$670,Insumos!$C$1:$C$670)</f>
        <v>M</v>
      </c>
      <c r="F251" s="1083">
        <v>1</v>
      </c>
      <c r="G251" s="1081">
        <f>IF(B251="insumo",_xlfn.XLOOKUP($D251,Insumos!$B$1:$B$670,Insumos!$D$1:$D$670),"")</f>
        <v>75</v>
      </c>
      <c r="H251" s="1081" cm="1">
        <f t="array" ref="H251">_xlfn.IFS(B251="Serviço",SUMIFS(H252:$H$2465,C252:$C$2465,$C251),B251="Insumo",F251*G251,B251="Etapa","")</f>
        <v>75</v>
      </c>
      <c r="I251" s="1082"/>
    </row>
    <row r="252" spans="1:9" hidden="1" outlineLevel="1" collapsed="1" x14ac:dyDescent="0.25">
      <c r="A252" s="1079">
        <f t="shared" si="7"/>
        <v>1</v>
      </c>
      <c r="B252" s="1079" t="s">
        <v>471</v>
      </c>
      <c r="C252" s="1079" t="str">
        <f t="shared" si="10"/>
        <v xml:space="preserve">Perfuração de estaca hélice contínua Ø 50cm	</v>
      </c>
      <c r="D252" s="1079" t="s">
        <v>1455</v>
      </c>
      <c r="E252" s="1080" t="s">
        <v>281</v>
      </c>
      <c r="F252" s="1079"/>
      <c r="G252" s="1081" t="str">
        <f>IF(B252="insumo",_xlfn.XLOOKUP($D252,Insumos!$B$1:$B$670,Insumos!$D$1:$D$670),"")</f>
        <v/>
      </c>
      <c r="H252" s="1081" cm="1">
        <f t="array" ref="H252">_xlfn.IFS(B252="Serviço",SUMIFS(H253:$H$2465,C253:$C$2465,$C252),B252="Insumo",F252*G252,B252="Etapa","")</f>
        <v>150</v>
      </c>
      <c r="I252" s="1082" t="s">
        <v>872</v>
      </c>
    </row>
    <row r="253" spans="1:9" hidden="1" outlineLevel="2" x14ac:dyDescent="0.25">
      <c r="A253" s="1079">
        <f t="shared" si="7"/>
        <v>1</v>
      </c>
      <c r="B253" s="1079" t="s">
        <v>1362</v>
      </c>
      <c r="C253" s="1079" t="str">
        <f t="shared" si="10"/>
        <v xml:space="preserve">Perfuração de estaca hélice contínua Ø 50cm	</v>
      </c>
      <c r="D253" s="1079" t="s">
        <v>1456</v>
      </c>
      <c r="E253" s="1080" t="str">
        <f>_xlfn.XLOOKUP(D253,Insumos!$B$1:$B$670,Insumos!$C$1:$C$670)</f>
        <v>M</v>
      </c>
      <c r="F253" s="1083">
        <v>1</v>
      </c>
      <c r="G253" s="1081">
        <f>IF(B253="insumo",_xlfn.XLOOKUP($D253,Insumos!$B$1:$B$670,Insumos!$D$1:$D$670),"")</f>
        <v>150</v>
      </c>
      <c r="H253" s="1081" cm="1">
        <f t="array" ref="H253">_xlfn.IFS(B253="Serviço",SUMIFS(H254:$H$2465,C254:$C$2465,$C253),B253="Insumo",F253*G253,B253="Etapa","")</f>
        <v>150</v>
      </c>
      <c r="I253" s="1082"/>
    </row>
    <row r="254" spans="1:9" hidden="1" outlineLevel="1" collapsed="1" x14ac:dyDescent="0.25">
      <c r="A254" s="1079">
        <f t="shared" si="7"/>
        <v>1</v>
      </c>
      <c r="B254" s="1079" t="s">
        <v>471</v>
      </c>
      <c r="C254" s="1079" t="str">
        <f t="shared" si="10"/>
        <v xml:space="preserve">Perfuração de estaca hélice contínua Ø 60cm	</v>
      </c>
      <c r="D254" s="1079" t="s">
        <v>1457</v>
      </c>
      <c r="E254" s="1080" t="s">
        <v>281</v>
      </c>
      <c r="F254" s="1079"/>
      <c r="G254" s="1081" t="str">
        <f>IF(B254="insumo",_xlfn.XLOOKUP($D254,Insumos!$B$1:$B$670,Insumos!$D$1:$D$670),"")</f>
        <v/>
      </c>
      <c r="H254" s="1081" cm="1">
        <f t="array" ref="H254">_xlfn.IFS(B254="Serviço",SUMIFS(H255:$H$2465,C255:$C$2465,$C254),B254="Insumo",F254*G254,B254="Etapa","")</f>
        <v>180</v>
      </c>
      <c r="I254" s="1082" t="s">
        <v>872</v>
      </c>
    </row>
    <row r="255" spans="1:9" hidden="1" outlineLevel="2" x14ac:dyDescent="0.25">
      <c r="A255" s="1079">
        <f t="shared" si="7"/>
        <v>1</v>
      </c>
      <c r="B255" s="1079" t="s">
        <v>1362</v>
      </c>
      <c r="C255" s="1079" t="str">
        <f t="shared" si="10"/>
        <v xml:space="preserve">Perfuração de estaca hélice contínua Ø 60cm	</v>
      </c>
      <c r="D255" s="1079" t="s">
        <v>1458</v>
      </c>
      <c r="E255" s="1080" t="str">
        <f>_xlfn.XLOOKUP(D255,Insumos!$B$1:$B$670,Insumos!$C$1:$C$670)</f>
        <v>M</v>
      </c>
      <c r="F255" s="1083">
        <v>1</v>
      </c>
      <c r="G255" s="1081">
        <f>IF(B255="insumo",_xlfn.XLOOKUP($D255,Insumos!$B$1:$B$670,Insumos!$D$1:$D$670),"")</f>
        <v>180</v>
      </c>
      <c r="H255" s="1081" cm="1">
        <f t="array" ref="H255">_xlfn.IFS(B255="Serviço",SUMIFS(H256:$H$2465,C256:$C$2465,$C255),B255="Insumo",F255*G255,B255="Etapa","")</f>
        <v>180</v>
      </c>
      <c r="I255" s="1082"/>
    </row>
    <row r="256" spans="1:9" hidden="1" outlineLevel="1" collapsed="1" x14ac:dyDescent="0.25">
      <c r="A256" s="1079">
        <f t="shared" si="7"/>
        <v>1</v>
      </c>
      <c r="B256" s="1079" t="s">
        <v>471</v>
      </c>
      <c r="C256" s="1079" t="str">
        <f t="shared" si="10"/>
        <v>Execucao Estaca Helice Continua Monitorada 050Cm</v>
      </c>
      <c r="D256" s="1079" t="s">
        <v>1459</v>
      </c>
      <c r="E256" s="1080" t="s">
        <v>281</v>
      </c>
      <c r="F256" s="1079"/>
      <c r="G256" s="1081" t="str">
        <f>IF(B256="insumo",_xlfn.XLOOKUP($D256,Insumos!$B$1:$B$670,Insumos!$D$1:$D$670),"")</f>
        <v/>
      </c>
      <c r="H256" s="1081" cm="1">
        <f t="array" ref="H256">_xlfn.IFS(B256="Serviço",SUMIFS(H257:$H$2465,C257:$C$2465,$C256),B256="Insumo",F256*G256,B256="Etapa","")</f>
        <v>150</v>
      </c>
      <c r="I256" s="1082" t="s">
        <v>872</v>
      </c>
    </row>
    <row r="257" spans="1:9" hidden="1" outlineLevel="2" x14ac:dyDescent="0.25">
      <c r="A257" s="1079">
        <f t="shared" si="7"/>
        <v>1</v>
      </c>
      <c r="B257" s="1079" t="s">
        <v>1362</v>
      </c>
      <c r="C257" s="1079" t="str">
        <f t="shared" si="10"/>
        <v>Execucao Estaca Helice Continua Monitorada 050Cm</v>
      </c>
      <c r="D257" s="1079" t="s">
        <v>1459</v>
      </c>
      <c r="E257" s="1080" t="str">
        <f>_xlfn.XLOOKUP(D257,Insumos!$B$1:$B$670,Insumos!$C$1:$C$670)</f>
        <v>M</v>
      </c>
      <c r="F257" s="1083">
        <v>1</v>
      </c>
      <c r="G257" s="1081">
        <f>IF(B257="insumo",_xlfn.XLOOKUP($D257,Insumos!$B$1:$B$670,Insumos!$D$1:$D$670),"")</f>
        <v>150</v>
      </c>
      <c r="H257" s="1081" cm="1">
        <f t="array" ref="H257">_xlfn.IFS(B257="Serviço",SUMIFS(H258:$H$2465,C258:$C$2465,$C257),B257="Insumo",F257*G257,B257="Etapa","")</f>
        <v>150</v>
      </c>
      <c r="I257" s="1082"/>
    </row>
    <row r="258" spans="1:9" hidden="1" outlineLevel="1" collapsed="1" x14ac:dyDescent="0.25">
      <c r="A258" s="1079">
        <f t="shared" ref="A258:A321" si="11">COUNTIFS($D$2:$D$2465,D258,$B$2:$B$2465,B258)</f>
        <v>1</v>
      </c>
      <c r="B258" s="1079" t="s">
        <v>471</v>
      </c>
      <c r="C258" s="1079" t="str">
        <f t="shared" si="10"/>
        <v>Execucao Estaca Helice Continua Monitorada 060Cm</v>
      </c>
      <c r="D258" s="1079" t="s">
        <v>1460</v>
      </c>
      <c r="E258" s="1080" t="s">
        <v>281</v>
      </c>
      <c r="F258" s="1079"/>
      <c r="G258" s="1081" t="str">
        <f>IF(B258="insumo",_xlfn.XLOOKUP($D258,Insumos!$B$1:$B$670,Insumos!$D$1:$D$670),"")</f>
        <v/>
      </c>
      <c r="H258" s="1081" cm="1">
        <f t="array" ref="H258">_xlfn.IFS(B258="Serviço",SUMIFS(H259:$H$2465,C259:$C$2465,$C258),B258="Insumo",F258*G258,B258="Etapa","")</f>
        <v>180</v>
      </c>
      <c r="I258" s="1082" t="s">
        <v>872</v>
      </c>
    </row>
    <row r="259" spans="1:9" hidden="1" outlineLevel="2" x14ac:dyDescent="0.25">
      <c r="A259" s="1079">
        <f t="shared" si="11"/>
        <v>1</v>
      </c>
      <c r="B259" s="1079" t="s">
        <v>1362</v>
      </c>
      <c r="C259" s="1079" t="str">
        <f t="shared" si="10"/>
        <v>Execucao Estaca Helice Continua Monitorada 060Cm</v>
      </c>
      <c r="D259" s="1079" t="s">
        <v>1460</v>
      </c>
      <c r="E259" s="1080" t="str">
        <f>_xlfn.XLOOKUP(D259,Insumos!$B$1:$B$670,Insumos!$C$1:$C$670)</f>
        <v>M</v>
      </c>
      <c r="F259" s="1083">
        <v>1</v>
      </c>
      <c r="G259" s="1081">
        <f>IF(B259="insumo",_xlfn.XLOOKUP($D259,Insumos!$B$1:$B$670,Insumos!$D$1:$D$670),"")</f>
        <v>180</v>
      </c>
      <c r="H259" s="1081" cm="1">
        <f t="array" ref="H259">_xlfn.IFS(B259="Serviço",SUMIFS(H260:$H$2465,C260:$C$2465,$C259),B259="Insumo",F259*G259,B259="Etapa","")</f>
        <v>180</v>
      </c>
      <c r="I259" s="1082"/>
    </row>
    <row r="260" spans="1:9" hidden="1" outlineLevel="1" collapsed="1" x14ac:dyDescent="0.25">
      <c r="A260" s="1079">
        <f t="shared" si="11"/>
        <v>1</v>
      </c>
      <c r="B260" s="1079" t="s">
        <v>471</v>
      </c>
      <c r="C260" s="1079" t="str">
        <f t="shared" si="10"/>
        <v>Execucao Estaca Helice Continua 070Cm</v>
      </c>
      <c r="D260" s="1079" t="s">
        <v>1461</v>
      </c>
      <c r="E260" s="1080" t="s">
        <v>281</v>
      </c>
      <c r="F260" s="1079"/>
      <c r="G260" s="1081" t="str">
        <f>IF(B260="insumo",_xlfn.XLOOKUP($D260,Insumos!$B$1:$B$670,Insumos!$D$1:$D$670),"")</f>
        <v/>
      </c>
      <c r="H260" s="1081" cm="1">
        <f t="array" ref="H260">_xlfn.IFS(B260="Serviço",SUMIFS(H261:$H$2465,C261:$C$2465,$C260),B260="Insumo",F260*G260,B260="Etapa","")</f>
        <v>120</v>
      </c>
      <c r="I260" s="1082" t="s">
        <v>872</v>
      </c>
    </row>
    <row r="261" spans="1:9" hidden="1" outlineLevel="2" x14ac:dyDescent="0.25">
      <c r="A261" s="1079">
        <f t="shared" si="11"/>
        <v>1</v>
      </c>
      <c r="B261" s="1079" t="s">
        <v>1362</v>
      </c>
      <c r="C261" s="1079" t="str">
        <f t="shared" si="10"/>
        <v>Execucao Estaca Helice Continua 070Cm</v>
      </c>
      <c r="D261" s="1079" t="s">
        <v>1461</v>
      </c>
      <c r="E261" s="1080" t="str">
        <f>_xlfn.XLOOKUP(D261,Insumos!$B$1:$B$670,Insumos!$C$1:$C$670)</f>
        <v>M</v>
      </c>
      <c r="F261" s="1083">
        <v>1</v>
      </c>
      <c r="G261" s="1081">
        <f>IF(B261="insumo",_xlfn.XLOOKUP($D261,Insumos!$B$1:$B$670,Insumos!$D$1:$D$670),"")</f>
        <v>120</v>
      </c>
      <c r="H261" s="1081" cm="1">
        <f t="array" ref="H261">_xlfn.IFS(B261="Serviço",SUMIFS(H262:$H$2465,C262:$C$2465,$C261),B261="Insumo",F261*G261,B261="Etapa","")</f>
        <v>120</v>
      </c>
      <c r="I261" s="1082"/>
    </row>
    <row r="262" spans="1:9" hidden="1" outlineLevel="1" collapsed="1" x14ac:dyDescent="0.25">
      <c r="A262" s="1079">
        <f t="shared" si="11"/>
        <v>1</v>
      </c>
      <c r="B262" s="1079" t="s">
        <v>471</v>
      </c>
      <c r="C262" s="1079" t="str">
        <f t="shared" si="10"/>
        <v>Execucao Estaca Helice Continua 080Cm</v>
      </c>
      <c r="D262" s="1079" t="s">
        <v>1462</v>
      </c>
      <c r="E262" s="1080" t="s">
        <v>281</v>
      </c>
      <c r="F262" s="1079"/>
      <c r="G262" s="1081" t="str">
        <f>IF(B262="insumo",_xlfn.XLOOKUP($D262,Insumos!$B$1:$B$670,Insumos!$D$1:$D$670),"")</f>
        <v/>
      </c>
      <c r="H262" s="1081" cm="1">
        <f t="array" ref="H262">_xlfn.IFS(B262="Serviço",SUMIFS(H263:$H$2465,C263:$C$2465,$C262),B262="Insumo",F262*G262,B262="Etapa","")</f>
        <v>135</v>
      </c>
      <c r="I262" s="1082" t="s">
        <v>872</v>
      </c>
    </row>
    <row r="263" spans="1:9" hidden="1" outlineLevel="2" x14ac:dyDescent="0.25">
      <c r="A263" s="1079">
        <f t="shared" si="11"/>
        <v>1</v>
      </c>
      <c r="B263" s="1079" t="s">
        <v>1362</v>
      </c>
      <c r="C263" s="1079" t="str">
        <f t="shared" si="10"/>
        <v>Execucao Estaca Helice Continua 080Cm</v>
      </c>
      <c r="D263" s="1079" t="s">
        <v>1462</v>
      </c>
      <c r="E263" s="1080" t="str">
        <f>_xlfn.XLOOKUP(D263,Insumos!$B$1:$B$670,Insumos!$C$1:$C$670)</f>
        <v>M</v>
      </c>
      <c r="F263" s="1083">
        <v>1</v>
      </c>
      <c r="G263" s="1081">
        <f>IF(B263="insumo",_xlfn.XLOOKUP($D263,Insumos!$B$1:$B$670,Insumos!$D$1:$D$670),"")</f>
        <v>135</v>
      </c>
      <c r="H263" s="1081" cm="1">
        <f t="array" ref="H263">_xlfn.IFS(B263="Serviço",SUMIFS(H264:$H$2465,C264:$C$2465,$C263),B263="Insumo",F263*G263,B263="Etapa","")</f>
        <v>135</v>
      </c>
      <c r="I263" s="1082"/>
    </row>
    <row r="264" spans="1:9" hidden="1" outlineLevel="1" collapsed="1" x14ac:dyDescent="0.25">
      <c r="A264" s="1079">
        <f t="shared" si="11"/>
        <v>1</v>
      </c>
      <c r="B264" s="1079" t="s">
        <v>471</v>
      </c>
      <c r="C264" s="1079" t="str">
        <f t="shared" si="10"/>
        <v>Execucao Estaca Helice Continua 090Cm</v>
      </c>
      <c r="D264" s="1079" t="s">
        <v>1463</v>
      </c>
      <c r="E264" s="1080" t="s">
        <v>281</v>
      </c>
      <c r="F264" s="1079"/>
      <c r="G264" s="1081" t="str">
        <f>IF(B264="insumo",_xlfn.XLOOKUP($D264,Insumos!$B$1:$B$670,Insumos!$D$1:$D$670),"")</f>
        <v/>
      </c>
      <c r="H264" s="1081" cm="1">
        <f t="array" ref="H264">_xlfn.IFS(B264="Serviço",SUMIFS(H265:$H$2465,C265:$C$2465,$C264),B264="Insumo",F264*G264,B264="Etapa","")</f>
        <v>150</v>
      </c>
      <c r="I264" s="1082" t="s">
        <v>872</v>
      </c>
    </row>
    <row r="265" spans="1:9" hidden="1" outlineLevel="2" x14ac:dyDescent="0.25">
      <c r="A265" s="1079">
        <f t="shared" si="11"/>
        <v>1</v>
      </c>
      <c r="B265" s="1079" t="s">
        <v>1362</v>
      </c>
      <c r="C265" s="1079" t="str">
        <f t="shared" si="10"/>
        <v>Execucao Estaca Helice Continua 090Cm</v>
      </c>
      <c r="D265" s="1079" t="s">
        <v>1463</v>
      </c>
      <c r="E265" s="1080" t="str">
        <f>_xlfn.XLOOKUP(D265,Insumos!$B$1:$B$670,Insumos!$C$1:$C$670)</f>
        <v>M</v>
      </c>
      <c r="F265" s="1083">
        <v>1</v>
      </c>
      <c r="G265" s="1081">
        <f>IF(B265="insumo",_xlfn.XLOOKUP($D265,Insumos!$B$1:$B$670,Insumos!$D$1:$D$670),"")</f>
        <v>150</v>
      </c>
      <c r="H265" s="1081" cm="1">
        <f t="array" ref="H265">_xlfn.IFS(B265="Serviço",SUMIFS(H266:$H$2465,C266:$C$2465,$C265),B265="Insumo",F265*G265,B265="Etapa","")</f>
        <v>150</v>
      </c>
      <c r="I265" s="1082"/>
    </row>
    <row r="266" spans="1:9" hidden="1" outlineLevel="1" collapsed="1" x14ac:dyDescent="0.25">
      <c r="A266" s="1079">
        <f t="shared" si="11"/>
        <v>1</v>
      </c>
      <c r="B266" s="1079" t="s">
        <v>471</v>
      </c>
      <c r="C266" s="1079" t="str">
        <f t="shared" si="10"/>
        <v>Execucao Estaca Helice Continua 100Cm</v>
      </c>
      <c r="D266" s="1079" t="s">
        <v>1464</v>
      </c>
      <c r="E266" s="1080" t="s">
        <v>281</v>
      </c>
      <c r="F266" s="1079"/>
      <c r="G266" s="1081" t="str">
        <f>IF(B266="insumo",_xlfn.XLOOKUP($D266,Insumos!$B$1:$B$670,Insumos!$D$1:$D$670),"")</f>
        <v/>
      </c>
      <c r="H266" s="1081" cm="1">
        <f t="array" ref="H266">_xlfn.IFS(B266="Serviço",SUMIFS(H267:$H$2465,C267:$C$2465,$C266),B266="Insumo",F266*G266,B266="Etapa","")</f>
        <v>166.66666666666669</v>
      </c>
      <c r="I266" s="1082" t="s">
        <v>872</v>
      </c>
    </row>
    <row r="267" spans="1:9" hidden="1" outlineLevel="2" x14ac:dyDescent="0.25">
      <c r="A267" s="1079">
        <f t="shared" si="11"/>
        <v>1</v>
      </c>
      <c r="B267" s="1079" t="s">
        <v>1362</v>
      </c>
      <c r="C267" s="1079" t="str">
        <f t="shared" si="10"/>
        <v>Execucao Estaca Helice Continua 100Cm</v>
      </c>
      <c r="D267" s="1079" t="s">
        <v>1464</v>
      </c>
      <c r="E267" s="1080" t="str">
        <f>_xlfn.XLOOKUP(D267,Insumos!$B$1:$B$670,Insumos!$C$1:$C$670)</f>
        <v>M</v>
      </c>
      <c r="F267" s="1083">
        <v>1</v>
      </c>
      <c r="G267" s="1081">
        <f>IF(B267="insumo",_xlfn.XLOOKUP($D267,Insumos!$B$1:$B$670,Insumos!$D$1:$D$670),"")</f>
        <v>166.66666666666669</v>
      </c>
      <c r="H267" s="1081" cm="1">
        <f t="array" ref="H267">_xlfn.IFS(B267="Serviço",SUMIFS(H268:$H$2465,C268:$C$2465,$C267),B267="Insumo",F267*G267,B267="Etapa","")</f>
        <v>166.66666666666669</v>
      </c>
      <c r="I267" s="1082"/>
    </row>
    <row r="268" spans="1:9" hidden="1" outlineLevel="1" collapsed="1" x14ac:dyDescent="0.25">
      <c r="A268" s="1079">
        <f t="shared" si="11"/>
        <v>1</v>
      </c>
      <c r="B268" s="1079" t="s">
        <v>471</v>
      </c>
      <c r="C268" s="1079" t="str">
        <f t="shared" si="10"/>
        <v xml:space="preserve">Perfuração de estaca Escavada Ø 25cm	</v>
      </c>
      <c r="D268" s="1079" t="s">
        <v>1465</v>
      </c>
      <c r="E268" s="1080" t="s">
        <v>281</v>
      </c>
      <c r="F268" s="1079"/>
      <c r="G268" s="1081" t="str">
        <f>IF(B268="insumo",_xlfn.XLOOKUP($D268,Insumos!$B$1:$B$670,Insumos!$D$1:$D$670),"")</f>
        <v/>
      </c>
      <c r="H268" s="1081" cm="1">
        <f t="array" ref="H268">_xlfn.IFS(B268="Serviço",SUMIFS(H269:$H$2465,C269:$C$2465,$C268),B268="Insumo",F268*G268,B268="Etapa","")</f>
        <v>33</v>
      </c>
      <c r="I268" s="1082" t="s">
        <v>872</v>
      </c>
    </row>
    <row r="269" spans="1:9" hidden="1" outlineLevel="2" x14ac:dyDescent="0.25">
      <c r="A269" s="1079">
        <f t="shared" si="11"/>
        <v>1</v>
      </c>
      <c r="B269" s="1079" t="s">
        <v>1362</v>
      </c>
      <c r="C269" s="1079" t="str">
        <f t="shared" si="10"/>
        <v xml:space="preserve">Perfuração de estaca Escavada Ø 25cm	</v>
      </c>
      <c r="D269" s="1079" t="s">
        <v>1466</v>
      </c>
      <c r="E269" s="1080" t="str">
        <f>_xlfn.XLOOKUP(D269,Insumos!$B$1:$B$670,Insumos!$C$1:$C$670)</f>
        <v>M</v>
      </c>
      <c r="F269" s="1083">
        <v>1</v>
      </c>
      <c r="G269" s="1081">
        <f>IF(B269="insumo",_xlfn.XLOOKUP($D269,Insumos!$B$1:$B$670,Insumos!$D$1:$D$670),"")</f>
        <v>33</v>
      </c>
      <c r="H269" s="1081" cm="1">
        <f t="array" ref="H269">_xlfn.IFS(B269="Serviço",SUMIFS(H270:$H$2465,C270:$C$2465,$C269),B269="Insumo",F269*G269,B269="Etapa","")</f>
        <v>33</v>
      </c>
      <c r="I269" s="1082"/>
    </row>
    <row r="270" spans="1:9" hidden="1" outlineLevel="1" collapsed="1" x14ac:dyDescent="0.25">
      <c r="A270" s="1079">
        <f t="shared" si="11"/>
        <v>1</v>
      </c>
      <c r="B270" s="1079" t="s">
        <v>471</v>
      </c>
      <c r="C270" s="1079" t="str">
        <f t="shared" si="10"/>
        <v xml:space="preserve">Perfuração de estaca Escavada Ø 30cm	</v>
      </c>
      <c r="D270" s="1079" t="s">
        <v>1467</v>
      </c>
      <c r="E270" s="1080" t="s">
        <v>281</v>
      </c>
      <c r="F270" s="1079"/>
      <c r="G270" s="1081" t="str">
        <f>IF(B270="insumo",_xlfn.XLOOKUP($D270,Insumos!$B$1:$B$670,Insumos!$D$1:$D$670),"")</f>
        <v/>
      </c>
      <c r="H270" s="1081" cm="1">
        <f t="array" ref="H270">_xlfn.IFS(B270="Serviço",SUMIFS(H271:$H$2465,C271:$C$2465,$C270),B270="Insumo",F270*G270,B270="Etapa","")</f>
        <v>39</v>
      </c>
      <c r="I270" s="1082" t="s">
        <v>872</v>
      </c>
    </row>
    <row r="271" spans="1:9" hidden="1" outlineLevel="2" x14ac:dyDescent="0.25">
      <c r="A271" s="1079">
        <f t="shared" si="11"/>
        <v>2</v>
      </c>
      <c r="B271" s="1079" t="s">
        <v>1362</v>
      </c>
      <c r="C271" s="1079" t="str">
        <f t="shared" si="10"/>
        <v xml:space="preserve">Perfuração de estaca Escavada Ø 30cm	</v>
      </c>
      <c r="D271" s="1079" t="s">
        <v>1468</v>
      </c>
      <c r="E271" s="1080" t="str">
        <f>_xlfn.XLOOKUP(D271,Insumos!$B$1:$B$670,Insumos!$C$1:$C$670)</f>
        <v>M</v>
      </c>
      <c r="F271" s="1083">
        <v>1</v>
      </c>
      <c r="G271" s="1081">
        <f>IF(B271="insumo",_xlfn.XLOOKUP($D271,Insumos!$B$1:$B$670,Insumos!$D$1:$D$670),"")</f>
        <v>39</v>
      </c>
      <c r="H271" s="1081" cm="1">
        <f t="array" ref="H271">_xlfn.IFS(B271="Serviço",SUMIFS(H272:$H$2465,C272:$C$2465,$C271),B271="Insumo",F271*G271,B271="Etapa","")</f>
        <v>39</v>
      </c>
      <c r="I271" s="1082"/>
    </row>
    <row r="272" spans="1:9" hidden="1" outlineLevel="1" collapsed="1" x14ac:dyDescent="0.25">
      <c r="A272" s="1079">
        <f t="shared" si="11"/>
        <v>1</v>
      </c>
      <c r="B272" s="1079" t="s">
        <v>471</v>
      </c>
      <c r="C272" s="1079" t="str">
        <f t="shared" si="10"/>
        <v xml:space="preserve">	Mobilização e desmobilização de equipamentos - Para execução de estaca hélice monitorada</v>
      </c>
      <c r="D272" s="1079" t="s">
        <v>1469</v>
      </c>
      <c r="E272" s="1080" t="s">
        <v>355</v>
      </c>
      <c r="F272" s="1079"/>
      <c r="G272" s="1081" t="str">
        <f>IF(B272="insumo",_xlfn.XLOOKUP($D272,Insumos!$B$1:$B$670,Insumos!$D$1:$D$670),"")</f>
        <v/>
      </c>
      <c r="H272" s="1081" cm="1">
        <f t="array" ref="H272">_xlfn.IFS(B272="Serviço",SUMIFS(H273:$H$2465,C273:$C$2465,$C272),B272="Insumo",F272*G272,B272="Etapa","")</f>
        <v>32000</v>
      </c>
      <c r="I272" s="1082" t="s">
        <v>872</v>
      </c>
    </row>
    <row r="273" spans="1:9" hidden="1" outlineLevel="2" x14ac:dyDescent="0.25">
      <c r="A273" s="1079">
        <f t="shared" si="11"/>
        <v>1</v>
      </c>
      <c r="B273" s="1079" t="s">
        <v>1362</v>
      </c>
      <c r="C273" s="1079" t="str">
        <f t="shared" si="10"/>
        <v xml:space="preserve">	Mobilização e desmobilização de equipamentos - Para execução de estaca hélice monitorada</v>
      </c>
      <c r="D273" s="1079" t="s">
        <v>1469</v>
      </c>
      <c r="E273" s="1080" t="str">
        <f>_xlfn.XLOOKUP(D273,Insumos!$B$1:$B$670,Insumos!$C$1:$C$670)</f>
        <v>VB</v>
      </c>
      <c r="F273" s="1083">
        <v>1</v>
      </c>
      <c r="G273" s="1081">
        <f>IF(B273="insumo",_xlfn.XLOOKUP($D273,Insumos!$B$1:$B$670,Insumos!$D$1:$D$670),"")</f>
        <v>32000</v>
      </c>
      <c r="H273" s="1081" cm="1">
        <f t="array" ref="H273">_xlfn.IFS(B273="Serviço",SUMIFS(H274:$H$2465,C274:$C$2465,$C273),B273="Insumo",F273*G273,B273="Etapa","")</f>
        <v>32000</v>
      </c>
      <c r="I273" s="1082"/>
    </row>
    <row r="274" spans="1:9" hidden="1" outlineLevel="1" collapsed="1" x14ac:dyDescent="0.25">
      <c r="A274" s="1079">
        <f t="shared" si="11"/>
        <v>1</v>
      </c>
      <c r="B274" s="1079" t="s">
        <v>471</v>
      </c>
      <c r="C274" s="1079" t="str">
        <f t="shared" si="10"/>
        <v xml:space="preserve">	Mobilização e desmobilização de equipamentos - Para execução de estaca hélice</v>
      </c>
      <c r="D274" s="1079" t="s">
        <v>1470</v>
      </c>
      <c r="E274" s="1080" t="s">
        <v>355</v>
      </c>
      <c r="F274" s="1079"/>
      <c r="G274" s="1081" t="str">
        <f>IF(B274="insumo",_xlfn.XLOOKUP($D274,Insumos!$B$1:$B$670,Insumos!$D$1:$D$670),"")</f>
        <v/>
      </c>
      <c r="H274" s="1081" cm="1">
        <f t="array" ref="H274">_xlfn.IFS(B274="Serviço",SUMIFS(H275:$H$2465,C275:$C$2465,$C274),B274="Insumo",F274*G274,B274="Etapa","")</f>
        <v>18500</v>
      </c>
      <c r="I274" s="1082" t="s">
        <v>872</v>
      </c>
    </row>
    <row r="275" spans="1:9" hidden="1" outlineLevel="2" x14ac:dyDescent="0.25">
      <c r="A275" s="1079">
        <f t="shared" si="11"/>
        <v>1</v>
      </c>
      <c r="B275" s="1079" t="s">
        <v>1362</v>
      </c>
      <c r="C275" s="1079" t="str">
        <f t="shared" si="10"/>
        <v xml:space="preserve">	Mobilização e desmobilização de equipamentos - Para execução de estaca hélice</v>
      </c>
      <c r="D275" s="1079" t="s">
        <v>1470</v>
      </c>
      <c r="E275" s="1080" t="str">
        <f>_xlfn.XLOOKUP(D275,Insumos!$B$1:$B$670,Insumos!$C$1:$C$670)</f>
        <v>VB</v>
      </c>
      <c r="F275" s="1083">
        <v>1</v>
      </c>
      <c r="G275" s="1081">
        <f>IF(B275="insumo",_xlfn.XLOOKUP($D275,Insumos!$B$1:$B$670,Insumos!$D$1:$D$670),"")</f>
        <v>18500</v>
      </c>
      <c r="H275" s="1081" cm="1">
        <f t="array" ref="H275">_xlfn.IFS(B275="Serviço",SUMIFS(H276:$H$2465,C276:$C$2465,$C275),B275="Insumo",F275*G275,B275="Etapa","")</f>
        <v>18500</v>
      </c>
      <c r="I275" s="1082"/>
    </row>
    <row r="276" spans="1:9" hidden="1" outlineLevel="1" collapsed="1" x14ac:dyDescent="0.25">
      <c r="A276" s="1079">
        <f t="shared" si="11"/>
        <v>1</v>
      </c>
      <c r="B276" s="1079" t="s">
        <v>471</v>
      </c>
      <c r="C276" s="1079" t="str">
        <f t="shared" si="10"/>
        <v xml:space="preserve">	Mobilização e desmobilização de equipamentos - Para execução de estaca Escavada</v>
      </c>
      <c r="D276" s="1079" t="s">
        <v>1471</v>
      </c>
      <c r="E276" s="1080" t="s">
        <v>355</v>
      </c>
      <c r="F276" s="1079"/>
      <c r="G276" s="1081" t="str">
        <f>IF(B276="insumo",_xlfn.XLOOKUP($D276,Insumos!$B$1:$B$670,Insumos!$D$1:$D$670),"")</f>
        <v/>
      </c>
      <c r="H276" s="1081" cm="1">
        <f t="array" ref="H276">_xlfn.IFS(B276="Serviço",SUMIFS(H277:$H$2465,C277:$C$2465,$C276),B276="Insumo",F276*G276,B276="Etapa","")</f>
        <v>26000</v>
      </c>
      <c r="I276" s="1082" t="s">
        <v>872</v>
      </c>
    </row>
    <row r="277" spans="1:9" hidden="1" outlineLevel="2" x14ac:dyDescent="0.25">
      <c r="A277" s="1079">
        <f t="shared" si="11"/>
        <v>1</v>
      </c>
      <c r="B277" s="1079" t="s">
        <v>1362</v>
      </c>
      <c r="C277" s="1079" t="str">
        <f t="shared" si="10"/>
        <v xml:space="preserve">	Mobilização e desmobilização de equipamentos - Para execução de estaca Escavada</v>
      </c>
      <c r="D277" s="1079" t="s">
        <v>1471</v>
      </c>
      <c r="E277" s="1080" t="str">
        <f>_xlfn.XLOOKUP(D277,Insumos!$B$1:$B$670,Insumos!$C$1:$C$670)</f>
        <v>VB</v>
      </c>
      <c r="F277" s="1083">
        <v>1</v>
      </c>
      <c r="G277" s="1081">
        <f>IF(B277="insumo",_xlfn.XLOOKUP($D277,Insumos!$B$1:$B$670,Insumos!$D$1:$D$670),"")</f>
        <v>26000</v>
      </c>
      <c r="H277" s="1081" cm="1">
        <f t="array" ref="H277">_xlfn.IFS(B277="Serviço",SUMIFS(H278:$H$2465,C278:$C$2465,$C277),B277="Insumo",F277*G277,B277="Etapa","")</f>
        <v>26000</v>
      </c>
      <c r="I277" s="1082"/>
    </row>
    <row r="278" spans="1:9" hidden="1" outlineLevel="1" collapsed="1" x14ac:dyDescent="0.25">
      <c r="A278" s="1079">
        <f t="shared" si="11"/>
        <v>1</v>
      </c>
      <c r="B278" s="1079" t="s">
        <v>471</v>
      </c>
      <c r="C278" s="1079" t="str">
        <f t="shared" si="10"/>
        <v>Armação Pronta para estaca Ø 50cm (5F 16,0 4MTS ESP75 PS20)</v>
      </c>
      <c r="D278" s="1079" t="s">
        <v>1472</v>
      </c>
      <c r="E278" s="1080" t="s">
        <v>491</v>
      </c>
      <c r="F278" s="1079"/>
      <c r="G278" s="1081" t="str">
        <f>IF(B278="insumo",_xlfn.XLOOKUP($D278,Insumos!$B$1:$B$670,Insumos!$D$1:$D$670),"")</f>
        <v/>
      </c>
      <c r="H278" s="1081" cm="1">
        <f t="array" ref="H278">_xlfn.IFS(B278="Serviço",SUMIFS(H279:$H$2465,C279:$C$2465,$C278),B278="Insumo",F278*G278,B278="Etapa","")</f>
        <v>302.92200000000003</v>
      </c>
      <c r="I278" s="1082" t="s">
        <v>872</v>
      </c>
    </row>
    <row r="279" spans="1:9" hidden="1" outlineLevel="2" x14ac:dyDescent="0.25">
      <c r="A279" s="1079">
        <f t="shared" si="11"/>
        <v>1</v>
      </c>
      <c r="B279" s="1079" t="s">
        <v>1362</v>
      </c>
      <c r="C279" s="1079" t="str">
        <f t="shared" si="10"/>
        <v>Armação Pronta para estaca Ø 50cm (5F 16,0 4MTS ESP75 PS20)</v>
      </c>
      <c r="D279" s="1079" t="s">
        <v>1473</v>
      </c>
      <c r="E279" s="1080" t="s">
        <v>491</v>
      </c>
      <c r="F279" s="1083">
        <v>1</v>
      </c>
      <c r="G279" s="1081">
        <f>IF(B279="insumo",_xlfn.XLOOKUP($D279,Insumos!$B$1:$B$670,Insumos!$D$1:$D$670),"")</f>
        <v>302.92200000000003</v>
      </c>
      <c r="H279" s="1081" cm="1">
        <f t="array" ref="H279">_xlfn.IFS(B279="Serviço",SUMIFS(H280:$H$2465,C280:$C$2465,$C279),B279="Insumo",F279*G279,B279="Etapa","")</f>
        <v>302.92200000000003</v>
      </c>
      <c r="I279" s="1082"/>
    </row>
    <row r="280" spans="1:9" hidden="1" outlineLevel="1" collapsed="1" x14ac:dyDescent="0.25">
      <c r="A280" s="1079">
        <f t="shared" si="11"/>
        <v>1</v>
      </c>
      <c r="B280" s="1079" t="s">
        <v>471</v>
      </c>
      <c r="C280" s="1079" t="str">
        <f t="shared" si="10"/>
        <v>Armação Pronta para estaca Ø 60cm (5F 20,0 4MTS ESP75 PS20)</v>
      </c>
      <c r="D280" s="1079" t="s">
        <v>1474</v>
      </c>
      <c r="E280" s="1080" t="s">
        <v>491</v>
      </c>
      <c r="F280" s="1079"/>
      <c r="G280" s="1081" t="str">
        <f>IF(B280="insumo",_xlfn.XLOOKUP($D280,Insumos!$B$1:$B$670,Insumos!$D$1:$D$670),"")</f>
        <v/>
      </c>
      <c r="H280" s="1081" cm="1">
        <f t="array" ref="H280">_xlfn.IFS(B280="Serviço",SUMIFS(H281:$H$2465,C281:$C$2465,$C280),B280="Insumo",F280*G280,B280="Etapa","")</f>
        <v>466.33699999999999</v>
      </c>
      <c r="I280" s="1082" t="s">
        <v>872</v>
      </c>
    </row>
    <row r="281" spans="1:9" hidden="1" outlineLevel="2" x14ac:dyDescent="0.25">
      <c r="A281" s="1079">
        <f t="shared" si="11"/>
        <v>1</v>
      </c>
      <c r="B281" s="1079" t="s">
        <v>1362</v>
      </c>
      <c r="C281" s="1079" t="str">
        <f t="shared" si="10"/>
        <v>Armação Pronta para estaca Ø 60cm (5F 20,0 4MTS ESP75 PS20)</v>
      </c>
      <c r="D281" s="1079" t="s">
        <v>1475</v>
      </c>
      <c r="E281" s="1080" t="s">
        <v>491</v>
      </c>
      <c r="F281" s="1083">
        <v>1</v>
      </c>
      <c r="G281" s="1081">
        <f>IF(B281="insumo",_xlfn.XLOOKUP($D281,Insumos!$B$1:$B$670,Insumos!$D$1:$D$670),"")</f>
        <v>466.33699999999999</v>
      </c>
      <c r="H281" s="1081" cm="1">
        <f t="array" ref="H281">_xlfn.IFS(B281="Serviço",SUMIFS(H282:$H$2465,C282:$C$2465,$C281),B281="Insumo",F281*G281,B281="Etapa","")</f>
        <v>466.33699999999999</v>
      </c>
      <c r="I281" s="1082"/>
    </row>
    <row r="282" spans="1:9" hidden="1" outlineLevel="1" collapsed="1" x14ac:dyDescent="0.25">
      <c r="A282" s="1079">
        <f t="shared" si="11"/>
        <v>1</v>
      </c>
      <c r="B282" s="1079" t="s">
        <v>471</v>
      </c>
      <c r="C282" s="1079" t="str">
        <f t="shared" si="10"/>
        <v>Armação Pronta para estaca Ø 60cm (7F 20,0 6MTS ESP75 PS20)</v>
      </c>
      <c r="D282" s="1079" t="s">
        <v>1476</v>
      </c>
      <c r="E282" s="1080" t="s">
        <v>491</v>
      </c>
      <c r="F282" s="1079"/>
      <c r="G282" s="1081" t="str">
        <f>IF(B282="insumo",_xlfn.XLOOKUP($D282,Insumos!$B$1:$B$670,Insumos!$D$1:$D$670),"")</f>
        <v/>
      </c>
      <c r="H282" s="1081" cm="1">
        <f t="array" ref="H282">_xlfn.IFS(B282="Serviço",SUMIFS(H283:$H$2465,C283:$C$2465,$C282),B282="Insumo",F282*G282,B282="Etapa","")</f>
        <v>937.63900000000001</v>
      </c>
      <c r="I282" s="1082" t="s">
        <v>872</v>
      </c>
    </row>
    <row r="283" spans="1:9" hidden="1" outlineLevel="2" x14ac:dyDescent="0.25">
      <c r="A283" s="1079">
        <f t="shared" si="11"/>
        <v>1</v>
      </c>
      <c r="B283" s="1079" t="s">
        <v>1362</v>
      </c>
      <c r="C283" s="1079" t="str">
        <f t="shared" si="10"/>
        <v>Armação Pronta para estaca Ø 60cm (7F 20,0 6MTS ESP75 PS20)</v>
      </c>
      <c r="D283" s="1079" t="s">
        <v>1477</v>
      </c>
      <c r="E283" s="1080" t="s">
        <v>491</v>
      </c>
      <c r="F283" s="1083">
        <v>1</v>
      </c>
      <c r="G283" s="1081">
        <f>IF(B283="insumo",_xlfn.XLOOKUP($D283,Insumos!$B$1:$B$670,Insumos!$D$1:$D$670),"")</f>
        <v>937.63900000000001</v>
      </c>
      <c r="H283" s="1081" cm="1">
        <f t="array" ref="H283">_xlfn.IFS(B283="Serviço",SUMIFS(H284:$H$2465,C284:$C$2465,$C283),B283="Insumo",F283*G283,B283="Etapa","")</f>
        <v>937.63900000000001</v>
      </c>
      <c r="I283" s="1082"/>
    </row>
    <row r="284" spans="1:9" hidden="1" outlineLevel="1" collapsed="1" x14ac:dyDescent="0.25">
      <c r="A284" s="1079">
        <f t="shared" si="11"/>
        <v>1</v>
      </c>
      <c r="B284" s="1079" t="s">
        <v>471</v>
      </c>
      <c r="C284" s="1079" t="str">
        <f t="shared" si="10"/>
        <v>Armação Pronta para estaca Ø 60cm (9F 20,0 8MTS ESP75 PS20)</v>
      </c>
      <c r="D284" s="1079" t="s">
        <v>1478</v>
      </c>
      <c r="E284" s="1080" t="s">
        <v>491</v>
      </c>
      <c r="F284" s="1079"/>
      <c r="G284" s="1081" t="str">
        <f>IF(B284="insumo",_xlfn.XLOOKUP($D284,Insumos!$B$1:$B$670,Insumos!$D$1:$D$670),"")</f>
        <v/>
      </c>
      <c r="H284" s="1081" cm="1">
        <f t="array" ref="H284">_xlfn.IFS(B284="Serviço",SUMIFS(H285:$H$2465,C285:$C$2465,$C284),B284="Insumo",F284*G284,B284="Etapa","")</f>
        <v>1609.6659999999999</v>
      </c>
      <c r="I284" s="1082" t="s">
        <v>872</v>
      </c>
    </row>
    <row r="285" spans="1:9" hidden="1" outlineLevel="2" x14ac:dyDescent="0.25">
      <c r="A285" s="1079">
        <f t="shared" si="11"/>
        <v>1</v>
      </c>
      <c r="B285" s="1079" t="s">
        <v>1362</v>
      </c>
      <c r="C285" s="1079" t="str">
        <f t="shared" si="10"/>
        <v>Armação Pronta para estaca Ø 60cm (9F 20,0 8MTS ESP75 PS20)</v>
      </c>
      <c r="D285" s="1079" t="s">
        <v>1479</v>
      </c>
      <c r="E285" s="1080" t="s">
        <v>491</v>
      </c>
      <c r="F285" s="1083">
        <v>1</v>
      </c>
      <c r="G285" s="1081">
        <f>IF(B285="insumo",_xlfn.XLOOKUP($D285,Insumos!$B$1:$B$670,Insumos!$D$1:$D$670),"")</f>
        <v>1609.6659999999999</v>
      </c>
      <c r="H285" s="1081" cm="1">
        <f t="array" ref="H285">_xlfn.IFS(B285="Serviço",SUMIFS(H286:$H$2465,C286:$C$2465,$C285),B285="Insumo",F285*G285,B285="Etapa","")</f>
        <v>1609.6659999999999</v>
      </c>
      <c r="I285" s="1082"/>
    </row>
    <row r="286" spans="1:9" hidden="1" outlineLevel="1" collapsed="1" x14ac:dyDescent="0.25">
      <c r="A286" s="1079">
        <f t="shared" si="11"/>
        <v>1</v>
      </c>
      <c r="B286" s="1079" t="s">
        <v>471</v>
      </c>
      <c r="C286" s="1079" t="str">
        <f t="shared" si="10"/>
        <v>Armação aço CA-50 ø 6,3mm para estaca (corte e dobra em obra)</v>
      </c>
      <c r="D286" s="1079" t="s">
        <v>1480</v>
      </c>
      <c r="E286" s="1080" t="s">
        <v>1481</v>
      </c>
      <c r="F286" s="1079"/>
      <c r="G286" s="1081" t="str">
        <f>IF(B286="insumo",_xlfn.XLOOKUP($D286,Insumos!$B$1:$B$670,Insumos!$D$1:$D$670),"")</f>
        <v/>
      </c>
      <c r="H286" s="1081" cm="1">
        <f t="array" ref="H286">_xlfn.IFS(B286="Serviço",SUMIFS(H287:$H$2465,C287:$C$2465,$C286),B286="Insumo",F286*G286,B286="Etapa","")</f>
        <v>6.9381450000000005</v>
      </c>
      <c r="I286" s="1082" t="s">
        <v>872</v>
      </c>
    </row>
    <row r="287" spans="1:9" hidden="1" outlineLevel="2" x14ac:dyDescent="0.25">
      <c r="A287" s="1079">
        <f t="shared" si="11"/>
        <v>4</v>
      </c>
      <c r="B287" s="1079" t="s">
        <v>1362</v>
      </c>
      <c r="C287" s="1079" t="str">
        <f t="shared" si="10"/>
        <v>Armação aço CA-50 ø 6,3mm para estaca (corte e dobra em obra)</v>
      </c>
      <c r="D287" s="1079" t="s">
        <v>1482</v>
      </c>
      <c r="E287" s="1080" t="str">
        <f>_xlfn.XLOOKUP(D287,Insumos!$B$1:$B$670,Insumos!$C$1:$C$670)</f>
        <v>KG</v>
      </c>
      <c r="F287" s="1083">
        <v>1.1000000000000001</v>
      </c>
      <c r="G287" s="1081">
        <f>IF(B287="insumo",_xlfn.XLOOKUP($D287,Insumos!$B$1:$B$670,Insumos!$D$1:$D$670),"")</f>
        <v>6.04</v>
      </c>
      <c r="H287" s="1081" cm="1">
        <f t="array" ref="H287">_xlfn.IFS(B287="Serviço",SUMIFS(H288:$H$2465,C288:$C$2465,$C287),B287="Insumo",F287*G287,B287="Etapa","")</f>
        <v>6.644000000000001</v>
      </c>
      <c r="I287" s="1082"/>
    </row>
    <row r="288" spans="1:9" hidden="1" outlineLevel="2" x14ac:dyDescent="0.25">
      <c r="A288" s="1079">
        <f t="shared" si="11"/>
        <v>23</v>
      </c>
      <c r="B288" s="1079" t="s">
        <v>1362</v>
      </c>
      <c r="C288" s="1079" t="str">
        <f t="shared" si="10"/>
        <v>Armação aço CA-50 ø 6,3mm para estaca (corte e dobra em obra)</v>
      </c>
      <c r="D288" s="1079" t="s">
        <v>1483</v>
      </c>
      <c r="E288" s="1080" t="str">
        <f>_xlfn.XLOOKUP(D288,Insumos!$B$1:$B$670,Insumos!$C$1:$C$670)</f>
        <v>KG</v>
      </c>
      <c r="F288" s="1083">
        <v>2.0500000000000001E-2</v>
      </c>
      <c r="G288" s="1081">
        <f>IF(B288="insumo",_xlfn.XLOOKUP($D288,Insumos!$B$1:$B$670,Insumos!$D$1:$D$670),"")</f>
        <v>13.69</v>
      </c>
      <c r="H288" s="1081" cm="1">
        <f t="array" ref="H288">_xlfn.IFS(B288="Serviço",SUMIFS(H289:$H$2465,C289:$C$2465,$C288),B288="Insumo",F288*G288,B288="Etapa","")</f>
        <v>0.28064499999999998</v>
      </c>
      <c r="I288" s="1082"/>
    </row>
    <row r="289" spans="1:9" hidden="1" outlineLevel="2" x14ac:dyDescent="0.25">
      <c r="A289" s="1079">
        <f t="shared" si="11"/>
        <v>35</v>
      </c>
      <c r="B289" s="1079" t="s">
        <v>1362</v>
      </c>
      <c r="C289" s="1079" t="str">
        <f t="shared" si="10"/>
        <v>Armação aço CA-50 ø 6,3mm para estaca (corte e dobra em obra)</v>
      </c>
      <c r="D289" s="1079" t="s">
        <v>1484</v>
      </c>
      <c r="E289" s="1080" t="str">
        <f>_xlfn.XLOOKUP(D289,Insumos!$B$1:$B$670,Insumos!$C$1:$C$670)</f>
        <v>UN</v>
      </c>
      <c r="F289" s="1083">
        <v>0.05</v>
      </c>
      <c r="G289" s="1081">
        <f>IF(B289="insumo",_xlfn.XLOOKUP($D289,Insumos!$B$1:$B$670,Insumos!$D$1:$D$670),"")</f>
        <v>0.27</v>
      </c>
      <c r="H289" s="1081" cm="1">
        <f t="array" ref="H289">_xlfn.IFS(B289="Serviço",SUMIFS(H290:$H$2465,C290:$C$2465,$C289),B289="Insumo",F289*G289,B289="Etapa","")</f>
        <v>1.3500000000000002E-2</v>
      </c>
      <c r="I289" s="1082"/>
    </row>
    <row r="290" spans="1:9" hidden="1" outlineLevel="1" collapsed="1" x14ac:dyDescent="0.25">
      <c r="A290" s="1079">
        <f t="shared" si="11"/>
        <v>1</v>
      </c>
      <c r="B290" s="1079" t="s">
        <v>471</v>
      </c>
      <c r="C290" s="1079" t="str">
        <f t="shared" si="10"/>
        <v>Armação aço CA-50 ø 8,0mm para estaca (corte e dobra em obra)</v>
      </c>
      <c r="D290" s="1079" t="s">
        <v>1485</v>
      </c>
      <c r="E290" s="1080" t="s">
        <v>1481</v>
      </c>
      <c r="F290" s="1079"/>
      <c r="G290" s="1081" t="str">
        <f>IF(B290="insumo",_xlfn.XLOOKUP($D290,Insumos!$B$1:$B$670,Insumos!$D$1:$D$670),"")</f>
        <v/>
      </c>
      <c r="H290" s="1081" cm="1">
        <f t="array" ref="H290">_xlfn.IFS(B290="Serviço",SUMIFS(H291:$H$2465,C291:$C$2465,$C290),B290="Insumo",F290*G290,B290="Etapa","")</f>
        <v>6.9381450000000005</v>
      </c>
      <c r="I290" s="1082" t="s">
        <v>872</v>
      </c>
    </row>
    <row r="291" spans="1:9" hidden="1" outlineLevel="2" x14ac:dyDescent="0.25">
      <c r="A291" s="1079">
        <f t="shared" si="11"/>
        <v>5</v>
      </c>
      <c r="B291" s="1079" t="s">
        <v>1362</v>
      </c>
      <c r="C291" s="1079" t="str">
        <f t="shared" si="10"/>
        <v>Armação aço CA-50 ø 8,0mm para estaca (corte e dobra em obra)</v>
      </c>
      <c r="D291" s="1079" t="s">
        <v>1486</v>
      </c>
      <c r="E291" s="1080" t="str">
        <f>_xlfn.XLOOKUP(D291,Insumos!$B$1:$B$670,Insumos!$C$1:$C$670)</f>
        <v>KG</v>
      </c>
      <c r="F291" s="1083">
        <v>1.1000000000000001</v>
      </c>
      <c r="G291" s="1081">
        <f>IF(B291="insumo",_xlfn.XLOOKUP($D291,Insumos!$B$1:$B$670,Insumos!$D$1:$D$670),"")</f>
        <v>6.04</v>
      </c>
      <c r="H291" s="1081" cm="1">
        <f t="array" ref="H291">_xlfn.IFS(B291="Serviço",SUMIFS(H292:$H$2465,C292:$C$2465,$C291),B291="Insumo",F291*G291,B291="Etapa","")</f>
        <v>6.644000000000001</v>
      </c>
      <c r="I291" s="1082"/>
    </row>
    <row r="292" spans="1:9" hidden="1" outlineLevel="2" x14ac:dyDescent="0.25">
      <c r="A292" s="1079">
        <f t="shared" si="11"/>
        <v>23</v>
      </c>
      <c r="B292" s="1079" t="s">
        <v>1362</v>
      </c>
      <c r="C292" s="1079" t="str">
        <f t="shared" si="10"/>
        <v>Armação aço CA-50 ø 8,0mm para estaca (corte e dobra em obra)</v>
      </c>
      <c r="D292" s="1079" t="s">
        <v>1483</v>
      </c>
      <c r="E292" s="1080" t="str">
        <f>_xlfn.XLOOKUP(D292,Insumos!$B$1:$B$670,Insumos!$C$1:$C$670)</f>
        <v>KG</v>
      </c>
      <c r="F292" s="1083">
        <v>2.0500000000000001E-2</v>
      </c>
      <c r="G292" s="1081">
        <f>IF(B292="insumo",_xlfn.XLOOKUP($D292,Insumos!$B$1:$B$670,Insumos!$D$1:$D$670),"")</f>
        <v>13.69</v>
      </c>
      <c r="H292" s="1081" cm="1">
        <f t="array" ref="H292">_xlfn.IFS(B292="Serviço",SUMIFS(H293:$H$2465,C293:$C$2465,$C292),B292="Insumo",F292*G292,B292="Etapa","")</f>
        <v>0.28064499999999998</v>
      </c>
      <c r="I292" s="1082"/>
    </row>
    <row r="293" spans="1:9" hidden="1" outlineLevel="2" x14ac:dyDescent="0.25">
      <c r="A293" s="1079">
        <f t="shared" si="11"/>
        <v>35</v>
      </c>
      <c r="B293" s="1079" t="s">
        <v>1362</v>
      </c>
      <c r="C293" s="1079" t="str">
        <f t="shared" si="10"/>
        <v>Armação aço CA-50 ø 8,0mm para estaca (corte e dobra em obra)</v>
      </c>
      <c r="D293" s="1079" t="s">
        <v>1484</v>
      </c>
      <c r="E293" s="1080" t="str">
        <f>_xlfn.XLOOKUP(D293,Insumos!$B$1:$B$670,Insumos!$C$1:$C$670)</f>
        <v>UN</v>
      </c>
      <c r="F293" s="1083">
        <v>0.05</v>
      </c>
      <c r="G293" s="1081">
        <f>IF(B293="insumo",_xlfn.XLOOKUP($D293,Insumos!$B$1:$B$670,Insumos!$D$1:$D$670),"")</f>
        <v>0.27</v>
      </c>
      <c r="H293" s="1081" cm="1">
        <f t="array" ref="H293">_xlfn.IFS(B293="Serviço",SUMIFS(H294:$H$2465,C294:$C$2465,$C293),B293="Insumo",F293*G293,B293="Etapa","")</f>
        <v>1.3500000000000002E-2</v>
      </c>
      <c r="I293" s="1082"/>
    </row>
    <row r="294" spans="1:9" hidden="1" outlineLevel="1" collapsed="1" x14ac:dyDescent="0.25">
      <c r="A294" s="1079">
        <f t="shared" si="11"/>
        <v>1</v>
      </c>
      <c r="B294" s="1079" t="s">
        <v>471</v>
      </c>
      <c r="C294" s="1079" t="str">
        <f t="shared" si="10"/>
        <v>Armação aço CA-50 ø 10,0mm para estaca (corte e dobra em obra)</v>
      </c>
      <c r="D294" s="1079" t="s">
        <v>1487</v>
      </c>
      <c r="E294" s="1080" t="s">
        <v>1481</v>
      </c>
      <c r="F294" s="1079"/>
      <c r="G294" s="1081" t="str">
        <f>IF(B294="insumo",_xlfn.XLOOKUP($D294,Insumos!$B$1:$B$670,Insumos!$D$1:$D$670),"")</f>
        <v/>
      </c>
      <c r="H294" s="1081" cm="1">
        <f t="array" ref="H294">_xlfn.IFS(B294="Serviço",SUMIFS(H295:$H$2465,C295:$C$2465,$C294),B294="Insumo",F294*G294,B294="Etapa","")</f>
        <v>6.6301449999999997</v>
      </c>
      <c r="I294" s="1082" t="s">
        <v>872</v>
      </c>
    </row>
    <row r="295" spans="1:9" hidden="1" outlineLevel="2" x14ac:dyDescent="0.25">
      <c r="A295" s="1079">
        <f t="shared" si="11"/>
        <v>4</v>
      </c>
      <c r="B295" s="1079" t="s">
        <v>1362</v>
      </c>
      <c r="C295" s="1079" t="str">
        <f t="shared" si="10"/>
        <v>Armação aço CA-50 ø 10,0mm para estaca (corte e dobra em obra)</v>
      </c>
      <c r="D295" s="1079" t="s">
        <v>1488</v>
      </c>
      <c r="E295" s="1080" t="str">
        <f>_xlfn.XLOOKUP(D295,Insumos!$B$1:$B$670,Insumos!$C$1:$C$670)</f>
        <v>KG</v>
      </c>
      <c r="F295" s="1083">
        <v>1.1000000000000001</v>
      </c>
      <c r="G295" s="1081">
        <f>IF(B295="insumo",_xlfn.XLOOKUP($D295,Insumos!$B$1:$B$670,Insumos!$D$1:$D$670),"")</f>
        <v>5.76</v>
      </c>
      <c r="H295" s="1081" cm="1">
        <f t="array" ref="H295">_xlfn.IFS(B295="Serviço",SUMIFS(H296:$H$2465,C296:$C$2465,$C295),B295="Insumo",F295*G295,B295="Etapa","")</f>
        <v>6.3360000000000003</v>
      </c>
      <c r="I295" s="1082"/>
    </row>
    <row r="296" spans="1:9" hidden="1" outlineLevel="2" x14ac:dyDescent="0.25">
      <c r="A296" s="1079">
        <f t="shared" si="11"/>
        <v>23</v>
      </c>
      <c r="B296" s="1079" t="s">
        <v>1362</v>
      </c>
      <c r="C296" s="1079" t="str">
        <f t="shared" si="10"/>
        <v>Armação aço CA-50 ø 10,0mm para estaca (corte e dobra em obra)</v>
      </c>
      <c r="D296" s="1079" t="s">
        <v>1483</v>
      </c>
      <c r="E296" s="1080" t="str">
        <f>_xlfn.XLOOKUP(D296,Insumos!$B$1:$B$670,Insumos!$C$1:$C$670)</f>
        <v>KG</v>
      </c>
      <c r="F296" s="1083">
        <v>2.0500000000000001E-2</v>
      </c>
      <c r="G296" s="1081">
        <f>IF(B296="insumo",_xlfn.XLOOKUP($D296,Insumos!$B$1:$B$670,Insumos!$D$1:$D$670),"")</f>
        <v>13.69</v>
      </c>
      <c r="H296" s="1081" cm="1">
        <f t="array" ref="H296">_xlfn.IFS(B296="Serviço",SUMIFS(H297:$H$2465,C297:$C$2465,$C296),B296="Insumo",F296*G296,B296="Etapa","")</f>
        <v>0.28064499999999998</v>
      </c>
      <c r="I296" s="1082"/>
    </row>
    <row r="297" spans="1:9" hidden="1" outlineLevel="2" x14ac:dyDescent="0.25">
      <c r="A297" s="1079">
        <f t="shared" si="11"/>
        <v>35</v>
      </c>
      <c r="B297" s="1079" t="s">
        <v>1362</v>
      </c>
      <c r="C297" s="1079" t="str">
        <f t="shared" si="10"/>
        <v>Armação aço CA-50 ø 10,0mm para estaca (corte e dobra em obra)</v>
      </c>
      <c r="D297" s="1079" t="s">
        <v>1484</v>
      </c>
      <c r="E297" s="1080" t="str">
        <f>_xlfn.XLOOKUP(D297,Insumos!$B$1:$B$670,Insumos!$C$1:$C$670)</f>
        <v>UN</v>
      </c>
      <c r="F297" s="1083">
        <v>0.05</v>
      </c>
      <c r="G297" s="1081">
        <f>IF(B297="insumo",_xlfn.XLOOKUP($D297,Insumos!$B$1:$B$670,Insumos!$D$1:$D$670),"")</f>
        <v>0.27</v>
      </c>
      <c r="H297" s="1081" cm="1">
        <f t="array" ref="H297">_xlfn.IFS(B297="Serviço",SUMIFS(H298:$H$2465,C298:$C$2465,$C297),B297="Insumo",F297*G297,B297="Etapa","")</f>
        <v>1.3500000000000002E-2</v>
      </c>
      <c r="I297" s="1082"/>
    </row>
    <row r="298" spans="1:9" hidden="1" outlineLevel="1" collapsed="1" x14ac:dyDescent="0.25">
      <c r="A298" s="1079">
        <f t="shared" si="11"/>
        <v>1</v>
      </c>
      <c r="B298" s="1079" t="s">
        <v>471</v>
      </c>
      <c r="C298" s="1079" t="str">
        <f t="shared" si="10"/>
        <v>Armação aço CA-50 ø 16,0mm para estaca (corte e dobra em obra)</v>
      </c>
      <c r="D298" s="1079" t="s">
        <v>1489</v>
      </c>
      <c r="E298" s="1080" t="s">
        <v>1481</v>
      </c>
      <c r="F298" s="1079"/>
      <c r="G298" s="1081" t="str">
        <f>IF(B298="insumo",_xlfn.XLOOKUP($D298,Insumos!$B$1:$B$670,Insumos!$D$1:$D$670),"")</f>
        <v/>
      </c>
      <c r="H298" s="1081" cm="1">
        <f t="array" ref="H298">_xlfn.IFS(B298="Serviço",SUMIFS(H299:$H$2465,C299:$C$2465,$C298),B298="Insumo",F298*G298,B298="Etapa","")</f>
        <v>6.4431449999999995</v>
      </c>
      <c r="I298" s="1082" t="s">
        <v>872</v>
      </c>
    </row>
    <row r="299" spans="1:9" hidden="1" outlineLevel="2" x14ac:dyDescent="0.25">
      <c r="A299" s="1079">
        <f t="shared" si="11"/>
        <v>4</v>
      </c>
      <c r="B299" s="1079" t="s">
        <v>1362</v>
      </c>
      <c r="C299" s="1079" t="str">
        <f t="shared" si="10"/>
        <v>Armação aço CA-50 ø 16,0mm para estaca (corte e dobra em obra)</v>
      </c>
      <c r="D299" s="1079" t="s">
        <v>1490</v>
      </c>
      <c r="E299" s="1080" t="str">
        <f>_xlfn.XLOOKUP(D299,Insumos!$B$1:$B$670,Insumos!$C$1:$C$670)</f>
        <v>KG</v>
      </c>
      <c r="F299" s="1083">
        <v>1.1000000000000001</v>
      </c>
      <c r="G299" s="1081">
        <f>IF(B299="insumo",_xlfn.XLOOKUP($D299,Insumos!$B$1:$B$670,Insumos!$D$1:$D$670),"")</f>
        <v>5.59</v>
      </c>
      <c r="H299" s="1081" cm="1">
        <f t="array" ref="H299">_xlfn.IFS(B299="Serviço",SUMIFS(H300:$H$2465,C300:$C$2465,$C299),B299="Insumo",F299*G299,B299="Etapa","")</f>
        <v>6.149</v>
      </c>
      <c r="I299" s="1082"/>
    </row>
    <row r="300" spans="1:9" hidden="1" outlineLevel="2" x14ac:dyDescent="0.25">
      <c r="A300" s="1079">
        <f t="shared" si="11"/>
        <v>23</v>
      </c>
      <c r="B300" s="1079" t="s">
        <v>1362</v>
      </c>
      <c r="C300" s="1079" t="str">
        <f t="shared" si="10"/>
        <v>Armação aço CA-50 ø 16,0mm para estaca (corte e dobra em obra)</v>
      </c>
      <c r="D300" s="1079" t="s">
        <v>1483</v>
      </c>
      <c r="E300" s="1080" t="str">
        <f>_xlfn.XLOOKUP(D300,Insumos!$B$1:$B$670,Insumos!$C$1:$C$670)</f>
        <v>KG</v>
      </c>
      <c r="F300" s="1083">
        <v>2.0500000000000001E-2</v>
      </c>
      <c r="G300" s="1081">
        <f>IF(B300="insumo",_xlfn.XLOOKUP($D300,Insumos!$B$1:$B$670,Insumos!$D$1:$D$670),"")</f>
        <v>13.69</v>
      </c>
      <c r="H300" s="1081" cm="1">
        <f t="array" ref="H300">_xlfn.IFS(B300="Serviço",SUMIFS(H301:$H$2465,C301:$C$2465,$C300),B300="Insumo",F300*G300,B300="Etapa","")</f>
        <v>0.28064499999999998</v>
      </c>
      <c r="I300" s="1082"/>
    </row>
    <row r="301" spans="1:9" hidden="1" outlineLevel="2" x14ac:dyDescent="0.25">
      <c r="A301" s="1079">
        <f t="shared" si="11"/>
        <v>35</v>
      </c>
      <c r="B301" s="1079" t="s">
        <v>1362</v>
      </c>
      <c r="C301" s="1079" t="str">
        <f t="shared" si="10"/>
        <v>Armação aço CA-50 ø 16,0mm para estaca (corte e dobra em obra)</v>
      </c>
      <c r="D301" s="1079" t="s">
        <v>1484</v>
      </c>
      <c r="E301" s="1080" t="str">
        <f>_xlfn.XLOOKUP(D301,Insumos!$B$1:$B$670,Insumos!$C$1:$C$670)</f>
        <v>UN</v>
      </c>
      <c r="F301" s="1083">
        <v>0.05</v>
      </c>
      <c r="G301" s="1081">
        <f>IF(B301="insumo",_xlfn.XLOOKUP($D301,Insumos!$B$1:$B$670,Insumos!$D$1:$D$670),"")</f>
        <v>0.27</v>
      </c>
      <c r="H301" s="1081" cm="1">
        <f t="array" ref="H301">_xlfn.IFS(B301="Serviço",SUMIFS(H302:$H$2465,C302:$C$2465,$C301),B301="Insumo",F301*G301,B301="Etapa","")</f>
        <v>1.3500000000000002E-2</v>
      </c>
      <c r="I301" s="1082"/>
    </row>
    <row r="302" spans="1:9" hidden="1" outlineLevel="1" collapsed="1" x14ac:dyDescent="0.25">
      <c r="A302" s="1079">
        <f t="shared" si="11"/>
        <v>1</v>
      </c>
      <c r="B302" s="1079" t="s">
        <v>471</v>
      </c>
      <c r="C302" s="1079" t="str">
        <f t="shared" si="10"/>
        <v>Armação aço CA-50 ø 20,0mm para estaca (corte e dobra em obra)</v>
      </c>
      <c r="D302" s="1079" t="s">
        <v>1491</v>
      </c>
      <c r="E302" s="1080" t="s">
        <v>1481</v>
      </c>
      <c r="F302" s="1079"/>
      <c r="G302" s="1081" t="str">
        <f>IF(B302="insumo",_xlfn.XLOOKUP($D302,Insumos!$B$1:$B$670,Insumos!$D$1:$D$670),"")</f>
        <v/>
      </c>
      <c r="H302" s="1081" cm="1">
        <f t="array" ref="H302">_xlfn.IFS(B302="Serviço",SUMIFS(H303:$H$2465,C303:$C$2465,$C302),B302="Insumo",F302*G302,B302="Etapa","")</f>
        <v>6.4431449999999995</v>
      </c>
      <c r="I302" s="1082" t="s">
        <v>872</v>
      </c>
    </row>
    <row r="303" spans="1:9" hidden="1" outlineLevel="2" x14ac:dyDescent="0.25">
      <c r="A303" s="1079">
        <f t="shared" si="11"/>
        <v>4</v>
      </c>
      <c r="B303" s="1079" t="s">
        <v>1362</v>
      </c>
      <c r="C303" s="1079" t="str">
        <f t="shared" si="10"/>
        <v>Armação aço CA-50 ø 20,0mm para estaca (corte e dobra em obra)</v>
      </c>
      <c r="D303" s="1079" t="s">
        <v>1492</v>
      </c>
      <c r="E303" s="1080" t="str">
        <f>_xlfn.XLOOKUP(D303,Insumos!$B$1:$B$670,Insumos!$C$1:$C$670)</f>
        <v>KG</v>
      </c>
      <c r="F303" s="1083">
        <v>1.1000000000000001</v>
      </c>
      <c r="G303" s="1081">
        <f>IF(B303="insumo",_xlfn.XLOOKUP($D303,Insumos!$B$1:$B$670,Insumos!$D$1:$D$670),"")</f>
        <v>5.59</v>
      </c>
      <c r="H303" s="1081" cm="1">
        <f t="array" ref="H303">_xlfn.IFS(B303="Serviço",SUMIFS(H304:$H$2465,C304:$C$2465,$C303),B303="Insumo",F303*G303,B303="Etapa","")</f>
        <v>6.149</v>
      </c>
      <c r="I303" s="1082"/>
    </row>
    <row r="304" spans="1:9" hidden="1" outlineLevel="2" x14ac:dyDescent="0.25">
      <c r="A304" s="1079">
        <f t="shared" si="11"/>
        <v>23</v>
      </c>
      <c r="B304" s="1079" t="s">
        <v>1362</v>
      </c>
      <c r="C304" s="1079" t="str">
        <f t="shared" si="10"/>
        <v>Armação aço CA-50 ø 20,0mm para estaca (corte e dobra em obra)</v>
      </c>
      <c r="D304" s="1079" t="s">
        <v>1483</v>
      </c>
      <c r="E304" s="1080" t="str">
        <f>_xlfn.XLOOKUP(D304,Insumos!$B$1:$B$670,Insumos!$C$1:$C$670)</f>
        <v>KG</v>
      </c>
      <c r="F304" s="1083">
        <v>2.0500000000000001E-2</v>
      </c>
      <c r="G304" s="1081">
        <f>IF(B304="insumo",_xlfn.XLOOKUP($D304,Insumos!$B$1:$B$670,Insumos!$D$1:$D$670),"")</f>
        <v>13.69</v>
      </c>
      <c r="H304" s="1081" cm="1">
        <f t="array" ref="H304">_xlfn.IFS(B304="Serviço",SUMIFS(H305:$H$2465,C305:$C$2465,$C304),B304="Insumo",F304*G304,B304="Etapa","")</f>
        <v>0.28064499999999998</v>
      </c>
      <c r="I304" s="1082"/>
    </row>
    <row r="305" spans="1:9" hidden="1" outlineLevel="2" x14ac:dyDescent="0.25">
      <c r="A305" s="1079">
        <f t="shared" si="11"/>
        <v>35</v>
      </c>
      <c r="B305" s="1079" t="s">
        <v>1362</v>
      </c>
      <c r="C305" s="1079" t="str">
        <f t="shared" si="10"/>
        <v>Armação aço CA-50 ø 20,0mm para estaca (corte e dobra em obra)</v>
      </c>
      <c r="D305" s="1079" t="s">
        <v>1484</v>
      </c>
      <c r="E305" s="1080" t="str">
        <f>_xlfn.XLOOKUP(D305,Insumos!$B$1:$B$670,Insumos!$C$1:$C$670)</f>
        <v>UN</v>
      </c>
      <c r="F305" s="1083">
        <v>0.05</v>
      </c>
      <c r="G305" s="1081">
        <f>IF(B305="insumo",_xlfn.XLOOKUP($D305,Insumos!$B$1:$B$670,Insumos!$D$1:$D$670),"")</f>
        <v>0.27</v>
      </c>
      <c r="H305" s="1081" cm="1">
        <f t="array" ref="H305">_xlfn.IFS(B305="Serviço",SUMIFS(H306:$H$2465,C306:$C$2465,$C305),B305="Insumo",F305*G305,B305="Etapa","")</f>
        <v>1.3500000000000002E-2</v>
      </c>
      <c r="I305" s="1082"/>
    </row>
    <row r="306" spans="1:9" hidden="1" outlineLevel="1" collapsed="1" x14ac:dyDescent="0.25">
      <c r="A306" s="1079">
        <f t="shared" si="11"/>
        <v>1</v>
      </c>
      <c r="B306" s="1079" t="s">
        <v>471</v>
      </c>
      <c r="C306" s="1079" t="str">
        <f t="shared" si="10"/>
        <v xml:space="preserve">Armação aço CA-60 ø 5,00mm para estaca (corte e dobra em obra) </v>
      </c>
      <c r="D306" s="1079" t="s">
        <v>1493</v>
      </c>
      <c r="E306" s="1080" t="s">
        <v>1481</v>
      </c>
      <c r="F306" s="1079"/>
      <c r="G306" s="1081" t="str">
        <f>IF(B306="insumo",_xlfn.XLOOKUP($D306,Insumos!$B$1:$B$670,Insumos!$D$1:$D$670),"")</f>
        <v/>
      </c>
      <c r="H306" s="1081" cm="1">
        <f t="array" ref="H306">_xlfn.IFS(B306="Serviço",SUMIFS(H307:$H$2465,C307:$C$2465,$C306),B306="Insumo",F306*G306,B306="Etapa","")</f>
        <v>7.4881450000000003</v>
      </c>
      <c r="I306" s="1082" t="s">
        <v>872</v>
      </c>
    </row>
    <row r="307" spans="1:9" hidden="1" outlineLevel="2" x14ac:dyDescent="0.25">
      <c r="A307" s="1079">
        <f t="shared" si="11"/>
        <v>4</v>
      </c>
      <c r="B307" s="1079" t="s">
        <v>1362</v>
      </c>
      <c r="C307" s="1079" t="str">
        <f t="shared" si="10"/>
        <v xml:space="preserve">Armação aço CA-60 ø 5,00mm para estaca (corte e dobra em obra) </v>
      </c>
      <c r="D307" s="1079" t="s">
        <v>1494</v>
      </c>
      <c r="E307" s="1080" t="str">
        <f>_xlfn.XLOOKUP(D307,Insumos!$B$1:$B$670,Insumos!$C$1:$C$670)</f>
        <v>KG</v>
      </c>
      <c r="F307" s="1083">
        <v>1.1000000000000001</v>
      </c>
      <c r="G307" s="1081">
        <f>IF(B307="insumo",_xlfn.XLOOKUP($D307,Insumos!$B$1:$B$670,Insumos!$D$1:$D$670),"")</f>
        <v>6.54</v>
      </c>
      <c r="H307" s="1081" cm="1">
        <f t="array" ref="H307">_xlfn.IFS(B307="Serviço",SUMIFS(H308:$H$2465,C308:$C$2465,$C307),B307="Insumo",F307*G307,B307="Etapa","")</f>
        <v>7.1940000000000008</v>
      </c>
      <c r="I307" s="1082"/>
    </row>
    <row r="308" spans="1:9" hidden="1" outlineLevel="2" x14ac:dyDescent="0.25">
      <c r="A308" s="1079">
        <f t="shared" si="11"/>
        <v>23</v>
      </c>
      <c r="B308" s="1079" t="s">
        <v>1362</v>
      </c>
      <c r="C308" s="1079" t="str">
        <f t="shared" si="10"/>
        <v xml:space="preserve">Armação aço CA-60 ø 5,00mm para estaca (corte e dobra em obra) </v>
      </c>
      <c r="D308" s="1079" t="s">
        <v>1483</v>
      </c>
      <c r="E308" s="1080" t="str">
        <f>_xlfn.XLOOKUP(D308,Insumos!$B$1:$B$670,Insumos!$C$1:$C$670)</f>
        <v>KG</v>
      </c>
      <c r="F308" s="1083">
        <v>2.0500000000000001E-2</v>
      </c>
      <c r="G308" s="1081">
        <f>IF(B308="insumo",_xlfn.XLOOKUP($D308,Insumos!$B$1:$B$670,Insumos!$D$1:$D$670),"")</f>
        <v>13.69</v>
      </c>
      <c r="H308" s="1081" cm="1">
        <f t="array" ref="H308">_xlfn.IFS(B308="Serviço",SUMIFS(H309:$H$2465,C309:$C$2465,$C308),B308="Insumo",F308*G308,B308="Etapa","")</f>
        <v>0.28064499999999998</v>
      </c>
      <c r="I308" s="1082"/>
    </row>
    <row r="309" spans="1:9" hidden="1" outlineLevel="2" x14ac:dyDescent="0.25">
      <c r="A309" s="1079">
        <f t="shared" si="11"/>
        <v>35</v>
      </c>
      <c r="B309" s="1079" t="s">
        <v>1362</v>
      </c>
      <c r="C309" s="1079" t="str">
        <f t="shared" si="10"/>
        <v xml:space="preserve">Armação aço CA-60 ø 5,00mm para estaca (corte e dobra em obra) </v>
      </c>
      <c r="D309" s="1079" t="s">
        <v>1484</v>
      </c>
      <c r="E309" s="1080" t="str">
        <f>_xlfn.XLOOKUP(D309,Insumos!$B$1:$B$670,Insumos!$C$1:$C$670)</f>
        <v>UN</v>
      </c>
      <c r="F309" s="1083">
        <v>0.05</v>
      </c>
      <c r="G309" s="1081">
        <f>IF(B309="insumo",_xlfn.XLOOKUP($D309,Insumos!$B$1:$B$670,Insumos!$D$1:$D$670),"")</f>
        <v>0.27</v>
      </c>
      <c r="H309" s="1081" cm="1">
        <f t="array" ref="H309">_xlfn.IFS(B309="Serviço",SUMIFS(H310:$H$2465,C310:$C$2465,$C309),B309="Insumo",F309*G309,B309="Etapa","")</f>
        <v>1.3500000000000002E-2</v>
      </c>
      <c r="I309" s="1082"/>
    </row>
    <row r="310" spans="1:9" hidden="1" outlineLevel="1" collapsed="1" x14ac:dyDescent="0.25">
      <c r="A310" s="1079">
        <f t="shared" si="11"/>
        <v>1</v>
      </c>
      <c r="B310" s="1079" t="s">
        <v>471</v>
      </c>
      <c r="C310" s="1079" t="str">
        <f t="shared" si="10"/>
        <v>Concreto Usinado bombeável para estacas 25MPa  - incluindo serviço de bombeamento</v>
      </c>
      <c r="D310" s="1079" t="s">
        <v>1495</v>
      </c>
      <c r="E310" s="1080" t="s">
        <v>1426</v>
      </c>
      <c r="F310" s="1079"/>
      <c r="G310" s="1081" t="str">
        <f>IF(B310="insumo",_xlfn.XLOOKUP($D310,Insumos!$B$1:$B$670,Insumos!$D$1:$D$670),"")</f>
        <v/>
      </c>
      <c r="H310" s="1081" cm="1">
        <f t="array" ref="H310">_xlfn.IFS(B310="Serviço",SUMIFS(H311:$H$2465,C311:$C$2465,$C310),B310="Insumo",F310*G310,B310="Etapa","")</f>
        <v>693.66</v>
      </c>
      <c r="I310" s="1082" t="s">
        <v>872</v>
      </c>
    </row>
    <row r="311" spans="1:9" hidden="1" outlineLevel="2" x14ac:dyDescent="0.25">
      <c r="A311" s="1079">
        <f t="shared" si="11"/>
        <v>3</v>
      </c>
      <c r="B311" s="1079" t="s">
        <v>1362</v>
      </c>
      <c r="C311" s="1079" t="str">
        <f t="shared" si="10"/>
        <v>Concreto Usinado bombeável para estacas 25MPa  - incluindo serviço de bombeamento</v>
      </c>
      <c r="D311" s="1079" t="s">
        <v>1496</v>
      </c>
      <c r="E311" s="1080" t="str">
        <f>_xlfn.XLOOKUP(D311,Insumos!$B$1:$B$670,Insumos!$C$1:$C$670)</f>
        <v>M3</v>
      </c>
      <c r="F311" s="1083">
        <v>1.3</v>
      </c>
      <c r="G311" s="1081">
        <f>IF(B311="insumo",_xlfn.XLOOKUP($D311,Insumos!$B$1:$B$670,Insumos!$D$1:$D$670),"")</f>
        <v>492.99999999999994</v>
      </c>
      <c r="H311" s="1081" cm="1">
        <f t="array" ref="H311">_xlfn.IFS(B311="Serviço",SUMIFS(H312:$H$2465,C312:$C$2465,$C311),B311="Insumo",F311*G311,B311="Etapa","")</f>
        <v>640.9</v>
      </c>
      <c r="I311" s="1082"/>
    </row>
    <row r="312" spans="1:9" hidden="1" outlineLevel="2" x14ac:dyDescent="0.25">
      <c r="A312" s="1079">
        <f t="shared" si="11"/>
        <v>22</v>
      </c>
      <c r="B312" s="1079" t="s">
        <v>1362</v>
      </c>
      <c r="C312" s="1079" t="str">
        <f t="shared" ref="C312:C327" si="12">IF(B312="serviço",D312,C311)</f>
        <v>Concreto Usinado bombeável para estacas 25MPa  - incluindo serviço de bombeamento</v>
      </c>
      <c r="D312" s="1079" t="s">
        <v>1433</v>
      </c>
      <c r="E312" s="1080" t="str">
        <f>_xlfn.XLOOKUP(D312,Insumos!$B$1:$B$670,Insumos!$C$1:$C$670)</f>
        <v>M3</v>
      </c>
      <c r="F312" s="1083">
        <v>1.3</v>
      </c>
      <c r="G312" s="1081">
        <f>IF(B312="insumo",_xlfn.XLOOKUP($D312,Insumos!$B$1:$B$670,Insumos!$D$1:$D$670),"")</f>
        <v>40</v>
      </c>
      <c r="H312" s="1081" cm="1">
        <f t="array" ref="H312">_xlfn.IFS(B312="Serviço",SUMIFS(H313:$H$2465,C313:$C$2465,$C312),B312="Insumo",F312*G312,B312="Etapa","")</f>
        <v>52</v>
      </c>
      <c r="I312" s="1082"/>
    </row>
    <row r="313" spans="1:9" hidden="1" outlineLevel="2" x14ac:dyDescent="0.25">
      <c r="A313" s="1079">
        <f t="shared" si="11"/>
        <v>38</v>
      </c>
      <c r="B313" s="1079" t="s">
        <v>1362</v>
      </c>
      <c r="C313" s="1079" t="str">
        <f t="shared" si="12"/>
        <v>Concreto Usinado bombeável para estacas 25MPa  - incluindo serviço de bombeamento</v>
      </c>
      <c r="D313" s="1079" t="s">
        <v>1434</v>
      </c>
      <c r="E313" s="1080" t="str">
        <f>_xlfn.XLOOKUP(D313,Insumos!$B$1:$B$670,Insumos!$C$1:$C$670)</f>
        <v>KG</v>
      </c>
      <c r="F313" s="1083">
        <v>1</v>
      </c>
      <c r="G313" s="1081">
        <f>IF(B313="insumo",_xlfn.XLOOKUP($D313,Insumos!$B$1:$B$670,Insumos!$D$1:$D$670),"")</f>
        <v>0.76</v>
      </c>
      <c r="H313" s="1081" cm="1">
        <f t="array" ref="H313">_xlfn.IFS(B313="Serviço",SUMIFS(H314:$H$2465,C314:$C$2465,$C313),B313="Insumo",F313*G313,B313="Etapa","")</f>
        <v>0.76</v>
      </c>
      <c r="I313" s="1082"/>
    </row>
    <row r="314" spans="1:9" hidden="1" outlineLevel="1" collapsed="1" x14ac:dyDescent="0.25">
      <c r="A314" s="1079">
        <f t="shared" si="11"/>
        <v>1</v>
      </c>
      <c r="B314" s="1079" t="s">
        <v>471</v>
      </c>
      <c r="C314" s="1079" t="str">
        <f t="shared" si="12"/>
        <v>Concreto Usinado bombeável para estacas 30MPa  - incluindo serviço de bombeamento</v>
      </c>
      <c r="D314" s="1079" t="s">
        <v>1497</v>
      </c>
      <c r="E314" s="1080" t="s">
        <v>1426</v>
      </c>
      <c r="F314" s="1079"/>
      <c r="G314" s="1081" t="str">
        <f>IF(B314="insumo",_xlfn.XLOOKUP($D314,Insumos!$B$1:$B$670,Insumos!$D$1:$D$670),"")</f>
        <v/>
      </c>
      <c r="H314" s="1081" cm="1">
        <f t="array" ref="H314">_xlfn.IFS(B314="Serviço",SUMIFS(H315:$H$2465,C315:$C$2465,$C314),B314="Insumo",F314*G314,B314="Etapa","")</f>
        <v>725.70500000000004</v>
      </c>
      <c r="I314" s="1082" t="s">
        <v>872</v>
      </c>
    </row>
    <row r="315" spans="1:9" hidden="1" outlineLevel="2" x14ac:dyDescent="0.25">
      <c r="A315" s="1079">
        <f t="shared" si="11"/>
        <v>1</v>
      </c>
      <c r="B315" s="1079" t="s">
        <v>1362</v>
      </c>
      <c r="C315" s="1079" t="str">
        <f t="shared" si="12"/>
        <v>Concreto Usinado bombeável para estacas 30MPa  - incluindo serviço de bombeamento</v>
      </c>
      <c r="D315" s="1079" t="s">
        <v>1498</v>
      </c>
      <c r="E315" s="1080" t="str">
        <f>_xlfn.XLOOKUP(D315,Insumos!$B$1:$B$670,Insumos!$C$1:$C$670)</f>
        <v>M3</v>
      </c>
      <c r="F315" s="1083">
        <v>1.3</v>
      </c>
      <c r="G315" s="1081">
        <f>IF(B315="insumo",_xlfn.XLOOKUP($D315,Insumos!$B$1:$B$670,Insumos!$D$1:$D$670),"")</f>
        <v>517.65</v>
      </c>
      <c r="H315" s="1081" cm="1">
        <f t="array" ref="H315">_xlfn.IFS(B315="Serviço",SUMIFS(H316:$H$2465,C316:$C$2465,$C315),B315="Insumo",F315*G315,B315="Etapa","")</f>
        <v>672.94500000000005</v>
      </c>
      <c r="I315" s="1082"/>
    </row>
    <row r="316" spans="1:9" hidden="1" outlineLevel="2" x14ac:dyDescent="0.25">
      <c r="A316" s="1079">
        <f t="shared" si="11"/>
        <v>22</v>
      </c>
      <c r="B316" s="1079" t="s">
        <v>1362</v>
      </c>
      <c r="C316" s="1079" t="str">
        <f t="shared" si="12"/>
        <v>Concreto Usinado bombeável para estacas 30MPa  - incluindo serviço de bombeamento</v>
      </c>
      <c r="D316" s="1079" t="s">
        <v>1433</v>
      </c>
      <c r="E316" s="1080" t="str">
        <f>_xlfn.XLOOKUP(D316,Insumos!$B$1:$B$670,Insumos!$C$1:$C$670)</f>
        <v>M3</v>
      </c>
      <c r="F316" s="1083">
        <v>1.3</v>
      </c>
      <c r="G316" s="1081">
        <f>IF(B316="insumo",_xlfn.XLOOKUP($D316,Insumos!$B$1:$B$670,Insumos!$D$1:$D$670),"")</f>
        <v>40</v>
      </c>
      <c r="H316" s="1081" cm="1">
        <f t="array" ref="H316">_xlfn.IFS(B316="Serviço",SUMIFS(H317:$H$2465,C317:$C$2465,$C316),B316="Insumo",F316*G316,B316="Etapa","")</f>
        <v>52</v>
      </c>
      <c r="I316" s="1082"/>
    </row>
    <row r="317" spans="1:9" hidden="1" outlineLevel="2" x14ac:dyDescent="0.25">
      <c r="A317" s="1079">
        <f t="shared" si="11"/>
        <v>38</v>
      </c>
      <c r="B317" s="1079" t="s">
        <v>1362</v>
      </c>
      <c r="C317" s="1079" t="str">
        <f t="shared" si="12"/>
        <v>Concreto Usinado bombeável para estacas 30MPa  - incluindo serviço de bombeamento</v>
      </c>
      <c r="D317" s="1079" t="s">
        <v>1434</v>
      </c>
      <c r="E317" s="1080" t="str">
        <f>_xlfn.XLOOKUP(D317,Insumos!$B$1:$B$670,Insumos!$C$1:$C$670)</f>
        <v>KG</v>
      </c>
      <c r="F317" s="1083">
        <v>1</v>
      </c>
      <c r="G317" s="1081">
        <f>IF(B317="insumo",_xlfn.XLOOKUP($D317,Insumos!$B$1:$B$670,Insumos!$D$1:$D$670),"")</f>
        <v>0.76</v>
      </c>
      <c r="H317" s="1081" cm="1">
        <f t="array" ref="H317">_xlfn.IFS(B317="Serviço",SUMIFS(H318:$H$2465,C318:$C$2465,$C317),B317="Insumo",F317*G317,B317="Etapa","")</f>
        <v>0.76</v>
      </c>
      <c r="I317" s="1082"/>
    </row>
    <row r="318" spans="1:9" hidden="1" outlineLevel="1" collapsed="1" x14ac:dyDescent="0.25">
      <c r="A318" s="1079">
        <f t="shared" si="11"/>
        <v>1</v>
      </c>
      <c r="B318" s="1079" t="s">
        <v>471</v>
      </c>
      <c r="C318" s="1079" t="str">
        <f t="shared" si="12"/>
        <v>Concreto Usinado bombeável para estacas 35MPa  - incluindo serviço de bombeamento</v>
      </c>
      <c r="D318" s="1079" t="s">
        <v>1499</v>
      </c>
      <c r="E318" s="1080" t="s">
        <v>1426</v>
      </c>
      <c r="F318" s="1079"/>
      <c r="G318" s="1081" t="str">
        <f>IF(B318="insumo",_xlfn.XLOOKUP($D318,Insumos!$B$1:$B$670,Insumos!$D$1:$D$670),"")</f>
        <v/>
      </c>
      <c r="H318" s="1081" cm="1">
        <f t="array" ref="H318">_xlfn.IFS(B318="Serviço",SUMIFS(H319:$H$2465,C319:$C$2465,$C318),B318="Insumo",F318*G318,B318="Etapa","")</f>
        <v>787.26</v>
      </c>
      <c r="I318" s="1082" t="s">
        <v>872</v>
      </c>
    </row>
    <row r="319" spans="1:9" hidden="1" outlineLevel="2" x14ac:dyDescent="0.25">
      <c r="A319" s="1079">
        <f t="shared" si="11"/>
        <v>1</v>
      </c>
      <c r="B319" s="1079" t="s">
        <v>1362</v>
      </c>
      <c r="C319" s="1079" t="str">
        <f t="shared" si="12"/>
        <v>Concreto Usinado bombeável para estacas 35MPa  - incluindo serviço de bombeamento</v>
      </c>
      <c r="D319" s="1079" t="s">
        <v>1500</v>
      </c>
      <c r="E319" s="1080" t="str">
        <f>_xlfn.XLOOKUP(D319,Insumos!$B$1:$B$670,Insumos!$C$1:$C$670)</f>
        <v>M3</v>
      </c>
      <c r="F319" s="1083">
        <v>1.3</v>
      </c>
      <c r="G319" s="1081">
        <f>IF(B319="insumo",_xlfn.XLOOKUP($D319,Insumos!$B$1:$B$670,Insumos!$D$1:$D$670),"")</f>
        <v>565</v>
      </c>
      <c r="H319" s="1081" cm="1">
        <f t="array" ref="H319">_xlfn.IFS(B319="Serviço",SUMIFS(H320:$H$2465,C320:$C$2465,$C319),B319="Insumo",F319*G319,B319="Etapa","")</f>
        <v>734.5</v>
      </c>
      <c r="I319" s="1082"/>
    </row>
    <row r="320" spans="1:9" hidden="1" outlineLevel="2" x14ac:dyDescent="0.25">
      <c r="A320" s="1079">
        <f t="shared" si="11"/>
        <v>22</v>
      </c>
      <c r="B320" s="1079" t="s">
        <v>1362</v>
      </c>
      <c r="C320" s="1079" t="str">
        <f t="shared" si="12"/>
        <v>Concreto Usinado bombeável para estacas 35MPa  - incluindo serviço de bombeamento</v>
      </c>
      <c r="D320" s="1079" t="s">
        <v>1433</v>
      </c>
      <c r="E320" s="1080" t="str">
        <f>_xlfn.XLOOKUP(D320,Insumos!$B$1:$B$670,Insumos!$C$1:$C$670)</f>
        <v>M3</v>
      </c>
      <c r="F320" s="1083">
        <v>1.3</v>
      </c>
      <c r="G320" s="1081">
        <f>IF(B320="insumo",_xlfn.XLOOKUP($D320,Insumos!$B$1:$B$670,Insumos!$D$1:$D$670),"")</f>
        <v>40</v>
      </c>
      <c r="H320" s="1081" cm="1">
        <f t="array" ref="H320">_xlfn.IFS(B320="Serviço",SUMIFS(H321:$H$2465,C321:$C$2465,$C320),B320="Insumo",F320*G320,B320="Etapa","")</f>
        <v>52</v>
      </c>
      <c r="I320" s="1082"/>
    </row>
    <row r="321" spans="1:9" hidden="1" outlineLevel="2" x14ac:dyDescent="0.25">
      <c r="A321" s="1079">
        <f t="shared" si="11"/>
        <v>38</v>
      </c>
      <c r="B321" s="1079" t="s">
        <v>1362</v>
      </c>
      <c r="C321" s="1079" t="str">
        <f t="shared" si="12"/>
        <v>Concreto Usinado bombeável para estacas 35MPa  - incluindo serviço de bombeamento</v>
      </c>
      <c r="D321" s="1079" t="s">
        <v>1434</v>
      </c>
      <c r="E321" s="1080" t="str">
        <f>_xlfn.XLOOKUP(D321,Insumos!$B$1:$B$670,Insumos!$C$1:$C$670)</f>
        <v>KG</v>
      </c>
      <c r="F321" s="1083">
        <v>1</v>
      </c>
      <c r="G321" s="1081">
        <f>IF(B321="insumo",_xlfn.XLOOKUP($D321,Insumos!$B$1:$B$670,Insumos!$D$1:$D$670),"")</f>
        <v>0.76</v>
      </c>
      <c r="H321" s="1081" cm="1">
        <f t="array" ref="H321">_xlfn.IFS(B321="Serviço",SUMIFS(H322:$H$2465,C322:$C$2465,$C321),B321="Insumo",F321*G321,B321="Etapa","")</f>
        <v>0.76</v>
      </c>
      <c r="I321" s="1082"/>
    </row>
    <row r="322" spans="1:9" hidden="1" outlineLevel="1" collapsed="1" x14ac:dyDescent="0.25">
      <c r="A322" s="1079">
        <f t="shared" ref="A322:A385" si="13">COUNTIFS($D$2:$D$2465,D322,$B$2:$B$2465,B322)</f>
        <v>1</v>
      </c>
      <c r="B322" s="1079" t="s">
        <v>471</v>
      </c>
      <c r="C322" s="1079" t="str">
        <f t="shared" si="12"/>
        <v>Concreto Usinado bombeável para estacas 40MPa  - incluindo serviço de bombeamento</v>
      </c>
      <c r="D322" s="1079" t="s">
        <v>1501</v>
      </c>
      <c r="E322" s="1080" t="s">
        <v>1426</v>
      </c>
      <c r="F322" s="1079"/>
      <c r="G322" s="1081" t="str">
        <f>IF(B322="insumo",_xlfn.XLOOKUP($D322,Insumos!$B$1:$B$670,Insumos!$D$1:$D$670),"")</f>
        <v/>
      </c>
      <c r="H322" s="1081" cm="1">
        <f t="array" ref="H322">_xlfn.IFS(B322="Serviço",SUMIFS(H323:$H$2465,C323:$C$2465,$C322),B322="Insumo",F322*G322,B322="Etapa","")</f>
        <v>756.76</v>
      </c>
      <c r="I322" s="1082" t="s">
        <v>872</v>
      </c>
    </row>
    <row r="323" spans="1:9" hidden="1" outlineLevel="2" x14ac:dyDescent="0.25">
      <c r="A323" s="1079">
        <f t="shared" si="13"/>
        <v>1</v>
      </c>
      <c r="B323" s="1079" t="s">
        <v>1362</v>
      </c>
      <c r="C323" s="1079" t="str">
        <f t="shared" si="12"/>
        <v>Concreto Usinado bombeável para estacas 40MPa  - incluindo serviço de bombeamento</v>
      </c>
      <c r="D323" s="1079" t="s">
        <v>1502</v>
      </c>
      <c r="E323" s="1080" t="str">
        <f>_xlfn.XLOOKUP(D323,Insumos!$B$1:$B$670,Insumos!$C$1:$C$670)</f>
        <v>M3</v>
      </c>
      <c r="F323" s="1083">
        <v>1.2</v>
      </c>
      <c r="G323" s="1081">
        <f>IF(B323="insumo",_xlfn.XLOOKUP($D323,Insumos!$B$1:$B$670,Insumos!$D$1:$D$670),"")</f>
        <v>590</v>
      </c>
      <c r="H323" s="1081" cm="1">
        <f t="array" ref="H323">_xlfn.IFS(B323="Serviço",SUMIFS(H324:$H$2465,C324:$C$2465,$C323),B323="Insumo",F323*G323,B323="Etapa","")</f>
        <v>708</v>
      </c>
      <c r="I323" s="1082"/>
    </row>
    <row r="324" spans="1:9" hidden="1" outlineLevel="2" x14ac:dyDescent="0.25">
      <c r="A324" s="1079">
        <f t="shared" si="13"/>
        <v>22</v>
      </c>
      <c r="B324" s="1079" t="s">
        <v>1362</v>
      </c>
      <c r="C324" s="1079" t="str">
        <f t="shared" si="12"/>
        <v>Concreto Usinado bombeável para estacas 40MPa  - incluindo serviço de bombeamento</v>
      </c>
      <c r="D324" s="1079" t="s">
        <v>1433</v>
      </c>
      <c r="E324" s="1080" t="str">
        <f>_xlfn.XLOOKUP(D324,Insumos!$B$1:$B$670,Insumos!$C$1:$C$670)</f>
        <v>M3</v>
      </c>
      <c r="F324" s="1083">
        <v>1.2</v>
      </c>
      <c r="G324" s="1081">
        <f>IF(B324="insumo",_xlfn.XLOOKUP($D324,Insumos!$B$1:$B$670,Insumos!$D$1:$D$670),"")</f>
        <v>40</v>
      </c>
      <c r="H324" s="1081" cm="1">
        <f t="array" ref="H324">_xlfn.IFS(B324="Serviço",SUMIFS(H325:$H$2465,C325:$C$2465,$C324),B324="Insumo",F324*G324,B324="Etapa","")</f>
        <v>48</v>
      </c>
      <c r="I324" s="1082"/>
    </row>
    <row r="325" spans="1:9" hidden="1" outlineLevel="2" x14ac:dyDescent="0.25">
      <c r="A325" s="1079">
        <f t="shared" si="13"/>
        <v>38</v>
      </c>
      <c r="B325" s="1079" t="s">
        <v>1362</v>
      </c>
      <c r="C325" s="1079" t="str">
        <f t="shared" si="12"/>
        <v>Concreto Usinado bombeável para estacas 40MPa  - incluindo serviço de bombeamento</v>
      </c>
      <c r="D325" s="1079" t="s">
        <v>1434</v>
      </c>
      <c r="E325" s="1080" t="str">
        <f>_xlfn.XLOOKUP(D325,Insumos!$B$1:$B$670,Insumos!$C$1:$C$670)</f>
        <v>KG</v>
      </c>
      <c r="F325" s="1083">
        <v>1</v>
      </c>
      <c r="G325" s="1081">
        <f>IF(B325="insumo",_xlfn.XLOOKUP($D325,Insumos!$B$1:$B$670,Insumos!$D$1:$D$670),"")</f>
        <v>0.76</v>
      </c>
      <c r="H325" s="1081" cm="1">
        <f t="array" ref="H325">_xlfn.IFS(B325="Serviço",SUMIFS(H326:$H$2465,C326:$C$2465,$C325),B325="Insumo",F325*G325,B325="Etapa","")</f>
        <v>0.76</v>
      </c>
      <c r="I325" s="1082"/>
    </row>
    <row r="326" spans="1:9" hidden="1" outlineLevel="1" collapsed="1" x14ac:dyDescent="0.25">
      <c r="A326" s="1079">
        <f t="shared" si="13"/>
        <v>1</v>
      </c>
      <c r="B326" s="1079" t="s">
        <v>471</v>
      </c>
      <c r="C326" s="1079" t="str">
        <f t="shared" si="12"/>
        <v>Corte e Preparo de Cabeça de Estaca</v>
      </c>
      <c r="D326" s="1079" t="s">
        <v>1503</v>
      </c>
      <c r="E326" s="1080" t="s">
        <v>491</v>
      </c>
      <c r="F326" s="1079"/>
      <c r="G326" s="1081" t="str">
        <f>IF(B326="insumo",_xlfn.XLOOKUP($D326,Insumos!$B$1:$B$670,Insumos!$D$1:$D$670),"")</f>
        <v/>
      </c>
      <c r="H326" s="1081" cm="1">
        <f t="array" ref="H326">_xlfn.IFS(B326="Serviço",SUMIFS(H327:$H$2465,C327:$C$2465,$C326),B326="Insumo",F326*G326,B326="Etapa","")</f>
        <v>300</v>
      </c>
      <c r="I326" s="1082" t="s">
        <v>872</v>
      </c>
    </row>
    <row r="327" spans="1:9" hidden="1" outlineLevel="2" x14ac:dyDescent="0.25">
      <c r="A327" s="1079">
        <f t="shared" si="13"/>
        <v>1</v>
      </c>
      <c r="B327" s="1079" t="s">
        <v>1362</v>
      </c>
      <c r="C327" s="1079" t="str">
        <f t="shared" si="12"/>
        <v>Corte e Preparo de Cabeça de Estaca</v>
      </c>
      <c r="D327" s="1079" t="s">
        <v>1504</v>
      </c>
      <c r="E327" s="1080" t="str">
        <f>_xlfn.XLOOKUP(D327,Insumos!$B$1:$B$670,Insumos!$C$1:$C$670)</f>
        <v>UN</v>
      </c>
      <c r="F327" s="1083">
        <v>1</v>
      </c>
      <c r="G327" s="1081">
        <f>IF(B327="insumo",_xlfn.XLOOKUP($D327,Insumos!$B$1:$B$670,Insumos!$D$1:$D$670),"")</f>
        <v>300</v>
      </c>
      <c r="H327" s="1081" cm="1">
        <f t="array" ref="H327">_xlfn.IFS(B327="Serviço",SUMIFS(H328:$H$2465,C328:$C$2465,$C327),B327="Insumo",F327*G327,B327="Etapa","")</f>
        <v>300</v>
      </c>
      <c r="I327" s="1082"/>
    </row>
    <row r="328" spans="1:9" x14ac:dyDescent="0.25">
      <c r="A328" s="1076">
        <f t="shared" si="13"/>
        <v>1</v>
      </c>
      <c r="B328" s="1076" t="s">
        <v>469</v>
      </c>
      <c r="C328" s="1076"/>
      <c r="D328" s="1076" t="s">
        <v>367</v>
      </c>
      <c r="E328" s="1077"/>
      <c r="F328" s="1078"/>
      <c r="G328" s="1084" t="str">
        <f>IF(B328="insumo",_xlfn.XLOOKUP($D328,Insumos!$B$1:$B$670,Insumos!$D$1:$D$670),"")</f>
        <v/>
      </c>
      <c r="H328" s="1084" t="str" cm="1">
        <f t="array" ref="H328">_xlfn.IFS(B328="Serviço",SUMIFS(H329:$H$2465,C329:$C$2465,$C328),B328="Insumo",F328*G328,B328="Etapa","")</f>
        <v/>
      </c>
      <c r="I328" s="1078"/>
    </row>
    <row r="329" spans="1:9" outlineLevel="1" collapsed="1" x14ac:dyDescent="0.25">
      <c r="A329" s="1079">
        <f t="shared" si="13"/>
        <v>1</v>
      </c>
      <c r="B329" s="1079" t="s">
        <v>471</v>
      </c>
      <c r="C329" s="1079" t="str">
        <f t="shared" ref="C329:C392" si="14">IF(B329="serviço",D329,C328)</f>
        <v>Forma para infraestrutura em Tábuas de Madeira Serrada 2x reaproveitamento</v>
      </c>
      <c r="D329" s="1079" t="s">
        <v>1505</v>
      </c>
      <c r="E329" s="1080" t="s">
        <v>17</v>
      </c>
      <c r="F329" s="1079"/>
      <c r="G329" s="1081" t="str">
        <f>IF(B329="insumo",_xlfn.XLOOKUP($D329,Insumos!$B$1:$B$670,Insumos!$D$1:$D$670),"")</f>
        <v/>
      </c>
      <c r="H329" s="1081" cm="1">
        <f t="array" ref="H329">_xlfn.IFS(B329="Serviço",SUMIFS(H330:$H$2465,C330:$C$2465,$C329),B329="Insumo",F329*G329,B329="Etapa","")</f>
        <v>59.956228571428568</v>
      </c>
      <c r="I329" s="1082" t="s">
        <v>872</v>
      </c>
    </row>
    <row r="330" spans="1:9" hidden="1" outlineLevel="2" x14ac:dyDescent="0.25">
      <c r="A330" s="1079">
        <f t="shared" si="13"/>
        <v>3</v>
      </c>
      <c r="B330" s="1079" t="s">
        <v>1362</v>
      </c>
      <c r="C330" s="1079" t="str">
        <f t="shared" si="14"/>
        <v>Forma para infraestrutura em Tábuas de Madeira Serrada 2x reaproveitamento</v>
      </c>
      <c r="D330" s="1079" t="s">
        <v>1506</v>
      </c>
      <c r="E330" s="1080" t="str">
        <f>_xlfn.XLOOKUP(D330,Insumos!$B$1:$B$670,Insumos!$C$1:$C$670)</f>
        <v>KG</v>
      </c>
      <c r="F330" s="1083">
        <v>1.0999999999999999E-2</v>
      </c>
      <c r="G330" s="1081">
        <f>IF(B330="insumo",_xlfn.XLOOKUP($D330,Insumos!$B$1:$B$670,Insumos!$D$1:$D$670),"")</f>
        <v>18.8</v>
      </c>
      <c r="H330" s="1081" cm="1">
        <f t="array" ref="H330">_xlfn.IFS(B330="Serviço",SUMIFS(H331:$H$2465,C331:$C$2465,$C330),B330="Insumo",F330*G330,B330="Etapa","")</f>
        <v>0.20679999999999998</v>
      </c>
      <c r="I330" s="1082"/>
    </row>
    <row r="331" spans="1:9" hidden="1" outlineLevel="2" x14ac:dyDescent="0.25">
      <c r="A331" s="1079">
        <f t="shared" si="13"/>
        <v>33</v>
      </c>
      <c r="B331" s="1079" t="s">
        <v>1362</v>
      </c>
      <c r="C331" s="1079" t="str">
        <f t="shared" si="14"/>
        <v>Forma para infraestrutura em Tábuas de Madeira Serrada 2x reaproveitamento</v>
      </c>
      <c r="D331" s="1079" t="s">
        <v>1375</v>
      </c>
      <c r="E331" s="1080" t="str">
        <f>_xlfn.XLOOKUP(D331,Insumos!$B$1:$B$670,Insumos!$C$1:$C$670)</f>
        <v>KG</v>
      </c>
      <c r="F331" s="1083">
        <v>9.5000000000000001E-2</v>
      </c>
      <c r="G331" s="1081">
        <f>IF(B331="insumo",_xlfn.XLOOKUP($D331,Insumos!$B$1:$B$670,Insumos!$D$1:$D$670),"")</f>
        <v>18.13</v>
      </c>
      <c r="H331" s="1081" cm="1">
        <f t="array" ref="H331">_xlfn.IFS(B331="Serviço",SUMIFS(H332:$H$2465,C332:$C$2465,$C331),B331="Insumo",F331*G331,B331="Etapa","")</f>
        <v>1.7223499999999998</v>
      </c>
      <c r="I331" s="1082"/>
    </row>
    <row r="332" spans="1:9" hidden="1" outlineLevel="2" x14ac:dyDescent="0.25">
      <c r="A332" s="1079">
        <f t="shared" si="13"/>
        <v>9</v>
      </c>
      <c r="B332" s="1079" t="s">
        <v>1362</v>
      </c>
      <c r="C332" s="1079" t="str">
        <f t="shared" si="14"/>
        <v>Forma para infraestrutura em Tábuas de Madeira Serrada 2x reaproveitamento</v>
      </c>
      <c r="D332" s="1079" t="s">
        <v>1507</v>
      </c>
      <c r="E332" s="1080" t="str">
        <f>_xlfn.XLOOKUP(D332,Insumos!$B$1:$B$670,Insumos!$C$1:$C$670)</f>
        <v>L</v>
      </c>
      <c r="F332" s="1083">
        <v>1.7000000000000001E-2</v>
      </c>
      <c r="G332" s="1081">
        <f>IF(B332="insumo",_xlfn.XLOOKUP($D332,Insumos!$B$1:$B$670,Insumos!$D$1:$D$670),"")</f>
        <v>15.55</v>
      </c>
      <c r="H332" s="1081" cm="1">
        <f t="array" ref="H332">_xlfn.IFS(B332="Serviço",SUMIFS(H333:$H$2465,C333:$C$2465,$C332),B332="Insumo",F332*G332,B332="Etapa","")</f>
        <v>0.26435000000000003</v>
      </c>
      <c r="I332" s="1082"/>
    </row>
    <row r="333" spans="1:9" hidden="1" outlineLevel="2" x14ac:dyDescent="0.25">
      <c r="A333" s="1079">
        <f t="shared" si="13"/>
        <v>21</v>
      </c>
      <c r="B333" s="1079" t="s">
        <v>1362</v>
      </c>
      <c r="C333" s="1079" t="str">
        <f t="shared" si="14"/>
        <v>Forma para infraestrutura em Tábuas de Madeira Serrada 2x reaproveitamento</v>
      </c>
      <c r="D333" s="1079" t="s">
        <v>1372</v>
      </c>
      <c r="E333" s="1080" t="str">
        <f>_xlfn.XLOOKUP(D333,Insumos!$B$1:$B$670,Insumos!$C$1:$C$670)</f>
        <v>M</v>
      </c>
      <c r="F333" s="1083">
        <v>0.73714285714285721</v>
      </c>
      <c r="G333" s="1081">
        <f>IF(B333="insumo",_xlfn.XLOOKUP($D333,Insumos!$B$1:$B$670,Insumos!$D$1:$D$670),"")</f>
        <v>7</v>
      </c>
      <c r="H333" s="1081" cm="1">
        <f t="array" ref="H333">_xlfn.IFS(B333="Serviço",SUMIFS(H334:$H$2465,C334:$C$2465,$C333),B333="Insumo",F333*G333,B333="Etapa","")</f>
        <v>5.16</v>
      </c>
      <c r="I333" s="1082"/>
    </row>
    <row r="334" spans="1:9" hidden="1" outlineLevel="2" x14ac:dyDescent="0.25">
      <c r="A334" s="1079">
        <f t="shared" si="13"/>
        <v>15</v>
      </c>
      <c r="B334" s="1079" t="s">
        <v>1362</v>
      </c>
      <c r="C334" s="1079" t="str">
        <f t="shared" si="14"/>
        <v>Forma para infraestrutura em Tábuas de Madeira Serrada 2x reaproveitamento</v>
      </c>
      <c r="D334" s="1079" t="s">
        <v>1402</v>
      </c>
      <c r="E334" s="1080" t="str">
        <f>_xlfn.XLOOKUP(D334,Insumos!$B$1:$B$670,Insumos!$C$1:$C$670)</f>
        <v>M3</v>
      </c>
      <c r="F334" s="1083">
        <v>2.638095238095238E-3</v>
      </c>
      <c r="G334" s="1081">
        <f>IF(B334="insumo",_xlfn.XLOOKUP($D334,Insumos!$B$1:$B$670,Insumos!$D$1:$D$670),"")</f>
        <v>1350</v>
      </c>
      <c r="H334" s="1081" cm="1">
        <f t="array" ref="H334">_xlfn.IFS(B334="Serviço",SUMIFS(H335:$H$2465,C335:$C$2465,$C334),B334="Insumo",F334*G334,B334="Etapa","")</f>
        <v>3.5614285714285714</v>
      </c>
      <c r="I334" s="1082"/>
    </row>
    <row r="335" spans="1:9" hidden="1" outlineLevel="2" x14ac:dyDescent="0.25">
      <c r="A335" s="1079">
        <f t="shared" si="13"/>
        <v>5</v>
      </c>
      <c r="B335" s="1079" t="s">
        <v>1362</v>
      </c>
      <c r="C335" s="1079" t="str">
        <f t="shared" si="14"/>
        <v>Forma para infraestrutura em Tábuas de Madeira Serrada 2x reaproveitamento</v>
      </c>
      <c r="D335" s="1079" t="s">
        <v>1508</v>
      </c>
      <c r="E335" s="1080" t="str">
        <f>_xlfn.XLOOKUP(D335,Insumos!$B$1:$B$670,Insumos!$C$1:$C$670)</f>
        <v>M</v>
      </c>
      <c r="F335" s="1083">
        <v>1.155</v>
      </c>
      <c r="G335" s="1081">
        <f>IF(B335="insumo",_xlfn.XLOOKUP($D335,Insumos!$B$1:$B$670,Insumos!$D$1:$D$670),"")</f>
        <v>42.46</v>
      </c>
      <c r="H335" s="1081" cm="1">
        <f t="array" ref="H335">_xlfn.IFS(B335="Serviço",SUMIFS(H336:$H$2465,C336:$C$2465,$C335),B335="Insumo",F335*G335,B335="Etapa","")</f>
        <v>49.0413</v>
      </c>
      <c r="I335" s="1082"/>
    </row>
    <row r="336" spans="1:9" outlineLevel="1" collapsed="1" x14ac:dyDescent="0.25">
      <c r="A336" s="1079">
        <f t="shared" si="13"/>
        <v>1</v>
      </c>
      <c r="B336" s="1079" t="s">
        <v>471</v>
      </c>
      <c r="C336" s="1079" t="str">
        <f t="shared" si="14"/>
        <v>Forma para infraestrutura em Tábuas de Madeira Serrada 4x reaproveitamento</v>
      </c>
      <c r="D336" s="1079" t="s">
        <v>1509</v>
      </c>
      <c r="E336" s="1080" t="s">
        <v>17</v>
      </c>
      <c r="F336" s="1079"/>
      <c r="G336" s="1081" t="str">
        <f>IF(B336="insumo",_xlfn.XLOOKUP($D336,Insumos!$B$1:$B$670,Insumos!$D$1:$D$670),"")</f>
        <v/>
      </c>
      <c r="H336" s="1081" cm="1">
        <f t="array" ref="H336">_xlfn.IFS(B336="Serviço",SUMIFS(H337:$H$2465,C337:$C$2465,$C336),B336="Insumo",F336*G336,B336="Etapa","")</f>
        <v>59.956228571428568</v>
      </c>
      <c r="I336" s="1082" t="s">
        <v>872</v>
      </c>
    </row>
    <row r="337" spans="1:9" hidden="1" outlineLevel="2" x14ac:dyDescent="0.25">
      <c r="A337" s="1079">
        <f t="shared" si="13"/>
        <v>3</v>
      </c>
      <c r="B337" s="1079" t="s">
        <v>1362</v>
      </c>
      <c r="C337" s="1079" t="str">
        <f t="shared" si="14"/>
        <v>Forma para infraestrutura em Tábuas de Madeira Serrada 4x reaproveitamento</v>
      </c>
      <c r="D337" s="1079" t="s">
        <v>1506</v>
      </c>
      <c r="E337" s="1080" t="str">
        <f>_xlfn.XLOOKUP(D337,Insumos!$B$1:$B$670,Insumos!$C$1:$C$670)</f>
        <v>KG</v>
      </c>
      <c r="F337" s="1083">
        <v>1.0999999999999999E-2</v>
      </c>
      <c r="G337" s="1081">
        <f>IF(B337="insumo",_xlfn.XLOOKUP($D337,Insumos!$B$1:$B$670,Insumos!$D$1:$D$670),"")</f>
        <v>18.8</v>
      </c>
      <c r="H337" s="1081" cm="1">
        <f t="array" ref="H337">_xlfn.IFS(B337="Serviço",SUMIFS(H338:$H$2465,C338:$C$2465,$C337),B337="Insumo",F337*G337,B337="Etapa","")</f>
        <v>0.20679999999999998</v>
      </c>
      <c r="I337" s="1082"/>
    </row>
    <row r="338" spans="1:9" hidden="1" outlineLevel="2" x14ac:dyDescent="0.25">
      <c r="A338" s="1079">
        <f t="shared" si="13"/>
        <v>33</v>
      </c>
      <c r="B338" s="1079" t="s">
        <v>1362</v>
      </c>
      <c r="C338" s="1079" t="str">
        <f t="shared" si="14"/>
        <v>Forma para infraestrutura em Tábuas de Madeira Serrada 4x reaproveitamento</v>
      </c>
      <c r="D338" s="1079" t="s">
        <v>1375</v>
      </c>
      <c r="E338" s="1080" t="str">
        <f>_xlfn.XLOOKUP(D338,Insumos!$B$1:$B$670,Insumos!$C$1:$C$670)</f>
        <v>KG</v>
      </c>
      <c r="F338" s="1083">
        <v>9.5000000000000001E-2</v>
      </c>
      <c r="G338" s="1081">
        <f>IF(B338="insumo",_xlfn.XLOOKUP($D338,Insumos!$B$1:$B$670,Insumos!$D$1:$D$670),"")</f>
        <v>18.13</v>
      </c>
      <c r="H338" s="1081" cm="1">
        <f t="array" ref="H338">_xlfn.IFS(B338="Serviço",SUMIFS(H339:$H$2465,C339:$C$2465,$C338),B338="Insumo",F338*G338,B338="Etapa","")</f>
        <v>1.7223499999999998</v>
      </c>
      <c r="I338" s="1082"/>
    </row>
    <row r="339" spans="1:9" hidden="1" outlineLevel="2" x14ac:dyDescent="0.25">
      <c r="A339" s="1079">
        <f t="shared" si="13"/>
        <v>9</v>
      </c>
      <c r="B339" s="1079" t="s">
        <v>1362</v>
      </c>
      <c r="C339" s="1079" t="str">
        <f t="shared" si="14"/>
        <v>Forma para infraestrutura em Tábuas de Madeira Serrada 4x reaproveitamento</v>
      </c>
      <c r="D339" s="1079" t="s">
        <v>1507</v>
      </c>
      <c r="E339" s="1080" t="str">
        <f>_xlfn.XLOOKUP(D339,Insumos!$B$1:$B$670,Insumos!$C$1:$C$670)</f>
        <v>L</v>
      </c>
      <c r="F339" s="1083">
        <v>1.7000000000000001E-2</v>
      </c>
      <c r="G339" s="1081">
        <f>IF(B339="insumo",_xlfn.XLOOKUP($D339,Insumos!$B$1:$B$670,Insumos!$D$1:$D$670),"")</f>
        <v>15.55</v>
      </c>
      <c r="H339" s="1081" cm="1">
        <f t="array" ref="H339">_xlfn.IFS(B339="Serviço",SUMIFS(H340:$H$2465,C340:$C$2465,$C339),B339="Insumo",F339*G339,B339="Etapa","")</f>
        <v>0.26435000000000003</v>
      </c>
      <c r="I339" s="1082"/>
    </row>
    <row r="340" spans="1:9" hidden="1" outlineLevel="2" x14ac:dyDescent="0.25">
      <c r="A340" s="1079">
        <f t="shared" si="13"/>
        <v>21</v>
      </c>
      <c r="B340" s="1079" t="s">
        <v>1362</v>
      </c>
      <c r="C340" s="1079" t="str">
        <f t="shared" si="14"/>
        <v>Forma para infraestrutura em Tábuas de Madeira Serrada 4x reaproveitamento</v>
      </c>
      <c r="D340" s="1079" t="s">
        <v>1372</v>
      </c>
      <c r="E340" s="1080" t="str">
        <f>_xlfn.XLOOKUP(D340,Insumos!$B$1:$B$670,Insumos!$C$1:$C$670)</f>
        <v>M</v>
      </c>
      <c r="F340" s="1083">
        <v>0.73714285714285721</v>
      </c>
      <c r="G340" s="1081">
        <f>IF(B340="insumo",_xlfn.XLOOKUP($D340,Insumos!$B$1:$B$670,Insumos!$D$1:$D$670),"")</f>
        <v>7</v>
      </c>
      <c r="H340" s="1081" cm="1">
        <f t="array" ref="H340">_xlfn.IFS(B340="Serviço",SUMIFS(H341:$H$2465,C341:$C$2465,$C340),B340="Insumo",F340*G340,B340="Etapa","")</f>
        <v>5.16</v>
      </c>
      <c r="I340" s="1082"/>
    </row>
    <row r="341" spans="1:9" hidden="1" outlineLevel="2" x14ac:dyDescent="0.25">
      <c r="A341" s="1079">
        <f t="shared" si="13"/>
        <v>15</v>
      </c>
      <c r="B341" s="1079" t="s">
        <v>1362</v>
      </c>
      <c r="C341" s="1079" t="str">
        <f t="shared" si="14"/>
        <v>Forma para infraestrutura em Tábuas de Madeira Serrada 4x reaproveitamento</v>
      </c>
      <c r="D341" s="1079" t="s">
        <v>1402</v>
      </c>
      <c r="E341" s="1080" t="str">
        <f>_xlfn.XLOOKUP(D341,Insumos!$B$1:$B$670,Insumos!$C$1:$C$670)</f>
        <v>M3</v>
      </c>
      <c r="F341" s="1083">
        <v>2.638095238095238E-3</v>
      </c>
      <c r="G341" s="1081">
        <f>IF(B341="insumo",_xlfn.XLOOKUP($D341,Insumos!$B$1:$B$670,Insumos!$D$1:$D$670),"")</f>
        <v>1350</v>
      </c>
      <c r="H341" s="1081" cm="1">
        <f t="array" ref="H341">_xlfn.IFS(B341="Serviço",SUMIFS(H342:$H$2465,C342:$C$2465,$C341),B341="Insumo",F341*G341,B341="Etapa","")</f>
        <v>3.5614285714285714</v>
      </c>
      <c r="I341" s="1082"/>
    </row>
    <row r="342" spans="1:9" hidden="1" outlineLevel="2" x14ac:dyDescent="0.25">
      <c r="A342" s="1079">
        <f t="shared" si="13"/>
        <v>5</v>
      </c>
      <c r="B342" s="1079" t="s">
        <v>1362</v>
      </c>
      <c r="C342" s="1079" t="str">
        <f t="shared" si="14"/>
        <v>Forma para infraestrutura em Tábuas de Madeira Serrada 4x reaproveitamento</v>
      </c>
      <c r="D342" s="1079" t="s">
        <v>1508</v>
      </c>
      <c r="E342" s="1080" t="str">
        <f>_xlfn.XLOOKUP(D342,Insumos!$B$1:$B$670,Insumos!$C$1:$C$670)</f>
        <v>M</v>
      </c>
      <c r="F342" s="1083">
        <v>1.155</v>
      </c>
      <c r="G342" s="1081">
        <f>IF(B342="insumo",_xlfn.XLOOKUP($D342,Insumos!$B$1:$B$670,Insumos!$D$1:$D$670),"")</f>
        <v>42.46</v>
      </c>
      <c r="H342" s="1081" cm="1">
        <f t="array" ref="H342">_xlfn.IFS(B342="Serviço",SUMIFS(H343:$H$2465,C343:$C$2465,$C342),B342="Insumo",F342*G342,B342="Etapa","")</f>
        <v>49.0413</v>
      </c>
      <c r="I342" s="1082"/>
    </row>
    <row r="343" spans="1:9" outlineLevel="1" x14ac:dyDescent="0.25">
      <c r="A343" s="1079">
        <f t="shared" si="13"/>
        <v>1</v>
      </c>
      <c r="B343" s="1079" t="s">
        <v>471</v>
      </c>
      <c r="C343" s="1079" t="str">
        <f t="shared" si="14"/>
        <v>Armação aço CA-50 ø 6,3mm para infraestrutura (corte e dobra em obra)</v>
      </c>
      <c r="D343" s="1079" t="s">
        <v>457</v>
      </c>
      <c r="E343" s="1080" t="s">
        <v>1481</v>
      </c>
      <c r="F343" s="1079"/>
      <c r="G343" s="1081" t="str">
        <f>IF(B343="insumo",_xlfn.XLOOKUP($D343,Insumos!$B$1:$B$670,Insumos!$D$1:$D$670),"")</f>
        <v/>
      </c>
      <c r="H343" s="1081" cm="1">
        <f t="array" ref="H343">_xlfn.IFS(B343="Serviço",SUMIFS(H344:$H$2465,C344:$C$2465,$C343),B343="Insumo",F343*G343,B343="Etapa","")</f>
        <v>6.9381450000000005</v>
      </c>
      <c r="I343" s="1082" t="s">
        <v>872</v>
      </c>
    </row>
    <row r="344" spans="1:9" outlineLevel="2" x14ac:dyDescent="0.25">
      <c r="A344" s="1079">
        <f t="shared" si="13"/>
        <v>4</v>
      </c>
      <c r="B344" s="1079" t="s">
        <v>1362</v>
      </c>
      <c r="C344" s="1079" t="str">
        <f t="shared" si="14"/>
        <v>Armação aço CA-50 ø 6,3mm para infraestrutura (corte e dobra em obra)</v>
      </c>
      <c r="D344" s="1079" t="s">
        <v>1482</v>
      </c>
      <c r="E344" s="1080" t="str">
        <f>_xlfn.XLOOKUP(D344,Insumos!$B$1:$B$670,Insumos!$C$1:$C$670)</f>
        <v>KG</v>
      </c>
      <c r="F344" s="1083">
        <v>1.1000000000000001</v>
      </c>
      <c r="G344" s="1081">
        <f>IF(B344="insumo",_xlfn.XLOOKUP($D344,Insumos!$B$1:$B$670,Insumos!$D$1:$D$670),"")</f>
        <v>6.04</v>
      </c>
      <c r="H344" s="1081" cm="1">
        <f t="array" ref="H344">_xlfn.IFS(B344="Serviço",SUMIFS(H345:$H$2465,C345:$C$2465,$C344),B344="Insumo",F344*G344,B344="Etapa","")</f>
        <v>6.644000000000001</v>
      </c>
      <c r="I344" s="1082"/>
    </row>
    <row r="345" spans="1:9" outlineLevel="2" x14ac:dyDescent="0.25">
      <c r="A345" s="1079">
        <f t="shared" si="13"/>
        <v>23</v>
      </c>
      <c r="B345" s="1079" t="s">
        <v>1362</v>
      </c>
      <c r="C345" s="1079" t="str">
        <f t="shared" si="14"/>
        <v>Armação aço CA-50 ø 6,3mm para infraestrutura (corte e dobra em obra)</v>
      </c>
      <c r="D345" s="1079" t="s">
        <v>1483</v>
      </c>
      <c r="E345" s="1080" t="str">
        <f>_xlfn.XLOOKUP(D345,Insumos!$B$1:$B$670,Insumos!$C$1:$C$670)</f>
        <v>KG</v>
      </c>
      <c r="F345" s="1083">
        <v>2.0500000000000001E-2</v>
      </c>
      <c r="G345" s="1081">
        <f>IF(B345="insumo",_xlfn.XLOOKUP($D345,Insumos!$B$1:$B$670,Insumos!$D$1:$D$670),"")</f>
        <v>13.69</v>
      </c>
      <c r="H345" s="1081" cm="1">
        <f t="array" ref="H345">_xlfn.IFS(B345="Serviço",SUMIFS(H346:$H$2465,C346:$C$2465,$C345),B345="Insumo",F345*G345,B345="Etapa","")</f>
        <v>0.28064499999999998</v>
      </c>
      <c r="I345" s="1082"/>
    </row>
    <row r="346" spans="1:9" outlineLevel="2" x14ac:dyDescent="0.25">
      <c r="A346" s="1079">
        <f t="shared" si="13"/>
        <v>35</v>
      </c>
      <c r="B346" s="1079" t="s">
        <v>1362</v>
      </c>
      <c r="C346" s="1079" t="str">
        <f t="shared" si="14"/>
        <v>Armação aço CA-50 ø 6,3mm para infraestrutura (corte e dobra em obra)</v>
      </c>
      <c r="D346" s="1079" t="s">
        <v>1484</v>
      </c>
      <c r="E346" s="1080" t="str">
        <f>_xlfn.XLOOKUP(D346,Insumos!$B$1:$B$670,Insumos!$C$1:$C$670)</f>
        <v>UN</v>
      </c>
      <c r="F346" s="1083">
        <v>0.05</v>
      </c>
      <c r="G346" s="1081">
        <f>IF(B346="insumo",_xlfn.XLOOKUP($D346,Insumos!$B$1:$B$670,Insumos!$D$1:$D$670),"")</f>
        <v>0.27</v>
      </c>
      <c r="H346" s="1081" cm="1">
        <f t="array" ref="H346">_xlfn.IFS(B346="Serviço",SUMIFS(H347:$H$2465,C347:$C$2465,$C346),B346="Insumo",F346*G346,B346="Etapa","")</f>
        <v>1.3500000000000002E-2</v>
      </c>
      <c r="I346" s="1082"/>
    </row>
    <row r="347" spans="1:9" outlineLevel="1" x14ac:dyDescent="0.25">
      <c r="A347" s="1079">
        <f t="shared" si="13"/>
        <v>1</v>
      </c>
      <c r="B347" s="1079" t="s">
        <v>471</v>
      </c>
      <c r="C347" s="1079" t="str">
        <f t="shared" si="14"/>
        <v>Armação aço CA-50 ø 8,0mm para infraestrutura (corte e dobra em obra)</v>
      </c>
      <c r="D347" s="1079" t="s">
        <v>375</v>
      </c>
      <c r="E347" s="1080" t="s">
        <v>1481</v>
      </c>
      <c r="F347" s="1079"/>
      <c r="G347" s="1081" t="str">
        <f>IF(B347="insumo",_xlfn.XLOOKUP($D347,Insumos!$B$1:$B$670,Insumos!$D$1:$D$670),"")</f>
        <v/>
      </c>
      <c r="H347" s="1081" cm="1">
        <f t="array" ref="H347">_xlfn.IFS(B347="Serviço",SUMIFS(H348:$H$2465,C348:$C$2465,$C347),B347="Insumo",F347*G347,B347="Etapa","")</f>
        <v>6.9381450000000005</v>
      </c>
      <c r="I347" s="1082" t="s">
        <v>872</v>
      </c>
    </row>
    <row r="348" spans="1:9" outlineLevel="2" x14ac:dyDescent="0.25">
      <c r="A348" s="1079">
        <f t="shared" si="13"/>
        <v>5</v>
      </c>
      <c r="B348" s="1079" t="s">
        <v>1362</v>
      </c>
      <c r="C348" s="1079" t="str">
        <f t="shared" si="14"/>
        <v>Armação aço CA-50 ø 8,0mm para infraestrutura (corte e dobra em obra)</v>
      </c>
      <c r="D348" s="1079" t="s">
        <v>1486</v>
      </c>
      <c r="E348" s="1080" t="str">
        <f>_xlfn.XLOOKUP(D348,Insumos!$B$1:$B$670,Insumos!$C$1:$C$670)</f>
        <v>KG</v>
      </c>
      <c r="F348" s="1083">
        <v>1.1000000000000001</v>
      </c>
      <c r="G348" s="1081">
        <f>IF(B348="insumo",_xlfn.XLOOKUP($D348,Insumos!$B$1:$B$670,Insumos!$D$1:$D$670),"")</f>
        <v>6.04</v>
      </c>
      <c r="H348" s="1081" cm="1">
        <f t="array" ref="H348">_xlfn.IFS(B348="Serviço",SUMIFS(H349:$H$2465,C349:$C$2465,$C348),B348="Insumo",F348*G348,B348="Etapa","")</f>
        <v>6.644000000000001</v>
      </c>
      <c r="I348" s="1082"/>
    </row>
    <row r="349" spans="1:9" outlineLevel="2" x14ac:dyDescent="0.25">
      <c r="A349" s="1079">
        <f t="shared" si="13"/>
        <v>23</v>
      </c>
      <c r="B349" s="1079" t="s">
        <v>1362</v>
      </c>
      <c r="C349" s="1079" t="str">
        <f t="shared" si="14"/>
        <v>Armação aço CA-50 ø 8,0mm para infraestrutura (corte e dobra em obra)</v>
      </c>
      <c r="D349" s="1079" t="s">
        <v>1483</v>
      </c>
      <c r="E349" s="1080" t="str">
        <f>_xlfn.XLOOKUP(D349,Insumos!$B$1:$B$670,Insumos!$C$1:$C$670)</f>
        <v>KG</v>
      </c>
      <c r="F349" s="1083">
        <v>2.0500000000000001E-2</v>
      </c>
      <c r="G349" s="1081">
        <f>IF(B349="insumo",_xlfn.XLOOKUP($D349,Insumos!$B$1:$B$670,Insumos!$D$1:$D$670),"")</f>
        <v>13.69</v>
      </c>
      <c r="H349" s="1081" cm="1">
        <f t="array" ref="H349">_xlfn.IFS(B349="Serviço",SUMIFS(H350:$H$2465,C350:$C$2465,$C349),B349="Insumo",F349*G349,B349="Etapa","")</f>
        <v>0.28064499999999998</v>
      </c>
      <c r="I349" s="1082"/>
    </row>
    <row r="350" spans="1:9" outlineLevel="2" x14ac:dyDescent="0.25">
      <c r="A350" s="1079">
        <f t="shared" si="13"/>
        <v>35</v>
      </c>
      <c r="B350" s="1079" t="s">
        <v>1362</v>
      </c>
      <c r="C350" s="1079" t="str">
        <f t="shared" si="14"/>
        <v>Armação aço CA-50 ø 8,0mm para infraestrutura (corte e dobra em obra)</v>
      </c>
      <c r="D350" s="1079" t="s">
        <v>1484</v>
      </c>
      <c r="E350" s="1080" t="str">
        <f>_xlfn.XLOOKUP(D350,Insumos!$B$1:$B$670,Insumos!$C$1:$C$670)</f>
        <v>UN</v>
      </c>
      <c r="F350" s="1083">
        <v>0.05</v>
      </c>
      <c r="G350" s="1081">
        <f>IF(B350="insumo",_xlfn.XLOOKUP($D350,Insumos!$B$1:$B$670,Insumos!$D$1:$D$670),"")</f>
        <v>0.27</v>
      </c>
      <c r="H350" s="1081" cm="1">
        <f t="array" ref="H350">_xlfn.IFS(B350="Serviço",SUMIFS(H351:$H$2465,C351:$C$2465,$C350),B350="Insumo",F350*G350,B350="Etapa","")</f>
        <v>1.3500000000000002E-2</v>
      </c>
      <c r="I350" s="1082"/>
    </row>
    <row r="351" spans="1:9" outlineLevel="1" collapsed="1" x14ac:dyDescent="0.25">
      <c r="A351" s="1079">
        <f t="shared" si="13"/>
        <v>1</v>
      </c>
      <c r="B351" s="1079" t="s">
        <v>471</v>
      </c>
      <c r="C351" s="1079" t="str">
        <f t="shared" si="14"/>
        <v>Armação aço CA-50 ø 10,0mm para infraestrutura (corte e dobra em obra)</v>
      </c>
      <c r="D351" s="1079" t="s">
        <v>376</v>
      </c>
      <c r="E351" s="1080" t="s">
        <v>1481</v>
      </c>
      <c r="F351" s="1079"/>
      <c r="G351" s="1081" t="str">
        <f>IF(B351="insumo",_xlfn.XLOOKUP($D351,Insumos!$B$1:$B$670,Insumos!$D$1:$D$670),"")</f>
        <v/>
      </c>
      <c r="H351" s="1081" cm="1">
        <f t="array" ref="H351">_xlfn.IFS(B351="Serviço",SUMIFS(H352:$H$2465,C352:$C$2465,$C351),B351="Insumo",F351*G351,B351="Etapa","")</f>
        <v>6.6301449999999997</v>
      </c>
      <c r="I351" s="1082" t="s">
        <v>872</v>
      </c>
    </row>
    <row r="352" spans="1:9" hidden="1" outlineLevel="2" x14ac:dyDescent="0.25">
      <c r="A352" s="1079">
        <f t="shared" si="13"/>
        <v>4</v>
      </c>
      <c r="B352" s="1079" t="s">
        <v>1362</v>
      </c>
      <c r="C352" s="1079" t="str">
        <f t="shared" si="14"/>
        <v>Armação aço CA-50 ø 10,0mm para infraestrutura (corte e dobra em obra)</v>
      </c>
      <c r="D352" s="1079" t="s">
        <v>1488</v>
      </c>
      <c r="E352" s="1080" t="str">
        <f>_xlfn.XLOOKUP(D352,Insumos!$B$1:$B$670,Insumos!$C$1:$C$670)</f>
        <v>KG</v>
      </c>
      <c r="F352" s="1083">
        <v>1.1000000000000001</v>
      </c>
      <c r="G352" s="1081">
        <f>IF(B352="insumo",_xlfn.XLOOKUP($D352,Insumos!$B$1:$B$670,Insumos!$D$1:$D$670),"")</f>
        <v>5.76</v>
      </c>
      <c r="H352" s="1081" cm="1">
        <f t="array" ref="H352">_xlfn.IFS(B352="Serviço",SUMIFS(H353:$H$2465,C353:$C$2465,$C352),B352="Insumo",F352*G352,B352="Etapa","")</f>
        <v>6.3360000000000003</v>
      </c>
      <c r="I352" s="1082"/>
    </row>
    <row r="353" spans="1:9" hidden="1" outlineLevel="2" x14ac:dyDescent="0.25">
      <c r="A353" s="1079">
        <f t="shared" si="13"/>
        <v>23</v>
      </c>
      <c r="B353" s="1079" t="s">
        <v>1362</v>
      </c>
      <c r="C353" s="1079" t="str">
        <f t="shared" si="14"/>
        <v>Armação aço CA-50 ø 10,0mm para infraestrutura (corte e dobra em obra)</v>
      </c>
      <c r="D353" s="1079" t="s">
        <v>1483</v>
      </c>
      <c r="E353" s="1080" t="str">
        <f>_xlfn.XLOOKUP(D353,Insumos!$B$1:$B$670,Insumos!$C$1:$C$670)</f>
        <v>KG</v>
      </c>
      <c r="F353" s="1083">
        <v>2.0500000000000001E-2</v>
      </c>
      <c r="G353" s="1081">
        <f>IF(B353="insumo",_xlfn.XLOOKUP($D353,Insumos!$B$1:$B$670,Insumos!$D$1:$D$670),"")</f>
        <v>13.69</v>
      </c>
      <c r="H353" s="1081" cm="1">
        <f t="array" ref="H353">_xlfn.IFS(B353="Serviço",SUMIFS(H354:$H$2465,C354:$C$2465,$C353),B353="Insumo",F353*G353,B353="Etapa","")</f>
        <v>0.28064499999999998</v>
      </c>
      <c r="I353" s="1082"/>
    </row>
    <row r="354" spans="1:9" hidden="1" outlineLevel="2" x14ac:dyDescent="0.25">
      <c r="A354" s="1079">
        <f t="shared" si="13"/>
        <v>35</v>
      </c>
      <c r="B354" s="1079" t="s">
        <v>1362</v>
      </c>
      <c r="C354" s="1079" t="str">
        <f t="shared" si="14"/>
        <v>Armação aço CA-50 ø 10,0mm para infraestrutura (corte e dobra em obra)</v>
      </c>
      <c r="D354" s="1079" t="s">
        <v>1484</v>
      </c>
      <c r="E354" s="1080" t="str">
        <f>_xlfn.XLOOKUP(D354,Insumos!$B$1:$B$670,Insumos!$C$1:$C$670)</f>
        <v>UN</v>
      </c>
      <c r="F354" s="1083">
        <v>0.05</v>
      </c>
      <c r="G354" s="1081">
        <f>IF(B354="insumo",_xlfn.XLOOKUP($D354,Insumos!$B$1:$B$670,Insumos!$D$1:$D$670),"")</f>
        <v>0.27</v>
      </c>
      <c r="H354" s="1081" cm="1">
        <f t="array" ref="H354">_xlfn.IFS(B354="Serviço",SUMIFS(H355:$H$2465,C355:$C$2465,$C354),B354="Insumo",F354*G354,B354="Etapa","")</f>
        <v>1.3500000000000002E-2</v>
      </c>
      <c r="I354" s="1082"/>
    </row>
    <row r="355" spans="1:9" outlineLevel="1" collapsed="1" x14ac:dyDescent="0.25">
      <c r="A355" s="1079">
        <f t="shared" si="13"/>
        <v>1</v>
      </c>
      <c r="B355" s="1079" t="s">
        <v>471</v>
      </c>
      <c r="C355" s="1079" t="str">
        <f t="shared" si="14"/>
        <v xml:space="preserve">Armação aço CA-50 ø 12,5mm para infraestrutura (corte e dobra em obra) </v>
      </c>
      <c r="D355" s="1079" t="s">
        <v>458</v>
      </c>
      <c r="E355" s="1080" t="s">
        <v>1481</v>
      </c>
      <c r="F355" s="1079"/>
      <c r="G355" s="1081" t="str">
        <f>IF(B355="insumo",_xlfn.XLOOKUP($D355,Insumos!$B$1:$B$670,Insumos!$D$1:$D$670),"")</f>
        <v/>
      </c>
      <c r="H355" s="1081" cm="1">
        <f t="array" ref="H355">_xlfn.IFS(B355="Serviço",SUMIFS(H356:$H$2465,C356:$C$2465,$C355),B355="Insumo",F355*G355,B355="Etapa","")</f>
        <v>6.4431449999999995</v>
      </c>
      <c r="I355" s="1082" t="s">
        <v>872</v>
      </c>
    </row>
    <row r="356" spans="1:9" hidden="1" outlineLevel="2" x14ac:dyDescent="0.25">
      <c r="A356" s="1079">
        <f t="shared" si="13"/>
        <v>3</v>
      </c>
      <c r="B356" s="1079" t="s">
        <v>1362</v>
      </c>
      <c r="C356" s="1079" t="str">
        <f t="shared" si="14"/>
        <v xml:space="preserve">Armação aço CA-50 ø 12,5mm para infraestrutura (corte e dobra em obra) </v>
      </c>
      <c r="D356" s="1079" t="s">
        <v>1510</v>
      </c>
      <c r="E356" s="1080" t="str">
        <f>_xlfn.XLOOKUP(D356,Insumos!$B$1:$B$670,Insumos!$C$1:$C$670)</f>
        <v>KG</v>
      </c>
      <c r="F356" s="1083">
        <v>1.1000000000000001</v>
      </c>
      <c r="G356" s="1081">
        <f>IF(B356="insumo",_xlfn.XLOOKUP($D356,Insumos!$B$1:$B$670,Insumos!$D$1:$D$670),"")</f>
        <v>5.59</v>
      </c>
      <c r="H356" s="1081" cm="1">
        <f t="array" ref="H356">_xlfn.IFS(B356="Serviço",SUMIFS(H357:$H$2465,C357:$C$2465,$C356),B356="Insumo",F356*G356,B356="Etapa","")</f>
        <v>6.149</v>
      </c>
      <c r="I356" s="1082"/>
    </row>
    <row r="357" spans="1:9" hidden="1" outlineLevel="2" x14ac:dyDescent="0.25">
      <c r="A357" s="1079">
        <f t="shared" si="13"/>
        <v>23</v>
      </c>
      <c r="B357" s="1079" t="s">
        <v>1362</v>
      </c>
      <c r="C357" s="1079" t="str">
        <f t="shared" si="14"/>
        <v xml:space="preserve">Armação aço CA-50 ø 12,5mm para infraestrutura (corte e dobra em obra) </v>
      </c>
      <c r="D357" s="1079" t="s">
        <v>1483</v>
      </c>
      <c r="E357" s="1080" t="str">
        <f>_xlfn.XLOOKUP(D357,Insumos!$B$1:$B$670,Insumos!$C$1:$C$670)</f>
        <v>KG</v>
      </c>
      <c r="F357" s="1083">
        <v>2.0500000000000001E-2</v>
      </c>
      <c r="G357" s="1081">
        <f>IF(B357="insumo",_xlfn.XLOOKUP($D357,Insumos!$B$1:$B$670,Insumos!$D$1:$D$670),"")</f>
        <v>13.69</v>
      </c>
      <c r="H357" s="1081" cm="1">
        <f t="array" ref="H357">_xlfn.IFS(B357="Serviço",SUMIFS(H358:$H$2465,C358:$C$2465,$C357),B357="Insumo",F357*G357,B357="Etapa","")</f>
        <v>0.28064499999999998</v>
      </c>
      <c r="I357" s="1082"/>
    </row>
    <row r="358" spans="1:9" hidden="1" outlineLevel="2" x14ac:dyDescent="0.25">
      <c r="A358" s="1079">
        <f t="shared" si="13"/>
        <v>35</v>
      </c>
      <c r="B358" s="1079" t="s">
        <v>1362</v>
      </c>
      <c r="C358" s="1079" t="str">
        <f t="shared" si="14"/>
        <v xml:space="preserve">Armação aço CA-50 ø 12,5mm para infraestrutura (corte e dobra em obra) </v>
      </c>
      <c r="D358" s="1079" t="s">
        <v>1484</v>
      </c>
      <c r="E358" s="1080" t="str">
        <f>_xlfn.XLOOKUP(D358,Insumos!$B$1:$B$670,Insumos!$C$1:$C$670)</f>
        <v>UN</v>
      </c>
      <c r="F358" s="1083">
        <v>0.05</v>
      </c>
      <c r="G358" s="1081">
        <f>IF(B358="insumo",_xlfn.XLOOKUP($D358,Insumos!$B$1:$B$670,Insumos!$D$1:$D$670),"")</f>
        <v>0.27</v>
      </c>
      <c r="H358" s="1081" cm="1">
        <f t="array" ref="H358">_xlfn.IFS(B358="Serviço",SUMIFS(H359:$H$2465,C359:$C$2465,$C358),B358="Insumo",F358*G358,B358="Etapa","")</f>
        <v>1.3500000000000002E-2</v>
      </c>
      <c r="I358" s="1082"/>
    </row>
    <row r="359" spans="1:9" outlineLevel="1" collapsed="1" x14ac:dyDescent="0.25">
      <c r="A359" s="1079">
        <f t="shared" si="13"/>
        <v>1</v>
      </c>
      <c r="B359" s="1079" t="s">
        <v>471</v>
      </c>
      <c r="C359" s="1079" t="str">
        <f t="shared" si="14"/>
        <v>Armação aço CA-50 ø 16,0mm para infraestrutura (corte e dobra em obra)</v>
      </c>
      <c r="D359" s="1079" t="s">
        <v>377</v>
      </c>
      <c r="E359" s="1080" t="s">
        <v>1481</v>
      </c>
      <c r="F359" s="1079"/>
      <c r="G359" s="1081" t="str">
        <f>IF(B359="insumo",_xlfn.XLOOKUP($D359,Insumos!$B$1:$B$670,Insumos!$D$1:$D$670),"")</f>
        <v/>
      </c>
      <c r="H359" s="1081" cm="1">
        <f t="array" ref="H359">_xlfn.IFS(B359="Serviço",SUMIFS(H360:$H$2465,C360:$C$2465,$C359),B359="Insumo",F359*G359,B359="Etapa","")</f>
        <v>6.4431449999999995</v>
      </c>
      <c r="I359" s="1082" t="s">
        <v>872</v>
      </c>
    </row>
    <row r="360" spans="1:9" hidden="1" outlineLevel="2" x14ac:dyDescent="0.25">
      <c r="A360" s="1079">
        <f t="shared" si="13"/>
        <v>4</v>
      </c>
      <c r="B360" s="1079" t="s">
        <v>1362</v>
      </c>
      <c r="C360" s="1079" t="str">
        <f t="shared" si="14"/>
        <v>Armação aço CA-50 ø 16,0mm para infraestrutura (corte e dobra em obra)</v>
      </c>
      <c r="D360" s="1079" t="s">
        <v>1490</v>
      </c>
      <c r="E360" s="1080" t="str">
        <f>_xlfn.XLOOKUP(D360,Insumos!$B$1:$B$670,Insumos!$C$1:$C$670)</f>
        <v>KG</v>
      </c>
      <c r="F360" s="1083">
        <v>1.1000000000000001</v>
      </c>
      <c r="G360" s="1081">
        <f>IF(B360="insumo",_xlfn.XLOOKUP($D360,Insumos!$B$1:$B$670,Insumos!$D$1:$D$670),"")</f>
        <v>5.59</v>
      </c>
      <c r="H360" s="1081" cm="1">
        <f t="array" ref="H360">_xlfn.IFS(B360="Serviço",SUMIFS(H361:$H$2465,C361:$C$2465,$C360),B360="Insumo",F360*G360,B360="Etapa","")</f>
        <v>6.149</v>
      </c>
      <c r="I360" s="1082"/>
    </row>
    <row r="361" spans="1:9" hidden="1" outlineLevel="2" x14ac:dyDescent="0.25">
      <c r="A361" s="1079">
        <f t="shared" si="13"/>
        <v>23</v>
      </c>
      <c r="B361" s="1079" t="s">
        <v>1362</v>
      </c>
      <c r="C361" s="1079" t="str">
        <f t="shared" si="14"/>
        <v>Armação aço CA-50 ø 16,0mm para infraestrutura (corte e dobra em obra)</v>
      </c>
      <c r="D361" s="1079" t="s">
        <v>1483</v>
      </c>
      <c r="E361" s="1080" t="str">
        <f>_xlfn.XLOOKUP(D361,Insumos!$B$1:$B$670,Insumos!$C$1:$C$670)</f>
        <v>KG</v>
      </c>
      <c r="F361" s="1083">
        <v>2.0500000000000001E-2</v>
      </c>
      <c r="G361" s="1081">
        <f>IF(B361="insumo",_xlfn.XLOOKUP($D361,Insumos!$B$1:$B$670,Insumos!$D$1:$D$670),"")</f>
        <v>13.69</v>
      </c>
      <c r="H361" s="1081" cm="1">
        <f t="array" ref="H361">_xlfn.IFS(B361="Serviço",SUMIFS(H362:$H$2465,C362:$C$2465,$C361),B361="Insumo",F361*G361,B361="Etapa","")</f>
        <v>0.28064499999999998</v>
      </c>
      <c r="I361" s="1082"/>
    </row>
    <row r="362" spans="1:9" hidden="1" outlineLevel="2" x14ac:dyDescent="0.25">
      <c r="A362" s="1079">
        <f t="shared" si="13"/>
        <v>35</v>
      </c>
      <c r="B362" s="1079" t="s">
        <v>1362</v>
      </c>
      <c r="C362" s="1079" t="str">
        <f t="shared" si="14"/>
        <v>Armação aço CA-50 ø 16,0mm para infraestrutura (corte e dobra em obra)</v>
      </c>
      <c r="D362" s="1079" t="s">
        <v>1484</v>
      </c>
      <c r="E362" s="1080" t="str">
        <f>_xlfn.XLOOKUP(D362,Insumos!$B$1:$B$670,Insumos!$C$1:$C$670)</f>
        <v>UN</v>
      </c>
      <c r="F362" s="1083">
        <v>0.05</v>
      </c>
      <c r="G362" s="1081">
        <f>IF(B362="insumo",_xlfn.XLOOKUP($D362,Insumos!$B$1:$B$670,Insumos!$D$1:$D$670),"")</f>
        <v>0.27</v>
      </c>
      <c r="H362" s="1081" cm="1">
        <f t="array" ref="H362">_xlfn.IFS(B362="Serviço",SUMIFS(H363:$H$2465,C363:$C$2465,$C362),B362="Insumo",F362*G362,B362="Etapa","")</f>
        <v>1.3500000000000002E-2</v>
      </c>
      <c r="I362" s="1082"/>
    </row>
    <row r="363" spans="1:9" outlineLevel="1" collapsed="1" x14ac:dyDescent="0.25">
      <c r="A363" s="1079">
        <f t="shared" si="13"/>
        <v>1</v>
      </c>
      <c r="B363" s="1079" t="s">
        <v>471</v>
      </c>
      <c r="C363" s="1079" t="str">
        <f t="shared" si="14"/>
        <v xml:space="preserve">Armação aço CA-50 ø 20,0mm para infraestrutura (corte e dobra em obra) </v>
      </c>
      <c r="D363" s="1079" t="s">
        <v>459</v>
      </c>
      <c r="E363" s="1080" t="s">
        <v>1481</v>
      </c>
      <c r="F363" s="1079"/>
      <c r="G363" s="1081" t="str">
        <f>IF(B363="insumo",_xlfn.XLOOKUP($D363,Insumos!$B$1:$B$670,Insumos!$D$1:$D$670),"")</f>
        <v/>
      </c>
      <c r="H363" s="1081" cm="1">
        <f t="array" ref="H363">_xlfn.IFS(B363="Serviço",SUMIFS(H364:$H$2465,C364:$C$2465,$C363),B363="Insumo",F363*G363,B363="Etapa","")</f>
        <v>6.4431449999999995</v>
      </c>
      <c r="I363" s="1082" t="s">
        <v>872</v>
      </c>
    </row>
    <row r="364" spans="1:9" hidden="1" outlineLevel="2" x14ac:dyDescent="0.25">
      <c r="A364" s="1079">
        <f t="shared" si="13"/>
        <v>4</v>
      </c>
      <c r="B364" s="1079" t="s">
        <v>1362</v>
      </c>
      <c r="C364" s="1079" t="str">
        <f t="shared" si="14"/>
        <v xml:space="preserve">Armação aço CA-50 ø 20,0mm para infraestrutura (corte e dobra em obra) </v>
      </c>
      <c r="D364" s="1079" t="s">
        <v>1492</v>
      </c>
      <c r="E364" s="1080" t="str">
        <f>_xlfn.XLOOKUP(D364,Insumos!$B$1:$B$670,Insumos!$C$1:$C$670)</f>
        <v>KG</v>
      </c>
      <c r="F364" s="1083">
        <v>1.1000000000000001</v>
      </c>
      <c r="G364" s="1081">
        <f>IF(B364="insumo",_xlfn.XLOOKUP($D364,Insumos!$B$1:$B$670,Insumos!$D$1:$D$670),"")</f>
        <v>5.59</v>
      </c>
      <c r="H364" s="1081" cm="1">
        <f t="array" ref="H364">_xlfn.IFS(B364="Serviço",SUMIFS(H365:$H$2465,C365:$C$2465,$C364),B364="Insumo",F364*G364,B364="Etapa","")</f>
        <v>6.149</v>
      </c>
      <c r="I364" s="1082"/>
    </row>
    <row r="365" spans="1:9" hidden="1" outlineLevel="2" x14ac:dyDescent="0.25">
      <c r="A365" s="1079">
        <f t="shared" si="13"/>
        <v>23</v>
      </c>
      <c r="B365" s="1079" t="s">
        <v>1362</v>
      </c>
      <c r="C365" s="1079" t="str">
        <f t="shared" si="14"/>
        <v xml:space="preserve">Armação aço CA-50 ø 20,0mm para infraestrutura (corte e dobra em obra) </v>
      </c>
      <c r="D365" s="1079" t="s">
        <v>1483</v>
      </c>
      <c r="E365" s="1080" t="str">
        <f>_xlfn.XLOOKUP(D365,Insumos!$B$1:$B$670,Insumos!$C$1:$C$670)</f>
        <v>KG</v>
      </c>
      <c r="F365" s="1083">
        <v>2.0500000000000001E-2</v>
      </c>
      <c r="G365" s="1081">
        <f>IF(B365="insumo",_xlfn.XLOOKUP($D365,Insumos!$B$1:$B$670,Insumos!$D$1:$D$670),"")</f>
        <v>13.69</v>
      </c>
      <c r="H365" s="1081" cm="1">
        <f t="array" ref="H365">_xlfn.IFS(B365="Serviço",SUMIFS(H366:$H$2465,C366:$C$2465,$C365),B365="Insumo",F365*G365,B365="Etapa","")</f>
        <v>0.28064499999999998</v>
      </c>
      <c r="I365" s="1082"/>
    </row>
    <row r="366" spans="1:9" hidden="1" outlineLevel="2" x14ac:dyDescent="0.25">
      <c r="A366" s="1079">
        <f t="shared" si="13"/>
        <v>35</v>
      </c>
      <c r="B366" s="1079" t="s">
        <v>1362</v>
      </c>
      <c r="C366" s="1079" t="str">
        <f t="shared" si="14"/>
        <v xml:space="preserve">Armação aço CA-50 ø 20,0mm para infraestrutura (corte e dobra em obra) </v>
      </c>
      <c r="D366" s="1079" t="s">
        <v>1484</v>
      </c>
      <c r="E366" s="1080" t="str">
        <f>_xlfn.XLOOKUP(D366,Insumos!$B$1:$B$670,Insumos!$C$1:$C$670)</f>
        <v>UN</v>
      </c>
      <c r="F366" s="1083">
        <v>0.05</v>
      </c>
      <c r="G366" s="1081">
        <f>IF(B366="insumo",_xlfn.XLOOKUP($D366,Insumos!$B$1:$B$670,Insumos!$D$1:$D$670),"")</f>
        <v>0.27</v>
      </c>
      <c r="H366" s="1081" cm="1">
        <f t="array" ref="H366">_xlfn.IFS(B366="Serviço",SUMIFS(H367:$H$2465,C367:$C$2465,$C366),B366="Insumo",F366*G366,B366="Etapa","")</f>
        <v>1.3500000000000002E-2</v>
      </c>
      <c r="I366" s="1082"/>
    </row>
    <row r="367" spans="1:9" outlineLevel="1" collapsed="1" x14ac:dyDescent="0.25">
      <c r="A367" s="1079">
        <f t="shared" si="13"/>
        <v>1</v>
      </c>
      <c r="B367" s="1079" t="s">
        <v>471</v>
      </c>
      <c r="C367" s="1079" t="str">
        <f t="shared" si="14"/>
        <v xml:space="preserve">Armação aço CA-50 ø 25,0mm para infraestrutura (corte e dobra em obra) </v>
      </c>
      <c r="D367" s="1079" t="s">
        <v>875</v>
      </c>
      <c r="E367" s="1080" t="s">
        <v>1481</v>
      </c>
      <c r="F367" s="1079"/>
      <c r="G367" s="1081" t="str">
        <f>IF(B367="insumo",_xlfn.XLOOKUP($D367,Insumos!$B$1:$B$670,Insumos!$D$1:$D$670),"")</f>
        <v/>
      </c>
      <c r="H367" s="1081" cm="1">
        <f t="array" ref="H367">_xlfn.IFS(B367="Serviço",SUMIFS(H368:$H$2465,C368:$C$2465,$C367),B367="Insumo",F367*G367,B367="Etapa","")</f>
        <v>6.7071449999999997</v>
      </c>
      <c r="I367" s="1082" t="s">
        <v>872</v>
      </c>
    </row>
    <row r="368" spans="1:9" hidden="1" outlineLevel="2" x14ac:dyDescent="0.25">
      <c r="A368" s="1079">
        <f t="shared" si="13"/>
        <v>3</v>
      </c>
      <c r="B368" s="1079" t="s">
        <v>1362</v>
      </c>
      <c r="C368" s="1079" t="str">
        <f t="shared" si="14"/>
        <v xml:space="preserve">Armação aço CA-50 ø 25,0mm para infraestrutura (corte e dobra em obra) </v>
      </c>
      <c r="D368" s="1079" t="s">
        <v>1511</v>
      </c>
      <c r="E368" s="1080" t="str">
        <f>_xlfn.XLOOKUP(D368,Insumos!$B$1:$B$670,Insumos!$C$1:$C$670)</f>
        <v>KG</v>
      </c>
      <c r="F368" s="1083">
        <v>1.1000000000000001</v>
      </c>
      <c r="G368" s="1081">
        <v>5.83</v>
      </c>
      <c r="H368" s="1081" cm="1">
        <f t="array" ref="H368">_xlfn.IFS(B368="Serviço",SUMIFS(H369:$H$2465,C369:$C$2465,$C368),B368="Insumo",F368*G368,B368="Etapa","")</f>
        <v>6.4130000000000003</v>
      </c>
      <c r="I368" s="1082"/>
    </row>
    <row r="369" spans="1:9" hidden="1" outlineLevel="2" x14ac:dyDescent="0.25">
      <c r="A369" s="1079">
        <f t="shared" si="13"/>
        <v>23</v>
      </c>
      <c r="B369" s="1079" t="s">
        <v>1362</v>
      </c>
      <c r="C369" s="1079" t="str">
        <f t="shared" si="14"/>
        <v xml:space="preserve">Armação aço CA-50 ø 25,0mm para infraestrutura (corte e dobra em obra) </v>
      </c>
      <c r="D369" s="1079" t="s">
        <v>1483</v>
      </c>
      <c r="E369" s="1080" t="str">
        <f>_xlfn.XLOOKUP(D369,Insumos!$B$1:$B$670,Insumos!$C$1:$C$670)</f>
        <v>KG</v>
      </c>
      <c r="F369" s="1083">
        <v>2.0500000000000001E-2</v>
      </c>
      <c r="G369" s="1081">
        <v>13.69</v>
      </c>
      <c r="H369" s="1081" cm="1">
        <f t="array" ref="H369">_xlfn.IFS(B369="Serviço",SUMIFS(H370:$H$2465,C370:$C$2465,$C369),B369="Insumo",F369*G369,B369="Etapa","")</f>
        <v>0.28064499999999998</v>
      </c>
      <c r="I369" s="1082"/>
    </row>
    <row r="370" spans="1:9" hidden="1" outlineLevel="2" x14ac:dyDescent="0.25">
      <c r="A370" s="1079">
        <f t="shared" si="13"/>
        <v>35</v>
      </c>
      <c r="B370" s="1079" t="s">
        <v>1362</v>
      </c>
      <c r="C370" s="1079" t="str">
        <f t="shared" si="14"/>
        <v xml:space="preserve">Armação aço CA-50 ø 25,0mm para infraestrutura (corte e dobra em obra) </v>
      </c>
      <c r="D370" s="1079" t="s">
        <v>1484</v>
      </c>
      <c r="E370" s="1080" t="str">
        <f>_xlfn.XLOOKUP(D370,Insumos!$B$1:$B$670,Insumos!$C$1:$C$670)</f>
        <v>UN</v>
      </c>
      <c r="F370" s="1083">
        <v>0.05</v>
      </c>
      <c r="G370" s="1081">
        <v>0.27</v>
      </c>
      <c r="H370" s="1081" cm="1">
        <f t="array" ref="H370">_xlfn.IFS(B370="Serviço",SUMIFS(H371:$H$2465,C371:$C$2465,$C370),B370="Insumo",F370*G370,B370="Etapa","")</f>
        <v>1.3500000000000002E-2</v>
      </c>
      <c r="I370" s="1082"/>
    </row>
    <row r="371" spans="1:9" outlineLevel="1" collapsed="1" x14ac:dyDescent="0.25">
      <c r="A371" s="1079">
        <f t="shared" si="13"/>
        <v>1</v>
      </c>
      <c r="B371" s="1079" t="s">
        <v>471</v>
      </c>
      <c r="C371" s="1079" t="str">
        <f t="shared" si="14"/>
        <v xml:space="preserve">Armação aço CA-60 ø 5,00mm para infraestrutura (corte e dobra em obra) </v>
      </c>
      <c r="D371" s="1079" t="s">
        <v>462</v>
      </c>
      <c r="E371" s="1080" t="s">
        <v>1481</v>
      </c>
      <c r="F371" s="1079"/>
      <c r="G371" s="1081" t="str">
        <f>IF(B371="insumo",_xlfn.XLOOKUP($D371,Insumos!$B$1:$B$670,Insumos!$D$1:$D$670),"")</f>
        <v/>
      </c>
      <c r="H371" s="1081" cm="1">
        <f t="array" ref="H371">_xlfn.IFS(B371="Serviço",SUMIFS(H372:$H$2465,C372:$C$2465,$C371),B371="Insumo",F371*G371,B371="Etapa","")</f>
        <v>7.4881450000000003</v>
      </c>
      <c r="I371" s="1082" t="s">
        <v>872</v>
      </c>
    </row>
    <row r="372" spans="1:9" hidden="1" outlineLevel="2" x14ac:dyDescent="0.25">
      <c r="A372" s="1079">
        <f t="shared" si="13"/>
        <v>4</v>
      </c>
      <c r="B372" s="1079" t="s">
        <v>1362</v>
      </c>
      <c r="C372" s="1079" t="str">
        <f t="shared" si="14"/>
        <v xml:space="preserve">Armação aço CA-60 ø 5,00mm para infraestrutura (corte e dobra em obra) </v>
      </c>
      <c r="D372" s="1079" t="s">
        <v>1494</v>
      </c>
      <c r="E372" s="1080" t="str">
        <f>_xlfn.XLOOKUP(D372,Insumos!$B$1:$B$670,Insumos!$C$1:$C$670)</f>
        <v>KG</v>
      </c>
      <c r="F372" s="1083">
        <v>1.1000000000000001</v>
      </c>
      <c r="G372" s="1081">
        <f>IF(B372="insumo",_xlfn.XLOOKUP($D372,Insumos!$B$1:$B$670,Insumos!$D$1:$D$670),"")</f>
        <v>6.54</v>
      </c>
      <c r="H372" s="1081" cm="1">
        <f t="array" ref="H372">_xlfn.IFS(B372="Serviço",SUMIFS(H373:$H$2465,C373:$C$2465,$C372),B372="Insumo",F372*G372,B372="Etapa","")</f>
        <v>7.1940000000000008</v>
      </c>
      <c r="I372" s="1082"/>
    </row>
    <row r="373" spans="1:9" hidden="1" outlineLevel="2" x14ac:dyDescent="0.25">
      <c r="A373" s="1079">
        <f t="shared" si="13"/>
        <v>23</v>
      </c>
      <c r="B373" s="1079" t="s">
        <v>1362</v>
      </c>
      <c r="C373" s="1079" t="str">
        <f t="shared" si="14"/>
        <v xml:space="preserve">Armação aço CA-60 ø 5,00mm para infraestrutura (corte e dobra em obra) </v>
      </c>
      <c r="D373" s="1079" t="s">
        <v>1483</v>
      </c>
      <c r="E373" s="1080" t="str">
        <f>_xlfn.XLOOKUP(D373,Insumos!$B$1:$B$670,Insumos!$C$1:$C$670)</f>
        <v>KG</v>
      </c>
      <c r="F373" s="1083">
        <v>2.0500000000000001E-2</v>
      </c>
      <c r="G373" s="1081">
        <f>IF(B373="insumo",_xlfn.XLOOKUP($D373,Insumos!$B$1:$B$670,Insumos!$D$1:$D$670),"")</f>
        <v>13.69</v>
      </c>
      <c r="H373" s="1081" cm="1">
        <f t="array" ref="H373">_xlfn.IFS(B373="Serviço",SUMIFS(H374:$H$2465,C374:$C$2465,$C373),B373="Insumo",F373*G373,B373="Etapa","")</f>
        <v>0.28064499999999998</v>
      </c>
      <c r="I373" s="1082"/>
    </row>
    <row r="374" spans="1:9" hidden="1" outlineLevel="2" x14ac:dyDescent="0.25">
      <c r="A374" s="1079">
        <f t="shared" si="13"/>
        <v>35</v>
      </c>
      <c r="B374" s="1079" t="s">
        <v>1362</v>
      </c>
      <c r="C374" s="1079" t="str">
        <f t="shared" si="14"/>
        <v xml:space="preserve">Armação aço CA-60 ø 5,00mm para infraestrutura (corte e dobra em obra) </v>
      </c>
      <c r="D374" s="1079" t="s">
        <v>1484</v>
      </c>
      <c r="E374" s="1080" t="str">
        <f>_xlfn.XLOOKUP(D374,Insumos!$B$1:$B$670,Insumos!$C$1:$C$670)</f>
        <v>UN</v>
      </c>
      <c r="F374" s="1083">
        <v>0.05</v>
      </c>
      <c r="G374" s="1081">
        <f>IF(B374="insumo",_xlfn.XLOOKUP($D374,Insumos!$B$1:$B$670,Insumos!$D$1:$D$670),"")</f>
        <v>0.27</v>
      </c>
      <c r="H374" s="1081" cm="1">
        <f t="array" ref="H374">_xlfn.IFS(B374="Serviço",SUMIFS(H375:$H$2465,C375:$C$2465,$C374),B374="Insumo",F374*G374,B374="Etapa","")</f>
        <v>1.3500000000000002E-2</v>
      </c>
      <c r="I374" s="1082"/>
    </row>
    <row r="375" spans="1:9" outlineLevel="1" collapsed="1" x14ac:dyDescent="0.25">
      <c r="A375" s="1079">
        <f t="shared" si="13"/>
        <v>1</v>
      </c>
      <c r="B375" s="1079" t="s">
        <v>471</v>
      </c>
      <c r="C375" s="1079" t="str">
        <f t="shared" si="14"/>
        <v xml:space="preserve">Armação aço CA-50 ø 32,00mm para infraestrutura (corte e dobra em obra) </v>
      </c>
      <c r="D375" s="1079" t="s">
        <v>1512</v>
      </c>
      <c r="E375" s="1080" t="s">
        <v>1481</v>
      </c>
      <c r="F375" s="1079"/>
      <c r="G375" s="1081" t="str">
        <f>IF(B375="insumo",_xlfn.XLOOKUP($D375,Insumos!$B$1:$B$670,Insumos!$D$1:$D$670),"")</f>
        <v/>
      </c>
      <c r="H375" s="1081" cm="1">
        <f t="array" ref="H375">_xlfn.IFS(B375="Serviço",SUMIFS(H376:$H$2465,C376:$C$2465,$C375),B375="Insumo",F375*G375,B375="Etapa","")</f>
        <v>8.5027850000000011</v>
      </c>
      <c r="I375" s="1082" t="s">
        <v>872</v>
      </c>
    </row>
    <row r="376" spans="1:9" hidden="1" outlineLevel="2" x14ac:dyDescent="0.25">
      <c r="A376" s="1079">
        <f t="shared" si="13"/>
        <v>1</v>
      </c>
      <c r="B376" s="1079" t="s">
        <v>1362</v>
      </c>
      <c r="C376" s="1079" t="str">
        <f t="shared" si="14"/>
        <v xml:space="preserve">Armação aço CA-50 ø 32,00mm para infraestrutura (corte e dobra em obra) </v>
      </c>
      <c r="D376" s="1079" t="s">
        <v>1513</v>
      </c>
      <c r="E376" s="1080" t="str">
        <f>_xlfn.XLOOKUP(D376,Insumos!$B$1:$B$670,Insumos!$C$1:$C$670)</f>
        <v>KG</v>
      </c>
      <c r="F376" s="1083">
        <v>1.1000000000000001</v>
      </c>
      <c r="G376" s="1081">
        <f>IF(B376="insumo",_xlfn.XLOOKUP($D376,Insumos!$B$1:$B$670,Insumos!$D$1:$D$670),"")</f>
        <v>7.4623999999999997</v>
      </c>
      <c r="H376" s="1081" cm="1">
        <f t="array" ref="H376">_xlfn.IFS(B376="Serviço",SUMIFS(H377:$H$2465,C377:$C$2465,$C376),B376="Insumo",F376*G376,B376="Etapa","")</f>
        <v>8.2086400000000008</v>
      </c>
      <c r="I376" s="1082"/>
    </row>
    <row r="377" spans="1:9" hidden="1" outlineLevel="2" x14ac:dyDescent="0.25">
      <c r="A377" s="1079">
        <f t="shared" si="13"/>
        <v>23</v>
      </c>
      <c r="B377" s="1079" t="s">
        <v>1362</v>
      </c>
      <c r="C377" s="1079" t="str">
        <f t="shared" si="14"/>
        <v xml:space="preserve">Armação aço CA-50 ø 32,00mm para infraestrutura (corte e dobra em obra) </v>
      </c>
      <c r="D377" s="1079" t="s">
        <v>1483</v>
      </c>
      <c r="E377" s="1080" t="str">
        <f>_xlfn.XLOOKUP(D377,Insumos!$B$1:$B$670,Insumos!$C$1:$C$670)</f>
        <v>KG</v>
      </c>
      <c r="F377" s="1083">
        <v>2.0500000000000001E-2</v>
      </c>
      <c r="G377" s="1081">
        <f>IF(B377="insumo",_xlfn.XLOOKUP($D377,Insumos!$B$1:$B$670,Insumos!$D$1:$D$670),"")</f>
        <v>13.69</v>
      </c>
      <c r="H377" s="1081" cm="1">
        <f t="array" ref="H377">_xlfn.IFS(B377="Serviço",SUMIFS(H378:$H$2465,C378:$C$2465,$C377),B377="Insumo",F377*G377,B377="Etapa","")</f>
        <v>0.28064499999999998</v>
      </c>
      <c r="I377" s="1082"/>
    </row>
    <row r="378" spans="1:9" hidden="1" outlineLevel="2" x14ac:dyDescent="0.25">
      <c r="A378" s="1079">
        <f t="shared" si="13"/>
        <v>35</v>
      </c>
      <c r="B378" s="1079" t="s">
        <v>1362</v>
      </c>
      <c r="C378" s="1079" t="str">
        <f t="shared" si="14"/>
        <v xml:space="preserve">Armação aço CA-50 ø 32,00mm para infraestrutura (corte e dobra em obra) </v>
      </c>
      <c r="D378" s="1079" t="s">
        <v>1484</v>
      </c>
      <c r="E378" s="1080" t="str">
        <f>_xlfn.XLOOKUP(D378,Insumos!$B$1:$B$670,Insumos!$C$1:$C$670)</f>
        <v>UN</v>
      </c>
      <c r="F378" s="1083">
        <v>0.05</v>
      </c>
      <c r="G378" s="1081">
        <f>IF(B378="insumo",_xlfn.XLOOKUP($D378,Insumos!$B$1:$B$670,Insumos!$D$1:$D$670),"")</f>
        <v>0.27</v>
      </c>
      <c r="H378" s="1081" cm="1">
        <f t="array" ref="H378">_xlfn.IFS(B378="Serviço",SUMIFS(H379:$H$2465,C379:$C$2465,$C378),B378="Insumo",F378*G378,B378="Etapa","")</f>
        <v>1.3500000000000002E-2</v>
      </c>
      <c r="I378" s="1082"/>
    </row>
    <row r="379" spans="1:9" outlineLevel="1" collapsed="1" x14ac:dyDescent="0.25">
      <c r="A379" s="1079">
        <f t="shared" si="13"/>
        <v>1</v>
      </c>
      <c r="B379" s="1079" t="s">
        <v>471</v>
      </c>
      <c r="C379" s="1079" t="str">
        <f t="shared" si="14"/>
        <v>Concreto Usinado bombeável 30MPa para infraestrutura - incluindo serviço de bombeamento</v>
      </c>
      <c r="D379" s="1079" t="s">
        <v>1277</v>
      </c>
      <c r="E379" s="1080" t="s">
        <v>1426</v>
      </c>
      <c r="F379" s="1079"/>
      <c r="G379" s="1081" t="str">
        <f>IF(B379="insumo",_xlfn.XLOOKUP($D379,Insumos!$B$1:$B$670,Insumos!$D$1:$D$670),"")</f>
        <v/>
      </c>
      <c r="H379" s="1081" cm="1">
        <f t="array" ref="H379">_xlfn.IFS(B379="Serviço",SUMIFS(H380:$H$2465,C380:$C$2465,$C379),B379="Insumo",F379*G379,B379="Etapa","")</f>
        <v>578.26</v>
      </c>
      <c r="I379" s="1082" t="s">
        <v>872</v>
      </c>
    </row>
    <row r="380" spans="1:9" hidden="1" outlineLevel="2" x14ac:dyDescent="0.25">
      <c r="A380" s="1079">
        <f t="shared" si="13"/>
        <v>4</v>
      </c>
      <c r="B380" s="1079" t="s">
        <v>1362</v>
      </c>
      <c r="C380" s="1079" t="str">
        <f t="shared" si="14"/>
        <v>Concreto Usinado bombeável 30MPa para infraestrutura - incluindo serviço de bombeamento</v>
      </c>
      <c r="D380" s="1079" t="s">
        <v>1514</v>
      </c>
      <c r="E380" s="1080" t="str">
        <f>_xlfn.XLOOKUP(D380,Insumos!$B$1:$B$670,Insumos!$C$1:$C$670)</f>
        <v>M3</v>
      </c>
      <c r="F380" s="1083">
        <v>1.05</v>
      </c>
      <c r="G380" s="1081">
        <f>IF(B380="insumo",_xlfn.XLOOKUP($D380,Insumos!$B$1:$B$670,Insumos!$D$1:$D$670),"")</f>
        <v>510</v>
      </c>
      <c r="H380" s="1081" cm="1">
        <f t="array" ref="H380">_xlfn.IFS(B380="Serviço",SUMIFS(H381:$H$2465,C381:$C$2465,$C380),B380="Insumo",F380*G380,B380="Etapa","")</f>
        <v>535.5</v>
      </c>
      <c r="I380" s="1082"/>
    </row>
    <row r="381" spans="1:9" hidden="1" outlineLevel="2" x14ac:dyDescent="0.25">
      <c r="A381" s="1079">
        <f t="shared" si="13"/>
        <v>22</v>
      </c>
      <c r="B381" s="1079" t="s">
        <v>1362</v>
      </c>
      <c r="C381" s="1079" t="str">
        <f t="shared" si="14"/>
        <v>Concreto Usinado bombeável 30MPa para infraestrutura - incluindo serviço de bombeamento</v>
      </c>
      <c r="D381" s="1079" t="s">
        <v>1433</v>
      </c>
      <c r="E381" s="1080" t="str">
        <f>_xlfn.XLOOKUP(D381,Insumos!$B$1:$B$670,Insumos!$C$1:$C$670)</f>
        <v>M3</v>
      </c>
      <c r="F381" s="1083">
        <v>1.05</v>
      </c>
      <c r="G381" s="1081">
        <f>IF(B381="insumo",_xlfn.XLOOKUP($D381,Insumos!$B$1:$B$670,Insumos!$D$1:$D$670),"")</f>
        <v>40</v>
      </c>
      <c r="H381" s="1081" cm="1">
        <f t="array" ref="H381">_xlfn.IFS(B381="Serviço",SUMIFS(H382:$H$2465,C382:$C$2465,$C381),B381="Insumo",F381*G381,B381="Etapa","")</f>
        <v>42</v>
      </c>
      <c r="I381" s="1082"/>
    </row>
    <row r="382" spans="1:9" hidden="1" outlineLevel="2" x14ac:dyDescent="0.25">
      <c r="A382" s="1079">
        <f t="shared" si="13"/>
        <v>38</v>
      </c>
      <c r="B382" s="1079" t="s">
        <v>1362</v>
      </c>
      <c r="C382" s="1079" t="str">
        <f t="shared" si="14"/>
        <v>Concreto Usinado bombeável 30MPa para infraestrutura - incluindo serviço de bombeamento</v>
      </c>
      <c r="D382" s="1079" t="s">
        <v>1434</v>
      </c>
      <c r="E382" s="1080" t="str">
        <f>_xlfn.XLOOKUP(D382,Insumos!$B$1:$B$670,Insumos!$C$1:$C$670)</f>
        <v>KG</v>
      </c>
      <c r="F382" s="1083">
        <v>1</v>
      </c>
      <c r="G382" s="1081">
        <f>IF(B382="insumo",_xlfn.XLOOKUP($D382,Insumos!$B$1:$B$670,Insumos!$D$1:$D$670),"")</f>
        <v>0.76</v>
      </c>
      <c r="H382" s="1081" cm="1">
        <f t="array" ref="H382">_xlfn.IFS(B382="Serviço",SUMIFS(H383:$H$2465,C383:$C$2465,$C382),B382="Insumo",F382*G382,B382="Etapa","")</f>
        <v>0.76</v>
      </c>
      <c r="I382" s="1082"/>
    </row>
    <row r="383" spans="1:9" outlineLevel="1" collapsed="1" x14ac:dyDescent="0.25">
      <c r="A383" s="1079">
        <f t="shared" si="13"/>
        <v>1</v>
      </c>
      <c r="B383" s="1079" t="s">
        <v>471</v>
      </c>
      <c r="C383" s="1079" t="str">
        <f t="shared" si="14"/>
        <v>Concreto Usinado bombeável 35MPa para infraestrutura - incluindo serviço de bombeamento</v>
      </c>
      <c r="D383" s="1079" t="s">
        <v>1515</v>
      </c>
      <c r="E383" s="1080" t="s">
        <v>1426</v>
      </c>
      <c r="F383" s="1079"/>
      <c r="G383" s="1081" t="str">
        <f>IF(B383="insumo",_xlfn.XLOOKUP($D383,Insumos!$B$1:$B$670,Insumos!$D$1:$D$670),"")</f>
        <v/>
      </c>
      <c r="H383" s="1081" cm="1">
        <f t="array" ref="H383">_xlfn.IFS(B383="Serviço",SUMIFS(H384:$H$2465,C384:$C$2465,$C383),B383="Insumo",F383*G383,B383="Etapa","")</f>
        <v>578.26</v>
      </c>
      <c r="I383" s="1082" t="s">
        <v>872</v>
      </c>
    </row>
    <row r="384" spans="1:9" hidden="1" outlineLevel="2" x14ac:dyDescent="0.25">
      <c r="A384" s="1079">
        <f t="shared" si="13"/>
        <v>6</v>
      </c>
      <c r="B384" s="1079" t="s">
        <v>1362</v>
      </c>
      <c r="C384" s="1079" t="str">
        <f t="shared" si="14"/>
        <v>Concreto Usinado bombeável 35MPa para infraestrutura - incluindo serviço de bombeamento</v>
      </c>
      <c r="D384" s="1079" t="s">
        <v>1516</v>
      </c>
      <c r="E384" s="1080" t="str">
        <f>_xlfn.XLOOKUP(D384,Insumos!$B$1:$B$670,Insumos!$C$1:$C$670)</f>
        <v>M3</v>
      </c>
      <c r="F384" s="1083">
        <v>1.05</v>
      </c>
      <c r="G384" s="1081">
        <f>IF(B384="insumo",_xlfn.XLOOKUP($D384,Insumos!$B$1:$B$670,Insumos!$D$1:$D$670),"")</f>
        <v>510</v>
      </c>
      <c r="H384" s="1081" cm="1">
        <f t="array" ref="H384">_xlfn.IFS(B384="Serviço",SUMIFS(H385:$H$2465,C385:$C$2465,$C384),B384="Insumo",F384*G384,B384="Etapa","")</f>
        <v>535.5</v>
      </c>
      <c r="I384" s="1082"/>
    </row>
    <row r="385" spans="1:9" hidden="1" outlineLevel="2" x14ac:dyDescent="0.25">
      <c r="A385" s="1079">
        <f t="shared" si="13"/>
        <v>22</v>
      </c>
      <c r="B385" s="1079" t="s">
        <v>1362</v>
      </c>
      <c r="C385" s="1079" t="str">
        <f t="shared" si="14"/>
        <v>Concreto Usinado bombeável 35MPa para infraestrutura - incluindo serviço de bombeamento</v>
      </c>
      <c r="D385" s="1079" t="s">
        <v>1433</v>
      </c>
      <c r="E385" s="1080" t="str">
        <f>_xlfn.XLOOKUP(D385,Insumos!$B$1:$B$670,Insumos!$C$1:$C$670)</f>
        <v>M3</v>
      </c>
      <c r="F385" s="1083">
        <v>1.05</v>
      </c>
      <c r="G385" s="1081">
        <f>IF(B385="insumo",_xlfn.XLOOKUP($D385,Insumos!$B$1:$B$670,Insumos!$D$1:$D$670),"")</f>
        <v>40</v>
      </c>
      <c r="H385" s="1081" cm="1">
        <f t="array" ref="H385">_xlfn.IFS(B385="Serviço",SUMIFS(H386:$H$2465,C386:$C$2465,$C385),B385="Insumo",F385*G385,B385="Etapa","")</f>
        <v>42</v>
      </c>
      <c r="I385" s="1082"/>
    </row>
    <row r="386" spans="1:9" hidden="1" outlineLevel="2" x14ac:dyDescent="0.25">
      <c r="A386" s="1079">
        <f t="shared" ref="A386:A449" si="15">COUNTIFS($D$2:$D$2465,D386,$B$2:$B$2465,B386)</f>
        <v>38</v>
      </c>
      <c r="B386" s="1079" t="s">
        <v>1362</v>
      </c>
      <c r="C386" s="1079" t="str">
        <f t="shared" si="14"/>
        <v>Concreto Usinado bombeável 35MPa para infraestrutura - incluindo serviço de bombeamento</v>
      </c>
      <c r="D386" s="1079" t="s">
        <v>1434</v>
      </c>
      <c r="E386" s="1080" t="str">
        <f>_xlfn.XLOOKUP(D386,Insumos!$B$1:$B$670,Insumos!$C$1:$C$670)</f>
        <v>KG</v>
      </c>
      <c r="F386" s="1083">
        <v>1</v>
      </c>
      <c r="G386" s="1081">
        <f>IF(B386="insumo",_xlfn.XLOOKUP($D386,Insumos!$B$1:$B$670,Insumos!$D$1:$D$670),"")</f>
        <v>0.76</v>
      </c>
      <c r="H386" s="1081" cm="1">
        <f t="array" ref="H386">_xlfn.IFS(B386="Serviço",SUMIFS(H387:$H$2465,C387:$C$2465,$C386),B386="Insumo",F386*G386,B386="Etapa","")</f>
        <v>0.76</v>
      </c>
      <c r="I386" s="1082"/>
    </row>
    <row r="387" spans="1:9" outlineLevel="1" collapsed="1" x14ac:dyDescent="0.25">
      <c r="A387" s="1079">
        <f t="shared" si="15"/>
        <v>1</v>
      </c>
      <c r="B387" s="1079" t="s">
        <v>471</v>
      </c>
      <c r="C387" s="1079" t="str">
        <f t="shared" si="14"/>
        <v>Concreto Usinado bombeável 40MPa para infraestrutura- incluindo serviço de bombeamento</v>
      </c>
      <c r="D387" s="1079" t="s">
        <v>1517</v>
      </c>
      <c r="E387" s="1080" t="s">
        <v>1426</v>
      </c>
      <c r="F387" s="1079"/>
      <c r="G387" s="1081" t="str">
        <f>IF(B387="insumo",_xlfn.XLOOKUP($D387,Insumos!$B$1:$B$670,Insumos!$D$1:$D$670),"")</f>
        <v/>
      </c>
      <c r="H387" s="1081" cm="1">
        <f t="array" ref="H387">_xlfn.IFS(B387="Serviço",SUMIFS(H388:$H$2465,C388:$C$2465,$C387),B387="Insumo",F387*G387,B387="Etapa","")</f>
        <v>651.76</v>
      </c>
      <c r="I387" s="1082" t="s">
        <v>872</v>
      </c>
    </row>
    <row r="388" spans="1:9" hidden="1" outlineLevel="2" x14ac:dyDescent="0.25">
      <c r="A388" s="1079">
        <f t="shared" si="15"/>
        <v>2</v>
      </c>
      <c r="B388" s="1079" t="s">
        <v>1362</v>
      </c>
      <c r="C388" s="1079" t="str">
        <f t="shared" si="14"/>
        <v>Concreto Usinado bombeável 40MPa para infraestrutura- incluindo serviço de bombeamento</v>
      </c>
      <c r="D388" s="1079" t="s">
        <v>1518</v>
      </c>
      <c r="E388" s="1080" t="str">
        <f>_xlfn.XLOOKUP(D388,Insumos!$B$1:$B$670,Insumos!$C$1:$C$670)</f>
        <v>M3</v>
      </c>
      <c r="F388" s="1083">
        <v>1.05</v>
      </c>
      <c r="G388" s="1081">
        <f>IF(B388="insumo",_xlfn.XLOOKUP($D388,Insumos!$B$1:$B$670,Insumos!$D$1:$D$670),"")</f>
        <v>580</v>
      </c>
      <c r="H388" s="1081" cm="1">
        <f t="array" ref="H388">_xlfn.IFS(B388="Serviço",SUMIFS(H389:$H$2465,C389:$C$2465,$C388),B388="Insumo",F388*G388,B388="Etapa","")</f>
        <v>609</v>
      </c>
      <c r="I388" s="1082"/>
    </row>
    <row r="389" spans="1:9" hidden="1" outlineLevel="2" x14ac:dyDescent="0.25">
      <c r="A389" s="1079">
        <f t="shared" si="15"/>
        <v>22</v>
      </c>
      <c r="B389" s="1079" t="s">
        <v>1362</v>
      </c>
      <c r="C389" s="1079" t="str">
        <f t="shared" si="14"/>
        <v>Concreto Usinado bombeável 40MPa para infraestrutura- incluindo serviço de bombeamento</v>
      </c>
      <c r="D389" s="1079" t="s">
        <v>1433</v>
      </c>
      <c r="E389" s="1080" t="str">
        <f>_xlfn.XLOOKUP(D389,Insumos!$B$1:$B$670,Insumos!$C$1:$C$670)</f>
        <v>M3</v>
      </c>
      <c r="F389" s="1083">
        <v>1.05</v>
      </c>
      <c r="G389" s="1081">
        <f>IF(B389="insumo",_xlfn.XLOOKUP($D389,Insumos!$B$1:$B$670,Insumos!$D$1:$D$670),"")</f>
        <v>40</v>
      </c>
      <c r="H389" s="1081" cm="1">
        <f t="array" ref="H389">_xlfn.IFS(B389="Serviço",SUMIFS(H390:$H$2465,C390:$C$2465,$C389),B389="Insumo",F389*G389,B389="Etapa","")</f>
        <v>42</v>
      </c>
      <c r="I389" s="1082"/>
    </row>
    <row r="390" spans="1:9" hidden="1" outlineLevel="2" x14ac:dyDescent="0.25">
      <c r="A390" s="1079">
        <f t="shared" si="15"/>
        <v>38</v>
      </c>
      <c r="B390" s="1079" t="s">
        <v>1362</v>
      </c>
      <c r="C390" s="1079" t="str">
        <f t="shared" si="14"/>
        <v>Concreto Usinado bombeável 40MPa para infraestrutura- incluindo serviço de bombeamento</v>
      </c>
      <c r="D390" s="1079" t="s">
        <v>1434</v>
      </c>
      <c r="E390" s="1080" t="str">
        <f>_xlfn.XLOOKUP(D390,Insumos!$B$1:$B$670,Insumos!$C$1:$C$670)</f>
        <v>KG</v>
      </c>
      <c r="F390" s="1083">
        <v>1</v>
      </c>
      <c r="G390" s="1081">
        <f>IF(B390="insumo",_xlfn.XLOOKUP($D390,Insumos!$B$1:$B$670,Insumos!$D$1:$D$670),"")</f>
        <v>0.76</v>
      </c>
      <c r="H390" s="1081" cm="1">
        <f t="array" ref="H390">_xlfn.IFS(B390="Serviço",SUMIFS(H391:$H$2465,C391:$C$2465,$C390),B390="Insumo",F390*G390,B390="Etapa","")</f>
        <v>0.76</v>
      </c>
      <c r="I390" s="1082"/>
    </row>
    <row r="391" spans="1:9" outlineLevel="1" collapsed="1" x14ac:dyDescent="0.25">
      <c r="A391" s="1079">
        <f t="shared" si="15"/>
        <v>1</v>
      </c>
      <c r="B391" s="1079" t="s">
        <v>471</v>
      </c>
      <c r="C391" s="1079" t="str">
        <f t="shared" si="14"/>
        <v>Concreto Usinado bombeável 45MPa para infraestrutura- incluindo serviço de bombeamento</v>
      </c>
      <c r="D391" s="1079" t="s">
        <v>1519</v>
      </c>
      <c r="E391" s="1080" t="s">
        <v>1426</v>
      </c>
      <c r="F391" s="1079"/>
      <c r="G391" s="1081" t="str">
        <f>IF(B391="insumo",_xlfn.XLOOKUP($D391,Insumos!$B$1:$B$670,Insumos!$D$1:$D$670),"")</f>
        <v/>
      </c>
      <c r="H391" s="1081" cm="1">
        <f t="array" ref="H391">_xlfn.IFS(B391="Serviço",SUMIFS(H392:$H$2465,C392:$C$2465,$C391),B391="Insumo",F391*G391,B391="Etapa","")</f>
        <v>662.03425000000016</v>
      </c>
      <c r="I391" s="1082" t="s">
        <v>872</v>
      </c>
    </row>
    <row r="392" spans="1:9" hidden="1" outlineLevel="2" x14ac:dyDescent="0.25">
      <c r="A392" s="1079">
        <f t="shared" si="15"/>
        <v>1</v>
      </c>
      <c r="B392" s="1079" t="s">
        <v>1362</v>
      </c>
      <c r="C392" s="1079" t="str">
        <f t="shared" si="14"/>
        <v>Concreto Usinado bombeável 45MPa para infraestrutura- incluindo serviço de bombeamento</v>
      </c>
      <c r="D392" s="1079" t="s">
        <v>1520</v>
      </c>
      <c r="E392" s="1080" t="str">
        <f>_xlfn.XLOOKUP(D392,Insumos!$B$1:$B$670,Insumos!$C$1:$C$670)</f>
        <v>M3</v>
      </c>
      <c r="F392" s="1083">
        <v>1.05</v>
      </c>
      <c r="G392" s="1081">
        <f>IF(B392="insumo",_xlfn.XLOOKUP($D392,Insumos!$B$1:$B$670,Insumos!$D$1:$D$670),"")</f>
        <v>589.78500000000008</v>
      </c>
      <c r="H392" s="1081" cm="1">
        <f t="array" ref="H392">_xlfn.IFS(B392="Serviço",SUMIFS(H393:$H$2465,C393:$C$2465,$C392),B392="Insumo",F392*G392,B392="Etapa","")</f>
        <v>619.27425000000017</v>
      </c>
      <c r="I392" s="1082"/>
    </row>
    <row r="393" spans="1:9" hidden="1" outlineLevel="2" x14ac:dyDescent="0.25">
      <c r="A393" s="1079">
        <f t="shared" si="15"/>
        <v>22</v>
      </c>
      <c r="B393" s="1079" t="s">
        <v>1362</v>
      </c>
      <c r="C393" s="1079" t="str">
        <f t="shared" ref="C393:C404" si="16">IF(B393="serviço",D393,C392)</f>
        <v>Concreto Usinado bombeável 45MPa para infraestrutura- incluindo serviço de bombeamento</v>
      </c>
      <c r="D393" s="1079" t="s">
        <v>1433</v>
      </c>
      <c r="E393" s="1080" t="str">
        <f>_xlfn.XLOOKUP(D393,Insumos!$B$1:$B$670,Insumos!$C$1:$C$670)</f>
        <v>M3</v>
      </c>
      <c r="F393" s="1083">
        <v>1.05</v>
      </c>
      <c r="G393" s="1081">
        <f>IF(B393="insumo",_xlfn.XLOOKUP($D393,Insumos!$B$1:$B$670,Insumos!$D$1:$D$670),"")</f>
        <v>40</v>
      </c>
      <c r="H393" s="1081" cm="1">
        <f t="array" ref="H393">_xlfn.IFS(B393="Serviço",SUMIFS(H394:$H$2465,C394:$C$2465,$C393),B393="Insumo",F393*G393,B393="Etapa","")</f>
        <v>42</v>
      </c>
      <c r="I393" s="1082"/>
    </row>
    <row r="394" spans="1:9" hidden="1" outlineLevel="2" x14ac:dyDescent="0.25">
      <c r="A394" s="1079">
        <f t="shared" si="15"/>
        <v>38</v>
      </c>
      <c r="B394" s="1079" t="s">
        <v>1362</v>
      </c>
      <c r="C394" s="1079" t="str">
        <f t="shared" si="16"/>
        <v>Concreto Usinado bombeável 45MPa para infraestrutura- incluindo serviço de bombeamento</v>
      </c>
      <c r="D394" s="1079" t="s">
        <v>1434</v>
      </c>
      <c r="E394" s="1080" t="str">
        <f>_xlfn.XLOOKUP(D394,Insumos!$B$1:$B$670,Insumos!$C$1:$C$670)</f>
        <v>KG</v>
      </c>
      <c r="F394" s="1083">
        <v>1</v>
      </c>
      <c r="G394" s="1081">
        <f>IF(B394="insumo",_xlfn.XLOOKUP($D394,Insumos!$B$1:$B$670,Insumos!$D$1:$D$670),"")</f>
        <v>0.76</v>
      </c>
      <c r="H394" s="1081" cm="1">
        <f t="array" ref="H394">_xlfn.IFS(B394="Serviço",SUMIFS(H395:$H$2465,C395:$C$2465,$C394),B394="Insumo",F394*G394,B394="Etapa","")</f>
        <v>0.76</v>
      </c>
      <c r="I394" s="1082"/>
    </row>
    <row r="395" spans="1:9" outlineLevel="1" collapsed="1" x14ac:dyDescent="0.25">
      <c r="A395" s="1079">
        <f t="shared" si="15"/>
        <v>1</v>
      </c>
      <c r="B395" s="1079" t="s">
        <v>471</v>
      </c>
      <c r="C395" s="1079" t="str">
        <f t="shared" si="16"/>
        <v>Concreto Usinado bombeável 50MPa para infraestrutura- incluindo serviço de bombeamento</v>
      </c>
      <c r="D395" s="1079" t="s">
        <v>1521</v>
      </c>
      <c r="E395" s="1080" t="s">
        <v>1426</v>
      </c>
      <c r="F395" s="1079"/>
      <c r="G395" s="1081" t="str">
        <f>IF(B395="insumo",_xlfn.XLOOKUP($D395,Insumos!$B$1:$B$670,Insumos!$D$1:$D$670),"")</f>
        <v/>
      </c>
      <c r="H395" s="1081" cm="1">
        <f t="array" ref="H395">_xlfn.IFS(B395="Serviço",SUMIFS(H396:$H$2465,C396:$C$2465,$C395),B395="Insumo",F395*G395,B395="Etapa","")</f>
        <v>682.5</v>
      </c>
      <c r="I395" s="1082" t="s">
        <v>872</v>
      </c>
    </row>
    <row r="396" spans="1:9" hidden="1" outlineLevel="2" x14ac:dyDescent="0.25">
      <c r="A396" s="1079">
        <f t="shared" si="15"/>
        <v>3</v>
      </c>
      <c r="B396" s="1079" t="s">
        <v>1362</v>
      </c>
      <c r="C396" s="1079" t="str">
        <f t="shared" si="16"/>
        <v>Concreto Usinado bombeável 50MPa para infraestrutura- incluindo serviço de bombeamento</v>
      </c>
      <c r="D396" s="1079" t="s">
        <v>1522</v>
      </c>
      <c r="E396" s="1080" t="str">
        <f>_xlfn.XLOOKUP(D396,Insumos!$B$1:$B$670,Insumos!$C$1:$C$670)</f>
        <v>M3</v>
      </c>
      <c r="F396" s="1083">
        <v>1.05</v>
      </c>
      <c r="G396" s="1081">
        <f>IF(B396="insumo",_xlfn.XLOOKUP($D396,Insumos!$B$1:$B$670,Insumos!$D$1:$D$670),"")</f>
        <v>610</v>
      </c>
      <c r="H396" s="1081" cm="1">
        <f t="array" ref="H396">_xlfn.IFS(B396="Serviço",SUMIFS(H397:$H$2465,C397:$C$2465,$C396),B396="Insumo",F396*G396,B396="Etapa","")</f>
        <v>640.5</v>
      </c>
      <c r="I396" s="1082"/>
    </row>
    <row r="397" spans="1:9" hidden="1" outlineLevel="2" x14ac:dyDescent="0.25">
      <c r="A397" s="1079">
        <f t="shared" si="15"/>
        <v>22</v>
      </c>
      <c r="B397" s="1079" t="s">
        <v>1362</v>
      </c>
      <c r="C397" s="1079" t="str">
        <f t="shared" si="16"/>
        <v>Concreto Usinado bombeável 50MPa para infraestrutura- incluindo serviço de bombeamento</v>
      </c>
      <c r="D397" s="1079" t="s">
        <v>1433</v>
      </c>
      <c r="E397" s="1080" t="str">
        <f>_xlfn.XLOOKUP(D397,Insumos!$B$1:$B$670,Insumos!$C$1:$C$670)</f>
        <v>M3</v>
      </c>
      <c r="F397" s="1083">
        <v>1.05</v>
      </c>
      <c r="G397" s="1081">
        <f>IF(B397="insumo",_xlfn.XLOOKUP($D397,Insumos!$B$1:$B$670,Insumos!$D$1:$D$670),"")</f>
        <v>40</v>
      </c>
      <c r="H397" s="1081" cm="1">
        <f t="array" ref="H397">_xlfn.IFS(B397="Serviço",SUMIFS(H398:$H$2465,C398:$C$2465,$C397),B397="Insumo",F397*G397,B397="Etapa","")</f>
        <v>42</v>
      </c>
      <c r="I397" s="1082"/>
    </row>
    <row r="398" spans="1:9" hidden="1" outlineLevel="2" x14ac:dyDescent="0.25">
      <c r="A398" s="1079">
        <f t="shared" si="15"/>
        <v>38</v>
      </c>
      <c r="B398" s="1079" t="s">
        <v>1362</v>
      </c>
      <c r="C398" s="1079" t="str">
        <f t="shared" si="16"/>
        <v>Concreto Usinado bombeável 50MPa para infraestrutura- incluindo serviço de bombeamento</v>
      </c>
      <c r="D398" s="1079" t="s">
        <v>1434</v>
      </c>
      <c r="E398" s="1080" t="str">
        <f>_xlfn.XLOOKUP(D398,Insumos!$B$1:$B$670,Insumos!$C$1:$C$670)</f>
        <v>KG</v>
      </c>
      <c r="F398" s="1083">
        <v>0</v>
      </c>
      <c r="G398" s="1081">
        <f>IF(B398="insumo",_xlfn.XLOOKUP($D398,Insumos!$B$1:$B$670,Insumos!$D$1:$D$670),"")</f>
        <v>0.76</v>
      </c>
      <c r="H398" s="1081" cm="1">
        <f t="array" ref="H398">_xlfn.IFS(B398="Serviço",SUMIFS(H399:$H$2465,C399:$C$2465,$C398),B398="Insumo",F398*G398,B398="Etapa","")</f>
        <v>0</v>
      </c>
      <c r="I398" s="1082"/>
    </row>
    <row r="399" spans="1:9" outlineLevel="1" collapsed="1" x14ac:dyDescent="0.25">
      <c r="A399" s="1079">
        <f t="shared" si="15"/>
        <v>1</v>
      </c>
      <c r="B399" s="1079" t="s">
        <v>471</v>
      </c>
      <c r="C399" s="1079" t="str">
        <f t="shared" si="16"/>
        <v>Concreto Usinado bombeável 60MPa para infraestrutura- incluindo serviço de bombeamento</v>
      </c>
      <c r="D399" s="1079" t="s">
        <v>1523</v>
      </c>
      <c r="E399" s="1080" t="s">
        <v>1426</v>
      </c>
      <c r="F399" s="1079"/>
      <c r="G399" s="1081" t="str">
        <f>IF(B399="insumo",_xlfn.XLOOKUP($D399,Insumos!$B$1:$B$670,Insumos!$D$1:$D$670),"")</f>
        <v/>
      </c>
      <c r="H399" s="1081" cm="1">
        <f t="array" ref="H399">_xlfn.IFS(B399="Serviço",SUMIFS(H400:$H$2465,C400:$C$2465,$C399),B399="Insumo",F399*G399,B399="Etapa","")</f>
        <v>42</v>
      </c>
      <c r="I399" s="1082" t="s">
        <v>872</v>
      </c>
    </row>
    <row r="400" spans="1:9" hidden="1" outlineLevel="2" x14ac:dyDescent="0.25">
      <c r="A400" s="1079">
        <f t="shared" si="15"/>
        <v>1</v>
      </c>
      <c r="B400" s="1079" t="s">
        <v>1362</v>
      </c>
      <c r="C400" s="1079" t="str">
        <f t="shared" si="16"/>
        <v>Concreto Usinado bombeável 60MPa para infraestrutura- incluindo serviço de bombeamento</v>
      </c>
      <c r="D400" s="1079" t="s">
        <v>1524</v>
      </c>
      <c r="E400" s="1080" t="str">
        <f>_xlfn.XLOOKUP(D400,Insumos!$B$1:$B$670,Insumos!$C$1:$C$670)</f>
        <v>M3</v>
      </c>
      <c r="F400" s="1083">
        <v>1.05</v>
      </c>
      <c r="G400" s="1081">
        <f>IF(B400="insumo",_xlfn.XLOOKUP($D400,Insumos!$B$1:$B$670,Insumos!$D$1:$D$670),"")</f>
        <v>0</v>
      </c>
      <c r="H400" s="1081" cm="1">
        <f t="array" ref="H400">_xlfn.IFS(B400="Serviço",SUMIFS(H401:$H$2465,C401:$C$2465,$C400),B400="Insumo",F400*G400,B400="Etapa","")</f>
        <v>0</v>
      </c>
      <c r="I400" s="1082"/>
    </row>
    <row r="401" spans="1:9" hidden="1" outlineLevel="2" x14ac:dyDescent="0.25">
      <c r="A401" s="1079">
        <f t="shared" si="15"/>
        <v>22</v>
      </c>
      <c r="B401" s="1079" t="s">
        <v>1362</v>
      </c>
      <c r="C401" s="1079" t="str">
        <f t="shared" si="16"/>
        <v>Concreto Usinado bombeável 60MPa para infraestrutura- incluindo serviço de bombeamento</v>
      </c>
      <c r="D401" s="1079" t="s">
        <v>1433</v>
      </c>
      <c r="E401" s="1080" t="str">
        <f>_xlfn.XLOOKUP(D401,Insumos!$B$1:$B$670,Insumos!$C$1:$C$670)</f>
        <v>M3</v>
      </c>
      <c r="F401" s="1083">
        <v>1.05</v>
      </c>
      <c r="G401" s="1081">
        <f>IF(B401="insumo",_xlfn.XLOOKUP($D401,Insumos!$B$1:$B$670,Insumos!$D$1:$D$670),"")</f>
        <v>40</v>
      </c>
      <c r="H401" s="1081" cm="1">
        <f t="array" ref="H401">_xlfn.IFS(B401="Serviço",SUMIFS(H402:$H$2465,C402:$C$2465,$C401),B401="Insumo",F401*G401,B401="Etapa","")</f>
        <v>42</v>
      </c>
      <c r="I401" s="1082"/>
    </row>
    <row r="402" spans="1:9" hidden="1" outlineLevel="2" x14ac:dyDescent="0.25">
      <c r="A402" s="1079">
        <f t="shared" si="15"/>
        <v>38</v>
      </c>
      <c r="B402" s="1079" t="s">
        <v>1362</v>
      </c>
      <c r="C402" s="1079" t="str">
        <f t="shared" si="16"/>
        <v>Concreto Usinado bombeável 60MPa para infraestrutura- incluindo serviço de bombeamento</v>
      </c>
      <c r="D402" s="1079" t="s">
        <v>1434</v>
      </c>
      <c r="E402" s="1080" t="str">
        <f>_xlfn.XLOOKUP(D402,Insumos!$B$1:$B$670,Insumos!$C$1:$C$670)</f>
        <v>KG</v>
      </c>
      <c r="F402" s="1083">
        <v>0</v>
      </c>
      <c r="G402" s="1081">
        <f>IF(B402="insumo",_xlfn.XLOOKUP($D402,Insumos!$B$1:$B$670,Insumos!$D$1:$D$670),"")</f>
        <v>0.76</v>
      </c>
      <c r="H402" s="1081" cm="1">
        <f t="array" ref="H402">_xlfn.IFS(B402="Serviço",SUMIFS(H403:$H$2465,C403:$C$2465,$C402),B402="Insumo",F402*G402,B402="Etapa","")</f>
        <v>0</v>
      </c>
      <c r="I402" s="1082"/>
    </row>
    <row r="403" spans="1:9" outlineLevel="1" collapsed="1" x14ac:dyDescent="0.25">
      <c r="A403" s="1079">
        <f t="shared" si="15"/>
        <v>1</v>
      </c>
      <c r="B403" s="1079" t="s">
        <v>471</v>
      </c>
      <c r="C403" s="1079" t="str">
        <f t="shared" si="16"/>
        <v>Mão de obra para execução de fundação</v>
      </c>
      <c r="D403" s="1079" t="s">
        <v>1525</v>
      </c>
      <c r="E403" s="1080" t="s">
        <v>17</v>
      </c>
      <c r="F403" s="1079"/>
      <c r="G403" s="1081" t="str">
        <f>IF(B403="insumo",_xlfn.XLOOKUP($D403,Insumos!$B$1:$B$670,Insumos!$D$1:$D$670),"")</f>
        <v/>
      </c>
      <c r="H403" s="1081" cm="1">
        <f t="array" ref="H403">_xlfn.IFS(B403="Serviço",SUMIFS(H404:$H$2465,C404:$C$2465,$C403),B403="Insumo",F403*G403,B403="Etapa","")</f>
        <v>290</v>
      </c>
      <c r="I403" s="1082" t="s">
        <v>872</v>
      </c>
    </row>
    <row r="404" spans="1:9" hidden="1" outlineLevel="2" x14ac:dyDescent="0.25">
      <c r="A404" s="1079">
        <f t="shared" si="15"/>
        <v>1</v>
      </c>
      <c r="B404" s="1079" t="s">
        <v>1362</v>
      </c>
      <c r="C404" s="1079" t="str">
        <f t="shared" si="16"/>
        <v>Mão de obra para execução de fundação</v>
      </c>
      <c r="D404" s="1079" t="s">
        <v>1525</v>
      </c>
      <c r="E404" s="1080" t="str">
        <f>_xlfn.XLOOKUP(D404,Insumos!$B$1:$B$670,Insumos!$C$1:$C$670)</f>
        <v>M2</v>
      </c>
      <c r="F404" s="1083">
        <v>1</v>
      </c>
      <c r="G404" s="1081">
        <f>IF(B404="insumo",_xlfn.XLOOKUP($D404,Insumos!$B$1:$B$670,Insumos!$D$1:$D$670),"")</f>
        <v>290</v>
      </c>
      <c r="H404" s="1081" cm="1">
        <f t="array" ref="H404">_xlfn.IFS(B404="Serviço",SUMIFS(H405:$H$2465,C405:$C$2465,$C404),B404="Insumo",F404*G404,B404="Etapa","")</f>
        <v>290</v>
      </c>
      <c r="I404" s="1082"/>
    </row>
    <row r="405" spans="1:9" collapsed="1" x14ac:dyDescent="0.25">
      <c r="A405" s="1076">
        <f t="shared" si="15"/>
        <v>1</v>
      </c>
      <c r="B405" s="1076" t="s">
        <v>469</v>
      </c>
      <c r="C405" s="1076"/>
      <c r="D405" s="1076" t="s">
        <v>1526</v>
      </c>
      <c r="E405" s="1077"/>
      <c r="F405" s="1078"/>
      <c r="G405" s="1084" t="str">
        <f>IF(B405="insumo",_xlfn.XLOOKUP($D405,Insumos!$B$1:$B$670,Insumos!$D$1:$D$670),"")</f>
        <v/>
      </c>
      <c r="H405" s="1084" t="str" cm="1">
        <f t="array" ref="H405">_xlfn.IFS(B405="Serviço",SUMIFS(H406:$H$2465,C406:$C$2465,$C405),B405="Insumo",F405*G405,B405="Etapa","")</f>
        <v/>
      </c>
      <c r="I405" s="1078"/>
    </row>
    <row r="406" spans="1:9" hidden="1" outlineLevel="1" collapsed="1" x14ac:dyDescent="0.25">
      <c r="A406" s="1079">
        <f t="shared" si="15"/>
        <v>1</v>
      </c>
      <c r="B406" s="1079" t="s">
        <v>471</v>
      </c>
      <c r="C406" s="1079" t="str">
        <f t="shared" ref="C406:C460" si="17">IF(B406="serviço",D406,C405)</f>
        <v xml:space="preserve">Perfuração de estaca Escavada para contenção Ø 30cm	</v>
      </c>
      <c r="D406" s="1079" t="s">
        <v>1527</v>
      </c>
      <c r="E406" s="1080" t="s">
        <v>281</v>
      </c>
      <c r="F406" s="1079"/>
      <c r="G406" s="1081" t="str">
        <f>IF(B406="insumo",_xlfn.XLOOKUP($D406,Insumos!$B$1:$B$670,Insumos!$D$1:$D$670),"")</f>
        <v/>
      </c>
      <c r="H406" s="1081" cm="1">
        <f t="array" ref="H406">_xlfn.IFS(B406="Serviço",SUMIFS(H407:$H$2465,C407:$C$2465,$C406),B406="Insumo",F406*G406,B406="Etapa","")</f>
        <v>39</v>
      </c>
      <c r="I406" s="1082" t="s">
        <v>872</v>
      </c>
    </row>
    <row r="407" spans="1:9" hidden="1" outlineLevel="2" x14ac:dyDescent="0.25">
      <c r="A407" s="1079">
        <f t="shared" si="15"/>
        <v>2</v>
      </c>
      <c r="B407" s="1079" t="s">
        <v>1362</v>
      </c>
      <c r="C407" s="1079" t="str">
        <f t="shared" si="17"/>
        <v xml:space="preserve">Perfuração de estaca Escavada para contenção Ø 30cm	</v>
      </c>
      <c r="D407" s="1079" t="s">
        <v>1468</v>
      </c>
      <c r="E407" s="1080" t="str">
        <f>_xlfn.XLOOKUP(D407,Insumos!$B$1:$B$670,Insumos!$C$1:$C$670)</f>
        <v>M</v>
      </c>
      <c r="F407" s="1083">
        <v>1</v>
      </c>
      <c r="G407" s="1081">
        <f>IF(B407="insumo",_xlfn.XLOOKUP($D407,Insumos!$B$1:$B$670,Insumos!$D$1:$D$670),"")</f>
        <v>39</v>
      </c>
      <c r="H407" s="1081" cm="1">
        <f t="array" ref="H407">_xlfn.IFS(B407="Serviço",SUMIFS(H408:$H$2465,C408:$C$2465,$C407),B407="Insumo",F407*G407,B407="Etapa","")</f>
        <v>39</v>
      </c>
      <c r="I407" s="1082"/>
    </row>
    <row r="408" spans="1:9" hidden="1" outlineLevel="1" collapsed="1" x14ac:dyDescent="0.25">
      <c r="A408" s="1079">
        <f t="shared" si="15"/>
        <v>1</v>
      </c>
      <c r="B408" s="1079" t="s">
        <v>471</v>
      </c>
      <c r="C408" s="1079" t="str">
        <f t="shared" si="17"/>
        <v>Concreto Usinado bombeável para estaca das Contenções 25MPa  - incluindo serviço de bombeamento</v>
      </c>
      <c r="D408" s="1079" t="s">
        <v>1528</v>
      </c>
      <c r="E408" s="1080" t="s">
        <v>1426</v>
      </c>
      <c r="F408" s="1079"/>
      <c r="G408" s="1081" t="str">
        <f>IF(B408="insumo",_xlfn.XLOOKUP($D408,Insumos!$B$1:$B$670,Insumos!$D$1:$D$670),"")</f>
        <v/>
      </c>
      <c r="H408" s="1081" cm="1">
        <f t="array" ref="H408">_xlfn.IFS(B408="Serviço",SUMIFS(H409:$H$2465,C409:$C$2465,$C408),B408="Insumo",F408*G408,B408="Etapa","")</f>
        <v>693.66</v>
      </c>
      <c r="I408" s="1082" t="s">
        <v>872</v>
      </c>
    </row>
    <row r="409" spans="1:9" hidden="1" outlineLevel="2" x14ac:dyDescent="0.25">
      <c r="A409" s="1079">
        <f t="shared" si="15"/>
        <v>3</v>
      </c>
      <c r="B409" s="1079" t="s">
        <v>1362</v>
      </c>
      <c r="C409" s="1079" t="str">
        <f t="shared" si="17"/>
        <v>Concreto Usinado bombeável para estaca das Contenções 25MPa  - incluindo serviço de bombeamento</v>
      </c>
      <c r="D409" s="1079" t="s">
        <v>1496</v>
      </c>
      <c r="E409" s="1080" t="str">
        <f>_xlfn.XLOOKUP(D409,Insumos!$B$1:$B$670,Insumos!$C$1:$C$670)</f>
        <v>M3</v>
      </c>
      <c r="F409" s="1083">
        <v>1.3</v>
      </c>
      <c r="G409" s="1081">
        <f>IF(B409="insumo",_xlfn.XLOOKUP($D409,Insumos!$B$1:$B$670,Insumos!$D$1:$D$670),"")</f>
        <v>492.99999999999994</v>
      </c>
      <c r="H409" s="1081" cm="1">
        <f t="array" ref="H409">_xlfn.IFS(B409="Serviço",SUMIFS(H410:$H$2465,C410:$C$2465,$C409),B409="Insumo",F409*G409,B409="Etapa","")</f>
        <v>640.9</v>
      </c>
      <c r="I409" s="1082"/>
    </row>
    <row r="410" spans="1:9" hidden="1" outlineLevel="2" x14ac:dyDescent="0.25">
      <c r="A410" s="1079">
        <f t="shared" si="15"/>
        <v>22</v>
      </c>
      <c r="B410" s="1079" t="s">
        <v>1362</v>
      </c>
      <c r="C410" s="1079" t="str">
        <f t="shared" si="17"/>
        <v>Concreto Usinado bombeável para estaca das Contenções 25MPa  - incluindo serviço de bombeamento</v>
      </c>
      <c r="D410" s="1079" t="s">
        <v>1433</v>
      </c>
      <c r="E410" s="1080" t="str">
        <f>_xlfn.XLOOKUP(D410,Insumos!$B$1:$B$670,Insumos!$C$1:$C$670)</f>
        <v>M3</v>
      </c>
      <c r="F410" s="1083">
        <v>1.3</v>
      </c>
      <c r="G410" s="1081">
        <f>IF(B410="insumo",_xlfn.XLOOKUP($D410,Insumos!$B$1:$B$670,Insumos!$D$1:$D$670),"")</f>
        <v>40</v>
      </c>
      <c r="H410" s="1081" cm="1">
        <f t="array" ref="H410">_xlfn.IFS(B410="Serviço",SUMIFS(H411:$H$2465,C411:$C$2465,$C410),B410="Insumo",F410*G410,B410="Etapa","")</f>
        <v>52</v>
      </c>
      <c r="I410" s="1082"/>
    </row>
    <row r="411" spans="1:9" hidden="1" outlineLevel="2" x14ac:dyDescent="0.25">
      <c r="A411" s="1079">
        <f t="shared" si="15"/>
        <v>38</v>
      </c>
      <c r="B411" s="1079" t="s">
        <v>1362</v>
      </c>
      <c r="C411" s="1079" t="str">
        <f t="shared" si="17"/>
        <v>Concreto Usinado bombeável para estaca das Contenções 25MPa  - incluindo serviço de bombeamento</v>
      </c>
      <c r="D411" s="1079" t="s">
        <v>1434</v>
      </c>
      <c r="E411" s="1080" t="str">
        <f>_xlfn.XLOOKUP(D411,Insumos!$B$1:$B$670,Insumos!$C$1:$C$670)</f>
        <v>KG</v>
      </c>
      <c r="F411" s="1083">
        <v>1</v>
      </c>
      <c r="G411" s="1081">
        <f>IF(B411="insumo",_xlfn.XLOOKUP($D411,Insumos!$B$1:$B$670,Insumos!$D$1:$D$670),"")</f>
        <v>0.76</v>
      </c>
      <c r="H411" s="1081" cm="1">
        <f t="array" ref="H411">_xlfn.IFS(B411="Serviço",SUMIFS(H412:$H$2465,C412:$C$2465,$C411),B411="Insumo",F411*G411,B411="Etapa","")</f>
        <v>0.76</v>
      </c>
      <c r="I411" s="1082"/>
    </row>
    <row r="412" spans="1:9" hidden="1" outlineLevel="1" collapsed="1" x14ac:dyDescent="0.25">
      <c r="A412" s="1079">
        <f t="shared" si="15"/>
        <v>1</v>
      </c>
      <c r="B412" s="1079" t="s">
        <v>471</v>
      </c>
      <c r="C412" s="1079" t="str">
        <f t="shared" si="17"/>
        <v>Forma para Contenções em Tábuas de Madeira Serrada 17mm 4x reaproveitamento</v>
      </c>
      <c r="D412" s="1079" t="s">
        <v>1529</v>
      </c>
      <c r="E412" s="1080" t="s">
        <v>17</v>
      </c>
      <c r="F412" s="1079"/>
      <c r="G412" s="1081" t="str">
        <f>IF(B412="insumo",_xlfn.XLOOKUP($D412,Insumos!$B$1:$B$670,Insumos!$D$1:$D$670),"")</f>
        <v/>
      </c>
      <c r="H412" s="1081" cm="1">
        <f t="array" ref="H412">_xlfn.IFS(B412="Serviço",SUMIFS(H413:$H$2465,C413:$C$2465,$C412),B412="Insumo",F412*G412,B412="Etapa","")</f>
        <v>59.956228571428568</v>
      </c>
      <c r="I412" s="1082" t="s">
        <v>872</v>
      </c>
    </row>
    <row r="413" spans="1:9" hidden="1" outlineLevel="2" x14ac:dyDescent="0.25">
      <c r="A413" s="1079">
        <f t="shared" si="15"/>
        <v>3</v>
      </c>
      <c r="B413" s="1079" t="s">
        <v>1362</v>
      </c>
      <c r="C413" s="1079" t="str">
        <f t="shared" si="17"/>
        <v>Forma para Contenções em Tábuas de Madeira Serrada 17mm 4x reaproveitamento</v>
      </c>
      <c r="D413" s="1079" t="s">
        <v>1506</v>
      </c>
      <c r="E413" s="1080" t="str">
        <f>_xlfn.XLOOKUP(D413,Insumos!$B$1:$B$670,Insumos!$C$1:$C$670)</f>
        <v>KG</v>
      </c>
      <c r="F413" s="1083">
        <v>1.0999999999999999E-2</v>
      </c>
      <c r="G413" s="1081">
        <f>IF(B413="insumo",_xlfn.XLOOKUP($D413,Insumos!$B$1:$B$670,Insumos!$D$1:$D$670),"")</f>
        <v>18.8</v>
      </c>
      <c r="H413" s="1081" cm="1">
        <f t="array" ref="H413">_xlfn.IFS(B413="Serviço",SUMIFS(H414:$H$2465,C414:$C$2465,$C413),B413="Insumo",F413*G413,B413="Etapa","")</f>
        <v>0.20679999999999998</v>
      </c>
      <c r="I413" s="1082"/>
    </row>
    <row r="414" spans="1:9" hidden="1" outlineLevel="2" x14ac:dyDescent="0.25">
      <c r="A414" s="1079">
        <f t="shared" si="15"/>
        <v>33</v>
      </c>
      <c r="B414" s="1079" t="s">
        <v>1362</v>
      </c>
      <c r="C414" s="1079" t="str">
        <f t="shared" si="17"/>
        <v>Forma para Contenções em Tábuas de Madeira Serrada 17mm 4x reaproveitamento</v>
      </c>
      <c r="D414" s="1079" t="s">
        <v>1375</v>
      </c>
      <c r="E414" s="1080" t="str">
        <f>_xlfn.XLOOKUP(D414,Insumos!$B$1:$B$670,Insumos!$C$1:$C$670)</f>
        <v>KG</v>
      </c>
      <c r="F414" s="1083">
        <v>9.5000000000000001E-2</v>
      </c>
      <c r="G414" s="1081">
        <f>IF(B414="insumo",_xlfn.XLOOKUP($D414,Insumos!$B$1:$B$670,Insumos!$D$1:$D$670),"")</f>
        <v>18.13</v>
      </c>
      <c r="H414" s="1081" cm="1">
        <f t="array" ref="H414">_xlfn.IFS(B414="Serviço",SUMIFS(H415:$H$2465,C415:$C$2465,$C414),B414="Insumo",F414*G414,B414="Etapa","")</f>
        <v>1.7223499999999998</v>
      </c>
      <c r="I414" s="1082"/>
    </row>
    <row r="415" spans="1:9" hidden="1" outlineLevel="2" x14ac:dyDescent="0.25">
      <c r="A415" s="1079">
        <f t="shared" si="15"/>
        <v>9</v>
      </c>
      <c r="B415" s="1079" t="s">
        <v>1362</v>
      </c>
      <c r="C415" s="1079" t="str">
        <f t="shared" si="17"/>
        <v>Forma para Contenções em Tábuas de Madeira Serrada 17mm 4x reaproveitamento</v>
      </c>
      <c r="D415" s="1079" t="s">
        <v>1507</v>
      </c>
      <c r="E415" s="1080" t="str">
        <f>_xlfn.XLOOKUP(D415,Insumos!$B$1:$B$670,Insumos!$C$1:$C$670)</f>
        <v>L</v>
      </c>
      <c r="F415" s="1083">
        <v>1.7000000000000001E-2</v>
      </c>
      <c r="G415" s="1081">
        <f>IF(B415="insumo",_xlfn.XLOOKUP($D415,Insumos!$B$1:$B$670,Insumos!$D$1:$D$670),"")</f>
        <v>15.55</v>
      </c>
      <c r="H415" s="1081" cm="1">
        <f t="array" ref="H415">_xlfn.IFS(B415="Serviço",SUMIFS(H416:$H$2465,C416:$C$2465,$C415),B415="Insumo",F415*G415,B415="Etapa","")</f>
        <v>0.26435000000000003</v>
      </c>
      <c r="I415" s="1082"/>
    </row>
    <row r="416" spans="1:9" hidden="1" outlineLevel="2" x14ac:dyDescent="0.25">
      <c r="A416" s="1079">
        <f t="shared" si="15"/>
        <v>21</v>
      </c>
      <c r="B416" s="1079" t="s">
        <v>1362</v>
      </c>
      <c r="C416" s="1079" t="str">
        <f t="shared" si="17"/>
        <v>Forma para Contenções em Tábuas de Madeira Serrada 17mm 4x reaproveitamento</v>
      </c>
      <c r="D416" s="1079" t="s">
        <v>1372</v>
      </c>
      <c r="E416" s="1080" t="str">
        <f>_xlfn.XLOOKUP(D416,Insumos!$B$1:$B$670,Insumos!$C$1:$C$670)</f>
        <v>M</v>
      </c>
      <c r="F416" s="1083">
        <v>0.73714285714285721</v>
      </c>
      <c r="G416" s="1081">
        <f>IF(B416="insumo",_xlfn.XLOOKUP($D416,Insumos!$B$1:$B$670,Insumos!$D$1:$D$670),"")</f>
        <v>7</v>
      </c>
      <c r="H416" s="1081" cm="1">
        <f t="array" ref="H416">_xlfn.IFS(B416="Serviço",SUMIFS(H417:$H$2465,C417:$C$2465,$C416),B416="Insumo",F416*G416,B416="Etapa","")</f>
        <v>5.16</v>
      </c>
      <c r="I416" s="1082"/>
    </row>
    <row r="417" spans="1:9" hidden="1" outlineLevel="2" x14ac:dyDescent="0.25">
      <c r="A417" s="1079">
        <f t="shared" si="15"/>
        <v>15</v>
      </c>
      <c r="B417" s="1079" t="s">
        <v>1362</v>
      </c>
      <c r="C417" s="1079" t="str">
        <f t="shared" si="17"/>
        <v>Forma para Contenções em Tábuas de Madeira Serrada 17mm 4x reaproveitamento</v>
      </c>
      <c r="D417" s="1079" t="s">
        <v>1402</v>
      </c>
      <c r="E417" s="1080" t="str">
        <f>_xlfn.XLOOKUP(D417,Insumos!$B$1:$B$670,Insumos!$C$1:$C$670)</f>
        <v>M3</v>
      </c>
      <c r="F417" s="1083">
        <v>2.638095238095238E-3</v>
      </c>
      <c r="G417" s="1081">
        <f>IF(B417="insumo",_xlfn.XLOOKUP($D417,Insumos!$B$1:$B$670,Insumos!$D$1:$D$670),"")</f>
        <v>1350</v>
      </c>
      <c r="H417" s="1081" cm="1">
        <f t="array" ref="H417">_xlfn.IFS(B417="Serviço",SUMIFS(H418:$H$2465,C418:$C$2465,$C417),B417="Insumo",F417*G417,B417="Etapa","")</f>
        <v>3.5614285714285714</v>
      </c>
      <c r="I417" s="1082"/>
    </row>
    <row r="418" spans="1:9" hidden="1" outlineLevel="2" x14ac:dyDescent="0.25">
      <c r="A418" s="1079">
        <f t="shared" si="15"/>
        <v>5</v>
      </c>
      <c r="B418" s="1079" t="s">
        <v>1362</v>
      </c>
      <c r="C418" s="1079" t="str">
        <f t="shared" si="17"/>
        <v>Forma para Contenções em Tábuas de Madeira Serrada 17mm 4x reaproveitamento</v>
      </c>
      <c r="D418" s="1079" t="s">
        <v>1508</v>
      </c>
      <c r="E418" s="1080" t="str">
        <f>_xlfn.XLOOKUP(D418,Insumos!$B$1:$B$670,Insumos!$C$1:$C$670)</f>
        <v>M</v>
      </c>
      <c r="F418" s="1083">
        <v>1.155</v>
      </c>
      <c r="G418" s="1081">
        <f>IF(B418="insumo",_xlfn.XLOOKUP($D418,Insumos!$B$1:$B$670,Insumos!$D$1:$D$670),"")</f>
        <v>42.46</v>
      </c>
      <c r="H418" s="1081" cm="1">
        <f t="array" ref="H418">_xlfn.IFS(B418="Serviço",SUMIFS(H419:$H$2465,C419:$C$2465,$C418),B418="Insumo",F418*G418,B418="Etapa","")</f>
        <v>49.0413</v>
      </c>
      <c r="I418" s="1082"/>
    </row>
    <row r="419" spans="1:9" hidden="1" outlineLevel="1" collapsed="1" x14ac:dyDescent="0.25">
      <c r="A419" s="1079">
        <f t="shared" si="15"/>
        <v>1</v>
      </c>
      <c r="B419" s="1079" t="s">
        <v>471</v>
      </c>
      <c r="C419" s="1079" t="str">
        <f t="shared" si="17"/>
        <v>Armação aço CA-50 ø 6,3mm para Contenções (corte e dobra em obra)</v>
      </c>
      <c r="D419" s="1079" t="s">
        <v>1530</v>
      </c>
      <c r="E419" s="1080" t="s">
        <v>1481</v>
      </c>
      <c r="F419" s="1079"/>
      <c r="G419" s="1081" t="str">
        <f>IF(B419="insumo",_xlfn.XLOOKUP($D419,Insumos!$B$1:$B$670,Insumos!$D$1:$D$670),"")</f>
        <v/>
      </c>
      <c r="H419" s="1081" cm="1">
        <f t="array" ref="H419">_xlfn.IFS(B419="Serviço",SUMIFS(H420:$H$2465,C420:$C$2465,$C419),B419="Insumo",F419*G419,B419="Etapa","")</f>
        <v>6.9381450000000005</v>
      </c>
      <c r="I419" s="1082" t="s">
        <v>872</v>
      </c>
    </row>
    <row r="420" spans="1:9" hidden="1" outlineLevel="2" x14ac:dyDescent="0.25">
      <c r="A420" s="1079">
        <f t="shared" si="15"/>
        <v>4</v>
      </c>
      <c r="B420" s="1079" t="s">
        <v>1362</v>
      </c>
      <c r="C420" s="1079" t="str">
        <f t="shared" si="17"/>
        <v>Armação aço CA-50 ø 6,3mm para Contenções (corte e dobra em obra)</v>
      </c>
      <c r="D420" s="1079" t="s">
        <v>1482</v>
      </c>
      <c r="E420" s="1080" t="str">
        <f>_xlfn.XLOOKUP(D420,Insumos!$B$1:$B$670,Insumos!$C$1:$C$670)</f>
        <v>KG</v>
      </c>
      <c r="F420" s="1083">
        <v>1.1000000000000001</v>
      </c>
      <c r="G420" s="1081">
        <f>IF(B420="insumo",_xlfn.XLOOKUP($D420,Insumos!$B$1:$B$670,Insumos!$D$1:$D$670),"")</f>
        <v>6.04</v>
      </c>
      <c r="H420" s="1081" cm="1">
        <f t="array" ref="H420">_xlfn.IFS(B420="Serviço",SUMIFS(H421:$H$2465,C421:$C$2465,$C420),B420="Insumo",F420*G420,B420="Etapa","")</f>
        <v>6.644000000000001</v>
      </c>
      <c r="I420" s="1082"/>
    </row>
    <row r="421" spans="1:9" hidden="1" outlineLevel="2" x14ac:dyDescent="0.25">
      <c r="A421" s="1079">
        <f t="shared" si="15"/>
        <v>23</v>
      </c>
      <c r="B421" s="1079" t="s">
        <v>1362</v>
      </c>
      <c r="C421" s="1079" t="str">
        <f t="shared" si="17"/>
        <v>Armação aço CA-50 ø 6,3mm para Contenções (corte e dobra em obra)</v>
      </c>
      <c r="D421" s="1079" t="s">
        <v>1483</v>
      </c>
      <c r="E421" s="1080" t="str">
        <f>_xlfn.XLOOKUP(D421,Insumos!$B$1:$B$670,Insumos!$C$1:$C$670)</f>
        <v>KG</v>
      </c>
      <c r="F421" s="1083">
        <v>2.0500000000000001E-2</v>
      </c>
      <c r="G421" s="1081">
        <f>IF(B421="insumo",_xlfn.XLOOKUP($D421,Insumos!$B$1:$B$670,Insumos!$D$1:$D$670),"")</f>
        <v>13.69</v>
      </c>
      <c r="H421" s="1081" cm="1">
        <f t="array" ref="H421">_xlfn.IFS(B421="Serviço",SUMIFS(H422:$H$2465,C422:$C$2465,$C421),B421="Insumo",F421*G421,B421="Etapa","")</f>
        <v>0.28064499999999998</v>
      </c>
      <c r="I421" s="1082"/>
    </row>
    <row r="422" spans="1:9" hidden="1" outlineLevel="2" x14ac:dyDescent="0.25">
      <c r="A422" s="1079">
        <f t="shared" si="15"/>
        <v>35</v>
      </c>
      <c r="B422" s="1079" t="s">
        <v>1362</v>
      </c>
      <c r="C422" s="1079" t="str">
        <f t="shared" si="17"/>
        <v>Armação aço CA-50 ø 6,3mm para Contenções (corte e dobra em obra)</v>
      </c>
      <c r="D422" s="1079" t="s">
        <v>1484</v>
      </c>
      <c r="E422" s="1080" t="str">
        <f>_xlfn.XLOOKUP(D422,Insumos!$B$1:$B$670,Insumos!$C$1:$C$670)</f>
        <v>UN</v>
      </c>
      <c r="F422" s="1083">
        <v>0.05</v>
      </c>
      <c r="G422" s="1081">
        <f>IF(B422="insumo",_xlfn.XLOOKUP($D422,Insumos!$B$1:$B$670,Insumos!$D$1:$D$670),"")</f>
        <v>0.27</v>
      </c>
      <c r="H422" s="1081" cm="1">
        <f t="array" ref="H422">_xlfn.IFS(B422="Serviço",SUMIFS(H423:$H$2465,C423:$C$2465,$C422),B422="Insumo",F422*G422,B422="Etapa","")</f>
        <v>1.3500000000000002E-2</v>
      </c>
      <c r="I422" s="1082"/>
    </row>
    <row r="423" spans="1:9" hidden="1" outlineLevel="1" collapsed="1" x14ac:dyDescent="0.25">
      <c r="A423" s="1079">
        <f t="shared" si="15"/>
        <v>1</v>
      </c>
      <c r="B423" s="1079" t="s">
        <v>471</v>
      </c>
      <c r="C423" s="1079" t="str">
        <f t="shared" si="17"/>
        <v>Armação aço CA-50 ø 8,0mm para Contenções (corte e dobra em obra)</v>
      </c>
      <c r="D423" s="1079" t="s">
        <v>1531</v>
      </c>
      <c r="E423" s="1080" t="s">
        <v>1481</v>
      </c>
      <c r="F423" s="1079"/>
      <c r="G423" s="1081" t="str">
        <f>IF(B423="insumo",_xlfn.XLOOKUP($D423,Insumos!$B$1:$B$670,Insumos!$D$1:$D$670),"")</f>
        <v/>
      </c>
      <c r="H423" s="1081" cm="1">
        <f t="array" ref="H423">_xlfn.IFS(B423="Serviço",SUMIFS(H424:$H$2465,C424:$C$2465,$C423),B423="Insumo",F423*G423,B423="Etapa","")</f>
        <v>6.9381450000000005</v>
      </c>
      <c r="I423" s="1082" t="s">
        <v>872</v>
      </c>
    </row>
    <row r="424" spans="1:9" hidden="1" outlineLevel="2" x14ac:dyDescent="0.25">
      <c r="A424" s="1079">
        <f t="shared" si="15"/>
        <v>5</v>
      </c>
      <c r="B424" s="1079" t="s">
        <v>1362</v>
      </c>
      <c r="C424" s="1079" t="str">
        <f t="shared" si="17"/>
        <v>Armação aço CA-50 ø 8,0mm para Contenções (corte e dobra em obra)</v>
      </c>
      <c r="D424" s="1079" t="s">
        <v>1486</v>
      </c>
      <c r="E424" s="1080" t="str">
        <f>_xlfn.XLOOKUP(D424,Insumos!$B$1:$B$670,Insumos!$C$1:$C$670)</f>
        <v>KG</v>
      </c>
      <c r="F424" s="1083">
        <v>1.1000000000000001</v>
      </c>
      <c r="G424" s="1081">
        <f>IF(B424="insumo",_xlfn.XLOOKUP($D424,Insumos!$B$1:$B$670,Insumos!$D$1:$D$670),"")</f>
        <v>6.04</v>
      </c>
      <c r="H424" s="1081" cm="1">
        <f t="array" ref="H424">_xlfn.IFS(B424="Serviço",SUMIFS(H425:$H$2465,C425:$C$2465,$C424),B424="Insumo",F424*G424,B424="Etapa","")</f>
        <v>6.644000000000001</v>
      </c>
      <c r="I424" s="1082"/>
    </row>
    <row r="425" spans="1:9" hidden="1" outlineLevel="2" x14ac:dyDescent="0.25">
      <c r="A425" s="1079">
        <f t="shared" si="15"/>
        <v>23</v>
      </c>
      <c r="B425" s="1079" t="s">
        <v>1362</v>
      </c>
      <c r="C425" s="1079" t="str">
        <f t="shared" si="17"/>
        <v>Armação aço CA-50 ø 8,0mm para Contenções (corte e dobra em obra)</v>
      </c>
      <c r="D425" s="1079" t="s">
        <v>1483</v>
      </c>
      <c r="E425" s="1080" t="str">
        <f>_xlfn.XLOOKUP(D425,Insumos!$B$1:$B$670,Insumos!$C$1:$C$670)</f>
        <v>KG</v>
      </c>
      <c r="F425" s="1083">
        <v>2.0500000000000001E-2</v>
      </c>
      <c r="G425" s="1081">
        <f>IF(B425="insumo",_xlfn.XLOOKUP($D425,Insumos!$B$1:$B$670,Insumos!$D$1:$D$670),"")</f>
        <v>13.69</v>
      </c>
      <c r="H425" s="1081" cm="1">
        <f t="array" ref="H425">_xlfn.IFS(B425="Serviço",SUMIFS(H426:$H$2465,C426:$C$2465,$C425),B425="Insumo",F425*G425,B425="Etapa","")</f>
        <v>0.28064499999999998</v>
      </c>
      <c r="I425" s="1082"/>
    </row>
    <row r="426" spans="1:9" hidden="1" outlineLevel="2" x14ac:dyDescent="0.25">
      <c r="A426" s="1079">
        <f t="shared" si="15"/>
        <v>35</v>
      </c>
      <c r="B426" s="1079" t="s">
        <v>1362</v>
      </c>
      <c r="C426" s="1079" t="str">
        <f t="shared" si="17"/>
        <v>Armação aço CA-50 ø 8,0mm para Contenções (corte e dobra em obra)</v>
      </c>
      <c r="D426" s="1079" t="s">
        <v>1484</v>
      </c>
      <c r="E426" s="1080" t="str">
        <f>_xlfn.XLOOKUP(D426,Insumos!$B$1:$B$670,Insumos!$C$1:$C$670)</f>
        <v>UN</v>
      </c>
      <c r="F426" s="1083">
        <v>0.05</v>
      </c>
      <c r="G426" s="1081">
        <f>IF(B426="insumo",_xlfn.XLOOKUP($D426,Insumos!$B$1:$B$670,Insumos!$D$1:$D$670),"")</f>
        <v>0.27</v>
      </c>
      <c r="H426" s="1081" cm="1">
        <f t="array" ref="H426">_xlfn.IFS(B426="Serviço",SUMIFS(H427:$H$2465,C427:$C$2465,$C426),B426="Insumo",F426*G426,B426="Etapa","")</f>
        <v>1.3500000000000002E-2</v>
      </c>
      <c r="I426" s="1082"/>
    </row>
    <row r="427" spans="1:9" hidden="1" outlineLevel="1" collapsed="1" x14ac:dyDescent="0.25">
      <c r="A427" s="1079">
        <f t="shared" si="15"/>
        <v>1</v>
      </c>
      <c r="B427" s="1079" t="s">
        <v>471</v>
      </c>
      <c r="C427" s="1079" t="str">
        <f t="shared" si="17"/>
        <v>Armação aço CA-50 ø 10,0mm para Contenções (corte e dobra em obra)</v>
      </c>
      <c r="D427" s="1079" t="s">
        <v>1532</v>
      </c>
      <c r="E427" s="1080" t="s">
        <v>1481</v>
      </c>
      <c r="F427" s="1079"/>
      <c r="G427" s="1081" t="str">
        <f>IF(B427="insumo",_xlfn.XLOOKUP($D427,Insumos!$B$1:$B$670,Insumos!$D$1:$D$670),"")</f>
        <v/>
      </c>
      <c r="H427" s="1081" cm="1">
        <f t="array" ref="H427">_xlfn.IFS(B427="Serviço",SUMIFS(H428:$H$2465,C428:$C$2465,$C427),B427="Insumo",F427*G427,B427="Etapa","")</f>
        <v>6.6301449999999997</v>
      </c>
      <c r="I427" s="1082" t="s">
        <v>872</v>
      </c>
    </row>
    <row r="428" spans="1:9" hidden="1" outlineLevel="2" x14ac:dyDescent="0.25">
      <c r="A428" s="1079">
        <f t="shared" si="15"/>
        <v>4</v>
      </c>
      <c r="B428" s="1079" t="s">
        <v>1362</v>
      </c>
      <c r="C428" s="1079" t="str">
        <f t="shared" si="17"/>
        <v>Armação aço CA-50 ø 10,0mm para Contenções (corte e dobra em obra)</v>
      </c>
      <c r="D428" s="1079" t="s">
        <v>1488</v>
      </c>
      <c r="E428" s="1080" t="str">
        <f>_xlfn.XLOOKUP(D428,Insumos!$B$1:$B$670,Insumos!$C$1:$C$670)</f>
        <v>KG</v>
      </c>
      <c r="F428" s="1083">
        <v>1.1000000000000001</v>
      </c>
      <c r="G428" s="1081">
        <f>IF(B428="insumo",_xlfn.XLOOKUP($D428,Insumos!$B$1:$B$670,Insumos!$D$1:$D$670),"")</f>
        <v>5.76</v>
      </c>
      <c r="H428" s="1081" cm="1">
        <f t="array" ref="H428">_xlfn.IFS(B428="Serviço",SUMIFS(H429:$H$2465,C429:$C$2465,$C428),B428="Insumo",F428*G428,B428="Etapa","")</f>
        <v>6.3360000000000003</v>
      </c>
      <c r="I428" s="1082"/>
    </row>
    <row r="429" spans="1:9" hidden="1" outlineLevel="2" x14ac:dyDescent="0.25">
      <c r="A429" s="1079">
        <f t="shared" si="15"/>
        <v>23</v>
      </c>
      <c r="B429" s="1079" t="s">
        <v>1362</v>
      </c>
      <c r="C429" s="1079" t="str">
        <f t="shared" si="17"/>
        <v>Armação aço CA-50 ø 10,0mm para Contenções (corte e dobra em obra)</v>
      </c>
      <c r="D429" s="1079" t="s">
        <v>1483</v>
      </c>
      <c r="E429" s="1080" t="str">
        <f>_xlfn.XLOOKUP(D429,Insumos!$B$1:$B$670,Insumos!$C$1:$C$670)</f>
        <v>KG</v>
      </c>
      <c r="F429" s="1083">
        <v>2.0500000000000001E-2</v>
      </c>
      <c r="G429" s="1081">
        <f>IF(B429="insumo",_xlfn.XLOOKUP($D429,Insumos!$B$1:$B$670,Insumos!$D$1:$D$670),"")</f>
        <v>13.69</v>
      </c>
      <c r="H429" s="1081" cm="1">
        <f t="array" ref="H429">_xlfn.IFS(B429="Serviço",SUMIFS(H430:$H$2465,C430:$C$2465,$C429),B429="Insumo",F429*G429,B429="Etapa","")</f>
        <v>0.28064499999999998</v>
      </c>
      <c r="I429" s="1082"/>
    </row>
    <row r="430" spans="1:9" hidden="1" outlineLevel="2" x14ac:dyDescent="0.25">
      <c r="A430" s="1079">
        <f t="shared" si="15"/>
        <v>35</v>
      </c>
      <c r="B430" s="1079" t="s">
        <v>1362</v>
      </c>
      <c r="C430" s="1079" t="str">
        <f t="shared" si="17"/>
        <v>Armação aço CA-50 ø 10,0mm para Contenções (corte e dobra em obra)</v>
      </c>
      <c r="D430" s="1079" t="s">
        <v>1484</v>
      </c>
      <c r="E430" s="1080" t="str">
        <f>_xlfn.XLOOKUP(D430,Insumos!$B$1:$B$670,Insumos!$C$1:$C$670)</f>
        <v>UN</v>
      </c>
      <c r="F430" s="1083">
        <v>0.05</v>
      </c>
      <c r="G430" s="1081">
        <f>IF(B430="insumo",_xlfn.XLOOKUP($D430,Insumos!$B$1:$B$670,Insumos!$D$1:$D$670),"")</f>
        <v>0.27</v>
      </c>
      <c r="H430" s="1081" cm="1">
        <f t="array" ref="H430">_xlfn.IFS(B430="Serviço",SUMIFS(H431:$H$2465,C431:$C$2465,$C430),B430="Insumo",F430*G430,B430="Etapa","")</f>
        <v>1.3500000000000002E-2</v>
      </c>
      <c r="I430" s="1082"/>
    </row>
    <row r="431" spans="1:9" hidden="1" outlineLevel="1" collapsed="1" x14ac:dyDescent="0.25">
      <c r="A431" s="1079">
        <f t="shared" si="15"/>
        <v>1</v>
      </c>
      <c r="B431" s="1079" t="s">
        <v>471</v>
      </c>
      <c r="C431" s="1079" t="str">
        <f t="shared" si="17"/>
        <v xml:space="preserve">Armação aço CA-50 ø 12,5mm para Contenções (corte e dobra em obra) </v>
      </c>
      <c r="D431" s="1079" t="s">
        <v>1533</v>
      </c>
      <c r="E431" s="1080" t="s">
        <v>1481</v>
      </c>
      <c r="F431" s="1079"/>
      <c r="G431" s="1081" t="str">
        <f>IF(B431="insumo",_xlfn.XLOOKUP($D431,Insumos!$B$1:$B$670,Insumos!$D$1:$D$670),"")</f>
        <v/>
      </c>
      <c r="H431" s="1081" cm="1">
        <f t="array" ref="H431">_xlfn.IFS(B431="Serviço",SUMIFS(H432:$H$2465,C432:$C$2465,$C431),B431="Insumo",F431*G431,B431="Etapa","")</f>
        <v>6.4431449999999995</v>
      </c>
      <c r="I431" s="1082" t="s">
        <v>872</v>
      </c>
    </row>
    <row r="432" spans="1:9" hidden="1" outlineLevel="2" x14ac:dyDescent="0.25">
      <c r="A432" s="1079">
        <f t="shared" si="15"/>
        <v>3</v>
      </c>
      <c r="B432" s="1079" t="s">
        <v>1362</v>
      </c>
      <c r="C432" s="1079" t="str">
        <f t="shared" si="17"/>
        <v xml:space="preserve">Armação aço CA-50 ø 12,5mm para Contenções (corte e dobra em obra) </v>
      </c>
      <c r="D432" s="1079" t="s">
        <v>1510</v>
      </c>
      <c r="E432" s="1080" t="str">
        <f>_xlfn.XLOOKUP(D432,Insumos!$B$1:$B$670,Insumos!$C$1:$C$670)</f>
        <v>KG</v>
      </c>
      <c r="F432" s="1083">
        <v>1.1000000000000001</v>
      </c>
      <c r="G432" s="1081">
        <f>IF(B432="insumo",_xlfn.XLOOKUP($D432,Insumos!$B$1:$B$670,Insumos!$D$1:$D$670),"")</f>
        <v>5.59</v>
      </c>
      <c r="H432" s="1081" cm="1">
        <f t="array" ref="H432">_xlfn.IFS(B432="Serviço",SUMIFS(H433:$H$2465,C433:$C$2465,$C432),B432="Insumo",F432*G432,B432="Etapa","")</f>
        <v>6.149</v>
      </c>
      <c r="I432" s="1082"/>
    </row>
    <row r="433" spans="1:9" hidden="1" outlineLevel="2" x14ac:dyDescent="0.25">
      <c r="A433" s="1079">
        <f t="shared" si="15"/>
        <v>23</v>
      </c>
      <c r="B433" s="1079" t="s">
        <v>1362</v>
      </c>
      <c r="C433" s="1079" t="str">
        <f t="shared" si="17"/>
        <v xml:space="preserve">Armação aço CA-50 ø 12,5mm para Contenções (corte e dobra em obra) </v>
      </c>
      <c r="D433" s="1079" t="s">
        <v>1483</v>
      </c>
      <c r="E433" s="1080" t="str">
        <f>_xlfn.XLOOKUP(D433,Insumos!$B$1:$B$670,Insumos!$C$1:$C$670)</f>
        <v>KG</v>
      </c>
      <c r="F433" s="1083">
        <v>2.0500000000000001E-2</v>
      </c>
      <c r="G433" s="1081">
        <f>IF(B433="insumo",_xlfn.XLOOKUP($D433,Insumos!$B$1:$B$670,Insumos!$D$1:$D$670),"")</f>
        <v>13.69</v>
      </c>
      <c r="H433" s="1081" cm="1">
        <f t="array" ref="H433">_xlfn.IFS(B433="Serviço",SUMIFS(H434:$H$2465,C434:$C$2465,$C433),B433="Insumo",F433*G433,B433="Etapa","")</f>
        <v>0.28064499999999998</v>
      </c>
      <c r="I433" s="1082"/>
    </row>
    <row r="434" spans="1:9" hidden="1" outlineLevel="2" x14ac:dyDescent="0.25">
      <c r="A434" s="1079">
        <f t="shared" si="15"/>
        <v>35</v>
      </c>
      <c r="B434" s="1079" t="s">
        <v>1362</v>
      </c>
      <c r="C434" s="1079" t="str">
        <f t="shared" si="17"/>
        <v xml:space="preserve">Armação aço CA-50 ø 12,5mm para Contenções (corte e dobra em obra) </v>
      </c>
      <c r="D434" s="1079" t="s">
        <v>1484</v>
      </c>
      <c r="E434" s="1080" t="str">
        <f>_xlfn.XLOOKUP(D434,Insumos!$B$1:$B$670,Insumos!$C$1:$C$670)</f>
        <v>UN</v>
      </c>
      <c r="F434" s="1083">
        <v>0.05</v>
      </c>
      <c r="G434" s="1081">
        <f>IF(B434="insumo",_xlfn.XLOOKUP($D434,Insumos!$B$1:$B$670,Insumos!$D$1:$D$670),"")</f>
        <v>0.27</v>
      </c>
      <c r="H434" s="1081" cm="1">
        <f t="array" ref="H434">_xlfn.IFS(B434="Serviço",SUMIFS(H435:$H$2465,C435:$C$2465,$C434),B434="Insumo",F434*G434,B434="Etapa","")</f>
        <v>1.3500000000000002E-2</v>
      </c>
      <c r="I434" s="1082"/>
    </row>
    <row r="435" spans="1:9" hidden="1" outlineLevel="1" collapsed="1" x14ac:dyDescent="0.25">
      <c r="A435" s="1079">
        <f t="shared" si="15"/>
        <v>1</v>
      </c>
      <c r="B435" s="1079" t="s">
        <v>471</v>
      </c>
      <c r="C435" s="1079" t="str">
        <f t="shared" si="17"/>
        <v>Armação aço CA-50 ø 16,0mm para Contenções (corte e dobra em obra)</v>
      </c>
      <c r="D435" s="1079" t="s">
        <v>1534</v>
      </c>
      <c r="E435" s="1080" t="s">
        <v>1481</v>
      </c>
      <c r="F435" s="1079"/>
      <c r="G435" s="1081" t="str">
        <f>IF(B435="insumo",_xlfn.XLOOKUP($D435,Insumos!$B$1:$B$670,Insumos!$D$1:$D$670),"")</f>
        <v/>
      </c>
      <c r="H435" s="1081" cm="1">
        <f t="array" ref="H435">_xlfn.IFS(B435="Serviço",SUMIFS(H436:$H$2465,C436:$C$2465,$C435),B435="Insumo",F435*G435,B435="Etapa","")</f>
        <v>6.4431449999999995</v>
      </c>
      <c r="I435" s="1082" t="s">
        <v>872</v>
      </c>
    </row>
    <row r="436" spans="1:9" hidden="1" outlineLevel="2" x14ac:dyDescent="0.25">
      <c r="A436" s="1079">
        <f t="shared" si="15"/>
        <v>4</v>
      </c>
      <c r="B436" s="1079" t="s">
        <v>1362</v>
      </c>
      <c r="C436" s="1079" t="str">
        <f t="shared" si="17"/>
        <v>Armação aço CA-50 ø 16,0mm para Contenções (corte e dobra em obra)</v>
      </c>
      <c r="D436" s="1079" t="s">
        <v>1490</v>
      </c>
      <c r="E436" s="1080" t="str">
        <f>_xlfn.XLOOKUP(D436,Insumos!$B$1:$B$670,Insumos!$C$1:$C$670)</f>
        <v>KG</v>
      </c>
      <c r="F436" s="1083">
        <v>1.1000000000000001</v>
      </c>
      <c r="G436" s="1081">
        <f>IF(B436="insumo",_xlfn.XLOOKUP($D436,Insumos!$B$1:$B$670,Insumos!$D$1:$D$670),"")</f>
        <v>5.59</v>
      </c>
      <c r="H436" s="1081" cm="1">
        <f t="array" ref="H436">_xlfn.IFS(B436="Serviço",SUMIFS(H437:$H$2465,C437:$C$2465,$C436),B436="Insumo",F436*G436,B436="Etapa","")</f>
        <v>6.149</v>
      </c>
      <c r="I436" s="1082"/>
    </row>
    <row r="437" spans="1:9" hidden="1" outlineLevel="2" x14ac:dyDescent="0.25">
      <c r="A437" s="1079">
        <f t="shared" si="15"/>
        <v>23</v>
      </c>
      <c r="B437" s="1079" t="s">
        <v>1362</v>
      </c>
      <c r="C437" s="1079" t="str">
        <f t="shared" si="17"/>
        <v>Armação aço CA-50 ø 16,0mm para Contenções (corte e dobra em obra)</v>
      </c>
      <c r="D437" s="1079" t="s">
        <v>1483</v>
      </c>
      <c r="E437" s="1080" t="str">
        <f>_xlfn.XLOOKUP(D437,Insumos!$B$1:$B$670,Insumos!$C$1:$C$670)</f>
        <v>KG</v>
      </c>
      <c r="F437" s="1083">
        <v>2.0500000000000001E-2</v>
      </c>
      <c r="G437" s="1081">
        <f>IF(B437="insumo",_xlfn.XLOOKUP($D437,Insumos!$B$1:$B$670,Insumos!$D$1:$D$670),"")</f>
        <v>13.69</v>
      </c>
      <c r="H437" s="1081" cm="1">
        <f t="array" ref="H437">_xlfn.IFS(B437="Serviço",SUMIFS(H438:$H$2465,C438:$C$2465,$C437),B437="Insumo",F437*G437,B437="Etapa","")</f>
        <v>0.28064499999999998</v>
      </c>
      <c r="I437" s="1082"/>
    </row>
    <row r="438" spans="1:9" hidden="1" outlineLevel="2" x14ac:dyDescent="0.25">
      <c r="A438" s="1079">
        <f t="shared" si="15"/>
        <v>35</v>
      </c>
      <c r="B438" s="1079" t="s">
        <v>1362</v>
      </c>
      <c r="C438" s="1079" t="str">
        <f t="shared" si="17"/>
        <v>Armação aço CA-50 ø 16,0mm para Contenções (corte e dobra em obra)</v>
      </c>
      <c r="D438" s="1079" t="s">
        <v>1484</v>
      </c>
      <c r="E438" s="1080" t="str">
        <f>_xlfn.XLOOKUP(D438,Insumos!$B$1:$B$670,Insumos!$C$1:$C$670)</f>
        <v>UN</v>
      </c>
      <c r="F438" s="1083">
        <v>0.05</v>
      </c>
      <c r="G438" s="1081">
        <f>IF(B438="insumo",_xlfn.XLOOKUP($D438,Insumos!$B$1:$B$670,Insumos!$D$1:$D$670),"")</f>
        <v>0.27</v>
      </c>
      <c r="H438" s="1081" cm="1">
        <f t="array" ref="H438">_xlfn.IFS(B438="Serviço",SUMIFS(H439:$H$2465,C439:$C$2465,$C438),B438="Insumo",F438*G438,B438="Etapa","")</f>
        <v>1.3500000000000002E-2</v>
      </c>
      <c r="I438" s="1082"/>
    </row>
    <row r="439" spans="1:9" hidden="1" outlineLevel="1" collapsed="1" x14ac:dyDescent="0.25">
      <c r="A439" s="1079">
        <f t="shared" si="15"/>
        <v>1</v>
      </c>
      <c r="B439" s="1079" t="s">
        <v>471</v>
      </c>
      <c r="C439" s="1079" t="str">
        <f t="shared" si="17"/>
        <v xml:space="preserve">Armação aço CA-50 ø 20,0mm para Contenções (corte e dobra em obra) </v>
      </c>
      <c r="D439" s="1079" t="s">
        <v>1535</v>
      </c>
      <c r="E439" s="1080" t="s">
        <v>1481</v>
      </c>
      <c r="F439" s="1079"/>
      <c r="G439" s="1081" t="str">
        <f>IF(B439="insumo",_xlfn.XLOOKUP($D439,Insumos!$B$1:$B$670,Insumos!$D$1:$D$670),"")</f>
        <v/>
      </c>
      <c r="H439" s="1081" cm="1">
        <f t="array" ref="H439">_xlfn.IFS(B439="Serviço",SUMIFS(H440:$H$2465,C440:$C$2465,$C439),B439="Insumo",F439*G439,B439="Etapa","")</f>
        <v>6.4431449999999995</v>
      </c>
      <c r="I439" s="1082" t="s">
        <v>872</v>
      </c>
    </row>
    <row r="440" spans="1:9" hidden="1" outlineLevel="2" x14ac:dyDescent="0.25">
      <c r="A440" s="1079">
        <f t="shared" si="15"/>
        <v>4</v>
      </c>
      <c r="B440" s="1079" t="s">
        <v>1362</v>
      </c>
      <c r="C440" s="1079" t="str">
        <f t="shared" si="17"/>
        <v xml:space="preserve">Armação aço CA-50 ø 20,0mm para Contenções (corte e dobra em obra) </v>
      </c>
      <c r="D440" s="1079" t="s">
        <v>1492</v>
      </c>
      <c r="E440" s="1080" t="str">
        <f>_xlfn.XLOOKUP(D440,Insumos!$B$1:$B$670,Insumos!$C$1:$C$670)</f>
        <v>KG</v>
      </c>
      <c r="F440" s="1083">
        <v>1.1000000000000001</v>
      </c>
      <c r="G440" s="1081">
        <f>IF(B440="insumo",_xlfn.XLOOKUP($D440,Insumos!$B$1:$B$670,Insumos!$D$1:$D$670),"")</f>
        <v>5.59</v>
      </c>
      <c r="H440" s="1081" cm="1">
        <f t="array" ref="H440">_xlfn.IFS(B440="Serviço",SUMIFS(H441:$H$2465,C441:$C$2465,$C440),B440="Insumo",F440*G440,B440="Etapa","")</f>
        <v>6.149</v>
      </c>
      <c r="I440" s="1082"/>
    </row>
    <row r="441" spans="1:9" hidden="1" outlineLevel="2" x14ac:dyDescent="0.25">
      <c r="A441" s="1079">
        <f t="shared" si="15"/>
        <v>23</v>
      </c>
      <c r="B441" s="1079" t="s">
        <v>1362</v>
      </c>
      <c r="C441" s="1079" t="str">
        <f t="shared" si="17"/>
        <v xml:space="preserve">Armação aço CA-50 ø 20,0mm para Contenções (corte e dobra em obra) </v>
      </c>
      <c r="D441" s="1079" t="s">
        <v>1483</v>
      </c>
      <c r="E441" s="1080" t="str">
        <f>_xlfn.XLOOKUP(D441,Insumos!$B$1:$B$670,Insumos!$C$1:$C$670)</f>
        <v>KG</v>
      </c>
      <c r="F441" s="1083">
        <v>2.0500000000000001E-2</v>
      </c>
      <c r="G441" s="1081">
        <f>IF(B441="insumo",_xlfn.XLOOKUP($D441,Insumos!$B$1:$B$670,Insumos!$D$1:$D$670),"")</f>
        <v>13.69</v>
      </c>
      <c r="H441" s="1081" cm="1">
        <f t="array" ref="H441">_xlfn.IFS(B441="Serviço",SUMIFS(H442:$H$2465,C442:$C$2465,$C441),B441="Insumo",F441*G441,B441="Etapa","")</f>
        <v>0.28064499999999998</v>
      </c>
      <c r="I441" s="1082"/>
    </row>
    <row r="442" spans="1:9" hidden="1" outlineLevel="2" x14ac:dyDescent="0.25">
      <c r="A442" s="1079">
        <f t="shared" si="15"/>
        <v>35</v>
      </c>
      <c r="B442" s="1079" t="s">
        <v>1362</v>
      </c>
      <c r="C442" s="1079" t="str">
        <f t="shared" si="17"/>
        <v xml:space="preserve">Armação aço CA-50 ø 20,0mm para Contenções (corte e dobra em obra) </v>
      </c>
      <c r="D442" s="1079" t="s">
        <v>1484</v>
      </c>
      <c r="E442" s="1080" t="str">
        <f>_xlfn.XLOOKUP(D442,Insumos!$B$1:$B$670,Insumos!$C$1:$C$670)</f>
        <v>UN</v>
      </c>
      <c r="F442" s="1083">
        <v>0.05</v>
      </c>
      <c r="G442" s="1081">
        <f>IF(B442="insumo",_xlfn.XLOOKUP($D442,Insumos!$B$1:$B$670,Insumos!$D$1:$D$670),"")</f>
        <v>0.27</v>
      </c>
      <c r="H442" s="1081" cm="1">
        <f t="array" ref="H442">_xlfn.IFS(B442="Serviço",SUMIFS(H443:$H$2465,C443:$C$2465,$C442),B442="Insumo",F442*G442,B442="Etapa","")</f>
        <v>1.3500000000000002E-2</v>
      </c>
      <c r="I442" s="1082"/>
    </row>
    <row r="443" spans="1:9" hidden="1" outlineLevel="1" collapsed="1" x14ac:dyDescent="0.25">
      <c r="A443" s="1079">
        <f t="shared" si="15"/>
        <v>1</v>
      </c>
      <c r="B443" s="1079" t="s">
        <v>471</v>
      </c>
      <c r="C443" s="1079" t="str">
        <f t="shared" si="17"/>
        <v xml:space="preserve">Armação aço CA-50 ø 25,0mm para Contenções (corte e dobra em obra) </v>
      </c>
      <c r="D443" s="1079" t="s">
        <v>1536</v>
      </c>
      <c r="E443" s="1080" t="s">
        <v>1481</v>
      </c>
      <c r="F443" s="1079"/>
      <c r="G443" s="1081" t="str">
        <f>IF(B443="insumo",_xlfn.XLOOKUP($D443,Insumos!$B$1:$B$670,Insumos!$D$1:$D$670),"")</f>
        <v/>
      </c>
      <c r="H443" s="1081" cm="1">
        <f t="array" ref="H443">_xlfn.IFS(B443="Serviço",SUMIFS(H444:$H$2465,C444:$C$2465,$C443),B443="Insumo",F443*G443,B443="Etapa","")</f>
        <v>6.7071449999999997</v>
      </c>
      <c r="I443" s="1082" t="s">
        <v>872</v>
      </c>
    </row>
    <row r="444" spans="1:9" hidden="1" outlineLevel="2" x14ac:dyDescent="0.25">
      <c r="A444" s="1079">
        <f t="shared" si="15"/>
        <v>3</v>
      </c>
      <c r="B444" s="1079" t="s">
        <v>1362</v>
      </c>
      <c r="C444" s="1079" t="str">
        <f t="shared" si="17"/>
        <v xml:space="preserve">Armação aço CA-50 ø 25,0mm para Contenções (corte e dobra em obra) </v>
      </c>
      <c r="D444" s="1079" t="s">
        <v>1511</v>
      </c>
      <c r="E444" s="1080" t="str">
        <f>_xlfn.XLOOKUP(D444,Insumos!$B$1:$B$670,Insumos!$C$1:$C$670)</f>
        <v>KG</v>
      </c>
      <c r="F444" s="1083">
        <v>1.1000000000000001</v>
      </c>
      <c r="G444" s="1081">
        <f>IF(B444="insumo",_xlfn.XLOOKUP($D444,Insumos!$B$1:$B$670,Insumos!$D$1:$D$670),"")</f>
        <v>5.83</v>
      </c>
      <c r="H444" s="1081" cm="1">
        <f t="array" ref="H444">_xlfn.IFS(B444="Serviço",SUMIFS(H445:$H$2465,C445:$C$2465,$C444),B444="Insumo",F444*G444,B444="Etapa","")</f>
        <v>6.4130000000000003</v>
      </c>
      <c r="I444" s="1082"/>
    </row>
    <row r="445" spans="1:9" hidden="1" outlineLevel="2" x14ac:dyDescent="0.25">
      <c r="A445" s="1079">
        <f t="shared" si="15"/>
        <v>23</v>
      </c>
      <c r="B445" s="1079" t="s">
        <v>1362</v>
      </c>
      <c r="C445" s="1079" t="str">
        <f t="shared" si="17"/>
        <v xml:space="preserve">Armação aço CA-50 ø 25,0mm para Contenções (corte e dobra em obra) </v>
      </c>
      <c r="D445" s="1079" t="s">
        <v>1483</v>
      </c>
      <c r="E445" s="1080" t="str">
        <f>_xlfn.XLOOKUP(D445,Insumos!$B$1:$B$670,Insumos!$C$1:$C$670)</f>
        <v>KG</v>
      </c>
      <c r="F445" s="1083">
        <v>2.0500000000000001E-2</v>
      </c>
      <c r="G445" s="1081">
        <f>IF(B445="insumo",_xlfn.XLOOKUP($D445,Insumos!$B$1:$B$670,Insumos!$D$1:$D$670),"")</f>
        <v>13.69</v>
      </c>
      <c r="H445" s="1081" cm="1">
        <f t="array" ref="H445">_xlfn.IFS(B445="Serviço",SUMIFS(H446:$H$2465,C446:$C$2465,$C445),B445="Insumo",F445*G445,B445="Etapa","")</f>
        <v>0.28064499999999998</v>
      </c>
      <c r="I445" s="1082"/>
    </row>
    <row r="446" spans="1:9" hidden="1" outlineLevel="2" x14ac:dyDescent="0.25">
      <c r="A446" s="1079">
        <f t="shared" si="15"/>
        <v>35</v>
      </c>
      <c r="B446" s="1079" t="s">
        <v>1362</v>
      </c>
      <c r="C446" s="1079" t="str">
        <f t="shared" si="17"/>
        <v xml:space="preserve">Armação aço CA-50 ø 25,0mm para Contenções (corte e dobra em obra) </v>
      </c>
      <c r="D446" s="1079" t="s">
        <v>1484</v>
      </c>
      <c r="E446" s="1080" t="str">
        <f>_xlfn.XLOOKUP(D446,Insumos!$B$1:$B$670,Insumos!$C$1:$C$670)</f>
        <v>UN</v>
      </c>
      <c r="F446" s="1083">
        <v>0.05</v>
      </c>
      <c r="G446" s="1081">
        <f>IF(B446="insumo",_xlfn.XLOOKUP($D446,Insumos!$B$1:$B$670,Insumos!$D$1:$D$670),"")</f>
        <v>0.27</v>
      </c>
      <c r="H446" s="1081" cm="1">
        <f t="array" ref="H446">_xlfn.IFS(B446="Serviço",SUMIFS(H447:$H$2465,C447:$C$2465,$C446),B446="Insumo",F446*G446,B446="Etapa","")</f>
        <v>1.3500000000000002E-2</v>
      </c>
      <c r="I446" s="1082"/>
    </row>
    <row r="447" spans="1:9" hidden="1" outlineLevel="1" collapsed="1" x14ac:dyDescent="0.25">
      <c r="A447" s="1079">
        <f t="shared" si="15"/>
        <v>1</v>
      </c>
      <c r="B447" s="1079" t="s">
        <v>471</v>
      </c>
      <c r="C447" s="1079" t="str">
        <f t="shared" si="17"/>
        <v xml:space="preserve">Armação aço CA-60 ø 5,00mm para Contenções (corte e dobra em obra) </v>
      </c>
      <c r="D447" s="1079" t="s">
        <v>1537</v>
      </c>
      <c r="E447" s="1080" t="s">
        <v>1481</v>
      </c>
      <c r="F447" s="1079"/>
      <c r="G447" s="1081" t="str">
        <f>IF(B447="insumo",_xlfn.XLOOKUP($D447,Insumos!$B$1:$B$670,Insumos!$D$1:$D$670),"")</f>
        <v/>
      </c>
      <c r="H447" s="1081" cm="1">
        <f t="array" ref="H447">_xlfn.IFS(B447="Serviço",SUMIFS(H448:$H$2465,C448:$C$2465,$C447),B447="Insumo",F447*G447,B447="Etapa","")</f>
        <v>7.4881450000000003</v>
      </c>
      <c r="I447" s="1082" t="s">
        <v>872</v>
      </c>
    </row>
    <row r="448" spans="1:9" hidden="1" outlineLevel="2" x14ac:dyDescent="0.25">
      <c r="A448" s="1079">
        <f t="shared" si="15"/>
        <v>4</v>
      </c>
      <c r="B448" s="1079" t="s">
        <v>1362</v>
      </c>
      <c r="C448" s="1079" t="str">
        <f t="shared" si="17"/>
        <v xml:space="preserve">Armação aço CA-60 ø 5,00mm para Contenções (corte e dobra em obra) </v>
      </c>
      <c r="D448" s="1079" t="s">
        <v>1494</v>
      </c>
      <c r="E448" s="1080" t="str">
        <f>_xlfn.XLOOKUP(D448,Insumos!$B$1:$B$670,Insumos!$C$1:$C$670)</f>
        <v>KG</v>
      </c>
      <c r="F448" s="1083">
        <v>1.1000000000000001</v>
      </c>
      <c r="G448" s="1081">
        <f>IF(B448="insumo",_xlfn.XLOOKUP($D448,Insumos!$B$1:$B$670,Insumos!$D$1:$D$670),"")</f>
        <v>6.54</v>
      </c>
      <c r="H448" s="1081" cm="1">
        <f t="array" ref="H448">_xlfn.IFS(B448="Serviço",SUMIFS(H449:$H$2465,C449:$C$2465,$C448),B448="Insumo",F448*G448,B448="Etapa","")</f>
        <v>7.1940000000000008</v>
      </c>
      <c r="I448" s="1082"/>
    </row>
    <row r="449" spans="1:9" hidden="1" outlineLevel="2" x14ac:dyDescent="0.25">
      <c r="A449" s="1079">
        <f t="shared" si="15"/>
        <v>23</v>
      </c>
      <c r="B449" s="1079" t="s">
        <v>1362</v>
      </c>
      <c r="C449" s="1079" t="str">
        <f t="shared" si="17"/>
        <v xml:space="preserve">Armação aço CA-60 ø 5,00mm para Contenções (corte e dobra em obra) </v>
      </c>
      <c r="D449" s="1079" t="s">
        <v>1483</v>
      </c>
      <c r="E449" s="1080" t="str">
        <f>_xlfn.XLOOKUP(D449,Insumos!$B$1:$B$670,Insumos!$C$1:$C$670)</f>
        <v>KG</v>
      </c>
      <c r="F449" s="1083">
        <v>2.0500000000000001E-2</v>
      </c>
      <c r="G449" s="1081">
        <f>IF(B449="insumo",_xlfn.XLOOKUP($D449,Insumos!$B$1:$B$670,Insumos!$D$1:$D$670),"")</f>
        <v>13.69</v>
      </c>
      <c r="H449" s="1081" cm="1">
        <f t="array" ref="H449">_xlfn.IFS(B449="Serviço",SUMIFS(H450:$H$2465,C450:$C$2465,$C449),B449="Insumo",F449*G449,B449="Etapa","")</f>
        <v>0.28064499999999998</v>
      </c>
      <c r="I449" s="1082"/>
    </row>
    <row r="450" spans="1:9" hidden="1" outlineLevel="2" x14ac:dyDescent="0.25">
      <c r="A450" s="1079">
        <f t="shared" ref="A450:A513" si="18">COUNTIFS($D$2:$D$2465,D450,$B$2:$B$2465,B450)</f>
        <v>35</v>
      </c>
      <c r="B450" s="1079" t="s">
        <v>1362</v>
      </c>
      <c r="C450" s="1079" t="str">
        <f t="shared" si="17"/>
        <v xml:space="preserve">Armação aço CA-60 ø 5,00mm para Contenções (corte e dobra em obra) </v>
      </c>
      <c r="D450" s="1079" t="s">
        <v>1484</v>
      </c>
      <c r="E450" s="1080" t="str">
        <f>_xlfn.XLOOKUP(D450,Insumos!$B$1:$B$670,Insumos!$C$1:$C$670)</f>
        <v>UN</v>
      </c>
      <c r="F450" s="1083">
        <v>0.05</v>
      </c>
      <c r="G450" s="1081">
        <f>IF(B450="insumo",_xlfn.XLOOKUP($D450,Insumos!$B$1:$B$670,Insumos!$D$1:$D$670),"")</f>
        <v>0.27</v>
      </c>
      <c r="H450" s="1081" cm="1">
        <f t="array" ref="H450">_xlfn.IFS(B450="Serviço",SUMIFS(H451:$H$2465,C451:$C$2465,$C450),B450="Insumo",F450*G450,B450="Etapa","")</f>
        <v>1.3500000000000002E-2</v>
      </c>
      <c r="I450" s="1082"/>
    </row>
    <row r="451" spans="1:9" hidden="1" outlineLevel="1" collapsed="1" x14ac:dyDescent="0.25">
      <c r="A451" s="1079">
        <f t="shared" si="18"/>
        <v>1</v>
      </c>
      <c r="B451" s="1079" t="s">
        <v>471</v>
      </c>
      <c r="C451" s="1079" t="str">
        <f t="shared" si="17"/>
        <v>Concreto Usinado bombeável para Contenções 25MPa  - incluindo serviço de bombeamento</v>
      </c>
      <c r="D451" s="1079" t="s">
        <v>1538</v>
      </c>
      <c r="E451" s="1080" t="s">
        <v>1426</v>
      </c>
      <c r="F451" s="1079"/>
      <c r="G451" s="1081" t="str">
        <f>IF(B451="insumo",_xlfn.XLOOKUP($D451,Insumos!$B$1:$B$670,Insumos!$D$1:$D$670),"")</f>
        <v/>
      </c>
      <c r="H451" s="1081" cm="1">
        <f t="array" ref="H451">_xlfn.IFS(B451="Serviço",SUMIFS(H452:$H$2465,C452:$C$2465,$C451),B451="Insumo",F451*G451,B451="Etapa","")</f>
        <v>634.3599999999999</v>
      </c>
      <c r="I451" s="1082" t="s">
        <v>872</v>
      </c>
    </row>
    <row r="452" spans="1:9" hidden="1" outlineLevel="2" x14ac:dyDescent="0.25">
      <c r="A452" s="1079">
        <f t="shared" si="18"/>
        <v>3</v>
      </c>
      <c r="B452" s="1079" t="s">
        <v>1362</v>
      </c>
      <c r="C452" s="1079" t="str">
        <f t="shared" si="17"/>
        <v>Concreto Usinado bombeável para Contenções 25MPa  - incluindo serviço de bombeamento</v>
      </c>
      <c r="D452" s="1079" t="s">
        <v>1496</v>
      </c>
      <c r="E452" s="1080" t="str">
        <f>_xlfn.XLOOKUP(D452,Insumos!$B$1:$B$670,Insumos!$C$1:$C$670)</f>
        <v>M3</v>
      </c>
      <c r="F452" s="1083">
        <v>1.2</v>
      </c>
      <c r="G452" s="1081">
        <f>IF(B452="insumo",_xlfn.XLOOKUP($D452,Insumos!$B$1:$B$670,Insumos!$D$1:$D$670),"")</f>
        <v>492.99999999999994</v>
      </c>
      <c r="H452" s="1081" cm="1">
        <f t="array" ref="H452">_xlfn.IFS(B452="Serviço",SUMIFS(H453:$H$2465,C453:$C$2465,$C452),B452="Insumo",F452*G452,B452="Etapa","")</f>
        <v>591.59999999999991</v>
      </c>
      <c r="I452" s="1082"/>
    </row>
    <row r="453" spans="1:9" hidden="1" outlineLevel="2" x14ac:dyDescent="0.25">
      <c r="A453" s="1079">
        <f t="shared" si="18"/>
        <v>22</v>
      </c>
      <c r="B453" s="1079" t="s">
        <v>1362</v>
      </c>
      <c r="C453" s="1079" t="str">
        <f t="shared" si="17"/>
        <v>Concreto Usinado bombeável para Contenções 25MPa  - incluindo serviço de bombeamento</v>
      </c>
      <c r="D453" s="1079" t="s">
        <v>1433</v>
      </c>
      <c r="E453" s="1080" t="str">
        <f>_xlfn.XLOOKUP(D453,Insumos!$B$1:$B$670,Insumos!$C$1:$C$670)</f>
        <v>M3</v>
      </c>
      <c r="F453" s="1083">
        <v>1.05</v>
      </c>
      <c r="G453" s="1081">
        <f>IF(B453="insumo",_xlfn.XLOOKUP($D453,Insumos!$B$1:$B$670,Insumos!$D$1:$D$670),"")</f>
        <v>40</v>
      </c>
      <c r="H453" s="1081" cm="1">
        <f t="array" ref="H453">_xlfn.IFS(B453="Serviço",SUMIFS(H454:$H$2465,C454:$C$2465,$C453),B453="Insumo",F453*G453,B453="Etapa","")</f>
        <v>42</v>
      </c>
      <c r="I453" s="1082"/>
    </row>
    <row r="454" spans="1:9" hidden="1" outlineLevel="2" x14ac:dyDescent="0.25">
      <c r="A454" s="1079">
        <f t="shared" si="18"/>
        <v>38</v>
      </c>
      <c r="B454" s="1079" t="s">
        <v>1362</v>
      </c>
      <c r="C454" s="1079" t="str">
        <f t="shared" si="17"/>
        <v>Concreto Usinado bombeável para Contenções 25MPa  - incluindo serviço de bombeamento</v>
      </c>
      <c r="D454" s="1079" t="s">
        <v>1434</v>
      </c>
      <c r="E454" s="1080" t="str">
        <f>_xlfn.XLOOKUP(D454,Insumos!$B$1:$B$670,Insumos!$C$1:$C$670)</f>
        <v>KG</v>
      </c>
      <c r="F454" s="1083">
        <v>1</v>
      </c>
      <c r="G454" s="1081">
        <f>IF(B454="insumo",_xlfn.XLOOKUP($D454,Insumos!$B$1:$B$670,Insumos!$D$1:$D$670),"")</f>
        <v>0.76</v>
      </c>
      <c r="H454" s="1081" cm="1">
        <f t="array" ref="H454">_xlfn.IFS(B454="Serviço",SUMIFS(H455:$H$2465,C455:$C$2465,$C454),B454="Insumo",F454*G454,B454="Etapa","")</f>
        <v>0.76</v>
      </c>
      <c r="I454" s="1082"/>
    </row>
    <row r="455" spans="1:9" hidden="1" outlineLevel="1" collapsed="1" x14ac:dyDescent="0.25">
      <c r="A455" s="1079">
        <f t="shared" si="18"/>
        <v>1</v>
      </c>
      <c r="B455" s="1079" t="s">
        <v>471</v>
      </c>
      <c r="C455" s="1079" t="str">
        <f t="shared" si="17"/>
        <v>Concreto Usinado bombeável para Contenções 30MPa  - incluindo serviço de bombeamento</v>
      </c>
      <c r="D455" s="1079" t="s">
        <v>1539</v>
      </c>
      <c r="E455" s="1080" t="s">
        <v>1426</v>
      </c>
      <c r="F455" s="1079"/>
      <c r="G455" s="1081" t="str">
        <f>IF(B455="insumo",_xlfn.XLOOKUP($D455,Insumos!$B$1:$B$670,Insumos!$D$1:$D$670),"")</f>
        <v/>
      </c>
      <c r="H455" s="1081" cm="1">
        <f t="array" ref="H455">_xlfn.IFS(B455="Serviço",SUMIFS(H456:$H$2465,C456:$C$2465,$C455),B455="Insumo",F455*G455,B455="Etapa","")</f>
        <v>654.76</v>
      </c>
      <c r="I455" s="1082" t="s">
        <v>872</v>
      </c>
    </row>
    <row r="456" spans="1:9" hidden="1" outlineLevel="2" x14ac:dyDescent="0.25">
      <c r="A456" s="1079">
        <f t="shared" si="18"/>
        <v>4</v>
      </c>
      <c r="B456" s="1079" t="s">
        <v>1362</v>
      </c>
      <c r="C456" s="1079" t="str">
        <f t="shared" si="17"/>
        <v>Concreto Usinado bombeável para Contenções 30MPa  - incluindo serviço de bombeamento</v>
      </c>
      <c r="D456" s="1079" t="s">
        <v>1514</v>
      </c>
      <c r="E456" s="1080" t="str">
        <f>_xlfn.XLOOKUP(D456,Insumos!$B$1:$B$670,Insumos!$C$1:$C$670)</f>
        <v>M3</v>
      </c>
      <c r="F456" s="1083">
        <v>1.2</v>
      </c>
      <c r="G456" s="1081">
        <f>IF(B456="insumo",_xlfn.XLOOKUP($D456,Insumos!$B$1:$B$670,Insumos!$D$1:$D$670),"")</f>
        <v>510</v>
      </c>
      <c r="H456" s="1081" cm="1">
        <f t="array" ref="H456">_xlfn.IFS(B456="Serviço",SUMIFS(H457:$H$2465,C457:$C$2465,$C456),B456="Insumo",F456*G456,B456="Etapa","")</f>
        <v>612</v>
      </c>
      <c r="I456" s="1082"/>
    </row>
    <row r="457" spans="1:9" hidden="1" outlineLevel="2" x14ac:dyDescent="0.25">
      <c r="A457" s="1079">
        <f t="shared" si="18"/>
        <v>22</v>
      </c>
      <c r="B457" s="1079" t="s">
        <v>1362</v>
      </c>
      <c r="C457" s="1079" t="str">
        <f t="shared" si="17"/>
        <v>Concreto Usinado bombeável para Contenções 30MPa  - incluindo serviço de bombeamento</v>
      </c>
      <c r="D457" s="1079" t="s">
        <v>1433</v>
      </c>
      <c r="E457" s="1080" t="str">
        <f>_xlfn.XLOOKUP(D457,Insumos!$B$1:$B$670,Insumos!$C$1:$C$670)</f>
        <v>M3</v>
      </c>
      <c r="F457" s="1083">
        <v>1.05</v>
      </c>
      <c r="G457" s="1081">
        <f>IF(B457="insumo",_xlfn.XLOOKUP($D457,Insumos!$B$1:$B$670,Insumos!$D$1:$D$670),"")</f>
        <v>40</v>
      </c>
      <c r="H457" s="1081" cm="1">
        <f t="array" ref="H457">_xlfn.IFS(B457="Serviço",SUMIFS(H458:$H$2465,C458:$C$2465,$C457),B457="Insumo",F457*G457,B457="Etapa","")</f>
        <v>42</v>
      </c>
      <c r="I457" s="1082"/>
    </row>
    <row r="458" spans="1:9" hidden="1" outlineLevel="2" x14ac:dyDescent="0.25">
      <c r="A458" s="1079">
        <f t="shared" si="18"/>
        <v>38</v>
      </c>
      <c r="B458" s="1079" t="s">
        <v>1362</v>
      </c>
      <c r="C458" s="1079" t="str">
        <f t="shared" si="17"/>
        <v>Concreto Usinado bombeável para Contenções 30MPa  - incluindo serviço de bombeamento</v>
      </c>
      <c r="D458" s="1079" t="s">
        <v>1434</v>
      </c>
      <c r="E458" s="1080" t="str">
        <f>_xlfn.XLOOKUP(D458,Insumos!$B$1:$B$670,Insumos!$C$1:$C$670)</f>
        <v>KG</v>
      </c>
      <c r="F458" s="1083">
        <v>1</v>
      </c>
      <c r="G458" s="1081">
        <f>IF(B458="insumo",_xlfn.XLOOKUP($D458,Insumos!$B$1:$B$670,Insumos!$D$1:$D$670),"")</f>
        <v>0.76</v>
      </c>
      <c r="H458" s="1081" cm="1">
        <f t="array" ref="H458">_xlfn.IFS(B458="Serviço",SUMIFS(H459:$H$2465,C459:$C$2465,$C458),B458="Insumo",F458*G458,B458="Etapa","")</f>
        <v>0.76</v>
      </c>
      <c r="I458" s="1082"/>
    </row>
    <row r="459" spans="1:9" hidden="1" outlineLevel="1" collapsed="1" x14ac:dyDescent="0.25">
      <c r="A459" s="1079">
        <f t="shared" si="18"/>
        <v>1</v>
      </c>
      <c r="B459" s="1079" t="s">
        <v>471</v>
      </c>
      <c r="C459" s="1079" t="str">
        <f t="shared" si="17"/>
        <v>Mão de obra de obra execução de contenção em cortina de concreto</v>
      </c>
      <c r="D459" s="1079" t="s">
        <v>1540</v>
      </c>
      <c r="E459" s="1080" t="str">
        <f>_xlfn.XLOOKUP(D459,Insumos!$B$1:$B$670,Insumos!$C$1:$C$670)</f>
        <v>M2</v>
      </c>
      <c r="F459" s="1079"/>
      <c r="G459" s="1081" t="str">
        <f>IF(B459="insumo",_xlfn.XLOOKUP($D459,Insumos!$B$1:$B$670,Insumos!$D$1:$D$670),"")</f>
        <v/>
      </c>
      <c r="H459" s="1081" cm="1">
        <f t="array" ref="H459">_xlfn.IFS(B459="Serviço",SUMIFS(H460:$H$2465,C460:$C$2465,$C459),B459="Insumo",F459*G459,B459="Etapa","")</f>
        <v>166.34420509708741</v>
      </c>
      <c r="I459" s="1082" t="s">
        <v>872</v>
      </c>
    </row>
    <row r="460" spans="1:9" hidden="1" outlineLevel="2" x14ac:dyDescent="0.25">
      <c r="A460" s="1079">
        <f t="shared" si="18"/>
        <v>1</v>
      </c>
      <c r="B460" s="1079" t="s">
        <v>1362</v>
      </c>
      <c r="C460" s="1079" t="str">
        <f t="shared" si="17"/>
        <v>Mão de obra de obra execução de contenção em cortina de concreto</v>
      </c>
      <c r="D460" s="1079" t="s">
        <v>1540</v>
      </c>
      <c r="E460" s="1080" t="str">
        <f>_xlfn.XLOOKUP(D460,Insumos!$B$1:$B$670,Insumos!$C$1:$C$670)</f>
        <v>M2</v>
      </c>
      <c r="F460" s="1083">
        <v>1</v>
      </c>
      <c r="G460" s="1081">
        <f>IF(B460="insumo",_xlfn.XLOOKUP($D460,Insumos!$B$1:$B$670,Insumos!$D$1:$D$670),"")</f>
        <v>166.34420509708741</v>
      </c>
      <c r="H460" s="1081" cm="1">
        <f t="array" ref="H460">_xlfn.IFS(B460="Serviço",SUMIFS(H461:$H$2465,C461:$C$2465,$C460),B460="Insumo",F460*G460,B460="Etapa","")</f>
        <v>166.34420509708741</v>
      </c>
      <c r="I460" s="1082"/>
    </row>
    <row r="461" spans="1:9" collapsed="1" x14ac:dyDescent="0.25">
      <c r="A461" s="1076">
        <f t="shared" si="18"/>
        <v>1</v>
      </c>
      <c r="B461" s="1076" t="s">
        <v>469</v>
      </c>
      <c r="C461" s="1076"/>
      <c r="D461" s="1076" t="s">
        <v>397</v>
      </c>
      <c r="E461" s="1077"/>
      <c r="F461" s="1078"/>
      <c r="G461" s="1084" t="str">
        <f>IF(B461="insumo",_xlfn.XLOOKUP($D461,Insumos!$B$1:$B$670,Insumos!$D$1:$D$670),"")</f>
        <v/>
      </c>
      <c r="H461" s="1084" t="str" cm="1">
        <f t="array" ref="H461">_xlfn.IFS(B461="Serviço",SUMIFS(H462:$H$2465,C462:$C$2465,$C461),B461="Insumo",F461*G461,B461="Etapa","")</f>
        <v/>
      </c>
      <c r="I461" s="1078"/>
    </row>
    <row r="462" spans="1:9" hidden="1" outlineLevel="1" collapsed="1" x14ac:dyDescent="0.25">
      <c r="A462" s="1079">
        <f t="shared" si="18"/>
        <v>1</v>
      </c>
      <c r="B462" s="1079" t="s">
        <v>471</v>
      </c>
      <c r="C462" s="1079" t="str">
        <f t="shared" ref="C462:C525" si="19">IF(B462="serviço",D462,C461)</f>
        <v>Forma para Laje Contrapiso Térreo em Tábuas de Madeira Serrada 18mm 4x reaproveitamento</v>
      </c>
      <c r="D462" s="1079" t="s">
        <v>1541</v>
      </c>
      <c r="E462" s="1080" t="s">
        <v>17</v>
      </c>
      <c r="F462" s="1079"/>
      <c r="G462" s="1081" t="str">
        <f>IF(B462="insumo",_xlfn.XLOOKUP($D462,Insumos!$B$1:$B$670,Insumos!$D$1:$D$670),"")</f>
        <v/>
      </c>
      <c r="H462" s="1081" cm="1">
        <f t="array" ref="H462">_xlfn.IFS(B462="Serviço",SUMIFS(H463:$H$2465,C463:$C$2465,$C462),B462="Insumo",F462*G462,B462="Etapa","")</f>
        <v>65.418449999999993</v>
      </c>
      <c r="I462" s="1082" t="s">
        <v>872</v>
      </c>
    </row>
    <row r="463" spans="1:9" hidden="1" outlineLevel="2" x14ac:dyDescent="0.25">
      <c r="A463" s="1079">
        <f t="shared" si="18"/>
        <v>33</v>
      </c>
      <c r="B463" s="1079" t="s">
        <v>1362</v>
      </c>
      <c r="C463" s="1079" t="str">
        <f t="shared" si="19"/>
        <v>Forma para Laje Contrapiso Térreo em Tábuas de Madeira Serrada 18mm 4x reaproveitamento</v>
      </c>
      <c r="D463" s="1079" t="s">
        <v>1375</v>
      </c>
      <c r="E463" s="1080" t="str">
        <f>_xlfn.XLOOKUP(D463,Insumos!$B$1:$B$670,Insumos!$C$1:$C$670)</f>
        <v>KG</v>
      </c>
      <c r="F463" s="1083">
        <v>9.5000000000000001E-2</v>
      </c>
      <c r="G463" s="1081">
        <f>IF(B463="insumo",_xlfn.XLOOKUP($D463,Insumos!$B$1:$B$670,Insumos!$D$1:$D$670),"")</f>
        <v>18.13</v>
      </c>
      <c r="H463" s="1081" cm="1">
        <f t="array" ref="H463">_xlfn.IFS(B463="Serviço",SUMIFS(H464:$H$2465,C464:$C$2465,$C463),B463="Insumo",F463*G463,B463="Etapa","")</f>
        <v>1.7223499999999998</v>
      </c>
      <c r="I463" s="1082"/>
    </row>
    <row r="464" spans="1:9" hidden="1" outlineLevel="2" x14ac:dyDescent="0.25">
      <c r="A464" s="1079">
        <f t="shared" si="18"/>
        <v>9</v>
      </c>
      <c r="B464" s="1079" t="s">
        <v>1362</v>
      </c>
      <c r="C464" s="1079" t="str">
        <f t="shared" si="19"/>
        <v>Forma para Laje Contrapiso Térreo em Tábuas de Madeira Serrada 18mm 4x reaproveitamento</v>
      </c>
      <c r="D464" s="1079" t="s">
        <v>1507</v>
      </c>
      <c r="E464" s="1080" t="str">
        <f>_xlfn.XLOOKUP(D464,Insumos!$B$1:$B$670,Insumos!$C$1:$C$670)</f>
        <v>L</v>
      </c>
      <c r="F464" s="1083">
        <v>1.7000000000000001E-2</v>
      </c>
      <c r="G464" s="1081">
        <f>IF(B464="insumo",_xlfn.XLOOKUP($D464,Insumos!$B$1:$B$670,Insumos!$D$1:$D$670),"")</f>
        <v>15.55</v>
      </c>
      <c r="H464" s="1081" cm="1">
        <f t="array" ref="H464">_xlfn.IFS(B464="Serviço",SUMIFS(H465:$H$2465,C465:$C$2465,$C464),B464="Insumo",F464*G464,B464="Etapa","")</f>
        <v>0.26435000000000003</v>
      </c>
      <c r="I464" s="1082"/>
    </row>
    <row r="465" spans="1:9" hidden="1" outlineLevel="2" x14ac:dyDescent="0.25">
      <c r="A465" s="1079">
        <f t="shared" si="18"/>
        <v>21</v>
      </c>
      <c r="B465" s="1079" t="s">
        <v>1362</v>
      </c>
      <c r="C465" s="1079" t="str">
        <f t="shared" si="19"/>
        <v>Forma para Laje Contrapiso Térreo em Tábuas de Madeira Serrada 18mm 4x reaproveitamento</v>
      </c>
      <c r="D465" s="1079" t="s">
        <v>1372</v>
      </c>
      <c r="E465" s="1080" t="str">
        <f>_xlfn.XLOOKUP(D465,Insumos!$B$1:$B$670,Insumos!$C$1:$C$670)</f>
        <v>M</v>
      </c>
      <c r="F465" s="1083">
        <v>0.44857142857142857</v>
      </c>
      <c r="G465" s="1081">
        <f>IF(B465="insumo",_xlfn.XLOOKUP($D465,Insumos!$B$1:$B$670,Insumos!$D$1:$D$670),"")</f>
        <v>7</v>
      </c>
      <c r="H465" s="1081" cm="1">
        <f t="array" ref="H465">_xlfn.IFS(B465="Serviço",SUMIFS(H466:$H$2465,C466:$C$2465,$C465),B465="Insumo",F465*G465,B465="Etapa","")</f>
        <v>3.14</v>
      </c>
      <c r="I465" s="1082"/>
    </row>
    <row r="466" spans="1:9" hidden="1" outlineLevel="2" x14ac:dyDescent="0.25">
      <c r="A466" s="1079">
        <f t="shared" si="18"/>
        <v>15</v>
      </c>
      <c r="B466" s="1079" t="s">
        <v>1362</v>
      </c>
      <c r="C466" s="1079" t="str">
        <f t="shared" si="19"/>
        <v>Forma para Laje Contrapiso Térreo em Tábuas de Madeira Serrada 18mm 4x reaproveitamento</v>
      </c>
      <c r="D466" s="1079" t="s">
        <v>1402</v>
      </c>
      <c r="E466" s="1080" t="str">
        <f>_xlfn.XLOOKUP(D466,Insumos!$B$1:$B$670,Insumos!$C$1:$C$670)</f>
        <v>M3</v>
      </c>
      <c r="F466" s="1083">
        <v>1.2570000000000001E-3</v>
      </c>
      <c r="G466" s="1081">
        <f>IF(B466="insumo",_xlfn.XLOOKUP($D466,Insumos!$B$1:$B$670,Insumos!$D$1:$D$670),"")</f>
        <v>1350</v>
      </c>
      <c r="H466" s="1081" cm="1">
        <f t="array" ref="H466">_xlfn.IFS(B466="Serviço",SUMIFS(H467:$H$2465,C467:$C$2465,$C466),B466="Insumo",F466*G466,B466="Etapa","")</f>
        <v>1.6969500000000002</v>
      </c>
      <c r="I466" s="1082"/>
    </row>
    <row r="467" spans="1:9" hidden="1" outlineLevel="2" x14ac:dyDescent="0.25">
      <c r="A467" s="1079">
        <f t="shared" si="18"/>
        <v>3</v>
      </c>
      <c r="B467" s="1079" t="s">
        <v>1362</v>
      </c>
      <c r="C467" s="1079" t="str">
        <f t="shared" si="19"/>
        <v>Forma para Laje Contrapiso Térreo em Tábuas de Madeira Serrada 18mm 4x reaproveitamento</v>
      </c>
      <c r="D467" s="1079" t="s">
        <v>1542</v>
      </c>
      <c r="E467" s="1080" t="str">
        <f>_xlfn.XLOOKUP(D467,Insumos!$B$1:$B$670,Insumos!$C$1:$C$670)</f>
        <v>M</v>
      </c>
      <c r="F467" s="1083">
        <v>1.38</v>
      </c>
      <c r="G467" s="1081">
        <f>IF(B467="insumo",_xlfn.XLOOKUP($D467,Insumos!$B$1:$B$670,Insumos!$D$1:$D$670),"")</f>
        <v>42.46</v>
      </c>
      <c r="H467" s="1081" cm="1">
        <f t="array" ref="H467">_xlfn.IFS(B467="Serviço",SUMIFS(H468:$H$2465,C468:$C$2465,$C467),B467="Insumo",F467*G467,B467="Etapa","")</f>
        <v>58.594799999999999</v>
      </c>
      <c r="I467" s="1082"/>
    </row>
    <row r="468" spans="1:9" hidden="1" outlineLevel="1" x14ac:dyDescent="0.25">
      <c r="A468" s="1079">
        <f t="shared" si="18"/>
        <v>1</v>
      </c>
      <c r="B468" s="1079" t="s">
        <v>471</v>
      </c>
      <c r="C468" s="1079" t="str">
        <f t="shared" si="19"/>
        <v>Fabricação de Fôrma para Pilares, em Chapa de Madeira Compensada Plastificada, E=18mm</v>
      </c>
      <c r="D468" s="1079" t="s">
        <v>1543</v>
      </c>
      <c r="E468" s="1080" t="s">
        <v>17</v>
      </c>
      <c r="F468" s="1079"/>
      <c r="G468" s="1081" t="str">
        <f>IF(B468="insumo",_xlfn.XLOOKUP($D468,Insumos!$B$1:$B$670,Insumos!$D$1:$D$670),"")</f>
        <v/>
      </c>
      <c r="H468" s="1081" cm="1">
        <f t="array" ref="H468">_xlfn.IFS(B468="Serviço",SUMIFS(H469:$H$2465,C469:$C$2465,$C468),B468="Insumo",F468*G468,B468="Etapa","")</f>
        <v>117.15402760330576</v>
      </c>
      <c r="I468" s="1082" t="s">
        <v>872</v>
      </c>
    </row>
    <row r="469" spans="1:9" hidden="1" outlineLevel="2" x14ac:dyDescent="0.25">
      <c r="A469" s="1079">
        <f t="shared" si="18"/>
        <v>33</v>
      </c>
      <c r="B469" s="1079" t="s">
        <v>1362</v>
      </c>
      <c r="C469" s="1079" t="str">
        <f t="shared" si="19"/>
        <v>Fabricação de Fôrma para Pilares, em Chapa de Madeira Compensada Plastificada, E=18mm</v>
      </c>
      <c r="D469" s="1079" t="s">
        <v>1375</v>
      </c>
      <c r="E469" s="1080" t="str">
        <f>_xlfn.XLOOKUP(D469,Insumos!$B$1:$B$670,Insumos!$C$1:$C$670)</f>
        <v>KG</v>
      </c>
      <c r="F469" s="1083">
        <v>0.20799999999999999</v>
      </c>
      <c r="G469" s="1081">
        <f>IF(B469="insumo",_xlfn.XLOOKUP($D469,Insumos!$B$1:$B$670,Insumos!$D$1:$D$670),"")</f>
        <v>18.13</v>
      </c>
      <c r="H469" s="1081" cm="1">
        <f t="array" ref="H469">_xlfn.IFS(B469="Serviço",SUMIFS(H470:$H$2465,C470:$C$2465,$C469),B469="Insumo",F469*G469,B469="Etapa","")</f>
        <v>3.7710399999999997</v>
      </c>
      <c r="I469" s="1082"/>
    </row>
    <row r="470" spans="1:9" hidden="1" outlineLevel="2" x14ac:dyDescent="0.25">
      <c r="A470" s="1079">
        <f t="shared" si="18"/>
        <v>3</v>
      </c>
      <c r="B470" s="1079" t="s">
        <v>1362</v>
      </c>
      <c r="C470" s="1079" t="str">
        <f t="shared" si="19"/>
        <v>Fabricação de Fôrma para Pilares, em Chapa de Madeira Compensada Plastificada, E=18mm</v>
      </c>
      <c r="D470" s="1079" t="s">
        <v>1544</v>
      </c>
      <c r="E470" s="1080" t="str">
        <f>_xlfn.XLOOKUP(D470,Insumos!$B$1:$B$670,Insumos!$C$1:$C$670)</f>
        <v>M2</v>
      </c>
      <c r="F470" s="1083">
        <v>1.3360000000000001</v>
      </c>
      <c r="G470" s="1081">
        <f>IF(B470="insumo",_xlfn.XLOOKUP($D470,Insumos!$B$1:$B$670,Insumos!$D$1:$D$670),"")</f>
        <v>59.297520661157016</v>
      </c>
      <c r="H470" s="1081" cm="1">
        <f t="array" ref="H470">_xlfn.IFS(B470="Serviço",SUMIFS(H471:$H$2465,C471:$C$2465,$C470),B470="Insumo",F470*G470,B470="Etapa","")</f>
        <v>79.221487603305775</v>
      </c>
      <c r="I470" s="1082"/>
    </row>
    <row r="471" spans="1:9" hidden="1" outlineLevel="2" x14ac:dyDescent="0.25">
      <c r="A471" s="1079">
        <f t="shared" si="18"/>
        <v>21</v>
      </c>
      <c r="B471" s="1079" t="s">
        <v>1362</v>
      </c>
      <c r="C471" s="1079" t="str">
        <f t="shared" si="19"/>
        <v>Fabricação de Fôrma para Pilares, em Chapa de Madeira Compensada Plastificada, E=18mm</v>
      </c>
      <c r="D471" s="1079" t="s">
        <v>1372</v>
      </c>
      <c r="E471" s="1080" t="str">
        <f>_xlfn.XLOOKUP(D471,Insumos!$B$1:$B$670,Insumos!$C$1:$C$670)</f>
        <v>M</v>
      </c>
      <c r="F471" s="1083">
        <v>0.42714285714285716</v>
      </c>
      <c r="G471" s="1081">
        <f>IF(B471="insumo",_xlfn.XLOOKUP($D471,Insumos!$B$1:$B$670,Insumos!$D$1:$D$670),"")</f>
        <v>7</v>
      </c>
      <c r="H471" s="1081" cm="1">
        <f t="array" ref="H471">_xlfn.IFS(B471="Serviço",SUMIFS(H472:$H$2465,C472:$C$2465,$C471),B471="Insumo",F471*G471,B471="Etapa","")</f>
        <v>2.99</v>
      </c>
      <c r="I471" s="1082"/>
    </row>
    <row r="472" spans="1:9" hidden="1" outlineLevel="2" x14ac:dyDescent="0.25">
      <c r="A472" s="1079">
        <f t="shared" si="18"/>
        <v>15</v>
      </c>
      <c r="B472" s="1079" t="s">
        <v>1362</v>
      </c>
      <c r="C472" s="1079" t="str">
        <f t="shared" si="19"/>
        <v>Fabricação de Fôrma para Pilares, em Chapa de Madeira Compensada Plastificada, E=18mm</v>
      </c>
      <c r="D472" s="1079" t="s">
        <v>1402</v>
      </c>
      <c r="E472" s="1080" t="str">
        <f>_xlfn.XLOOKUP(D472,Insumos!$B$1:$B$670,Insumos!$C$1:$C$670)</f>
        <v>M3</v>
      </c>
      <c r="F472" s="1083">
        <v>2.3089999999999999E-2</v>
      </c>
      <c r="G472" s="1081">
        <f>IF(B472="insumo",_xlfn.XLOOKUP($D472,Insumos!$B$1:$B$670,Insumos!$D$1:$D$670),"")</f>
        <v>1350</v>
      </c>
      <c r="H472" s="1081" cm="1">
        <f t="array" ref="H472">_xlfn.IFS(B472="Serviço",SUMIFS(H473:$H$2465,C473:$C$2465,$C472),B472="Insumo",F472*G472,B472="Etapa","")</f>
        <v>31.171499999999998</v>
      </c>
      <c r="I472" s="1082"/>
    </row>
    <row r="473" spans="1:9" hidden="1" outlineLevel="1" x14ac:dyDescent="0.25">
      <c r="A473" s="1079">
        <f t="shared" si="18"/>
        <v>1</v>
      </c>
      <c r="B473" s="1079" t="s">
        <v>471</v>
      </c>
      <c r="C473" s="1079" t="str">
        <f t="shared" si="19"/>
        <v>Fabricação de Fôrma para Vigas, em Chapa de Madeira Compensada Plastificada, E=18mm</v>
      </c>
      <c r="D473" s="1079" t="s">
        <v>1545</v>
      </c>
      <c r="E473" s="1080" t="s">
        <v>17</v>
      </c>
      <c r="F473" s="1079"/>
      <c r="G473" s="1081" t="str">
        <f>IF(B473="insumo",_xlfn.XLOOKUP($D473,Insumos!$B$1:$B$670,Insumos!$D$1:$D$670),"")</f>
        <v/>
      </c>
      <c r="H473" s="1081" cm="1">
        <f t="array" ref="H473">_xlfn.IFS(B473="Serviço",SUMIFS(H474:$H$2465,C474:$C$2465,$C473),B473="Insumo",F473*G473,B473="Etapa","")</f>
        <v>96.647628677685944</v>
      </c>
      <c r="I473" s="1082" t="s">
        <v>872</v>
      </c>
    </row>
    <row r="474" spans="1:9" hidden="1" outlineLevel="2" x14ac:dyDescent="0.25">
      <c r="A474" s="1079">
        <f t="shared" si="18"/>
        <v>33</v>
      </c>
      <c r="B474" s="1079" t="s">
        <v>1362</v>
      </c>
      <c r="C474" s="1079" t="str">
        <f t="shared" si="19"/>
        <v>Fabricação de Fôrma para Vigas, em Chapa de Madeira Compensada Plastificada, E=18mm</v>
      </c>
      <c r="D474" s="1079" t="s">
        <v>1375</v>
      </c>
      <c r="E474" s="1080" t="str">
        <f>_xlfn.XLOOKUP(D474,Insumos!$B$1:$B$670,Insumos!$C$1:$C$670)</f>
        <v>KG</v>
      </c>
      <c r="F474" s="1083">
        <v>0.159</v>
      </c>
      <c r="G474" s="1081">
        <f>IF(B474="insumo",_xlfn.XLOOKUP($D474,Insumos!$B$1:$B$670,Insumos!$D$1:$D$670),"")</f>
        <v>18.13</v>
      </c>
      <c r="H474" s="1081" cm="1">
        <f t="array" ref="H474">_xlfn.IFS(B474="Serviço",SUMIFS(H475:$H$2465,C475:$C$2465,$C474),B474="Insumo",F474*G474,B474="Etapa","")</f>
        <v>2.8826700000000001</v>
      </c>
      <c r="I474" s="1082"/>
    </row>
    <row r="475" spans="1:9" hidden="1" outlineLevel="2" x14ac:dyDescent="0.25">
      <c r="A475" s="1079">
        <f t="shared" si="18"/>
        <v>3</v>
      </c>
      <c r="B475" s="1079" t="s">
        <v>1362</v>
      </c>
      <c r="C475" s="1079" t="str">
        <f t="shared" si="19"/>
        <v>Fabricação de Fôrma para Vigas, em Chapa de Madeira Compensada Plastificada, E=18mm</v>
      </c>
      <c r="D475" s="1079" t="s">
        <v>1544</v>
      </c>
      <c r="E475" s="1080" t="str">
        <f>_xlfn.XLOOKUP(D475,Insumos!$B$1:$B$670,Insumos!$C$1:$C$670)</f>
        <v>M2</v>
      </c>
      <c r="F475" s="1083">
        <v>1.1459999999999999</v>
      </c>
      <c r="G475" s="1081">
        <f>IF(B475="insumo",_xlfn.XLOOKUP($D475,Insumos!$B$1:$B$670,Insumos!$D$1:$D$670),"")</f>
        <v>59.297520661157016</v>
      </c>
      <c r="H475" s="1081" cm="1">
        <f t="array" ref="H475">_xlfn.IFS(B475="Serviço",SUMIFS(H476:$H$2465,C476:$C$2465,$C475),B475="Insumo",F475*G475,B475="Etapa","")</f>
        <v>67.954958677685937</v>
      </c>
      <c r="I475" s="1082"/>
    </row>
    <row r="476" spans="1:9" hidden="1" outlineLevel="2" x14ac:dyDescent="0.25">
      <c r="A476" s="1079">
        <f t="shared" si="18"/>
        <v>21</v>
      </c>
      <c r="B476" s="1079" t="s">
        <v>1362</v>
      </c>
      <c r="C476" s="1079" t="str">
        <f t="shared" si="19"/>
        <v>Fabricação de Fôrma para Vigas, em Chapa de Madeira Compensada Plastificada, E=18mm</v>
      </c>
      <c r="D476" s="1079" t="s">
        <v>1372</v>
      </c>
      <c r="E476" s="1080" t="str">
        <f>_xlfn.XLOOKUP(D476,Insumos!$B$1:$B$670,Insumos!$C$1:$C$670)</f>
        <v>M</v>
      </c>
      <c r="F476" s="1083">
        <v>0.33571428571428574</v>
      </c>
      <c r="G476" s="1081">
        <f>IF(B476="insumo",_xlfn.XLOOKUP($D476,Insumos!$B$1:$B$670,Insumos!$D$1:$D$670),"")</f>
        <v>7</v>
      </c>
      <c r="H476" s="1081" cm="1">
        <f t="array" ref="H476">_xlfn.IFS(B476="Serviço",SUMIFS(H477:$H$2465,C477:$C$2465,$C476),B476="Insumo",F476*G476,B476="Etapa","")</f>
        <v>2.35</v>
      </c>
      <c r="I476" s="1082"/>
    </row>
    <row r="477" spans="1:9" hidden="1" outlineLevel="2" x14ac:dyDescent="0.25">
      <c r="A477" s="1079">
        <f t="shared" si="18"/>
        <v>15</v>
      </c>
      <c r="B477" s="1079" t="s">
        <v>1362</v>
      </c>
      <c r="C477" s="1079" t="str">
        <f t="shared" si="19"/>
        <v>Fabricação de Fôrma para Vigas, em Chapa de Madeira Compensada Plastificada, E=18mm</v>
      </c>
      <c r="D477" s="1079" t="s">
        <v>1402</v>
      </c>
      <c r="E477" s="1080" t="str">
        <f>_xlfn.XLOOKUP(D477,Insumos!$B$1:$B$670,Insumos!$C$1:$C$670)</f>
        <v>M3</v>
      </c>
      <c r="F477" s="1083">
        <v>1.737777777777778E-2</v>
      </c>
      <c r="G477" s="1081">
        <f>IF(B477="insumo",_xlfn.XLOOKUP($D477,Insumos!$B$1:$B$670,Insumos!$D$1:$D$670),"")</f>
        <v>1350</v>
      </c>
      <c r="H477" s="1081" cm="1">
        <f t="array" ref="H477">_xlfn.IFS(B477="Serviço",SUMIFS(H478:$H$2465,C478:$C$2465,$C477),B477="Insumo",F477*G477,B477="Etapa","")</f>
        <v>23.460000000000004</v>
      </c>
      <c r="I477" s="1082"/>
    </row>
    <row r="478" spans="1:9" hidden="1" outlineLevel="1" collapsed="1" x14ac:dyDescent="0.25">
      <c r="A478" s="1079">
        <f t="shared" si="18"/>
        <v>1</v>
      </c>
      <c r="B478" s="1079" t="s">
        <v>471</v>
      </c>
      <c r="C478" s="1079" t="str">
        <f t="shared" si="19"/>
        <v>Fabricação de Fôrma para Lajes, em Chapa de Madeira Compensada Plastificada, E=18mm</v>
      </c>
      <c r="D478" s="1079" t="s">
        <v>1546</v>
      </c>
      <c r="E478" s="1080" t="s">
        <v>17</v>
      </c>
      <c r="F478" s="1079"/>
      <c r="G478" s="1081" t="str">
        <f>IF(B478="insumo",_xlfn.XLOOKUP($D478,Insumos!$B$1:$B$670,Insumos!$D$1:$D$670),"")</f>
        <v/>
      </c>
      <c r="H478" s="1081" cm="1">
        <f t="array" ref="H478">_xlfn.IFS(B478="Serviço",SUMIFS(H479:$H$2465,C479:$C$2465,$C478),B478="Insumo",F478*G478,B478="Etapa","")</f>
        <v>70.837628677685942</v>
      </c>
      <c r="I478" s="1082" t="s">
        <v>872</v>
      </c>
    </row>
    <row r="479" spans="1:9" hidden="1" outlineLevel="2" x14ac:dyDescent="0.25">
      <c r="A479" s="1079">
        <f t="shared" si="18"/>
        <v>33</v>
      </c>
      <c r="B479" s="1079" t="s">
        <v>1362</v>
      </c>
      <c r="C479" s="1079" t="str">
        <f t="shared" si="19"/>
        <v>Fabricação de Fôrma para Lajes, em Chapa de Madeira Compensada Plastificada, E=18mm</v>
      </c>
      <c r="D479" s="1079" t="s">
        <v>1375</v>
      </c>
      <c r="E479" s="1080" t="str">
        <f>_xlfn.XLOOKUP(D479,Insumos!$B$1:$B$670,Insumos!$C$1:$C$670)</f>
        <v>KG</v>
      </c>
      <c r="F479" s="1083">
        <v>0.159</v>
      </c>
      <c r="G479" s="1081">
        <f>IF(B479="insumo",_xlfn.XLOOKUP($D479,Insumos!$B$1:$B$670,Insumos!$D$1:$D$670),"")</f>
        <v>18.13</v>
      </c>
      <c r="H479" s="1081" cm="1">
        <f t="array" ref="H479">_xlfn.IFS(B479="Serviço",SUMIFS(H480:$H$2465,C480:$C$2465,$C479),B479="Insumo",F479*G479,B479="Etapa","")</f>
        <v>2.8826700000000001</v>
      </c>
      <c r="I479" s="1082"/>
    </row>
    <row r="480" spans="1:9" hidden="1" outlineLevel="2" x14ac:dyDescent="0.25">
      <c r="A480" s="1079">
        <f t="shared" si="18"/>
        <v>3</v>
      </c>
      <c r="B480" s="1079" t="s">
        <v>1362</v>
      </c>
      <c r="C480" s="1079" t="str">
        <f t="shared" si="19"/>
        <v>Fabricação de Fôrma para Lajes, em Chapa de Madeira Compensada Plastificada, E=18mm</v>
      </c>
      <c r="D480" s="1079" t="s">
        <v>1544</v>
      </c>
      <c r="E480" s="1080" t="str">
        <f>_xlfn.XLOOKUP(D480,Insumos!$B$1:$B$670,Insumos!$C$1:$C$670)</f>
        <v>M2</v>
      </c>
      <c r="F480" s="1083">
        <v>1.1459999999999999</v>
      </c>
      <c r="G480" s="1081">
        <f>IF(B480="insumo",_xlfn.XLOOKUP($D480,Insumos!$B$1:$B$670,Insumos!$D$1:$D$670),"")</f>
        <v>59.297520661157016</v>
      </c>
      <c r="H480" s="1081" cm="1">
        <f t="array" ref="H480">_xlfn.IFS(B480="Serviço",SUMIFS(H481:$H$2465,C481:$C$2465,$C480),B480="Insumo",F480*G480,B480="Etapa","")</f>
        <v>67.954958677685937</v>
      </c>
      <c r="I480" s="1082"/>
    </row>
    <row r="481" spans="1:9" hidden="1" outlineLevel="1" collapsed="1" x14ac:dyDescent="0.25">
      <c r="A481" s="1079">
        <f t="shared" si="18"/>
        <v>1</v>
      </c>
      <c r="B481" s="1079" t="s">
        <v>471</v>
      </c>
      <c r="C481" s="1079" t="str">
        <f t="shared" si="19"/>
        <v>Fabricação de Fôrma para Escadas, em Chapa de Madeira Compensada Resinada, E=18mm</v>
      </c>
      <c r="D481" s="1079" t="s">
        <v>1547</v>
      </c>
      <c r="E481" s="1080" t="s">
        <v>17</v>
      </c>
      <c r="F481" s="1079"/>
      <c r="G481" s="1081" t="str">
        <f>IF(B481="insumo",_xlfn.XLOOKUP($D481,Insumos!$B$1:$B$670,Insumos!$D$1:$D$670),"")</f>
        <v/>
      </c>
      <c r="H481" s="1081" cm="1">
        <f t="array" ref="H481">_xlfn.IFS(B481="Serviço",SUMIFS(H482:$H$2465,C482:$C$2465,$C481),B481="Insumo",F481*G481,B481="Etapa","")</f>
        <v>115.05469714285715</v>
      </c>
      <c r="I481" s="1082" t="s">
        <v>872</v>
      </c>
    </row>
    <row r="482" spans="1:9" hidden="1" outlineLevel="2" x14ac:dyDescent="0.25">
      <c r="A482" s="1079">
        <f t="shared" si="18"/>
        <v>2</v>
      </c>
      <c r="B482" s="1079" t="s">
        <v>1362</v>
      </c>
      <c r="C482" s="1079" t="str">
        <f t="shared" si="19"/>
        <v>Fabricação de Fôrma para Escadas, em Chapa de Madeira Compensada Resinada, E=18mm</v>
      </c>
      <c r="D482" s="1079" t="s">
        <v>1548</v>
      </c>
      <c r="E482" s="1080" t="str">
        <f>_xlfn.XLOOKUP(D482,Insumos!$B$1:$B$670,Insumos!$C$1:$C$670)</f>
        <v>KG</v>
      </c>
      <c r="F482" s="1083">
        <v>7.0999999999999994E-2</v>
      </c>
      <c r="G482" s="1081">
        <f>IF(B482="insumo",_xlfn.XLOOKUP($D482,Insumos!$B$1:$B$670,Insumos!$D$1:$D$670),"")</f>
        <v>15.85</v>
      </c>
      <c r="H482" s="1081" cm="1">
        <f t="array" ref="H482">_xlfn.IFS(B482="Serviço",SUMIFS(H483:$H$2465,C483:$C$2465,$C482),B482="Insumo",F482*G482,B482="Etapa","")</f>
        <v>1.1253499999999999</v>
      </c>
      <c r="I482" s="1082"/>
    </row>
    <row r="483" spans="1:9" hidden="1" outlineLevel="2" x14ac:dyDescent="0.25">
      <c r="A483" s="1079">
        <f t="shared" si="18"/>
        <v>2</v>
      </c>
      <c r="B483" s="1079" t="s">
        <v>1362</v>
      </c>
      <c r="C483" s="1079" t="str">
        <f t="shared" si="19"/>
        <v>Fabricação de Fôrma para Escadas, em Chapa de Madeira Compensada Resinada, E=18mm</v>
      </c>
      <c r="D483" s="1079" t="s">
        <v>1549</v>
      </c>
      <c r="E483" s="1080" t="str">
        <f>_xlfn.XLOOKUP(D483,Insumos!$B$1:$B$670,Insumos!$C$1:$C$670)</f>
        <v>KG</v>
      </c>
      <c r="F483" s="1083">
        <v>3.1E-2</v>
      </c>
      <c r="G483" s="1081">
        <f>IF(B483="insumo",_xlfn.XLOOKUP($D483,Insumos!$B$1:$B$670,Insumos!$D$1:$D$670),"")</f>
        <v>17.63</v>
      </c>
      <c r="H483" s="1081" cm="1">
        <f t="array" ref="H483">_xlfn.IFS(B483="Serviço",SUMIFS(H484:$H$2465,C484:$C$2465,$C483),B483="Insumo",F483*G483,B483="Etapa","")</f>
        <v>0.54652999999999996</v>
      </c>
      <c r="I483" s="1082"/>
    </row>
    <row r="484" spans="1:9" hidden="1" outlineLevel="2" x14ac:dyDescent="0.25">
      <c r="A484" s="1079">
        <f t="shared" si="18"/>
        <v>4</v>
      </c>
      <c r="B484" s="1079" t="s">
        <v>1362</v>
      </c>
      <c r="C484" s="1079" t="str">
        <f t="shared" si="19"/>
        <v>Fabricação de Fôrma para Escadas, em Chapa de Madeira Compensada Resinada, E=18mm</v>
      </c>
      <c r="D484" s="1079" t="s">
        <v>1550</v>
      </c>
      <c r="E484" s="1080" t="str">
        <f>_xlfn.XLOOKUP(D484,Insumos!$B$1:$B$670,Insumos!$C$1:$C$670)</f>
        <v>M2</v>
      </c>
      <c r="F484" s="1083">
        <v>1.3360000000000001</v>
      </c>
      <c r="G484" s="1081">
        <f>IF(B484="insumo",_xlfn.XLOOKUP($D484,Insumos!$B$1:$B$670,Insumos!$D$1:$D$670),"")</f>
        <v>46.002857142857138</v>
      </c>
      <c r="H484" s="1081" cm="1">
        <f t="array" ref="H484">_xlfn.IFS(B484="Serviço",SUMIFS(H485:$H$2465,C485:$C$2465,$C484),B484="Insumo",F484*G484,B484="Etapa","")</f>
        <v>61.45981714285714</v>
      </c>
      <c r="I484" s="1082"/>
    </row>
    <row r="485" spans="1:9" hidden="1" outlineLevel="2" x14ac:dyDescent="0.25">
      <c r="A485" s="1079">
        <f t="shared" si="18"/>
        <v>21</v>
      </c>
      <c r="B485" s="1079" t="s">
        <v>1362</v>
      </c>
      <c r="C485" s="1079" t="str">
        <f t="shared" si="19"/>
        <v>Fabricação de Fôrma para Escadas, em Chapa de Madeira Compensada Resinada, E=18mm</v>
      </c>
      <c r="D485" s="1079" t="s">
        <v>1372</v>
      </c>
      <c r="E485" s="1080" t="str">
        <f>_xlfn.XLOOKUP(D485,Insumos!$B$1:$B$670,Insumos!$C$1:$C$670)</f>
        <v>M</v>
      </c>
      <c r="F485" s="1083">
        <v>6.7039999999999997</v>
      </c>
      <c r="G485" s="1081">
        <f>IF(B485="insumo",_xlfn.XLOOKUP($D485,Insumos!$B$1:$B$670,Insumos!$D$1:$D$670),"")</f>
        <v>7</v>
      </c>
      <c r="H485" s="1081" cm="1">
        <f t="array" ref="H485">_xlfn.IFS(B485="Serviço",SUMIFS(H486:$H$2465,C486:$C$2465,$C485),B485="Insumo",F485*G485,B485="Etapa","")</f>
        <v>46.927999999999997</v>
      </c>
      <c r="I485" s="1082"/>
    </row>
    <row r="486" spans="1:9" hidden="1" outlineLevel="2" x14ac:dyDescent="0.25">
      <c r="A486" s="1079">
        <f t="shared" si="18"/>
        <v>15</v>
      </c>
      <c r="B486" s="1079" t="s">
        <v>1362</v>
      </c>
      <c r="C486" s="1079" t="str">
        <f t="shared" si="19"/>
        <v>Fabricação de Fôrma para Escadas, em Chapa de Madeira Compensada Resinada, E=18mm</v>
      </c>
      <c r="D486" s="1079" t="s">
        <v>1402</v>
      </c>
      <c r="E486" s="1080" t="str">
        <f>_xlfn.XLOOKUP(D486,Insumos!$B$1:$B$670,Insumos!$C$1:$C$670)</f>
        <v>M3</v>
      </c>
      <c r="F486" s="1083">
        <v>3.7000000000000002E-3</v>
      </c>
      <c r="G486" s="1081">
        <f>IF(B486="insumo",_xlfn.XLOOKUP($D486,Insumos!$B$1:$B$670,Insumos!$D$1:$D$670),"")</f>
        <v>1350</v>
      </c>
      <c r="H486" s="1081" cm="1">
        <f t="array" ref="H486">_xlfn.IFS(B486="Serviço",SUMIFS(H487:$H$2465,C487:$C$2465,$C486),B486="Insumo",F486*G486,B486="Etapa","")</f>
        <v>4.9950000000000001</v>
      </c>
      <c r="I486" s="1082"/>
    </row>
    <row r="487" spans="1:9" hidden="1" outlineLevel="1" collapsed="1" x14ac:dyDescent="0.25">
      <c r="A487" s="1079">
        <f t="shared" si="18"/>
        <v>1</v>
      </c>
      <c r="B487" s="1079" t="s">
        <v>471</v>
      </c>
      <c r="C487" s="1079" t="str">
        <f t="shared" si="19"/>
        <v>Fabricação de Fôrma para Pilares, em Chapa de Madeira Compensada Resinada, E=18mm</v>
      </c>
      <c r="D487" s="1079" t="s">
        <v>1551</v>
      </c>
      <c r="E487" s="1080" t="s">
        <v>17</v>
      </c>
      <c r="F487" s="1079"/>
      <c r="G487" s="1081" t="str">
        <f>IF(B487="insumo",_xlfn.XLOOKUP($D487,Insumos!$B$1:$B$670,Insumos!$D$1:$D$670),"")</f>
        <v/>
      </c>
      <c r="H487" s="1081" cm="1">
        <f t="array" ref="H487">_xlfn.IFS(B487="Serviço",SUMIFS(H488:$H$2465,C488:$C$2465,$C487),B487="Insumo",F487*G487,B487="Etapa","")</f>
        <v>99.392357142857136</v>
      </c>
      <c r="I487" s="1082" t="s">
        <v>872</v>
      </c>
    </row>
    <row r="488" spans="1:9" hidden="1" outlineLevel="2" x14ac:dyDescent="0.25">
      <c r="A488" s="1079">
        <f t="shared" si="18"/>
        <v>33</v>
      </c>
      <c r="B488" s="1079" t="s">
        <v>1362</v>
      </c>
      <c r="C488" s="1079" t="str">
        <f t="shared" si="19"/>
        <v>Fabricação de Fôrma para Pilares, em Chapa de Madeira Compensada Resinada, E=18mm</v>
      </c>
      <c r="D488" s="1079" t="s">
        <v>1375</v>
      </c>
      <c r="E488" s="1080" t="str">
        <f>_xlfn.XLOOKUP(D488,Insumos!$B$1:$B$670,Insumos!$C$1:$C$670)</f>
        <v>KG</v>
      </c>
      <c r="F488" s="1083">
        <v>0.20799999999999999</v>
      </c>
      <c r="G488" s="1081">
        <f>IF(B488="insumo",_xlfn.XLOOKUP($D488,Insumos!$B$1:$B$670,Insumos!$D$1:$D$670),"")</f>
        <v>18.13</v>
      </c>
      <c r="H488" s="1081" cm="1">
        <f t="array" ref="H488">_xlfn.IFS(B488="Serviço",SUMIFS(H489:$H$2465,C489:$C$2465,$C488),B488="Insumo",F488*G488,B488="Etapa","")</f>
        <v>3.7710399999999997</v>
      </c>
      <c r="I488" s="1082"/>
    </row>
    <row r="489" spans="1:9" hidden="1" outlineLevel="2" x14ac:dyDescent="0.25">
      <c r="A489" s="1079">
        <f t="shared" si="18"/>
        <v>4</v>
      </c>
      <c r="B489" s="1079" t="s">
        <v>1362</v>
      </c>
      <c r="C489" s="1079" t="str">
        <f t="shared" si="19"/>
        <v>Fabricação de Fôrma para Pilares, em Chapa de Madeira Compensada Resinada, E=18mm</v>
      </c>
      <c r="D489" s="1079" t="s">
        <v>1550</v>
      </c>
      <c r="E489" s="1080" t="str">
        <f>_xlfn.XLOOKUP(D489,Insumos!$B$1:$B$670,Insumos!$C$1:$C$670)</f>
        <v>M2</v>
      </c>
      <c r="F489" s="1083">
        <v>1.3360000000000001</v>
      </c>
      <c r="G489" s="1081">
        <f>IF(B489="insumo",_xlfn.XLOOKUP($D489,Insumos!$B$1:$B$670,Insumos!$D$1:$D$670),"")</f>
        <v>46.002857142857138</v>
      </c>
      <c r="H489" s="1081" cm="1">
        <f t="array" ref="H489">_xlfn.IFS(B489="Serviço",SUMIFS(H490:$H$2465,C490:$C$2465,$C489),B489="Insumo",F489*G489,B489="Etapa","")</f>
        <v>61.45981714285714</v>
      </c>
      <c r="I489" s="1082"/>
    </row>
    <row r="490" spans="1:9" hidden="1" outlineLevel="2" x14ac:dyDescent="0.25">
      <c r="A490" s="1079">
        <f t="shared" si="18"/>
        <v>21</v>
      </c>
      <c r="B490" s="1079" t="s">
        <v>1362</v>
      </c>
      <c r="C490" s="1079" t="str">
        <f t="shared" si="19"/>
        <v>Fabricação de Fôrma para Pilares, em Chapa de Madeira Compensada Resinada, E=18mm</v>
      </c>
      <c r="D490" s="1079" t="s">
        <v>1372</v>
      </c>
      <c r="E490" s="1080" t="str">
        <f>_xlfn.XLOOKUP(D490,Insumos!$B$1:$B$670,Insumos!$C$1:$C$670)</f>
        <v>M</v>
      </c>
      <c r="F490" s="1083">
        <v>0.42714285714285716</v>
      </c>
      <c r="G490" s="1081">
        <f>IF(B490="insumo",_xlfn.XLOOKUP($D490,Insumos!$B$1:$B$670,Insumos!$D$1:$D$670),"")</f>
        <v>7</v>
      </c>
      <c r="H490" s="1081" cm="1">
        <f t="array" ref="H490">_xlfn.IFS(B490="Serviço",SUMIFS(H491:$H$2465,C491:$C$2465,$C490),B490="Insumo",F490*G490,B490="Etapa","")</f>
        <v>2.99</v>
      </c>
      <c r="I490" s="1082"/>
    </row>
    <row r="491" spans="1:9" hidden="1" outlineLevel="2" x14ac:dyDescent="0.25">
      <c r="A491" s="1079">
        <f t="shared" si="18"/>
        <v>15</v>
      </c>
      <c r="B491" s="1079" t="s">
        <v>1362</v>
      </c>
      <c r="C491" s="1079" t="str">
        <f t="shared" si="19"/>
        <v>Fabricação de Fôrma para Pilares, em Chapa de Madeira Compensada Resinada, E=18mm</v>
      </c>
      <c r="D491" s="1079" t="s">
        <v>1402</v>
      </c>
      <c r="E491" s="1080" t="str">
        <f>_xlfn.XLOOKUP(D491,Insumos!$B$1:$B$670,Insumos!$C$1:$C$670)</f>
        <v>M3</v>
      </c>
      <c r="F491" s="1083">
        <v>2.3089999999999999E-2</v>
      </c>
      <c r="G491" s="1081">
        <f>IF(B491="insumo",_xlfn.XLOOKUP($D491,Insumos!$B$1:$B$670,Insumos!$D$1:$D$670),"")</f>
        <v>1350</v>
      </c>
      <c r="H491" s="1081" cm="1">
        <f t="array" ref="H491">_xlfn.IFS(B491="Serviço",SUMIFS(H492:$H$2465,C492:$C$2465,$C491),B491="Insumo",F491*G491,B491="Etapa","")</f>
        <v>31.171499999999998</v>
      </c>
      <c r="I491" s="1082"/>
    </row>
    <row r="492" spans="1:9" hidden="1" outlineLevel="1" collapsed="1" x14ac:dyDescent="0.25">
      <c r="A492" s="1079">
        <f t="shared" si="18"/>
        <v>1</v>
      </c>
      <c r="B492" s="1079" t="s">
        <v>471</v>
      </c>
      <c r="C492" s="1079" t="str">
        <f t="shared" si="19"/>
        <v>Fabricação de Fôrma para Vigas, em Chapa de Madeira Compensada Resinada, E=18mm</v>
      </c>
      <c r="D492" s="1079" t="s">
        <v>1552</v>
      </c>
      <c r="E492" s="1080" t="s">
        <v>17</v>
      </c>
      <c r="F492" s="1079"/>
      <c r="G492" s="1081" t="str">
        <f>IF(B492="insumo",_xlfn.XLOOKUP($D492,Insumos!$B$1:$B$670,Insumos!$D$1:$D$670),"")</f>
        <v/>
      </c>
      <c r="H492" s="1081" cm="1">
        <f t="array" ref="H492">_xlfn.IFS(B492="Serviço",SUMIFS(H493:$H$2465,C493:$C$2465,$C492),B492="Insumo",F492*G492,B492="Etapa","")</f>
        <v>81.411944285714284</v>
      </c>
      <c r="I492" s="1082" t="s">
        <v>872</v>
      </c>
    </row>
    <row r="493" spans="1:9" hidden="1" outlineLevel="2" x14ac:dyDescent="0.25">
      <c r="A493" s="1079">
        <f t="shared" si="18"/>
        <v>33</v>
      </c>
      <c r="B493" s="1079" t="s">
        <v>1362</v>
      </c>
      <c r="C493" s="1079" t="str">
        <f t="shared" si="19"/>
        <v>Fabricação de Fôrma para Vigas, em Chapa de Madeira Compensada Resinada, E=18mm</v>
      </c>
      <c r="D493" s="1079" t="s">
        <v>1375</v>
      </c>
      <c r="E493" s="1080" t="str">
        <f>_xlfn.XLOOKUP(D493,Insumos!$B$1:$B$670,Insumos!$C$1:$C$670)</f>
        <v>KG</v>
      </c>
      <c r="F493" s="1083">
        <v>0.159</v>
      </c>
      <c r="G493" s="1081">
        <f>IF(B493="insumo",_xlfn.XLOOKUP($D493,Insumos!$B$1:$B$670,Insumos!$D$1:$D$670),"")</f>
        <v>18.13</v>
      </c>
      <c r="H493" s="1081" cm="1">
        <f t="array" ref="H493">_xlfn.IFS(B493="Serviço",SUMIFS(H494:$H$2465,C494:$C$2465,$C493),B493="Insumo",F493*G493,B493="Etapa","")</f>
        <v>2.8826700000000001</v>
      </c>
      <c r="I493" s="1082"/>
    </row>
    <row r="494" spans="1:9" hidden="1" outlineLevel="2" x14ac:dyDescent="0.25">
      <c r="A494" s="1079">
        <f t="shared" si="18"/>
        <v>4</v>
      </c>
      <c r="B494" s="1079" t="s">
        <v>1362</v>
      </c>
      <c r="C494" s="1079" t="str">
        <f t="shared" si="19"/>
        <v>Fabricação de Fôrma para Vigas, em Chapa de Madeira Compensada Resinada, E=18mm</v>
      </c>
      <c r="D494" s="1079" t="s">
        <v>1550</v>
      </c>
      <c r="E494" s="1080" t="str">
        <f>_xlfn.XLOOKUP(D494,Insumos!$B$1:$B$670,Insumos!$C$1:$C$670)</f>
        <v>M2</v>
      </c>
      <c r="F494" s="1083">
        <v>1.1459999999999999</v>
      </c>
      <c r="G494" s="1081">
        <f>IF(B494="insumo",_xlfn.XLOOKUP($D494,Insumos!$B$1:$B$670,Insumos!$D$1:$D$670),"")</f>
        <v>46.002857142857138</v>
      </c>
      <c r="H494" s="1081" cm="1">
        <f t="array" ref="H494">_xlfn.IFS(B494="Serviço",SUMIFS(H495:$H$2465,C495:$C$2465,$C494),B494="Insumo",F494*G494,B494="Etapa","")</f>
        <v>52.719274285714278</v>
      </c>
      <c r="I494" s="1082"/>
    </row>
    <row r="495" spans="1:9" hidden="1" outlineLevel="2" x14ac:dyDescent="0.25">
      <c r="A495" s="1079">
        <f t="shared" si="18"/>
        <v>21</v>
      </c>
      <c r="B495" s="1079" t="s">
        <v>1362</v>
      </c>
      <c r="C495" s="1079" t="str">
        <f t="shared" si="19"/>
        <v>Fabricação de Fôrma para Vigas, em Chapa de Madeira Compensada Resinada, E=18mm</v>
      </c>
      <c r="D495" s="1079" t="s">
        <v>1372</v>
      </c>
      <c r="E495" s="1080" t="str">
        <f>_xlfn.XLOOKUP(D495,Insumos!$B$1:$B$670,Insumos!$C$1:$C$670)</f>
        <v>M</v>
      </c>
      <c r="F495" s="1083">
        <v>0.33571428571428574</v>
      </c>
      <c r="G495" s="1081">
        <f>IF(B495="insumo",_xlfn.XLOOKUP($D495,Insumos!$B$1:$B$670,Insumos!$D$1:$D$670),"")</f>
        <v>7</v>
      </c>
      <c r="H495" s="1081" cm="1">
        <f t="array" ref="H495">_xlfn.IFS(B495="Serviço",SUMIFS(H496:$H$2465,C496:$C$2465,$C495),B495="Insumo",F495*G495,B495="Etapa","")</f>
        <v>2.35</v>
      </c>
      <c r="I495" s="1082"/>
    </row>
    <row r="496" spans="1:9" hidden="1" outlineLevel="2" x14ac:dyDescent="0.25">
      <c r="A496" s="1079">
        <f t="shared" si="18"/>
        <v>15</v>
      </c>
      <c r="B496" s="1079" t="s">
        <v>1362</v>
      </c>
      <c r="C496" s="1079" t="str">
        <f t="shared" si="19"/>
        <v>Fabricação de Fôrma para Vigas, em Chapa de Madeira Compensada Resinada, E=18mm</v>
      </c>
      <c r="D496" s="1079" t="s">
        <v>1402</v>
      </c>
      <c r="E496" s="1080" t="str">
        <f>_xlfn.XLOOKUP(D496,Insumos!$B$1:$B$670,Insumos!$C$1:$C$670)</f>
        <v>M3</v>
      </c>
      <c r="F496" s="1083">
        <v>1.737777777777778E-2</v>
      </c>
      <c r="G496" s="1081">
        <f>IF(B496="insumo",_xlfn.XLOOKUP($D496,Insumos!$B$1:$B$670,Insumos!$D$1:$D$670),"")</f>
        <v>1350</v>
      </c>
      <c r="H496" s="1081" cm="1">
        <f t="array" ref="H496">_xlfn.IFS(B496="Serviço",SUMIFS(H497:$H$2465,C497:$C$2465,$C496),B496="Insumo",F496*G496,B496="Etapa","")</f>
        <v>23.460000000000004</v>
      </c>
      <c r="I496" s="1082"/>
    </row>
    <row r="497" spans="1:9" hidden="1" outlineLevel="1" collapsed="1" x14ac:dyDescent="0.25">
      <c r="A497" s="1079">
        <f t="shared" si="18"/>
        <v>1</v>
      </c>
      <c r="B497" s="1079" t="s">
        <v>471</v>
      </c>
      <c r="C497" s="1079" t="str">
        <f t="shared" si="19"/>
        <v>Fabricação de Fôrma para Lajes, em Chapa de Madeira Compensada Resinada, E=18mm</v>
      </c>
      <c r="D497" s="1079" t="s">
        <v>1553</v>
      </c>
      <c r="E497" s="1080" t="s">
        <v>17</v>
      </c>
      <c r="F497" s="1079"/>
      <c r="G497" s="1081" t="str">
        <f>IF(B497="insumo",_xlfn.XLOOKUP($D497,Insumos!$B$1:$B$670,Insumos!$D$1:$D$670),"")</f>
        <v/>
      </c>
      <c r="H497" s="1081" cm="1">
        <f t="array" ref="H497">_xlfn.IFS(B497="Serviço",SUMIFS(H498:$H$2465,C498:$C$2465,$C497),B497="Insumo",F497*G497,B497="Etapa","")</f>
        <v>55.601944285714275</v>
      </c>
      <c r="I497" s="1082" t="s">
        <v>872</v>
      </c>
    </row>
    <row r="498" spans="1:9" hidden="1" outlineLevel="2" x14ac:dyDescent="0.25">
      <c r="A498" s="1079">
        <f t="shared" si="18"/>
        <v>33</v>
      </c>
      <c r="B498" s="1079" t="s">
        <v>1362</v>
      </c>
      <c r="C498" s="1079" t="str">
        <f t="shared" si="19"/>
        <v>Fabricação de Fôrma para Lajes, em Chapa de Madeira Compensada Resinada, E=18mm</v>
      </c>
      <c r="D498" s="1079" t="s">
        <v>1375</v>
      </c>
      <c r="E498" s="1080" t="str">
        <f>_xlfn.XLOOKUP(D498,Insumos!$B$1:$B$670,Insumos!$C$1:$C$670)</f>
        <v>KG</v>
      </c>
      <c r="F498" s="1083">
        <v>0.159</v>
      </c>
      <c r="G498" s="1081">
        <f>IF(B498="insumo",_xlfn.XLOOKUP($D498,Insumos!$B$1:$B$670,Insumos!$D$1:$D$670),"")</f>
        <v>18.13</v>
      </c>
      <c r="H498" s="1081" cm="1">
        <f t="array" ref="H498">_xlfn.IFS(B498="Serviço",SUMIFS(H499:$H$2465,C499:$C$2465,$C498),B498="Insumo",F498*G498,B498="Etapa","")</f>
        <v>2.8826700000000001</v>
      </c>
      <c r="I498" s="1082"/>
    </row>
    <row r="499" spans="1:9" hidden="1" outlineLevel="2" x14ac:dyDescent="0.25">
      <c r="A499" s="1079">
        <f t="shared" si="18"/>
        <v>4</v>
      </c>
      <c r="B499" s="1079" t="s">
        <v>1362</v>
      </c>
      <c r="C499" s="1079" t="str">
        <f t="shared" si="19"/>
        <v>Fabricação de Fôrma para Lajes, em Chapa de Madeira Compensada Resinada, E=18mm</v>
      </c>
      <c r="D499" s="1079" t="s">
        <v>1550</v>
      </c>
      <c r="E499" s="1080" t="str">
        <f>_xlfn.XLOOKUP(D499,Insumos!$B$1:$B$670,Insumos!$C$1:$C$670)</f>
        <v>M2</v>
      </c>
      <c r="F499" s="1083">
        <v>1.1459999999999999</v>
      </c>
      <c r="G499" s="1081">
        <f>IF(B499="insumo",_xlfn.XLOOKUP($D499,Insumos!$B$1:$B$670,Insumos!$D$1:$D$670),"")</f>
        <v>46.002857142857138</v>
      </c>
      <c r="H499" s="1081" cm="1">
        <f t="array" ref="H499">_xlfn.IFS(B499="Serviço",SUMIFS(H500:$H$2465,C500:$C$2465,$C499),B499="Insumo",F499*G499,B499="Etapa","")</f>
        <v>52.719274285714278</v>
      </c>
      <c r="I499" s="1082"/>
    </row>
    <row r="500" spans="1:9" hidden="1" outlineLevel="1" x14ac:dyDescent="0.25">
      <c r="A500" s="1079">
        <f t="shared" si="18"/>
        <v>1</v>
      </c>
      <c r="B500" s="1079" t="s">
        <v>471</v>
      </c>
      <c r="C500" s="1079" t="str">
        <f t="shared" si="19"/>
        <v>Montagem e Desmontagem de Fôrma de Pilares</v>
      </c>
      <c r="D500" s="1079" t="s">
        <v>1554</v>
      </c>
      <c r="E500" s="1080" t="s">
        <v>17</v>
      </c>
      <c r="F500" s="1079"/>
      <c r="G500" s="1081" t="str">
        <f>IF(B500="insumo",_xlfn.XLOOKUP($D500,Insumos!$B$1:$B$670,Insumos!$D$1:$D$670),"")</f>
        <v/>
      </c>
      <c r="H500" s="1081" cm="1">
        <f t="array" ref="H500">_xlfn.IFS(B500="Serviço",SUMIFS(H501:$H$2465,C501:$C$2465,$C500),B500="Insumo",F500*G500,B500="Etapa","")</f>
        <v>0.69165999999999994</v>
      </c>
      <c r="I500" s="1082" t="s">
        <v>872</v>
      </c>
    </row>
    <row r="501" spans="1:9" hidden="1" outlineLevel="2" x14ac:dyDescent="0.25">
      <c r="A501" s="1079">
        <f t="shared" si="18"/>
        <v>33</v>
      </c>
      <c r="B501" s="1079" t="s">
        <v>1362</v>
      </c>
      <c r="C501" s="1079" t="str">
        <f t="shared" si="19"/>
        <v>Montagem e Desmontagem de Fôrma de Pilares</v>
      </c>
      <c r="D501" s="1079" t="s">
        <v>1375</v>
      </c>
      <c r="E501" s="1080" t="str">
        <f>_xlfn.XLOOKUP(D501,Insumos!$B$1:$B$670,Insumos!$C$1:$C$670)</f>
        <v>KG</v>
      </c>
      <c r="F501" s="1083">
        <v>2.7E-2</v>
      </c>
      <c r="G501" s="1081">
        <f>IF(B501="insumo",_xlfn.XLOOKUP($D501,Insumos!$B$1:$B$670,Insumos!$D$1:$D$670),"")</f>
        <v>18.13</v>
      </c>
      <c r="H501" s="1081" cm="1">
        <f t="array" ref="H501">_xlfn.IFS(B501="Serviço",SUMIFS(H502:$H$2465,C502:$C$2465,$C501),B501="Insumo",F501*G501,B501="Etapa","")</f>
        <v>0.48950999999999995</v>
      </c>
      <c r="I501" s="1082"/>
    </row>
    <row r="502" spans="1:9" hidden="1" outlineLevel="2" x14ac:dyDescent="0.25">
      <c r="A502" s="1079">
        <f t="shared" si="18"/>
        <v>9</v>
      </c>
      <c r="B502" s="1079" t="s">
        <v>1362</v>
      </c>
      <c r="C502" s="1079" t="str">
        <f t="shared" si="19"/>
        <v>Montagem e Desmontagem de Fôrma de Pilares</v>
      </c>
      <c r="D502" s="1079" t="s">
        <v>1507</v>
      </c>
      <c r="E502" s="1080" t="str">
        <f>_xlfn.XLOOKUP(D502,Insumos!$B$1:$B$670,Insumos!$C$1:$C$670)</f>
        <v>L</v>
      </c>
      <c r="F502" s="1083">
        <v>1.2999999999999999E-2</v>
      </c>
      <c r="G502" s="1081">
        <f>IF(B502="insumo",_xlfn.XLOOKUP($D502,Insumos!$B$1:$B$670,Insumos!$D$1:$D$670),"")</f>
        <v>15.55</v>
      </c>
      <c r="H502" s="1081" cm="1">
        <f t="array" ref="H502">_xlfn.IFS(B502="Serviço",SUMIFS(H503:$H$2465,C503:$C$2465,$C502),B502="Insumo",F502*G502,B502="Etapa","")</f>
        <v>0.20215</v>
      </c>
      <c r="I502" s="1082"/>
    </row>
    <row r="503" spans="1:9" ht="16.5" hidden="1" customHeight="1" outlineLevel="1" x14ac:dyDescent="0.25">
      <c r="A503" s="1079">
        <f t="shared" si="18"/>
        <v>1</v>
      </c>
      <c r="B503" s="1079" t="s">
        <v>471</v>
      </c>
      <c r="C503" s="1079" t="str">
        <f t="shared" si="19"/>
        <v>Montagem e Desmontagem de Fôrma de Vigas</v>
      </c>
      <c r="D503" s="1079" t="s">
        <v>1555</v>
      </c>
      <c r="E503" s="1080" t="s">
        <v>17</v>
      </c>
      <c r="F503" s="1079"/>
      <c r="G503" s="1081" t="str">
        <f>IF(B503="insumo",_xlfn.XLOOKUP($D503,Insumos!$B$1:$B$670,Insumos!$D$1:$D$670),"")</f>
        <v/>
      </c>
      <c r="H503" s="1081" cm="1">
        <f t="array" ref="H503">_xlfn.IFS(B503="Serviço",SUMIFS(H504:$H$2465,C504:$C$2465,$C503),B503="Insumo",F503*G503,B503="Etapa","")</f>
        <v>4.6844188000000004</v>
      </c>
      <c r="I503" s="1082" t="s">
        <v>872</v>
      </c>
    </row>
    <row r="504" spans="1:9" hidden="1" outlineLevel="2" x14ac:dyDescent="0.25">
      <c r="A504" s="1079">
        <f t="shared" si="18"/>
        <v>33</v>
      </c>
      <c r="B504" s="1079" t="s">
        <v>1362</v>
      </c>
      <c r="C504" s="1079" t="str">
        <f t="shared" si="19"/>
        <v>Montagem e Desmontagem de Fôrma de Vigas</v>
      </c>
      <c r="D504" s="1079" t="s">
        <v>1375</v>
      </c>
      <c r="E504" s="1080" t="str">
        <f>_xlfn.XLOOKUP(D504,Insumos!$B$1:$B$670,Insumos!$C$1:$C$670)</f>
        <v>KG</v>
      </c>
      <c r="F504" s="1083">
        <v>6.6000000000000003E-2</v>
      </c>
      <c r="G504" s="1081">
        <f>IF(B504="insumo",_xlfn.XLOOKUP($D504,Insumos!$B$1:$B$670,Insumos!$D$1:$D$670),"")</f>
        <v>18.13</v>
      </c>
      <c r="H504" s="1081" cm="1">
        <f t="array" ref="H504">_xlfn.IFS(B504="Serviço",SUMIFS(H505:$H$2465,C505:$C$2465,$C504),B504="Insumo",F504*G504,B504="Etapa","")</f>
        <v>1.19658</v>
      </c>
      <c r="I504" s="1082"/>
    </row>
    <row r="505" spans="1:9" hidden="1" outlineLevel="2" x14ac:dyDescent="0.25">
      <c r="A505" s="1079">
        <f t="shared" si="18"/>
        <v>9</v>
      </c>
      <c r="B505" s="1079" t="s">
        <v>1362</v>
      </c>
      <c r="C505" s="1079" t="str">
        <f t="shared" si="19"/>
        <v>Montagem e Desmontagem de Fôrma de Vigas</v>
      </c>
      <c r="D505" s="1079" t="s">
        <v>1507</v>
      </c>
      <c r="E505" s="1080" t="str">
        <f>_xlfn.XLOOKUP(D505,Insumos!$B$1:$B$670,Insumos!$C$1:$C$670)</f>
        <v>L</v>
      </c>
      <c r="F505" s="1083">
        <v>1.2999999999999999E-2</v>
      </c>
      <c r="G505" s="1081">
        <f>IF(B505="insumo",_xlfn.XLOOKUP($D505,Insumos!$B$1:$B$670,Insumos!$D$1:$D$670),"")</f>
        <v>15.55</v>
      </c>
      <c r="H505" s="1081" cm="1">
        <f t="array" ref="H505">_xlfn.IFS(B505="Serviço",SUMIFS(H506:$H$2465,C506:$C$2465,$C505),B505="Insumo",F505*G505,B505="Etapa","")</f>
        <v>0.20215</v>
      </c>
      <c r="I505" s="1082"/>
    </row>
    <row r="506" spans="1:9" hidden="1" outlineLevel="2" x14ac:dyDescent="0.25">
      <c r="A506" s="1079">
        <f t="shared" si="18"/>
        <v>21</v>
      </c>
      <c r="B506" s="1079" t="s">
        <v>1362</v>
      </c>
      <c r="C506" s="1079" t="str">
        <f t="shared" si="19"/>
        <v>Montagem e Desmontagem de Fôrma de Vigas</v>
      </c>
      <c r="D506" s="1079" t="s">
        <v>1372</v>
      </c>
      <c r="E506" s="1080" t="str">
        <f>_xlfn.XLOOKUP(D506,Insumos!$B$1:$B$670,Insumos!$C$1:$C$670)</f>
        <v>M</v>
      </c>
      <c r="F506" s="1083">
        <v>0.2857142857142857</v>
      </c>
      <c r="G506" s="1081">
        <f>IF(B506="insumo",_xlfn.XLOOKUP($D506,Insumos!$B$1:$B$670,Insumos!$D$1:$D$670),"")</f>
        <v>7</v>
      </c>
      <c r="H506" s="1081" cm="1">
        <f t="array" ref="H506">_xlfn.IFS(B506="Serviço",SUMIFS(H507:$H$2465,C507:$C$2465,$C506),B506="Insumo",F506*G506,B506="Etapa","")</f>
        <v>2</v>
      </c>
      <c r="I506" s="1082"/>
    </row>
    <row r="507" spans="1:9" hidden="1" outlineLevel="2" x14ac:dyDescent="0.25">
      <c r="A507" s="1079">
        <f t="shared" si="18"/>
        <v>5</v>
      </c>
      <c r="B507" s="1079" t="s">
        <v>1362</v>
      </c>
      <c r="C507" s="1079" t="str">
        <f t="shared" si="19"/>
        <v>Montagem e Desmontagem de Fôrma de Vigas</v>
      </c>
      <c r="D507" s="1079" t="s">
        <v>1508</v>
      </c>
      <c r="E507" s="1080" t="str">
        <f>_xlfn.XLOOKUP(D507,Insumos!$B$1:$B$670,Insumos!$C$1:$C$670)</f>
        <v>M</v>
      </c>
      <c r="F507" s="1083">
        <v>3.0280000000000001E-2</v>
      </c>
      <c r="G507" s="1081">
        <f>IF(B507="insumo",_xlfn.XLOOKUP($D507,Insumos!$B$1:$B$670,Insumos!$D$1:$D$670),"")</f>
        <v>42.46</v>
      </c>
      <c r="H507" s="1081" cm="1">
        <f t="array" ref="H507">_xlfn.IFS(B507="Serviço",SUMIFS(H508:$H$2465,C508:$C$2465,$C507),B507="Insumo",F507*G507,B507="Etapa","")</f>
        <v>1.2856888000000002</v>
      </c>
      <c r="I507" s="1082"/>
    </row>
    <row r="508" spans="1:9" hidden="1" outlineLevel="1" x14ac:dyDescent="0.25">
      <c r="A508" s="1079">
        <f t="shared" si="18"/>
        <v>1</v>
      </c>
      <c r="B508" s="1079" t="s">
        <v>471</v>
      </c>
      <c r="C508" s="1079" t="str">
        <f t="shared" si="19"/>
        <v>Montagem e Desmontagem de Fôrma de Lajes</v>
      </c>
      <c r="D508" s="1079" t="s">
        <v>1556</v>
      </c>
      <c r="E508" s="1080" t="s">
        <v>17</v>
      </c>
      <c r="F508" s="1079"/>
      <c r="G508" s="1081" t="str">
        <f>IF(B508="insumo",_xlfn.XLOOKUP($D508,Insumos!$B$1:$B$670,Insumos!$D$1:$D$670),"")</f>
        <v/>
      </c>
      <c r="H508" s="1081" cm="1">
        <f t="array" ref="H508">_xlfn.IFS(B508="Serviço",SUMIFS(H509:$H$2465,C509:$C$2465,$C508),B508="Insumo",F508*G508,B508="Etapa","")</f>
        <v>0.69165999999999994</v>
      </c>
      <c r="I508" s="1082" t="s">
        <v>872</v>
      </c>
    </row>
    <row r="509" spans="1:9" hidden="1" outlineLevel="2" x14ac:dyDescent="0.25">
      <c r="A509" s="1079">
        <f t="shared" si="18"/>
        <v>33</v>
      </c>
      <c r="B509" s="1079" t="s">
        <v>1362</v>
      </c>
      <c r="C509" s="1079" t="str">
        <f t="shared" si="19"/>
        <v>Montagem e Desmontagem de Fôrma de Lajes</v>
      </c>
      <c r="D509" s="1079" t="s">
        <v>1375</v>
      </c>
      <c r="E509" s="1080" t="str">
        <f>_xlfn.XLOOKUP(D509,Insumos!$B$1:$B$670,Insumos!$C$1:$C$670)</f>
        <v>KG</v>
      </c>
      <c r="F509" s="1083">
        <v>2.7E-2</v>
      </c>
      <c r="G509" s="1081">
        <f>IF(B509="insumo",_xlfn.XLOOKUP($D509,Insumos!$B$1:$B$670,Insumos!$D$1:$D$670),"")</f>
        <v>18.13</v>
      </c>
      <c r="H509" s="1081" cm="1">
        <f t="array" ref="H509">_xlfn.IFS(B509="Serviço",SUMIFS(H510:$H$2465,C510:$C$2465,$C509),B509="Insumo",F509*G509,B509="Etapa","")</f>
        <v>0.48950999999999995</v>
      </c>
      <c r="I509" s="1082"/>
    </row>
    <row r="510" spans="1:9" hidden="1" outlineLevel="2" x14ac:dyDescent="0.25">
      <c r="A510" s="1079">
        <f t="shared" si="18"/>
        <v>9</v>
      </c>
      <c r="B510" s="1079" t="s">
        <v>1362</v>
      </c>
      <c r="C510" s="1079" t="str">
        <f t="shared" si="19"/>
        <v>Montagem e Desmontagem de Fôrma de Lajes</v>
      </c>
      <c r="D510" s="1079" t="s">
        <v>1507</v>
      </c>
      <c r="E510" s="1080" t="str">
        <f>_xlfn.XLOOKUP(D510,Insumos!$B$1:$B$670,Insumos!$C$1:$C$670)</f>
        <v>L</v>
      </c>
      <c r="F510" s="1083">
        <v>1.2999999999999999E-2</v>
      </c>
      <c r="G510" s="1081">
        <f>IF(B510="insumo",_xlfn.XLOOKUP($D510,Insumos!$B$1:$B$670,Insumos!$D$1:$D$670),"")</f>
        <v>15.55</v>
      </c>
      <c r="H510" s="1081" cm="1">
        <f t="array" ref="H510">_xlfn.IFS(B510="Serviço",SUMIFS(H511:$H$2465,C511:$C$2465,$C510),B510="Insumo",F510*G510,B510="Etapa","")</f>
        <v>0.20215</v>
      </c>
      <c r="I510" s="1082"/>
    </row>
    <row r="511" spans="1:9" ht="16.5" hidden="1" customHeight="1" outlineLevel="1" collapsed="1" x14ac:dyDescent="0.25">
      <c r="A511" s="1079">
        <f t="shared" si="18"/>
        <v>1</v>
      </c>
      <c r="B511" s="1079" t="s">
        <v>471</v>
      </c>
      <c r="C511" s="1079" t="str">
        <f t="shared" si="19"/>
        <v>Montagem e Desmontagem de Fôrma de Escadas</v>
      </c>
      <c r="D511" s="1079" t="s">
        <v>1557</v>
      </c>
      <c r="E511" s="1080" t="s">
        <v>17</v>
      </c>
      <c r="F511" s="1079"/>
      <c r="G511" s="1081" t="str">
        <f>IF(B511="insumo",_xlfn.XLOOKUP($D511,Insumos!$B$1:$B$670,Insumos!$D$1:$D$670),"")</f>
        <v/>
      </c>
      <c r="H511" s="1081" cm="1">
        <f t="array" ref="H511">_xlfn.IFS(B511="Serviço",SUMIFS(H512:$H$2465,C512:$C$2465,$C511),B511="Insumo",F511*G511,B511="Etapa","")</f>
        <v>0.98718000000000006</v>
      </c>
      <c r="I511" s="1082" t="s">
        <v>872</v>
      </c>
    </row>
    <row r="512" spans="1:9" hidden="1" outlineLevel="2" x14ac:dyDescent="0.25">
      <c r="A512" s="1079">
        <f t="shared" si="18"/>
        <v>2</v>
      </c>
      <c r="B512" s="1079" t="s">
        <v>1362</v>
      </c>
      <c r="C512" s="1079" t="str">
        <f t="shared" si="19"/>
        <v>Montagem e Desmontagem de Fôrma de Escadas</v>
      </c>
      <c r="D512" s="1079" t="s">
        <v>1549</v>
      </c>
      <c r="E512" s="1080" t="str">
        <f>_xlfn.XLOOKUP(D512,Insumos!$B$1:$B$670,Insumos!$C$1:$C$670)</f>
        <v>KG</v>
      </c>
      <c r="F512" s="1083">
        <v>2.1000000000000001E-2</v>
      </c>
      <c r="G512" s="1081">
        <f>IF(B512="insumo",_xlfn.XLOOKUP($D512,Insumos!$B$1:$B$670,Insumos!$D$1:$D$670),"")</f>
        <v>17.63</v>
      </c>
      <c r="H512" s="1081" cm="1">
        <f t="array" ref="H512">_xlfn.IFS(B512="Serviço",SUMIFS(H513:$H$2465,C513:$C$2465,$C512),B512="Insumo",F512*G512,B512="Etapa","")</f>
        <v>0.37023</v>
      </c>
      <c r="I512" s="1082"/>
    </row>
    <row r="513" spans="1:9" hidden="1" outlineLevel="2" x14ac:dyDescent="0.25">
      <c r="A513" s="1079">
        <f t="shared" si="18"/>
        <v>9</v>
      </c>
      <c r="B513" s="1079" t="s">
        <v>1362</v>
      </c>
      <c r="C513" s="1079" t="str">
        <f t="shared" si="19"/>
        <v>Montagem e Desmontagem de Fôrma de Escadas</v>
      </c>
      <c r="D513" s="1079" t="s">
        <v>1507</v>
      </c>
      <c r="E513" s="1080" t="str">
        <f>_xlfn.XLOOKUP(D513,Insumos!$B$1:$B$670,Insumos!$C$1:$C$670)</f>
        <v>L</v>
      </c>
      <c r="F513" s="1083">
        <v>4.0000000000000001E-3</v>
      </c>
      <c r="G513" s="1081">
        <f>IF(B513="insumo",_xlfn.XLOOKUP($D513,Insumos!$B$1:$B$670,Insumos!$D$1:$D$670),"")</f>
        <v>15.55</v>
      </c>
      <c r="H513" s="1081" cm="1">
        <f t="array" ref="H513">_xlfn.IFS(B513="Serviço",SUMIFS(H514:$H$2465,C514:$C$2465,$C513),B513="Insumo",F513*G513,B513="Etapa","")</f>
        <v>6.2200000000000005E-2</v>
      </c>
      <c r="I513" s="1082"/>
    </row>
    <row r="514" spans="1:9" hidden="1" outlineLevel="2" x14ac:dyDescent="0.25">
      <c r="A514" s="1079">
        <f t="shared" ref="A514:A577" si="20">COUNTIFS($D$2:$D$2465,D514,$B$2:$B$2465,B514)</f>
        <v>2</v>
      </c>
      <c r="B514" s="1079" t="s">
        <v>1362</v>
      </c>
      <c r="C514" s="1079" t="str">
        <f t="shared" si="19"/>
        <v>Montagem e Desmontagem de Fôrma de Escadas</v>
      </c>
      <c r="D514" s="1079" t="s">
        <v>1548</v>
      </c>
      <c r="E514" s="1080" t="str">
        <f>_xlfn.XLOOKUP(D514,Insumos!$B$1:$B$670,Insumos!$C$1:$C$670)</f>
        <v>KG</v>
      </c>
      <c r="F514" s="1083">
        <v>3.5000000000000003E-2</v>
      </c>
      <c r="G514" s="1081">
        <f>IF(B514="insumo",_xlfn.XLOOKUP($D514,Insumos!$B$1:$B$670,Insumos!$D$1:$D$670),"")</f>
        <v>15.85</v>
      </c>
      <c r="H514" s="1081" cm="1">
        <f t="array" ref="H514">_xlfn.IFS(B514="Serviço",SUMIFS(H515:$H$2465,C515:$C$2465,$C514),B514="Insumo",F514*G514,B514="Etapa","")</f>
        <v>0.55475000000000008</v>
      </c>
      <c r="I514" s="1082"/>
    </row>
    <row r="515" spans="1:9" hidden="1" outlineLevel="1" x14ac:dyDescent="0.25">
      <c r="A515" s="1079">
        <f t="shared" si="20"/>
        <v>1</v>
      </c>
      <c r="B515" s="1079" t="s">
        <v>471</v>
      </c>
      <c r="C515" s="1079" t="str">
        <f t="shared" si="19"/>
        <v>Concreto armado no piso do térreo</v>
      </c>
      <c r="D515" s="1079" t="s">
        <v>1558</v>
      </c>
      <c r="E515" s="1080" t="s">
        <v>1426</v>
      </c>
      <c r="F515" s="1079"/>
      <c r="G515" s="1081" t="str">
        <f>IF(B515="insumo",_xlfn.XLOOKUP($D515,Insumos!$B$1:$B$670,Insumos!$D$1:$D$670),"")</f>
        <v/>
      </c>
      <c r="H515" s="1081" cm="1">
        <f t="array" ref="H515">_xlfn.IFS(B515="Serviço",SUMIFS(H516:$H$2465,C516:$C$2465,$C515),B515="Insumo",F515*G515,B515="Etapa","")</f>
        <v>117.46833808</v>
      </c>
      <c r="I515" s="1082" t="s">
        <v>872</v>
      </c>
    </row>
    <row r="516" spans="1:9" hidden="1" outlineLevel="2" x14ac:dyDescent="0.25">
      <c r="A516" s="1079">
        <f t="shared" si="20"/>
        <v>2</v>
      </c>
      <c r="B516" s="1079" t="s">
        <v>1362</v>
      </c>
      <c r="C516" s="1079" t="str">
        <f t="shared" si="19"/>
        <v>Concreto armado no piso do térreo</v>
      </c>
      <c r="D516" s="1079" t="s">
        <v>1559</v>
      </c>
      <c r="E516" s="1080" t="str">
        <f>_xlfn.XLOOKUP(D516,Insumos!$B$1:$B$670,Insumos!$C$1:$C$670)</f>
        <v>M2</v>
      </c>
      <c r="F516" s="1083">
        <v>1.1000000000000001</v>
      </c>
      <c r="G516" s="1081">
        <f>IF(B516="insumo",_xlfn.XLOOKUP($D516,Insumos!$B$1:$B$670,Insumos!$D$1:$D$670),"")</f>
        <v>2.3025000000000002</v>
      </c>
      <c r="H516" s="1081" cm="1">
        <f t="array" ref="H516">_xlfn.IFS(B516="Serviço",SUMIFS(H517:$H$2465,C517:$C$2465,$C516),B516="Insumo",F516*G516,B516="Etapa","")</f>
        <v>2.5327500000000005</v>
      </c>
      <c r="I516" s="1082"/>
    </row>
    <row r="517" spans="1:9" hidden="1" outlineLevel="2" x14ac:dyDescent="0.25">
      <c r="A517" s="1079">
        <f t="shared" si="20"/>
        <v>33</v>
      </c>
      <c r="B517" s="1079" t="s">
        <v>1362</v>
      </c>
      <c r="C517" s="1079" t="str">
        <f t="shared" si="19"/>
        <v>Concreto armado no piso do térreo</v>
      </c>
      <c r="D517" s="1079" t="s">
        <v>1375</v>
      </c>
      <c r="E517" s="1080" t="str">
        <f>_xlfn.XLOOKUP(D517,Insumos!$B$1:$B$670,Insumos!$C$1:$C$670)</f>
        <v>KG</v>
      </c>
      <c r="F517" s="1083">
        <v>0.02</v>
      </c>
      <c r="G517" s="1081">
        <f>IF(B517="insumo",_xlfn.XLOOKUP($D517,Insumos!$B$1:$B$670,Insumos!$D$1:$D$670),"")</f>
        <v>18.13</v>
      </c>
      <c r="H517" s="1081" cm="1">
        <f t="array" ref="H517">_xlfn.IFS(B517="Serviço",SUMIFS(H518:$H$2465,C518:$C$2465,$C517),B517="Insumo",F517*G517,B517="Etapa","")</f>
        <v>0.36259999999999998</v>
      </c>
      <c r="I517" s="1082"/>
    </row>
    <row r="518" spans="1:9" hidden="1" outlineLevel="2" x14ac:dyDescent="0.25">
      <c r="A518" s="1079">
        <f t="shared" si="20"/>
        <v>1</v>
      </c>
      <c r="B518" s="1079" t="s">
        <v>1362</v>
      </c>
      <c r="C518" s="1079" t="str">
        <f t="shared" si="19"/>
        <v>Concreto armado no piso do térreo</v>
      </c>
      <c r="D518" s="1079" t="s">
        <v>1560</v>
      </c>
      <c r="E518" s="1080" t="str">
        <f>_xlfn.XLOOKUP(D518,Insumos!$B$1:$B$670,Insumos!$C$1:$C$670)</f>
        <v>pc</v>
      </c>
      <c r="F518" s="1083">
        <v>0.37</v>
      </c>
      <c r="G518" s="1081">
        <f>IF(B518="insumo",_xlfn.XLOOKUP($D518,Insumos!$B$1:$B$670,Insumos!$D$1:$D$670),"")</f>
        <v>3.82</v>
      </c>
      <c r="H518" s="1081" cm="1">
        <f t="array" ref="H518">_xlfn.IFS(B518="Serviço",SUMIFS(H519:$H$2465,C519:$C$2465,$C518),B518="Insumo",F518*G518,B518="Etapa","")</f>
        <v>1.4134</v>
      </c>
      <c r="I518" s="1082"/>
    </row>
    <row r="519" spans="1:9" hidden="1" outlineLevel="2" x14ac:dyDescent="0.25">
      <c r="A519" s="1079">
        <f t="shared" si="20"/>
        <v>2</v>
      </c>
      <c r="B519" s="1079" t="s">
        <v>1362</v>
      </c>
      <c r="C519" s="1079" t="str">
        <f t="shared" si="19"/>
        <v>Concreto armado no piso do térreo</v>
      </c>
      <c r="D519" s="1079" t="s">
        <v>1561</v>
      </c>
      <c r="E519" s="1080" t="str">
        <f>_xlfn.XLOOKUP(D519,Insumos!$B$1:$B$670,Insumos!$C$1:$C$670)</f>
        <v>KG</v>
      </c>
      <c r="F519" s="1083">
        <v>5.0039845810509238</v>
      </c>
      <c r="G519" s="1081">
        <f>IF(B519="insumo",_xlfn.XLOOKUP($D519,Insumos!$B$1:$B$670,Insumos!$D$1:$D$670),"")</f>
        <v>9.1447124304267149</v>
      </c>
      <c r="H519" s="1081" cm="1">
        <f t="array" ref="H519">_xlfn.IFS(B519="Serviço",SUMIFS(H520:$H$2465,C520:$C$2465,$C519),B519="Insumo",F519*G519,B519="Etapa","")</f>
        <v>45.76</v>
      </c>
      <c r="I519" s="1082"/>
    </row>
    <row r="520" spans="1:9" hidden="1" outlineLevel="2" x14ac:dyDescent="0.25">
      <c r="A520" s="1079">
        <f t="shared" si="20"/>
        <v>1</v>
      </c>
      <c r="B520" s="1079" t="s">
        <v>1362</v>
      </c>
      <c r="C520" s="1079" t="str">
        <f t="shared" si="19"/>
        <v>Concreto armado no piso do térreo</v>
      </c>
      <c r="D520" s="1079" t="s">
        <v>1562</v>
      </c>
      <c r="E520" s="1080" t="str">
        <f>_xlfn.XLOOKUP(D520,Insumos!$B$1:$B$670,Insumos!$C$1:$C$670)</f>
        <v>un</v>
      </c>
      <c r="F520" s="1083">
        <v>3.4E-5</v>
      </c>
      <c r="G520" s="1081">
        <f>IF(B520="insumo",_xlfn.XLOOKUP($D520,Insumos!$B$1:$B$670,Insumos!$D$1:$D$670),"")</f>
        <v>21.12</v>
      </c>
      <c r="H520" s="1081" cm="1">
        <f t="array" ref="H520">_xlfn.IFS(B520="Serviço",SUMIFS(H521:$H$2465,C521:$C$2465,$C520),B520="Insumo",F520*G520,B520="Etapa","")</f>
        <v>7.1808000000000006E-4</v>
      </c>
      <c r="I520" s="1082"/>
    </row>
    <row r="521" spans="1:9" hidden="1" outlineLevel="2" x14ac:dyDescent="0.25">
      <c r="A521" s="1079">
        <f t="shared" si="20"/>
        <v>6</v>
      </c>
      <c r="B521" s="1079" t="s">
        <v>1362</v>
      </c>
      <c r="C521" s="1079" t="str">
        <f t="shared" si="19"/>
        <v>Concreto armado no piso do térreo</v>
      </c>
      <c r="D521" s="1079" t="s">
        <v>1516</v>
      </c>
      <c r="E521" s="1080" t="str">
        <f>_xlfn.XLOOKUP(D521,Insumos!$B$1:$B$670,Insumos!$C$1:$C$670)</f>
        <v>M3</v>
      </c>
      <c r="F521" s="1083">
        <v>0.11</v>
      </c>
      <c r="G521" s="1081">
        <f>IF(B521="insumo",_xlfn.XLOOKUP($D521,Insumos!$B$1:$B$670,Insumos!$D$1:$D$670),"")</f>
        <v>510</v>
      </c>
      <c r="H521" s="1081" cm="1">
        <f t="array" ref="H521">_xlfn.IFS(B521="Serviço",SUMIFS(H522:$H$2465,C522:$C$2465,$C521),B521="Insumo",F521*G521,B521="Etapa","")</f>
        <v>56.1</v>
      </c>
      <c r="I521" s="1082"/>
    </row>
    <row r="522" spans="1:9" hidden="1" outlineLevel="2" x14ac:dyDescent="0.25">
      <c r="A522" s="1079">
        <f t="shared" si="20"/>
        <v>1</v>
      </c>
      <c r="B522" s="1079" t="s">
        <v>1362</v>
      </c>
      <c r="C522" s="1079" t="str">
        <f t="shared" si="19"/>
        <v>Concreto armado no piso do térreo</v>
      </c>
      <c r="D522" s="1079" t="s">
        <v>1563</v>
      </c>
      <c r="E522" s="1080" t="str">
        <f>_xlfn.XLOOKUP(D522,Insumos!$B$1:$B$670,Insumos!$C$1:$C$670)</f>
        <v>UN</v>
      </c>
      <c r="F522" s="1083">
        <v>0.33329999999999999</v>
      </c>
      <c r="G522" s="1081">
        <f>IF(B522="insumo",_xlfn.XLOOKUP($D522,Insumos!$B$1:$B$670,Insumos!$D$1:$D$670),"")</f>
        <v>33.9</v>
      </c>
      <c r="H522" s="1081" cm="1">
        <f t="array" ref="H522">_xlfn.IFS(B522="Serviço",SUMIFS(H523:$H$2465,C523:$C$2465,$C522),B522="Insumo",F522*G522,B522="Etapa","")</f>
        <v>11.298869999999999</v>
      </c>
      <c r="I522" s="1082"/>
    </row>
    <row r="523" spans="1:9" hidden="1" outlineLevel="1" x14ac:dyDescent="0.25">
      <c r="A523" s="1079">
        <f t="shared" si="20"/>
        <v>1</v>
      </c>
      <c r="B523" s="1079" t="s">
        <v>471</v>
      </c>
      <c r="C523" s="1079" t="str">
        <f t="shared" si="19"/>
        <v>Armação Aço CA-60, Diâmetro de 5,0mm para Supraestrutura, Corte e Dobra em Obra</v>
      </c>
      <c r="D523" s="1079" t="s">
        <v>876</v>
      </c>
      <c r="E523" s="1080" t="s">
        <v>1481</v>
      </c>
      <c r="F523" s="1079"/>
      <c r="G523" s="1081" t="str">
        <f>IF(B523="insumo",_xlfn.XLOOKUP($D523,Insumos!$B$1:$B$670,Insumos!$D$1:$D$670),"")</f>
        <v/>
      </c>
      <c r="H523" s="1081" cm="1">
        <f t="array" ref="H523">_xlfn.IFS(B523="Serviço",SUMIFS(H524:$H$2465,C524:$C$2465,$C523),B523="Insumo",F523*G523,B523="Etapa","")</f>
        <v>7.5500550000000004</v>
      </c>
      <c r="I523" s="1082" t="s">
        <v>872</v>
      </c>
    </row>
    <row r="524" spans="1:9" hidden="1" outlineLevel="2" x14ac:dyDescent="0.25">
      <c r="A524" s="1079">
        <f t="shared" si="20"/>
        <v>4</v>
      </c>
      <c r="B524" s="1079" t="s">
        <v>1362</v>
      </c>
      <c r="C524" s="1079" t="str">
        <f t="shared" si="19"/>
        <v>Armação Aço CA-60, Diâmetro de 5,0mm para Supraestrutura, Corte e Dobra em Obra</v>
      </c>
      <c r="D524" s="1079" t="s">
        <v>1494</v>
      </c>
      <c r="E524" s="1080" t="str">
        <f>_xlfn.XLOOKUP(D524,Insumos!$B$1:$B$670,Insumos!$C$1:$C$670)</f>
        <v>KG</v>
      </c>
      <c r="F524" s="1083">
        <v>1.1000000000000001</v>
      </c>
      <c r="G524" s="1081">
        <f>IF(B524="insumo",_xlfn.XLOOKUP($D524,Insumos!$B$1:$B$670,Insumos!$D$1:$D$670),"")</f>
        <v>6.54</v>
      </c>
      <c r="H524" s="1081" cm="1">
        <f t="array" ref="H524">_xlfn.IFS(B524="Serviço",SUMIFS(H525:$H$2465,C525:$C$2465,$C524),B524="Insumo",F524*G524,B524="Etapa","")</f>
        <v>7.1940000000000008</v>
      </c>
      <c r="I524" s="1082"/>
    </row>
    <row r="525" spans="1:9" hidden="1" outlineLevel="2" x14ac:dyDescent="0.25">
      <c r="A525" s="1079">
        <f t="shared" si="20"/>
        <v>12</v>
      </c>
      <c r="B525" s="1079" t="s">
        <v>1362</v>
      </c>
      <c r="C525" s="1079" t="str">
        <f t="shared" si="19"/>
        <v>Armação Aço CA-60, Diâmetro de 5,0mm para Supraestrutura, Corte e Dobra em Obra</v>
      </c>
      <c r="D525" s="1079" t="s">
        <v>1564</v>
      </c>
      <c r="E525" s="1080" t="str">
        <f>_xlfn.XLOOKUP(D525,Insumos!$B$1:$B$670,Insumos!$C$1:$C$670)</f>
        <v>KG</v>
      </c>
      <c r="F525" s="1083">
        <v>2.0500000000000001E-2</v>
      </c>
      <c r="G525" s="1081">
        <f>IF(B525="insumo",_xlfn.XLOOKUP($D525,Insumos!$B$1:$B$670,Insumos!$D$1:$D$670),"")</f>
        <v>16.71</v>
      </c>
      <c r="H525" s="1081" cm="1">
        <f t="array" ref="H525">_xlfn.IFS(B525="Serviço",SUMIFS(H526:$H$2465,C526:$C$2465,$C525),B525="Insumo",F525*G525,B525="Etapa","")</f>
        <v>0.34255500000000005</v>
      </c>
      <c r="I525" s="1082"/>
    </row>
    <row r="526" spans="1:9" hidden="1" outlineLevel="2" x14ac:dyDescent="0.25">
      <c r="A526" s="1079">
        <f t="shared" si="20"/>
        <v>35</v>
      </c>
      <c r="B526" s="1079" t="s">
        <v>1362</v>
      </c>
      <c r="C526" s="1079" t="str">
        <f t="shared" ref="C526:C597" si="21">IF(B526="serviço",D526,C525)</f>
        <v>Armação Aço CA-60, Diâmetro de 5,0mm para Supraestrutura, Corte e Dobra em Obra</v>
      </c>
      <c r="D526" s="1079" t="s">
        <v>1484</v>
      </c>
      <c r="E526" s="1080" t="str">
        <f>_xlfn.XLOOKUP(D526,Insumos!$B$1:$B$670,Insumos!$C$1:$C$670)</f>
        <v>UN</v>
      </c>
      <c r="F526" s="1083">
        <v>0.05</v>
      </c>
      <c r="G526" s="1081">
        <f>IF(B526="insumo",_xlfn.XLOOKUP($D526,Insumos!$B$1:$B$670,Insumos!$D$1:$D$670),"")</f>
        <v>0.27</v>
      </c>
      <c r="H526" s="1081" cm="1">
        <f t="array" ref="H526">_xlfn.IFS(B526="Serviço",SUMIFS(H527:$H$2465,C527:$C$2465,$C526),B526="Insumo",F526*G526,B526="Etapa","")</f>
        <v>1.3500000000000002E-2</v>
      </c>
      <c r="I526" s="1082"/>
    </row>
    <row r="527" spans="1:9" hidden="1" outlineLevel="1" x14ac:dyDescent="0.25">
      <c r="A527" s="1079">
        <f t="shared" si="20"/>
        <v>1</v>
      </c>
      <c r="B527" s="1079" t="s">
        <v>471</v>
      </c>
      <c r="C527" s="1079" t="str">
        <f t="shared" si="21"/>
        <v>Armação Aço CA-50, Diâmetro de 6,3mm para Supraestrutura, Corte e Dobra em Obra</v>
      </c>
      <c r="D527" s="1079" t="s">
        <v>1565</v>
      </c>
      <c r="E527" s="1080" t="s">
        <v>1481</v>
      </c>
      <c r="F527" s="1079"/>
      <c r="G527" s="1081" t="str">
        <f>IF(B527="insumo",_xlfn.XLOOKUP($D527,Insumos!$B$1:$B$670,Insumos!$D$1:$D$670),"")</f>
        <v/>
      </c>
      <c r="H527" s="1081" cm="1">
        <f t="array" ref="H527">_xlfn.IFS(B527="Serviço",SUMIFS(H528:$H$2465,C528:$C$2465,$C527),B527="Insumo",F527*G527,B527="Etapa","")</f>
        <v>7.0000550000000006</v>
      </c>
      <c r="I527" s="1082" t="s">
        <v>872</v>
      </c>
    </row>
    <row r="528" spans="1:9" hidden="1" outlineLevel="2" x14ac:dyDescent="0.25">
      <c r="A528" s="1079">
        <f t="shared" si="20"/>
        <v>4</v>
      </c>
      <c r="B528" s="1079" t="s">
        <v>1362</v>
      </c>
      <c r="C528" s="1079" t="str">
        <f t="shared" si="21"/>
        <v>Armação Aço CA-50, Diâmetro de 6,3mm para Supraestrutura, Corte e Dobra em Obra</v>
      </c>
      <c r="D528" s="1079" t="s">
        <v>1482</v>
      </c>
      <c r="E528" s="1080" t="str">
        <f>_xlfn.XLOOKUP(D528,Insumos!$B$1:$B$670,Insumos!$C$1:$C$670)</f>
        <v>KG</v>
      </c>
      <c r="F528" s="1083">
        <v>1.1000000000000001</v>
      </c>
      <c r="G528" s="1081">
        <f>IF(B528="insumo",_xlfn.XLOOKUP($D528,Insumos!$B$1:$B$670,Insumos!$D$1:$D$670),"")</f>
        <v>6.04</v>
      </c>
      <c r="H528" s="1081" cm="1">
        <f t="array" ref="H528">_xlfn.IFS(B528="Serviço",SUMIFS(H529:$H$2465,C529:$C$2465,$C528),B528="Insumo",F528*G528,B528="Etapa","")</f>
        <v>6.644000000000001</v>
      </c>
      <c r="I528" s="1082"/>
    </row>
    <row r="529" spans="1:9" hidden="1" outlineLevel="2" x14ac:dyDescent="0.25">
      <c r="A529" s="1079">
        <f t="shared" si="20"/>
        <v>12</v>
      </c>
      <c r="B529" s="1079" t="s">
        <v>1362</v>
      </c>
      <c r="C529" s="1079" t="str">
        <f t="shared" si="21"/>
        <v>Armação Aço CA-50, Diâmetro de 6,3mm para Supraestrutura, Corte e Dobra em Obra</v>
      </c>
      <c r="D529" s="1079" t="s">
        <v>1564</v>
      </c>
      <c r="E529" s="1080" t="str">
        <f>_xlfn.XLOOKUP(D529,Insumos!$B$1:$B$670,Insumos!$C$1:$C$670)</f>
        <v>KG</v>
      </c>
      <c r="F529" s="1083">
        <v>2.0500000000000001E-2</v>
      </c>
      <c r="G529" s="1081">
        <f>IF(B529="insumo",_xlfn.XLOOKUP($D529,Insumos!$B$1:$B$670,Insumos!$D$1:$D$670),"")</f>
        <v>16.71</v>
      </c>
      <c r="H529" s="1081" cm="1">
        <f t="array" ref="H529">_xlfn.IFS(B529="Serviço",SUMIFS(H530:$H$2465,C530:$C$2465,$C529),B529="Insumo",F529*G529,B529="Etapa","")</f>
        <v>0.34255500000000005</v>
      </c>
      <c r="I529" s="1082"/>
    </row>
    <row r="530" spans="1:9" hidden="1" outlineLevel="2" x14ac:dyDescent="0.25">
      <c r="A530" s="1079">
        <f t="shared" si="20"/>
        <v>35</v>
      </c>
      <c r="B530" s="1079" t="s">
        <v>1362</v>
      </c>
      <c r="C530" s="1079" t="str">
        <f t="shared" si="21"/>
        <v>Armação Aço CA-50, Diâmetro de 6,3mm para Supraestrutura, Corte e Dobra em Obra</v>
      </c>
      <c r="D530" s="1079" t="s">
        <v>1484</v>
      </c>
      <c r="E530" s="1080" t="str">
        <f>_xlfn.XLOOKUP(D530,Insumos!$B$1:$B$670,Insumos!$C$1:$C$670)</f>
        <v>UN</v>
      </c>
      <c r="F530" s="1083">
        <v>0.05</v>
      </c>
      <c r="G530" s="1081">
        <f>IF(B530="insumo",_xlfn.XLOOKUP($D530,Insumos!$B$1:$B$670,Insumos!$D$1:$D$670),"")</f>
        <v>0.27</v>
      </c>
      <c r="H530" s="1081" cm="1">
        <f t="array" ref="H530">_xlfn.IFS(B530="Serviço",SUMIFS(H531:$H$2465,C531:$C$2465,$C530),B530="Insumo",F530*G530,B530="Etapa","")</f>
        <v>1.3500000000000002E-2</v>
      </c>
      <c r="I530" s="1082"/>
    </row>
    <row r="531" spans="1:9" hidden="1" outlineLevel="1" x14ac:dyDescent="0.25">
      <c r="A531" s="1079">
        <f t="shared" si="20"/>
        <v>1</v>
      </c>
      <c r="B531" s="1079" t="s">
        <v>471</v>
      </c>
      <c r="C531" s="1079" t="str">
        <f t="shared" si="21"/>
        <v>Armação Aço CA-50, Diâmetro de 8,0mm para Supraestrutura, Corte e Dobra em Obra</v>
      </c>
      <c r="D531" s="1079" t="s">
        <v>878</v>
      </c>
      <c r="E531" s="1080" t="s">
        <v>1481</v>
      </c>
      <c r="F531" s="1079"/>
      <c r="G531" s="1081" t="str">
        <f>IF(B531="insumo",_xlfn.XLOOKUP($D531,Insumos!$B$1:$B$670,Insumos!$D$1:$D$670),"")</f>
        <v/>
      </c>
      <c r="H531" s="1081" cm="1">
        <f t="array" ref="H531">_xlfn.IFS(B531="Serviço",SUMIFS(H532:$H$2465,C532:$C$2465,$C531),B531="Insumo",F531*G531,B531="Etapa","")</f>
        <v>7.0000550000000006</v>
      </c>
      <c r="I531" s="1082" t="s">
        <v>872</v>
      </c>
    </row>
    <row r="532" spans="1:9" hidden="1" outlineLevel="2" x14ac:dyDescent="0.25">
      <c r="A532" s="1079">
        <f t="shared" si="20"/>
        <v>5</v>
      </c>
      <c r="B532" s="1079" t="s">
        <v>1362</v>
      </c>
      <c r="C532" s="1079" t="str">
        <f t="shared" si="21"/>
        <v>Armação Aço CA-50, Diâmetro de 8,0mm para Supraestrutura, Corte e Dobra em Obra</v>
      </c>
      <c r="D532" s="1079" t="s">
        <v>1486</v>
      </c>
      <c r="E532" s="1080" t="str">
        <f>_xlfn.XLOOKUP(D532,Insumos!$B$1:$B$670,Insumos!$C$1:$C$670)</f>
        <v>KG</v>
      </c>
      <c r="F532" s="1083">
        <v>1.1000000000000001</v>
      </c>
      <c r="G532" s="1081">
        <f>IF(B532="insumo",_xlfn.XLOOKUP($D532,Insumos!$B$1:$B$670,Insumos!$D$1:$D$670),"")</f>
        <v>6.04</v>
      </c>
      <c r="H532" s="1081" cm="1">
        <f t="array" ref="H532">_xlfn.IFS(B532="Serviço",SUMIFS(H533:$H$2465,C533:$C$2465,$C532),B532="Insumo",F532*G532,B532="Etapa","")</f>
        <v>6.644000000000001</v>
      </c>
      <c r="I532" s="1082"/>
    </row>
    <row r="533" spans="1:9" hidden="1" outlineLevel="2" x14ac:dyDescent="0.25">
      <c r="A533" s="1079">
        <f t="shared" si="20"/>
        <v>12</v>
      </c>
      <c r="B533" s="1079" t="s">
        <v>1362</v>
      </c>
      <c r="C533" s="1079" t="str">
        <f t="shared" si="21"/>
        <v>Armação Aço CA-50, Diâmetro de 8,0mm para Supraestrutura, Corte e Dobra em Obra</v>
      </c>
      <c r="D533" s="1079" t="s">
        <v>1564</v>
      </c>
      <c r="E533" s="1080" t="str">
        <f>_xlfn.XLOOKUP(D533,Insumos!$B$1:$B$670,Insumos!$C$1:$C$670)</f>
        <v>KG</v>
      </c>
      <c r="F533" s="1083">
        <v>2.0500000000000001E-2</v>
      </c>
      <c r="G533" s="1081">
        <f>IF(B533="insumo",_xlfn.XLOOKUP($D533,Insumos!$B$1:$B$670,Insumos!$D$1:$D$670),"")</f>
        <v>16.71</v>
      </c>
      <c r="H533" s="1081" cm="1">
        <f t="array" ref="H533">_xlfn.IFS(B533="Serviço",SUMIFS(H534:$H$2465,C534:$C$2465,$C533),B533="Insumo",F533*G533,B533="Etapa","")</f>
        <v>0.34255500000000005</v>
      </c>
      <c r="I533" s="1082"/>
    </row>
    <row r="534" spans="1:9" hidden="1" outlineLevel="2" x14ac:dyDescent="0.25">
      <c r="A534" s="1079">
        <f t="shared" si="20"/>
        <v>35</v>
      </c>
      <c r="B534" s="1079" t="s">
        <v>1362</v>
      </c>
      <c r="C534" s="1079" t="str">
        <f t="shared" si="21"/>
        <v>Armação Aço CA-50, Diâmetro de 8,0mm para Supraestrutura, Corte e Dobra em Obra</v>
      </c>
      <c r="D534" s="1079" t="s">
        <v>1484</v>
      </c>
      <c r="E534" s="1080" t="str">
        <f>_xlfn.XLOOKUP(D534,Insumos!$B$1:$B$670,Insumos!$C$1:$C$670)</f>
        <v>UN</v>
      </c>
      <c r="F534" s="1083">
        <v>0.05</v>
      </c>
      <c r="G534" s="1081">
        <f>IF(B534="insumo",_xlfn.XLOOKUP($D534,Insumos!$B$1:$B$670,Insumos!$D$1:$D$670),"")</f>
        <v>0.27</v>
      </c>
      <c r="H534" s="1081" cm="1">
        <f t="array" ref="H534">_xlfn.IFS(B534="Serviço",SUMIFS(H535:$H$2465,C535:$C$2465,$C534),B534="Insumo",F534*G534,B534="Etapa","")</f>
        <v>1.3500000000000002E-2</v>
      </c>
      <c r="I534" s="1082"/>
    </row>
    <row r="535" spans="1:9" hidden="1" outlineLevel="1" x14ac:dyDescent="0.25">
      <c r="A535" s="1079">
        <f t="shared" si="20"/>
        <v>1</v>
      </c>
      <c r="B535" s="1079" t="s">
        <v>471</v>
      </c>
      <c r="C535" s="1079" t="str">
        <f t="shared" si="21"/>
        <v>Armação Aço CA-50, Diâmetro de 10,0mm para Supraestrutura, Corte e Dobra em Obra</v>
      </c>
      <c r="D535" s="1079" t="s">
        <v>879</v>
      </c>
      <c r="E535" s="1080" t="s">
        <v>1481</v>
      </c>
      <c r="F535" s="1079"/>
      <c r="G535" s="1081" t="str">
        <f>IF(B535="insumo",_xlfn.XLOOKUP($D535,Insumos!$B$1:$B$670,Insumos!$D$1:$D$670),"")</f>
        <v/>
      </c>
      <c r="H535" s="1081" cm="1">
        <f t="array" ref="H535">_xlfn.IFS(B535="Serviço",SUMIFS(H536:$H$2465,C536:$C$2465,$C535),B535="Insumo",F535*G535,B535="Etapa","")</f>
        <v>6.6920549999999999</v>
      </c>
      <c r="I535" s="1082" t="s">
        <v>872</v>
      </c>
    </row>
    <row r="536" spans="1:9" hidden="1" outlineLevel="2" x14ac:dyDescent="0.25">
      <c r="A536" s="1079">
        <f t="shared" si="20"/>
        <v>4</v>
      </c>
      <c r="B536" s="1079" t="s">
        <v>1362</v>
      </c>
      <c r="C536" s="1079" t="str">
        <f t="shared" si="21"/>
        <v>Armação Aço CA-50, Diâmetro de 10,0mm para Supraestrutura, Corte e Dobra em Obra</v>
      </c>
      <c r="D536" s="1079" t="s">
        <v>1488</v>
      </c>
      <c r="E536" s="1080" t="str">
        <f>_xlfn.XLOOKUP(D536,Insumos!$B$1:$B$670,Insumos!$C$1:$C$670)</f>
        <v>KG</v>
      </c>
      <c r="F536" s="1083">
        <v>1.1000000000000001</v>
      </c>
      <c r="G536" s="1081">
        <f>IF(B536="insumo",_xlfn.XLOOKUP($D536,Insumos!$B$1:$B$670,Insumos!$D$1:$D$670),"")</f>
        <v>5.76</v>
      </c>
      <c r="H536" s="1081" cm="1">
        <f t="array" ref="H536">_xlfn.IFS(B536="Serviço",SUMIFS(H537:$H$2465,C537:$C$2465,$C536),B536="Insumo",F536*G536,B536="Etapa","")</f>
        <v>6.3360000000000003</v>
      </c>
      <c r="I536" s="1082"/>
    </row>
    <row r="537" spans="1:9" hidden="1" outlineLevel="2" x14ac:dyDescent="0.25">
      <c r="A537" s="1079">
        <f t="shared" si="20"/>
        <v>12</v>
      </c>
      <c r="B537" s="1079" t="s">
        <v>1362</v>
      </c>
      <c r="C537" s="1079" t="str">
        <f t="shared" si="21"/>
        <v>Armação Aço CA-50, Diâmetro de 10,0mm para Supraestrutura, Corte e Dobra em Obra</v>
      </c>
      <c r="D537" s="1079" t="s">
        <v>1564</v>
      </c>
      <c r="E537" s="1080" t="str">
        <f>_xlfn.XLOOKUP(D537,Insumos!$B$1:$B$670,Insumos!$C$1:$C$670)</f>
        <v>KG</v>
      </c>
      <c r="F537" s="1083">
        <v>2.0500000000000001E-2</v>
      </c>
      <c r="G537" s="1081">
        <f>IF(B537="insumo",_xlfn.XLOOKUP($D537,Insumos!$B$1:$B$670,Insumos!$D$1:$D$670),"")</f>
        <v>16.71</v>
      </c>
      <c r="H537" s="1081" cm="1">
        <f t="array" ref="H537">_xlfn.IFS(B537="Serviço",SUMIFS(H538:$H$2465,C538:$C$2465,$C537),B537="Insumo",F537*G537,B537="Etapa","")</f>
        <v>0.34255500000000005</v>
      </c>
      <c r="I537" s="1082"/>
    </row>
    <row r="538" spans="1:9" hidden="1" outlineLevel="2" x14ac:dyDescent="0.25">
      <c r="A538" s="1079">
        <f t="shared" si="20"/>
        <v>35</v>
      </c>
      <c r="B538" s="1079" t="s">
        <v>1362</v>
      </c>
      <c r="C538" s="1079" t="str">
        <f t="shared" si="21"/>
        <v>Armação Aço CA-50, Diâmetro de 10,0mm para Supraestrutura, Corte e Dobra em Obra</v>
      </c>
      <c r="D538" s="1079" t="s">
        <v>1484</v>
      </c>
      <c r="E538" s="1080" t="str">
        <f>_xlfn.XLOOKUP(D538,Insumos!$B$1:$B$670,Insumos!$C$1:$C$670)</f>
        <v>UN</v>
      </c>
      <c r="F538" s="1083">
        <v>0.05</v>
      </c>
      <c r="G538" s="1081">
        <f>IF(B538="insumo",_xlfn.XLOOKUP($D538,Insumos!$B$1:$B$670,Insumos!$D$1:$D$670),"")</f>
        <v>0.27</v>
      </c>
      <c r="H538" s="1081" cm="1">
        <f t="array" ref="H538">_xlfn.IFS(B538="Serviço",SUMIFS(H539:$H$2465,C539:$C$2465,$C538),B538="Insumo",F538*G538,B538="Etapa","")</f>
        <v>1.3500000000000002E-2</v>
      </c>
      <c r="I538" s="1082"/>
    </row>
    <row r="539" spans="1:9" hidden="1" outlineLevel="1" x14ac:dyDescent="0.25">
      <c r="A539" s="1079">
        <f t="shared" si="20"/>
        <v>1</v>
      </c>
      <c r="B539" s="1079" t="s">
        <v>471</v>
      </c>
      <c r="C539" s="1079" t="str">
        <f t="shared" si="21"/>
        <v>Armação Aço CA-50, Diâmetro de 12,5mm para Supraestrutura, Corte e Dobra em Obra</v>
      </c>
      <c r="D539" s="1079" t="s">
        <v>880</v>
      </c>
      <c r="E539" s="1080" t="s">
        <v>1481</v>
      </c>
      <c r="F539" s="1079"/>
      <c r="G539" s="1081" t="str">
        <f>IF(B539="insumo",_xlfn.XLOOKUP($D539,Insumos!$B$1:$B$670,Insumos!$D$1:$D$670),"")</f>
        <v/>
      </c>
      <c r="H539" s="1081" cm="1">
        <f t="array" ref="H539">_xlfn.IFS(B539="Serviço",SUMIFS(H540:$H$2465,C540:$C$2465,$C539),B539="Insumo",F539*G539,B539="Etapa","")</f>
        <v>6.5050549999999996</v>
      </c>
      <c r="I539" s="1082" t="s">
        <v>872</v>
      </c>
    </row>
    <row r="540" spans="1:9" hidden="1" outlineLevel="2" x14ac:dyDescent="0.25">
      <c r="A540" s="1079">
        <f t="shared" si="20"/>
        <v>3</v>
      </c>
      <c r="B540" s="1079" t="s">
        <v>1362</v>
      </c>
      <c r="C540" s="1079" t="str">
        <f t="shared" si="21"/>
        <v>Armação Aço CA-50, Diâmetro de 12,5mm para Supraestrutura, Corte e Dobra em Obra</v>
      </c>
      <c r="D540" s="1079" t="s">
        <v>1510</v>
      </c>
      <c r="E540" s="1080" t="str">
        <f>_xlfn.XLOOKUP(D540,Insumos!$B$1:$B$670,Insumos!$C$1:$C$670)</f>
        <v>KG</v>
      </c>
      <c r="F540" s="1083">
        <v>1.1000000000000001</v>
      </c>
      <c r="G540" s="1081">
        <f>IF(B540="insumo",_xlfn.XLOOKUP($D540,Insumos!$B$1:$B$670,Insumos!$D$1:$D$670),"")</f>
        <v>5.59</v>
      </c>
      <c r="H540" s="1081" cm="1">
        <f t="array" ref="H540">_xlfn.IFS(B540="Serviço",SUMIFS(H541:$H$2465,C541:$C$2465,$C540),B540="Insumo",F540*G540,B540="Etapa","")</f>
        <v>6.149</v>
      </c>
      <c r="I540" s="1082"/>
    </row>
    <row r="541" spans="1:9" hidden="1" outlineLevel="2" x14ac:dyDescent="0.25">
      <c r="A541" s="1079">
        <f t="shared" si="20"/>
        <v>12</v>
      </c>
      <c r="B541" s="1079" t="s">
        <v>1362</v>
      </c>
      <c r="C541" s="1079" t="str">
        <f t="shared" si="21"/>
        <v>Armação Aço CA-50, Diâmetro de 12,5mm para Supraestrutura, Corte e Dobra em Obra</v>
      </c>
      <c r="D541" s="1079" t="s">
        <v>1564</v>
      </c>
      <c r="E541" s="1080" t="str">
        <f>_xlfn.XLOOKUP(D541,Insumos!$B$1:$B$670,Insumos!$C$1:$C$670)</f>
        <v>KG</v>
      </c>
      <c r="F541" s="1083">
        <v>2.0500000000000001E-2</v>
      </c>
      <c r="G541" s="1081">
        <f>IF(B541="insumo",_xlfn.XLOOKUP($D541,Insumos!$B$1:$B$670,Insumos!$D$1:$D$670),"")</f>
        <v>16.71</v>
      </c>
      <c r="H541" s="1081" cm="1">
        <f t="array" ref="H541">_xlfn.IFS(B541="Serviço",SUMIFS(H542:$H$2465,C542:$C$2465,$C541),B541="Insumo",F541*G541,B541="Etapa","")</f>
        <v>0.34255500000000005</v>
      </c>
      <c r="I541" s="1082"/>
    </row>
    <row r="542" spans="1:9" hidden="1" outlineLevel="2" x14ac:dyDescent="0.25">
      <c r="A542" s="1079">
        <f t="shared" si="20"/>
        <v>35</v>
      </c>
      <c r="B542" s="1079" t="s">
        <v>1362</v>
      </c>
      <c r="C542" s="1079" t="str">
        <f t="shared" si="21"/>
        <v>Armação Aço CA-50, Diâmetro de 12,5mm para Supraestrutura, Corte e Dobra em Obra</v>
      </c>
      <c r="D542" s="1079" t="s">
        <v>1484</v>
      </c>
      <c r="E542" s="1080" t="str">
        <f>_xlfn.XLOOKUP(D542,Insumos!$B$1:$B$670,Insumos!$C$1:$C$670)</f>
        <v>UN</v>
      </c>
      <c r="F542" s="1083">
        <v>0.05</v>
      </c>
      <c r="G542" s="1081">
        <f>IF(B542="insumo",_xlfn.XLOOKUP($D542,Insumos!$B$1:$B$670,Insumos!$D$1:$D$670),"")</f>
        <v>0.27</v>
      </c>
      <c r="H542" s="1081" cm="1">
        <f t="array" ref="H542">_xlfn.IFS(B542="Serviço",SUMIFS(H543:$H$2465,C543:$C$2465,$C542),B542="Insumo",F542*G542,B542="Etapa","")</f>
        <v>1.3500000000000002E-2</v>
      </c>
      <c r="I542" s="1082"/>
    </row>
    <row r="543" spans="1:9" hidden="1" outlineLevel="1" x14ac:dyDescent="0.25">
      <c r="A543" s="1079">
        <f t="shared" si="20"/>
        <v>1</v>
      </c>
      <c r="B543" s="1079" t="s">
        <v>471</v>
      </c>
      <c r="C543" s="1079" t="str">
        <f t="shared" si="21"/>
        <v>Armação Aço CA-50, Diâmetro de 16,0mm para Supraestrutura, Corte e Dobra em Obra</v>
      </c>
      <c r="D543" s="1079" t="s">
        <v>881</v>
      </c>
      <c r="E543" s="1080" t="s">
        <v>1481</v>
      </c>
      <c r="F543" s="1079"/>
      <c r="G543" s="1081" t="str">
        <f>IF(B543="insumo",_xlfn.XLOOKUP($D543,Insumos!$B$1:$B$670,Insumos!$D$1:$D$670),"")</f>
        <v/>
      </c>
      <c r="H543" s="1081" cm="1">
        <f t="array" ref="H543">_xlfn.IFS(B543="Serviço",SUMIFS(H544:$H$2465,C544:$C$2465,$C543),B543="Insumo",F543*G543,B543="Etapa","")</f>
        <v>6.5050549999999996</v>
      </c>
      <c r="I543" s="1082" t="s">
        <v>872</v>
      </c>
    </row>
    <row r="544" spans="1:9" hidden="1" outlineLevel="2" x14ac:dyDescent="0.25">
      <c r="A544" s="1079">
        <f t="shared" si="20"/>
        <v>4</v>
      </c>
      <c r="B544" s="1079" t="s">
        <v>1362</v>
      </c>
      <c r="C544" s="1079" t="str">
        <f t="shared" si="21"/>
        <v>Armação Aço CA-50, Diâmetro de 16,0mm para Supraestrutura, Corte e Dobra em Obra</v>
      </c>
      <c r="D544" s="1079" t="s">
        <v>1490</v>
      </c>
      <c r="E544" s="1080" t="str">
        <f>_xlfn.XLOOKUP(D544,Insumos!$B$1:$B$670,Insumos!$C$1:$C$670)</f>
        <v>KG</v>
      </c>
      <c r="F544" s="1083">
        <v>1.1000000000000001</v>
      </c>
      <c r="G544" s="1081">
        <f>IF(B544="insumo",_xlfn.XLOOKUP($D544,Insumos!$B$1:$B$670,Insumos!$D$1:$D$670),"")</f>
        <v>5.59</v>
      </c>
      <c r="H544" s="1081" cm="1">
        <f t="array" ref="H544">_xlfn.IFS(B544="Serviço",SUMIFS(H545:$H$2465,C545:$C$2465,$C544),B544="Insumo",F544*G544,B544="Etapa","")</f>
        <v>6.149</v>
      </c>
      <c r="I544" s="1082"/>
    </row>
    <row r="545" spans="1:9" hidden="1" outlineLevel="2" x14ac:dyDescent="0.25">
      <c r="A545" s="1079">
        <f t="shared" si="20"/>
        <v>12</v>
      </c>
      <c r="B545" s="1079" t="s">
        <v>1362</v>
      </c>
      <c r="C545" s="1079" t="str">
        <f t="shared" si="21"/>
        <v>Armação Aço CA-50, Diâmetro de 16,0mm para Supraestrutura, Corte e Dobra em Obra</v>
      </c>
      <c r="D545" s="1079" t="s">
        <v>1564</v>
      </c>
      <c r="E545" s="1080" t="str">
        <f>_xlfn.XLOOKUP(D545,Insumos!$B$1:$B$670,Insumos!$C$1:$C$670)</f>
        <v>KG</v>
      </c>
      <c r="F545" s="1083">
        <v>2.0500000000000001E-2</v>
      </c>
      <c r="G545" s="1081">
        <f>IF(B545="insumo",_xlfn.XLOOKUP($D545,Insumos!$B$1:$B$670,Insumos!$D$1:$D$670),"")</f>
        <v>16.71</v>
      </c>
      <c r="H545" s="1081" cm="1">
        <f t="array" ref="H545">_xlfn.IFS(B545="Serviço",SUMIFS(H546:$H$2465,C546:$C$2465,$C545),B545="Insumo",F545*G545,B545="Etapa","")</f>
        <v>0.34255500000000005</v>
      </c>
      <c r="I545" s="1082"/>
    </row>
    <row r="546" spans="1:9" hidden="1" outlineLevel="2" x14ac:dyDescent="0.25">
      <c r="A546" s="1079">
        <f t="shared" si="20"/>
        <v>35</v>
      </c>
      <c r="B546" s="1079" t="s">
        <v>1362</v>
      </c>
      <c r="C546" s="1079" t="str">
        <f t="shared" si="21"/>
        <v>Armação Aço CA-50, Diâmetro de 16,0mm para Supraestrutura, Corte e Dobra em Obra</v>
      </c>
      <c r="D546" s="1079" t="s">
        <v>1484</v>
      </c>
      <c r="E546" s="1080" t="str">
        <f>_xlfn.XLOOKUP(D546,Insumos!$B$1:$B$670,Insumos!$C$1:$C$670)</f>
        <v>UN</v>
      </c>
      <c r="F546" s="1083">
        <v>0.05</v>
      </c>
      <c r="G546" s="1081">
        <f>IF(B546="insumo",_xlfn.XLOOKUP($D546,Insumos!$B$1:$B$670,Insumos!$D$1:$D$670),"")</f>
        <v>0.27</v>
      </c>
      <c r="H546" s="1081" cm="1">
        <f t="array" ref="H546">_xlfn.IFS(B546="Serviço",SUMIFS(H547:$H$2465,C547:$C$2465,$C546),B546="Insumo",F546*G546,B546="Etapa","")</f>
        <v>1.3500000000000002E-2</v>
      </c>
      <c r="I546" s="1082"/>
    </row>
    <row r="547" spans="1:9" hidden="1" outlineLevel="1" x14ac:dyDescent="0.25">
      <c r="A547" s="1079">
        <f t="shared" si="20"/>
        <v>1</v>
      </c>
      <c r="B547" s="1079" t="s">
        <v>471</v>
      </c>
      <c r="C547" s="1079" t="str">
        <f t="shared" si="21"/>
        <v>Armação Aço CA-50, Diâmetro de 20,0mm para Supraestrutura, Corte e Dobra em Obra</v>
      </c>
      <c r="D547" s="1079" t="s">
        <v>1566</v>
      </c>
      <c r="E547" s="1080" t="s">
        <v>1481</v>
      </c>
      <c r="F547" s="1079"/>
      <c r="G547" s="1081" t="str">
        <f>IF(B547="insumo",_xlfn.XLOOKUP($D547,Insumos!$B$1:$B$670,Insumos!$D$1:$D$670),"")</f>
        <v/>
      </c>
      <c r="H547" s="1081" cm="1">
        <f t="array" ref="H547">_xlfn.IFS(B547="Serviço",SUMIFS(H548:$H$2465,C548:$C$2465,$C547),B547="Insumo",F547*G547,B547="Etapa","")</f>
        <v>6.5050549999999996</v>
      </c>
      <c r="I547" s="1082" t="s">
        <v>872</v>
      </c>
    </row>
    <row r="548" spans="1:9" hidden="1" outlineLevel="2" x14ac:dyDescent="0.25">
      <c r="A548" s="1079">
        <f t="shared" si="20"/>
        <v>4</v>
      </c>
      <c r="B548" s="1079" t="s">
        <v>1362</v>
      </c>
      <c r="C548" s="1079" t="str">
        <f t="shared" si="21"/>
        <v>Armação Aço CA-50, Diâmetro de 20,0mm para Supraestrutura, Corte e Dobra em Obra</v>
      </c>
      <c r="D548" s="1079" t="s">
        <v>1492</v>
      </c>
      <c r="E548" s="1080" t="str">
        <f>_xlfn.XLOOKUP(D548,Insumos!$B$1:$B$670,Insumos!$C$1:$C$670)</f>
        <v>KG</v>
      </c>
      <c r="F548" s="1083">
        <v>1.1000000000000001</v>
      </c>
      <c r="G548" s="1081">
        <f>IF(B548="insumo",_xlfn.XLOOKUP($D548,Insumos!$B$1:$B$670,Insumos!$D$1:$D$670),"")</f>
        <v>5.59</v>
      </c>
      <c r="H548" s="1081" cm="1">
        <f t="array" ref="H548">_xlfn.IFS(B548="Serviço",SUMIFS(H549:$H$2465,C549:$C$2465,$C548),B548="Insumo",F548*G548,B548="Etapa","")</f>
        <v>6.149</v>
      </c>
      <c r="I548" s="1082"/>
    </row>
    <row r="549" spans="1:9" hidden="1" outlineLevel="2" x14ac:dyDescent="0.25">
      <c r="A549" s="1079">
        <f t="shared" si="20"/>
        <v>12</v>
      </c>
      <c r="B549" s="1079" t="s">
        <v>1362</v>
      </c>
      <c r="C549" s="1079" t="str">
        <f t="shared" si="21"/>
        <v>Armação Aço CA-50, Diâmetro de 20,0mm para Supraestrutura, Corte e Dobra em Obra</v>
      </c>
      <c r="D549" s="1079" t="s">
        <v>1564</v>
      </c>
      <c r="E549" s="1080" t="str">
        <f>_xlfn.XLOOKUP(D549,Insumos!$B$1:$B$670,Insumos!$C$1:$C$670)</f>
        <v>KG</v>
      </c>
      <c r="F549" s="1083">
        <v>2.0500000000000001E-2</v>
      </c>
      <c r="G549" s="1081">
        <f>IF(B549="insumo",_xlfn.XLOOKUP($D549,Insumos!$B$1:$B$670,Insumos!$D$1:$D$670),"")</f>
        <v>16.71</v>
      </c>
      <c r="H549" s="1081" cm="1">
        <f t="array" ref="H549">_xlfn.IFS(B549="Serviço",SUMIFS(H550:$H$2465,C550:$C$2465,$C549),B549="Insumo",F549*G549,B549="Etapa","")</f>
        <v>0.34255500000000005</v>
      </c>
      <c r="I549" s="1082"/>
    </row>
    <row r="550" spans="1:9" hidden="1" outlineLevel="2" x14ac:dyDescent="0.25">
      <c r="A550" s="1079">
        <f t="shared" si="20"/>
        <v>35</v>
      </c>
      <c r="B550" s="1079" t="s">
        <v>1362</v>
      </c>
      <c r="C550" s="1079" t="str">
        <f t="shared" si="21"/>
        <v>Armação Aço CA-50, Diâmetro de 20,0mm para Supraestrutura, Corte e Dobra em Obra</v>
      </c>
      <c r="D550" s="1079" t="s">
        <v>1484</v>
      </c>
      <c r="E550" s="1080" t="str">
        <f>_xlfn.XLOOKUP(D550,Insumos!$B$1:$B$670,Insumos!$C$1:$C$670)</f>
        <v>UN</v>
      </c>
      <c r="F550" s="1083">
        <v>0.05</v>
      </c>
      <c r="G550" s="1081">
        <f>IF(B550="insumo",_xlfn.XLOOKUP($D550,Insumos!$B$1:$B$670,Insumos!$D$1:$D$670),"")</f>
        <v>0.27</v>
      </c>
      <c r="H550" s="1081" cm="1">
        <f t="array" ref="H550">_xlfn.IFS(B550="Serviço",SUMIFS(H551:$H$2465,C551:$C$2465,$C550),B550="Insumo",F550*G550,B550="Etapa","")</f>
        <v>1.3500000000000002E-2</v>
      </c>
      <c r="I550" s="1082"/>
    </row>
    <row r="551" spans="1:9" hidden="1" outlineLevel="1" x14ac:dyDescent="0.25">
      <c r="A551" s="1079">
        <f t="shared" si="20"/>
        <v>1</v>
      </c>
      <c r="B551" s="1079" t="s">
        <v>471</v>
      </c>
      <c r="C551" s="1079" t="str">
        <f t="shared" si="21"/>
        <v>Armação Aço CA-50, Diâmetro de 25,0mm para Supraestrutura, Corte e Dobra em Obra</v>
      </c>
      <c r="D551" s="1079" t="s">
        <v>1567</v>
      </c>
      <c r="E551" s="1080" t="s">
        <v>1481</v>
      </c>
      <c r="F551" s="1079"/>
      <c r="G551" s="1081" t="str">
        <f>IF(B551="insumo",_xlfn.XLOOKUP($D551,Insumos!$B$1:$B$670,Insumos!$D$1:$D$670),"")</f>
        <v/>
      </c>
      <c r="H551" s="1081" cm="1">
        <f t="array" ref="H551">_xlfn.IFS(B551="Serviço",SUMIFS(H552:$H$2465,C552:$C$2465,$C551),B551="Insumo",F551*G551,B551="Etapa","")</f>
        <v>6.7690549999999998</v>
      </c>
      <c r="I551" s="1082" t="s">
        <v>872</v>
      </c>
    </row>
    <row r="552" spans="1:9" hidden="1" outlineLevel="2" x14ac:dyDescent="0.25">
      <c r="A552" s="1079">
        <f t="shared" si="20"/>
        <v>3</v>
      </c>
      <c r="B552" s="1079" t="s">
        <v>1362</v>
      </c>
      <c r="C552" s="1079" t="str">
        <f t="shared" si="21"/>
        <v>Armação Aço CA-50, Diâmetro de 25,0mm para Supraestrutura, Corte e Dobra em Obra</v>
      </c>
      <c r="D552" s="1079" t="s">
        <v>1511</v>
      </c>
      <c r="E552" s="1080" t="str">
        <f>_xlfn.XLOOKUP(D552,Insumos!$B$1:$B$670,Insumos!$C$1:$C$670)</f>
        <v>KG</v>
      </c>
      <c r="F552" s="1083">
        <v>1.1000000000000001</v>
      </c>
      <c r="G552" s="1081">
        <f>IF(B552="insumo",_xlfn.XLOOKUP($D552,Insumos!$B$1:$B$670,Insumos!$D$1:$D$670),"")</f>
        <v>5.83</v>
      </c>
      <c r="H552" s="1081" cm="1">
        <f t="array" ref="H552">_xlfn.IFS(B552="Serviço",SUMIFS(H553:$H$2465,C553:$C$2465,$C552),B552="Insumo",F552*G552,B552="Etapa","")</f>
        <v>6.4130000000000003</v>
      </c>
      <c r="I552" s="1082"/>
    </row>
    <row r="553" spans="1:9" hidden="1" outlineLevel="2" x14ac:dyDescent="0.25">
      <c r="A553" s="1079">
        <f t="shared" si="20"/>
        <v>12</v>
      </c>
      <c r="B553" s="1079" t="s">
        <v>1362</v>
      </c>
      <c r="C553" s="1079" t="str">
        <f t="shared" si="21"/>
        <v>Armação Aço CA-50, Diâmetro de 25,0mm para Supraestrutura, Corte e Dobra em Obra</v>
      </c>
      <c r="D553" s="1079" t="s">
        <v>1564</v>
      </c>
      <c r="E553" s="1080" t="str">
        <f>_xlfn.XLOOKUP(D553,Insumos!$B$1:$B$670,Insumos!$C$1:$C$670)</f>
        <v>KG</v>
      </c>
      <c r="F553" s="1083">
        <v>2.0500000000000001E-2</v>
      </c>
      <c r="G553" s="1081">
        <f>IF(B553="insumo",_xlfn.XLOOKUP($D553,Insumos!$B$1:$B$670,Insumos!$D$1:$D$670),"")</f>
        <v>16.71</v>
      </c>
      <c r="H553" s="1081" cm="1">
        <f t="array" ref="H553">_xlfn.IFS(B553="Serviço",SUMIFS(H554:$H$2465,C554:$C$2465,$C553),B553="Insumo",F553*G553,B553="Etapa","")</f>
        <v>0.34255500000000005</v>
      </c>
      <c r="I553" s="1082"/>
    </row>
    <row r="554" spans="1:9" hidden="1" outlineLevel="2" x14ac:dyDescent="0.25">
      <c r="A554" s="1079">
        <f t="shared" si="20"/>
        <v>35</v>
      </c>
      <c r="B554" s="1079" t="s">
        <v>1362</v>
      </c>
      <c r="C554" s="1079" t="str">
        <f t="shared" si="21"/>
        <v>Armação Aço CA-50, Diâmetro de 25,0mm para Supraestrutura, Corte e Dobra em Obra</v>
      </c>
      <c r="D554" s="1079" t="s">
        <v>1484</v>
      </c>
      <c r="E554" s="1080" t="str">
        <f>_xlfn.XLOOKUP(D554,Insumos!$B$1:$B$670,Insumos!$C$1:$C$670)</f>
        <v>UN</v>
      </c>
      <c r="F554" s="1083">
        <v>0.05</v>
      </c>
      <c r="G554" s="1081">
        <f>IF(B554="insumo",_xlfn.XLOOKUP($D554,Insumos!$B$1:$B$670,Insumos!$D$1:$D$670),"")</f>
        <v>0.27</v>
      </c>
      <c r="H554" s="1081" cm="1">
        <f t="array" ref="H554">_xlfn.IFS(B554="Serviço",SUMIFS(H555:$H$2465,C555:$C$2465,$C554),B554="Insumo",F554*G554,B554="Etapa","")</f>
        <v>1.3500000000000002E-2</v>
      </c>
      <c r="I554" s="1082"/>
    </row>
    <row r="555" spans="1:9" hidden="1" outlineLevel="1" collapsed="1" x14ac:dyDescent="0.25">
      <c r="A555" s="1079">
        <f t="shared" si="20"/>
        <v>1</v>
      </c>
      <c r="B555" s="1079" t="s">
        <v>471</v>
      </c>
      <c r="C555" s="1079" t="str">
        <f t="shared" si="21"/>
        <v>Armação tela Q138 para Suprastrutura (corte e dobra em Obra)</v>
      </c>
      <c r="D555" s="1079" t="s">
        <v>1568</v>
      </c>
      <c r="E555" s="1080" t="s">
        <v>1481</v>
      </c>
      <c r="F555" s="1079"/>
      <c r="G555" s="1081" t="str">
        <f>IF(B555="insumo",_xlfn.XLOOKUP($D555,Insumos!$B$1:$B$670,Insumos!$D$1:$D$670),"")</f>
        <v/>
      </c>
      <c r="H555" s="1081" cm="1">
        <f t="array" ref="H555">_xlfn.IFS(B555="Serviço",SUMIFS(H556:$H$2465,C556:$C$2465,$C555),B555="Insumo",F555*G555,B555="Etapa","")</f>
        <v>10.415238673469389</v>
      </c>
      <c r="I555" s="1082" t="s">
        <v>872</v>
      </c>
    </row>
    <row r="556" spans="1:9" hidden="1" outlineLevel="2" x14ac:dyDescent="0.25">
      <c r="A556" s="1079">
        <f t="shared" si="20"/>
        <v>2</v>
      </c>
      <c r="B556" s="1079" t="s">
        <v>1362</v>
      </c>
      <c r="C556" s="1079" t="str">
        <f t="shared" si="21"/>
        <v>Armação tela Q138 para Suprastrutura (corte e dobra em Obra)</v>
      </c>
      <c r="D556" s="1079" t="s">
        <v>1561</v>
      </c>
      <c r="E556" s="1080" t="str">
        <f>_xlfn.XLOOKUP(D556,Insumos!$B$1:$B$670,Insumos!$C$1:$C$670)</f>
        <v>KG</v>
      </c>
      <c r="F556" s="1083">
        <v>1.1000000000000001</v>
      </c>
      <c r="G556" s="1081">
        <f>IF(B556="insumo",_xlfn.XLOOKUP($D556,Insumos!$B$1:$B$670,Insumos!$D$1:$D$670),"")</f>
        <v>9.1447124304267149</v>
      </c>
      <c r="H556" s="1081" cm="1">
        <f t="array" ref="H556">_xlfn.IFS(B556="Serviço",SUMIFS(H557:$H$2465,C557:$C$2465,$C556),B556="Insumo",F556*G556,B556="Etapa","")</f>
        <v>10.059183673469388</v>
      </c>
      <c r="I556" s="1082"/>
    </row>
    <row r="557" spans="1:9" hidden="1" outlineLevel="2" x14ac:dyDescent="0.25">
      <c r="A557" s="1079">
        <f t="shared" si="20"/>
        <v>12</v>
      </c>
      <c r="B557" s="1079" t="s">
        <v>1362</v>
      </c>
      <c r="C557" s="1079" t="str">
        <f t="shared" si="21"/>
        <v>Armação tela Q138 para Suprastrutura (corte e dobra em Obra)</v>
      </c>
      <c r="D557" s="1079" t="s">
        <v>1564</v>
      </c>
      <c r="E557" s="1080" t="str">
        <f>_xlfn.XLOOKUP(D557,Insumos!$B$1:$B$670,Insumos!$C$1:$C$670)</f>
        <v>KG</v>
      </c>
      <c r="F557" s="1083">
        <v>2.0500000000000001E-2</v>
      </c>
      <c r="G557" s="1081">
        <f>IF(B557="insumo",_xlfn.XLOOKUP($D557,Insumos!$B$1:$B$670,Insumos!$D$1:$D$670),"")</f>
        <v>16.71</v>
      </c>
      <c r="H557" s="1081" cm="1">
        <f t="array" ref="H557">_xlfn.IFS(B557="Serviço",SUMIFS(H558:$H$2465,C558:$C$2465,$C557),B557="Insumo",F557*G557,B557="Etapa","")</f>
        <v>0.34255500000000005</v>
      </c>
      <c r="I557" s="1082"/>
    </row>
    <row r="558" spans="1:9" hidden="1" outlineLevel="2" x14ac:dyDescent="0.25">
      <c r="A558" s="1079">
        <f t="shared" si="20"/>
        <v>35</v>
      </c>
      <c r="B558" s="1079" t="s">
        <v>1362</v>
      </c>
      <c r="C558" s="1079" t="str">
        <f t="shared" si="21"/>
        <v>Armação tela Q138 para Suprastrutura (corte e dobra em Obra)</v>
      </c>
      <c r="D558" s="1079" t="s">
        <v>1484</v>
      </c>
      <c r="E558" s="1080" t="str">
        <f>_xlfn.XLOOKUP(D558,Insumos!$B$1:$B$670,Insumos!$C$1:$C$670)</f>
        <v>UN</v>
      </c>
      <c r="F558" s="1083">
        <v>0.05</v>
      </c>
      <c r="G558" s="1081">
        <f>IF(B558="insumo",_xlfn.XLOOKUP($D558,Insumos!$B$1:$B$670,Insumos!$D$1:$D$670),"")</f>
        <v>0.27</v>
      </c>
      <c r="H558" s="1081" cm="1">
        <f t="array" ref="H558">_xlfn.IFS(B558="Serviço",SUMIFS(H567:$H$2465,C567:$C$2465,$C558),B558="Insumo",F558*G558,B558="Etapa","")</f>
        <v>1.3500000000000002E-2</v>
      </c>
      <c r="I558" s="1082"/>
    </row>
    <row r="559" spans="1:9" hidden="1" outlineLevel="1" x14ac:dyDescent="0.25">
      <c r="A559" s="1079">
        <f t="shared" si="20"/>
        <v>1</v>
      </c>
      <c r="B559" s="1079" t="s">
        <v>471</v>
      </c>
      <c r="C559" s="1079" t="str">
        <f>IF(B559="serviço",D559,C554)</f>
        <v>Armação Malha Ø5,0 c/25, para ContraPiso Armado (corte e dobra em Obra)</v>
      </c>
      <c r="D559" s="1079" t="s">
        <v>2561</v>
      </c>
      <c r="E559" s="1080" t="s">
        <v>1481</v>
      </c>
      <c r="F559" s="1079"/>
      <c r="G559" s="1081" t="str">
        <f>IF(B559="insumo",_xlfn.XLOOKUP($D559,Insumos!$B$1:$B$670,Insumos!$D$1:$D$670),"")</f>
        <v/>
      </c>
      <c r="H559" s="1081" cm="1">
        <f t="array" ref="H559">_xlfn.IFS(B559="Serviço",SUMIFS(H560:$H$2465,C560:$C$2465,$C559),B559="Insumo",F559*G559,B559="Etapa","")</f>
        <v>37.756055000000003</v>
      </c>
      <c r="I559" s="1082" t="s">
        <v>872</v>
      </c>
    </row>
    <row r="560" spans="1:9" hidden="1" outlineLevel="2" x14ac:dyDescent="0.25">
      <c r="A560" s="1079">
        <f t="shared" si="20"/>
        <v>1</v>
      </c>
      <c r="B560" s="1079" t="s">
        <v>1362</v>
      </c>
      <c r="C560" s="1079" t="str">
        <f t="shared" ref="C560:C562" si="22">IF(B560="serviço",D560,C559)</f>
        <v>Armação Malha Ø5,0 c/25, para ContraPiso Armado (corte e dobra em Obra)</v>
      </c>
      <c r="D560" s="1079" t="s">
        <v>2562</v>
      </c>
      <c r="E560" s="1080" t="str">
        <f>_xlfn.XLOOKUP(D560,Insumos!$B$1:$B$670,Insumos!$C$1:$C$670)</f>
        <v>M2</v>
      </c>
      <c r="F560" s="1083">
        <v>1.1000000000000001</v>
      </c>
      <c r="G560" s="1081">
        <f>IF(B560="insumo",_xlfn.XLOOKUP($D560,Insumos!$B$1:$B$670,Insumos!$D$1:$D$670),"")</f>
        <v>34</v>
      </c>
      <c r="H560" s="1081" cm="1">
        <f t="array" ref="H560">_xlfn.IFS(B560="Serviço",SUMIFS(H561:$H$2465,C561:$C$2465,$C560),B560="Insumo",F560*G560,B560="Etapa","")</f>
        <v>37.400000000000006</v>
      </c>
      <c r="I560" s="1082"/>
    </row>
    <row r="561" spans="1:9" hidden="1" outlineLevel="2" x14ac:dyDescent="0.25">
      <c r="A561" s="1079">
        <f t="shared" si="20"/>
        <v>12</v>
      </c>
      <c r="B561" s="1079" t="s">
        <v>1362</v>
      </c>
      <c r="C561" s="1079" t="str">
        <f t="shared" si="22"/>
        <v>Armação Malha Ø5,0 c/25, para ContraPiso Armado (corte e dobra em Obra)</v>
      </c>
      <c r="D561" s="1079" t="s">
        <v>1564</v>
      </c>
      <c r="E561" s="1080" t="str">
        <f>_xlfn.XLOOKUP(D561,Insumos!$B$1:$B$670,Insumos!$C$1:$C$670)</f>
        <v>KG</v>
      </c>
      <c r="F561" s="1083">
        <v>2.0500000000000001E-2</v>
      </c>
      <c r="G561" s="1081">
        <f>IF(B561="insumo",_xlfn.XLOOKUP($D561,Insumos!$B$1:$B$670,Insumos!$D$1:$D$670),"")</f>
        <v>16.71</v>
      </c>
      <c r="H561" s="1081" cm="1">
        <f t="array" ref="H561">_xlfn.IFS(B561="Serviço",SUMIFS(H562:$H$2465,C562:$C$2465,$C561),B561="Insumo",F561*G561,B561="Etapa","")</f>
        <v>0.34255500000000005</v>
      </c>
      <c r="I561" s="1082"/>
    </row>
    <row r="562" spans="1:9" hidden="1" outlineLevel="2" x14ac:dyDescent="0.25">
      <c r="A562" s="1079">
        <f t="shared" si="20"/>
        <v>35</v>
      </c>
      <c r="B562" s="1079" t="s">
        <v>1362</v>
      </c>
      <c r="C562" s="1079" t="str">
        <f t="shared" si="22"/>
        <v>Armação Malha Ø5,0 c/25, para ContraPiso Armado (corte e dobra em Obra)</v>
      </c>
      <c r="D562" s="1079" t="s">
        <v>1484</v>
      </c>
      <c r="E562" s="1080" t="str">
        <f>_xlfn.XLOOKUP(D562,Insumos!$B$1:$B$670,Insumos!$C$1:$C$670)</f>
        <v>UN</v>
      </c>
      <c r="F562" s="1083">
        <v>0.05</v>
      </c>
      <c r="G562" s="1081">
        <f>IF(B562="insumo",_xlfn.XLOOKUP($D562,Insumos!$B$1:$B$670,Insumos!$D$1:$D$670),"")</f>
        <v>0.27</v>
      </c>
      <c r="H562" s="1081" cm="1">
        <f t="array" ref="H562">_xlfn.IFS(B562="Serviço",SUMIFS(H567:$H$2465,C567:$C$2465,$C562),B562="Insumo",F562*G562,B562="Etapa","")</f>
        <v>1.3500000000000002E-2</v>
      </c>
      <c r="I562" s="1082"/>
    </row>
    <row r="563" spans="1:9" hidden="1" outlineLevel="1" x14ac:dyDescent="0.25">
      <c r="A563" s="1079">
        <f t="shared" si="20"/>
        <v>1</v>
      </c>
      <c r="B563" s="1079" t="s">
        <v>471</v>
      </c>
      <c r="C563" s="1079" t="str">
        <f>IF(B563="serviço",D563,C554)</f>
        <v>Tela Soldada nervurada Q-92, aplicação em capa de laje</v>
      </c>
      <c r="D563" s="1079" t="s">
        <v>2563</v>
      </c>
      <c r="E563" s="1080" t="s">
        <v>1481</v>
      </c>
      <c r="F563" s="1079"/>
      <c r="G563" s="1081" t="str">
        <f>IF(B563="insumo",_xlfn.XLOOKUP($D563,Insumos!$B$1:$B$670,Insumos!$D$1:$D$670),"")</f>
        <v/>
      </c>
      <c r="H563" s="1081" cm="1">
        <f t="array" ref="H563">_xlfn.IFS(B563="Serviço",SUMIFS(H564:$H$2465,C564:$C$2465,$C563),B563="Insumo",F563*G563,B563="Etapa","")</f>
        <v>5.7240549999999999</v>
      </c>
      <c r="I563" s="1082" t="s">
        <v>872</v>
      </c>
    </row>
    <row r="564" spans="1:9" hidden="1" outlineLevel="2" x14ac:dyDescent="0.25">
      <c r="A564" s="1079">
        <f t="shared" si="20"/>
        <v>2</v>
      </c>
      <c r="B564" s="1079" t="s">
        <v>1362</v>
      </c>
      <c r="C564" s="1079" t="str">
        <f t="shared" ref="C564:C566" si="23">IF(B564="serviço",D564,C563)</f>
        <v>Tela Soldada nervurada Q-92, aplicação em capa de laje</v>
      </c>
      <c r="D564" s="1079" t="s">
        <v>1570</v>
      </c>
      <c r="E564" s="1080" t="str">
        <f>_xlfn.XLOOKUP(D564,Insumos!$B$1:$B$670,Insumos!$C$1:$C$670)</f>
        <v>KG</v>
      </c>
      <c r="F564" s="1083">
        <v>1.1000000000000001</v>
      </c>
      <c r="G564" s="1081">
        <f>IF(B564="insumo",_xlfn.XLOOKUP($D564,Insumos!$B$1:$B$670,Insumos!$D$1:$D$670),"")</f>
        <v>4.88</v>
      </c>
      <c r="H564" s="1081" cm="1">
        <f t="array" ref="H564">_xlfn.IFS(B564="Serviço",SUMIFS(H565:$H$2465,C565:$C$2465,$C564),B564="Insumo",F564*G564,B564="Etapa","")</f>
        <v>5.3680000000000003</v>
      </c>
      <c r="I564" s="1082"/>
    </row>
    <row r="565" spans="1:9" hidden="1" outlineLevel="2" x14ac:dyDescent="0.25">
      <c r="A565" s="1079">
        <f t="shared" si="20"/>
        <v>12</v>
      </c>
      <c r="B565" s="1079" t="s">
        <v>1362</v>
      </c>
      <c r="C565" s="1079" t="str">
        <f t="shared" si="23"/>
        <v>Tela Soldada nervurada Q-92, aplicação em capa de laje</v>
      </c>
      <c r="D565" s="1079" t="s">
        <v>1564</v>
      </c>
      <c r="E565" s="1080" t="str">
        <f>_xlfn.XLOOKUP(D565,Insumos!$B$1:$B$670,Insumos!$C$1:$C$670)</f>
        <v>KG</v>
      </c>
      <c r="F565" s="1083">
        <v>2.0500000000000001E-2</v>
      </c>
      <c r="G565" s="1081">
        <f>IF(B565="insumo",_xlfn.XLOOKUP($D565,Insumos!$B$1:$B$670,Insumos!$D$1:$D$670),"")</f>
        <v>16.71</v>
      </c>
      <c r="H565" s="1081" cm="1">
        <f t="array" ref="H565">_xlfn.IFS(B565="Serviço",SUMIFS(H566:$H$2465,C566:$C$2465,$C565),B565="Insumo",F565*G565,B565="Etapa","")</f>
        <v>0.34255500000000005</v>
      </c>
      <c r="I565" s="1082"/>
    </row>
    <row r="566" spans="1:9" hidden="1" outlineLevel="2" x14ac:dyDescent="0.25">
      <c r="A566" s="1079">
        <f t="shared" si="20"/>
        <v>35</v>
      </c>
      <c r="B566" s="1079" t="s">
        <v>1362</v>
      </c>
      <c r="C566" s="1079" t="str">
        <f t="shared" si="23"/>
        <v>Tela Soldada nervurada Q-92, aplicação em capa de laje</v>
      </c>
      <c r="D566" s="1079" t="s">
        <v>1484</v>
      </c>
      <c r="E566" s="1080" t="str">
        <f>_xlfn.XLOOKUP(D566,Insumos!$B$1:$B$670,Insumos!$C$1:$C$670)</f>
        <v>UN</v>
      </c>
      <c r="F566" s="1083">
        <v>0.05</v>
      </c>
      <c r="G566" s="1081">
        <f>IF(B566="insumo",_xlfn.XLOOKUP($D566,Insumos!$B$1:$B$670,Insumos!$D$1:$D$670),"")</f>
        <v>0.27</v>
      </c>
      <c r="H566" s="1081" cm="1">
        <f t="array" ref="H566">_xlfn.IFS(B566="Serviço",SUMIFS(H567:$H$2465,C567:$C$2465,$C566),B566="Insumo",F566*G566,B566="Etapa","")</f>
        <v>1.3500000000000002E-2</v>
      </c>
      <c r="I566" s="1082"/>
    </row>
    <row r="567" spans="1:9" hidden="1" outlineLevel="1" x14ac:dyDescent="0.25">
      <c r="A567" s="1079">
        <f t="shared" si="20"/>
        <v>1</v>
      </c>
      <c r="B567" s="1079" t="s">
        <v>471</v>
      </c>
      <c r="C567" s="1079" t="str">
        <f>IF(B567="serviço",D567,C558)</f>
        <v>Armação tela Q92 para ContraPiso Armado (corte e dobra em Obra)</v>
      </c>
      <c r="D567" s="1079" t="s">
        <v>1569</v>
      </c>
      <c r="E567" s="1080" t="s">
        <v>1481</v>
      </c>
      <c r="F567" s="1079"/>
      <c r="G567" s="1081" t="str">
        <f>IF(B567="insumo",_xlfn.XLOOKUP($D567,Insumos!$B$1:$B$670,Insumos!$D$1:$D$670),"")</f>
        <v/>
      </c>
      <c r="H567" s="1081" cm="1">
        <f t="array" ref="H567">_xlfn.IFS(B567="Serviço",SUMIFS(H568:$H$2465,C568:$C$2465,$C567),B567="Insumo",F567*G567,B567="Etapa","")</f>
        <v>5.7240549999999999</v>
      </c>
      <c r="I567" s="1082" t="s">
        <v>872</v>
      </c>
    </row>
    <row r="568" spans="1:9" hidden="1" outlineLevel="2" x14ac:dyDescent="0.25">
      <c r="A568" s="1079">
        <f t="shared" si="20"/>
        <v>2</v>
      </c>
      <c r="B568" s="1079" t="s">
        <v>1362</v>
      </c>
      <c r="C568" s="1079" t="str">
        <f t="shared" si="21"/>
        <v>Armação tela Q92 para ContraPiso Armado (corte e dobra em Obra)</v>
      </c>
      <c r="D568" s="1079" t="s">
        <v>1570</v>
      </c>
      <c r="E568" s="1080" t="str">
        <f>_xlfn.XLOOKUP(D568,Insumos!$B$1:$B$670,Insumos!$C$1:$C$670)</f>
        <v>KG</v>
      </c>
      <c r="F568" s="1083">
        <v>1.1000000000000001</v>
      </c>
      <c r="G568" s="1081">
        <f>IF(B568="insumo",_xlfn.XLOOKUP($D568,Insumos!$B$1:$B$670,Insumos!$D$1:$D$670),"")</f>
        <v>4.88</v>
      </c>
      <c r="H568" s="1081" cm="1">
        <f t="array" ref="H568">_xlfn.IFS(B568="Serviço",SUMIFS(H569:$H$2465,C569:$C$2465,$C568),B568="Insumo",F568*G568,B568="Etapa","")</f>
        <v>5.3680000000000003</v>
      </c>
      <c r="I568" s="1082"/>
    </row>
    <row r="569" spans="1:9" hidden="1" outlineLevel="2" x14ac:dyDescent="0.25">
      <c r="A569" s="1079">
        <f t="shared" si="20"/>
        <v>12</v>
      </c>
      <c r="B569" s="1079" t="s">
        <v>1362</v>
      </c>
      <c r="C569" s="1079" t="str">
        <f t="shared" si="21"/>
        <v>Armação tela Q92 para ContraPiso Armado (corte e dobra em Obra)</v>
      </c>
      <c r="D569" s="1079" t="s">
        <v>1564</v>
      </c>
      <c r="E569" s="1080" t="str">
        <f>_xlfn.XLOOKUP(D569,Insumos!$B$1:$B$670,Insumos!$C$1:$C$670)</f>
        <v>KG</v>
      </c>
      <c r="F569" s="1083">
        <v>2.0500000000000001E-2</v>
      </c>
      <c r="G569" s="1081">
        <f>IF(B569="insumo",_xlfn.XLOOKUP($D569,Insumos!$B$1:$B$670,Insumos!$D$1:$D$670),"")</f>
        <v>16.71</v>
      </c>
      <c r="H569" s="1081" cm="1">
        <f t="array" ref="H569">_xlfn.IFS(B569="Serviço",SUMIFS(H570:$H$2465,C570:$C$2465,$C569),B569="Insumo",F569*G569,B569="Etapa","")</f>
        <v>0.34255500000000005</v>
      </c>
      <c r="I569" s="1082"/>
    </row>
    <row r="570" spans="1:9" hidden="1" outlineLevel="2" x14ac:dyDescent="0.25">
      <c r="A570" s="1079">
        <f t="shared" si="20"/>
        <v>35</v>
      </c>
      <c r="B570" s="1079" t="s">
        <v>1362</v>
      </c>
      <c r="C570" s="1079" t="str">
        <f t="shared" si="21"/>
        <v>Armação tela Q92 para ContraPiso Armado (corte e dobra em Obra)</v>
      </c>
      <c r="D570" s="1079" t="s">
        <v>1484</v>
      </c>
      <c r="E570" s="1080" t="str">
        <f>_xlfn.XLOOKUP(D570,Insumos!$B$1:$B$670,Insumos!$C$1:$C$670)</f>
        <v>UN</v>
      </c>
      <c r="F570" s="1083">
        <v>0.05</v>
      </c>
      <c r="G570" s="1081">
        <f>IF(B570="insumo",_xlfn.XLOOKUP($D570,Insumos!$B$1:$B$670,Insumos!$D$1:$D$670),"")</f>
        <v>0.27</v>
      </c>
      <c r="H570" s="1081" cm="1">
        <f t="array" ref="H570">_xlfn.IFS(B570="Serviço",SUMIFS(H571:$H$2465,C571:$C$2465,$C570),B570="Insumo",F570*G570,B570="Etapa","")</f>
        <v>1.3500000000000002E-2</v>
      </c>
      <c r="I570" s="1082"/>
    </row>
    <row r="571" spans="1:9" hidden="1" outlineLevel="1" collapsed="1" x14ac:dyDescent="0.25">
      <c r="A571" s="1079">
        <f t="shared" si="20"/>
        <v>1</v>
      </c>
      <c r="B571" s="1079" t="s">
        <v>471</v>
      </c>
      <c r="C571" s="1079" t="str">
        <f t="shared" si="21"/>
        <v>Concreto Usinado FCK = 20MPa Bombeavel Para Supraestrutura</v>
      </c>
      <c r="D571" s="1079" t="s">
        <v>1571</v>
      </c>
      <c r="E571" s="1080" t="s">
        <v>1426</v>
      </c>
      <c r="F571" s="1079"/>
      <c r="G571" s="1081" t="str">
        <f>IF(B571="insumo",_xlfn.XLOOKUP($D571,Insumos!$B$1:$B$670,Insumos!$D$1:$D$670),"")</f>
        <v/>
      </c>
      <c r="H571" s="1081" cm="1">
        <f t="array" ref="H571">_xlfn.IFS(B571="Serviço",SUMIFS(H572:$H$2465,C572:$C$2465,$C571),B571="Insumo",F571*G571,B571="Etapa","")</f>
        <v>557.26</v>
      </c>
      <c r="I571" s="1082" t="s">
        <v>872</v>
      </c>
    </row>
    <row r="572" spans="1:9" hidden="1" outlineLevel="2" x14ac:dyDescent="0.25">
      <c r="A572" s="1079">
        <f t="shared" si="20"/>
        <v>9</v>
      </c>
      <c r="B572" s="1079" t="s">
        <v>1362</v>
      </c>
      <c r="C572" s="1079" t="str">
        <f t="shared" si="21"/>
        <v>Concreto Usinado FCK = 20MPa Bombeavel Para Supraestrutura</v>
      </c>
      <c r="D572" s="1079" t="s">
        <v>1365</v>
      </c>
      <c r="E572" s="1080" t="str">
        <f>_xlfn.XLOOKUP(D572,Insumos!$B$1:$B$670,Insumos!$C$1:$C$670)</f>
        <v>M3</v>
      </c>
      <c r="F572" s="1083">
        <v>1.05</v>
      </c>
      <c r="G572" s="1081">
        <f>IF(B572="insumo",_xlfn.XLOOKUP($D572,Insumos!$B$1:$B$670,Insumos!$D$1:$D$670),"")</f>
        <v>490</v>
      </c>
      <c r="H572" s="1081" cm="1">
        <f t="array" ref="H572">_xlfn.IFS(B572="Serviço",SUMIFS(H573:$H$2465,C573:$C$2465,$C572),B572="Insumo",F572*G572,B572="Etapa","")</f>
        <v>514.5</v>
      </c>
      <c r="I572" s="1082"/>
    </row>
    <row r="573" spans="1:9" hidden="1" outlineLevel="2" x14ac:dyDescent="0.25">
      <c r="A573" s="1079">
        <f t="shared" si="20"/>
        <v>22</v>
      </c>
      <c r="B573" s="1079" t="s">
        <v>1362</v>
      </c>
      <c r="C573" s="1079" t="str">
        <f t="shared" si="21"/>
        <v>Concreto Usinado FCK = 20MPa Bombeavel Para Supraestrutura</v>
      </c>
      <c r="D573" s="1079" t="s">
        <v>1433</v>
      </c>
      <c r="E573" s="1080" t="str">
        <f>_xlfn.XLOOKUP(D573,Insumos!$B$1:$B$670,Insumos!$C$1:$C$670)</f>
        <v>M3</v>
      </c>
      <c r="F573" s="1083">
        <v>1.05</v>
      </c>
      <c r="G573" s="1081">
        <f>IF(B573="insumo",_xlfn.XLOOKUP($D573,Insumos!$B$1:$B$670,Insumos!$D$1:$D$670),"")</f>
        <v>40</v>
      </c>
      <c r="H573" s="1081" cm="1">
        <f t="array" ref="H573">_xlfn.IFS(B573="Serviço",SUMIFS(H574:$H$2465,C574:$C$2465,$C573),B573="Insumo",F573*G573,B573="Etapa","")</f>
        <v>42</v>
      </c>
      <c r="I573" s="1082"/>
    </row>
    <row r="574" spans="1:9" hidden="1" outlineLevel="2" x14ac:dyDescent="0.25">
      <c r="A574" s="1079">
        <f t="shared" si="20"/>
        <v>38</v>
      </c>
      <c r="B574" s="1079" t="s">
        <v>1362</v>
      </c>
      <c r="C574" s="1079" t="str">
        <f t="shared" si="21"/>
        <v>Concreto Usinado FCK = 20MPa Bombeavel Para Supraestrutura</v>
      </c>
      <c r="D574" s="1079" t="s">
        <v>1434</v>
      </c>
      <c r="E574" s="1080" t="str">
        <f>_xlfn.XLOOKUP(D574,Insumos!$B$1:$B$670,Insumos!$C$1:$C$670)</f>
        <v>KG</v>
      </c>
      <c r="F574" s="1083">
        <v>1</v>
      </c>
      <c r="G574" s="1081">
        <f>IF(B574="insumo",_xlfn.XLOOKUP($D574,Insumos!$B$1:$B$670,Insumos!$D$1:$D$670),"")</f>
        <v>0.76</v>
      </c>
      <c r="H574" s="1081" cm="1">
        <f t="array" ref="H574">_xlfn.IFS(B574="Serviço",SUMIFS(H575:$H$2465,C575:$C$2465,$C574),B574="Insumo",F574*G574,B574="Etapa","")</f>
        <v>0.76</v>
      </c>
      <c r="I574" s="1082"/>
    </row>
    <row r="575" spans="1:9" hidden="1" outlineLevel="1" collapsed="1" x14ac:dyDescent="0.25">
      <c r="A575" s="1079">
        <f t="shared" si="20"/>
        <v>1</v>
      </c>
      <c r="B575" s="1079" t="s">
        <v>471</v>
      </c>
      <c r="C575" s="1079" t="str">
        <f t="shared" si="21"/>
        <v>Concreto Usinado FCK = 30MPa Bombeavel Para Supraestrutura</v>
      </c>
      <c r="D575" s="1079" t="s">
        <v>1572</v>
      </c>
      <c r="E575" s="1080" t="s">
        <v>1426</v>
      </c>
      <c r="F575" s="1079"/>
      <c r="G575" s="1081" t="str">
        <f>IF(B575="insumo",_xlfn.XLOOKUP($D575,Insumos!$B$1:$B$670,Insumos!$D$1:$D$670),"")</f>
        <v/>
      </c>
      <c r="H575" s="1081" cm="1">
        <f t="array" ref="H575">_xlfn.IFS(B575="Serviço",SUMIFS(H576:$H$2465,C576:$C$2465,$C575),B575="Insumo",F575*G575,B575="Etapa","")</f>
        <v>578.26</v>
      </c>
      <c r="I575" s="1082" t="s">
        <v>872</v>
      </c>
    </row>
    <row r="576" spans="1:9" hidden="1" outlineLevel="2" x14ac:dyDescent="0.25">
      <c r="A576" s="1079">
        <f t="shared" si="20"/>
        <v>4</v>
      </c>
      <c r="B576" s="1079" t="s">
        <v>1362</v>
      </c>
      <c r="C576" s="1079" t="str">
        <f t="shared" si="21"/>
        <v>Concreto Usinado FCK = 30MPa Bombeavel Para Supraestrutura</v>
      </c>
      <c r="D576" s="1079" t="s">
        <v>1514</v>
      </c>
      <c r="E576" s="1080" t="str">
        <f>_xlfn.XLOOKUP(D576,Insumos!$B$1:$B$670,Insumos!$C$1:$C$670)</f>
        <v>M3</v>
      </c>
      <c r="F576" s="1083">
        <v>1.05</v>
      </c>
      <c r="G576" s="1081">
        <f>IF(B576="insumo",_xlfn.XLOOKUP($D576,Insumos!$B$1:$B$670,Insumos!$D$1:$D$670),"")</f>
        <v>510</v>
      </c>
      <c r="H576" s="1081" cm="1">
        <f t="array" ref="H576">_xlfn.IFS(B576="Serviço",SUMIFS(H577:$H$2465,C577:$C$2465,$C576),B576="Insumo",F576*G576,B576="Etapa","")</f>
        <v>535.5</v>
      </c>
      <c r="I576" s="1082"/>
    </row>
    <row r="577" spans="1:9" hidden="1" outlineLevel="2" x14ac:dyDescent="0.25">
      <c r="A577" s="1079">
        <f t="shared" si="20"/>
        <v>22</v>
      </c>
      <c r="B577" s="1079" t="s">
        <v>1362</v>
      </c>
      <c r="C577" s="1079" t="str">
        <f t="shared" si="21"/>
        <v>Concreto Usinado FCK = 30MPa Bombeavel Para Supraestrutura</v>
      </c>
      <c r="D577" s="1079" t="s">
        <v>1433</v>
      </c>
      <c r="E577" s="1080" t="str">
        <f>_xlfn.XLOOKUP(D577,Insumos!$B$1:$B$670,Insumos!$C$1:$C$670)</f>
        <v>M3</v>
      </c>
      <c r="F577" s="1083">
        <v>1.05</v>
      </c>
      <c r="G577" s="1081">
        <f>IF(B577="insumo",_xlfn.XLOOKUP($D577,Insumos!$B$1:$B$670,Insumos!$D$1:$D$670),"")</f>
        <v>40</v>
      </c>
      <c r="H577" s="1081" cm="1">
        <f t="array" ref="H577">_xlfn.IFS(B577="Serviço",SUMIFS(H578:$H$2465,C578:$C$2465,$C577),B577="Insumo",F577*G577,B577="Etapa","")</f>
        <v>42</v>
      </c>
      <c r="I577" s="1082"/>
    </row>
    <row r="578" spans="1:9" hidden="1" outlineLevel="2" x14ac:dyDescent="0.25">
      <c r="A578" s="1079">
        <f t="shared" ref="A578:A641" si="24">COUNTIFS($D$2:$D$2465,D578,$B$2:$B$2465,B578)</f>
        <v>38</v>
      </c>
      <c r="B578" s="1079" t="s">
        <v>1362</v>
      </c>
      <c r="C578" s="1079" t="str">
        <f t="shared" si="21"/>
        <v>Concreto Usinado FCK = 30MPa Bombeavel Para Supraestrutura</v>
      </c>
      <c r="D578" s="1079" t="s">
        <v>1434</v>
      </c>
      <c r="E578" s="1080" t="str">
        <f>_xlfn.XLOOKUP(D578,Insumos!$B$1:$B$670,Insumos!$C$1:$C$670)</f>
        <v>KG</v>
      </c>
      <c r="F578" s="1083">
        <v>1</v>
      </c>
      <c r="G578" s="1081">
        <f>IF(B578="insumo",_xlfn.XLOOKUP($D578,Insumos!$B$1:$B$670,Insumos!$D$1:$D$670),"")</f>
        <v>0.76</v>
      </c>
      <c r="H578" s="1081" cm="1">
        <f t="array" ref="H578">_xlfn.IFS(B578="Serviço",SUMIFS(H579:$H$2465,C579:$C$2465,$C578),B578="Insumo",F578*G578,B578="Etapa","")</f>
        <v>0.76</v>
      </c>
      <c r="I578" s="1082"/>
    </row>
    <row r="579" spans="1:9" hidden="1" outlineLevel="1" x14ac:dyDescent="0.25">
      <c r="A579" s="1079">
        <f t="shared" si="24"/>
        <v>1</v>
      </c>
      <c r="B579" s="1079" t="s">
        <v>471</v>
      </c>
      <c r="C579" s="1079" t="str">
        <f t="shared" si="21"/>
        <v>Concreto Usinado FCK = 35MPa Bombeavel Para Supraestrutura</v>
      </c>
      <c r="D579" s="1079" t="s">
        <v>1573</v>
      </c>
      <c r="E579" s="1080" t="s">
        <v>1426</v>
      </c>
      <c r="F579" s="1079"/>
      <c r="G579" s="1081" t="str">
        <f>IF(B579="insumo",_xlfn.XLOOKUP($D579,Insumos!$B$1:$B$670,Insumos!$D$1:$D$670),"")</f>
        <v/>
      </c>
      <c r="H579" s="1081" cm="1">
        <f t="array" ref="H579">_xlfn.IFS(B579="Serviço",SUMIFS(H580:$H$2465,C580:$C$2465,$C579),B579="Insumo",F579*G579,B579="Etapa","")</f>
        <v>578.26</v>
      </c>
      <c r="I579" s="1082" t="s">
        <v>872</v>
      </c>
    </row>
    <row r="580" spans="1:9" hidden="1" outlineLevel="2" x14ac:dyDescent="0.25">
      <c r="A580" s="1079">
        <f t="shared" si="24"/>
        <v>6</v>
      </c>
      <c r="B580" s="1079" t="s">
        <v>1362</v>
      </c>
      <c r="C580" s="1079" t="str">
        <f t="shared" si="21"/>
        <v>Concreto Usinado FCK = 35MPa Bombeavel Para Supraestrutura</v>
      </c>
      <c r="D580" s="1079" t="s">
        <v>1516</v>
      </c>
      <c r="E580" s="1080" t="str">
        <f>_xlfn.XLOOKUP(D580,Insumos!$B$1:$B$670,Insumos!$C$1:$C$670)</f>
        <v>M3</v>
      </c>
      <c r="F580" s="1083">
        <v>1.05</v>
      </c>
      <c r="G580" s="1081">
        <f>IF(B580="insumo",_xlfn.XLOOKUP($D580,Insumos!$B$1:$B$670,Insumos!$D$1:$D$670),"")</f>
        <v>510</v>
      </c>
      <c r="H580" s="1081" cm="1">
        <f t="array" ref="H580">_xlfn.IFS(B580="Serviço",SUMIFS(H581:$H$2465,C581:$C$2465,$C580),B580="Insumo",F580*G580,B580="Etapa","")</f>
        <v>535.5</v>
      </c>
      <c r="I580" s="1082"/>
    </row>
    <row r="581" spans="1:9" hidden="1" outlineLevel="2" x14ac:dyDescent="0.25">
      <c r="A581" s="1079">
        <f t="shared" si="24"/>
        <v>22</v>
      </c>
      <c r="B581" s="1079" t="s">
        <v>1362</v>
      </c>
      <c r="C581" s="1079" t="str">
        <f t="shared" si="21"/>
        <v>Concreto Usinado FCK = 35MPa Bombeavel Para Supraestrutura</v>
      </c>
      <c r="D581" s="1079" t="s">
        <v>1433</v>
      </c>
      <c r="E581" s="1080" t="str">
        <f>_xlfn.XLOOKUP(D581,Insumos!$B$1:$B$670,Insumos!$C$1:$C$670)</f>
        <v>M3</v>
      </c>
      <c r="F581" s="1083">
        <v>1.05</v>
      </c>
      <c r="G581" s="1081">
        <f>IF(B581="insumo",_xlfn.XLOOKUP($D581,Insumos!$B$1:$B$670,Insumos!$D$1:$D$670),"")</f>
        <v>40</v>
      </c>
      <c r="H581" s="1081" cm="1">
        <f t="array" ref="H581">_xlfn.IFS(B581="Serviço",SUMIFS(H582:$H$2465,C582:$C$2465,$C581),B581="Insumo",F581*G581,B581="Etapa","")</f>
        <v>42</v>
      </c>
      <c r="I581" s="1082"/>
    </row>
    <row r="582" spans="1:9" hidden="1" outlineLevel="2" x14ac:dyDescent="0.25">
      <c r="A582" s="1079">
        <f t="shared" si="24"/>
        <v>38</v>
      </c>
      <c r="B582" s="1079" t="s">
        <v>1362</v>
      </c>
      <c r="C582" s="1079" t="str">
        <f t="shared" si="21"/>
        <v>Concreto Usinado FCK = 35MPa Bombeavel Para Supraestrutura</v>
      </c>
      <c r="D582" s="1079" t="s">
        <v>1434</v>
      </c>
      <c r="E582" s="1080" t="str">
        <f>_xlfn.XLOOKUP(D582,Insumos!$B$1:$B$670,Insumos!$C$1:$C$670)</f>
        <v>KG</v>
      </c>
      <c r="F582" s="1083">
        <v>1</v>
      </c>
      <c r="G582" s="1081">
        <f>IF(B582="insumo",_xlfn.XLOOKUP($D582,Insumos!$B$1:$B$670,Insumos!$D$1:$D$670),"")</f>
        <v>0.76</v>
      </c>
      <c r="H582" s="1081" cm="1">
        <f t="array" ref="H582">_xlfn.IFS(B582="Serviço",SUMIFS(H583:$H$2465,C583:$C$2465,$C582),B582="Insumo",F582*G582,B582="Etapa","")</f>
        <v>0.76</v>
      </c>
      <c r="I582" s="1082"/>
    </row>
    <row r="583" spans="1:9" hidden="1" outlineLevel="1" x14ac:dyDescent="0.25">
      <c r="A583" s="1079">
        <f t="shared" si="24"/>
        <v>1</v>
      </c>
      <c r="B583" s="1079" t="s">
        <v>471</v>
      </c>
      <c r="C583" s="1079" t="str">
        <f t="shared" si="21"/>
        <v>Concreto Usinado FCK = 40MPa Bombeavel Para Supraestrutura</v>
      </c>
      <c r="D583" s="1079" t="s">
        <v>1574</v>
      </c>
      <c r="E583" s="1080" t="s">
        <v>1426</v>
      </c>
      <c r="F583" s="1079"/>
      <c r="G583" s="1081" t="str">
        <f>IF(B583="insumo",_xlfn.XLOOKUP($D583,Insumos!$B$1:$B$670,Insumos!$D$1:$D$670),"")</f>
        <v/>
      </c>
      <c r="H583" s="1081" cm="1">
        <f t="array" ref="H583">_xlfn.IFS(B583="Serviço",SUMIFS(H584:$H$2465,C584:$C$2465,$C583),B583="Insumo",F583*G583,B583="Etapa","")</f>
        <v>651.76</v>
      </c>
      <c r="I583" s="1082" t="s">
        <v>872</v>
      </c>
    </row>
    <row r="584" spans="1:9" hidden="1" outlineLevel="2" x14ac:dyDescent="0.25">
      <c r="A584" s="1079">
        <f t="shared" si="24"/>
        <v>2</v>
      </c>
      <c r="B584" s="1079" t="s">
        <v>1362</v>
      </c>
      <c r="C584" s="1079" t="str">
        <f t="shared" si="21"/>
        <v>Concreto Usinado FCK = 40MPa Bombeavel Para Supraestrutura</v>
      </c>
      <c r="D584" s="1079" t="s">
        <v>1518</v>
      </c>
      <c r="E584" s="1080" t="str">
        <f>_xlfn.XLOOKUP(D584,Insumos!$B$1:$B$670,Insumos!$C$1:$C$670)</f>
        <v>M3</v>
      </c>
      <c r="F584" s="1083">
        <v>1.05</v>
      </c>
      <c r="G584" s="1081">
        <f>IF(B584="insumo",_xlfn.XLOOKUP($D584,Insumos!$B$1:$B$670,Insumos!$D$1:$D$670),"")</f>
        <v>580</v>
      </c>
      <c r="H584" s="1081" cm="1">
        <f t="array" ref="H584">_xlfn.IFS(B584="Serviço",SUMIFS(H585:$H$2465,C585:$C$2465,$C584),B584="Insumo",F584*G584,B584="Etapa","")</f>
        <v>609</v>
      </c>
      <c r="I584" s="1082"/>
    </row>
    <row r="585" spans="1:9" hidden="1" outlineLevel="2" x14ac:dyDescent="0.25">
      <c r="A585" s="1079">
        <f t="shared" si="24"/>
        <v>22</v>
      </c>
      <c r="B585" s="1079" t="s">
        <v>1362</v>
      </c>
      <c r="C585" s="1079" t="str">
        <f t="shared" si="21"/>
        <v>Concreto Usinado FCK = 40MPa Bombeavel Para Supraestrutura</v>
      </c>
      <c r="D585" s="1079" t="s">
        <v>1433</v>
      </c>
      <c r="E585" s="1080" t="str">
        <f>_xlfn.XLOOKUP(D585,Insumos!$B$1:$B$670,Insumos!$C$1:$C$670)</f>
        <v>M3</v>
      </c>
      <c r="F585" s="1083">
        <v>1.05</v>
      </c>
      <c r="G585" s="1081">
        <f>IF(B585="insumo",_xlfn.XLOOKUP($D585,Insumos!$B$1:$B$670,Insumos!$D$1:$D$670),"")</f>
        <v>40</v>
      </c>
      <c r="H585" s="1081" cm="1">
        <f t="array" ref="H585">_xlfn.IFS(B585="Serviço",SUMIFS(H586:$H$2465,C586:$C$2465,$C585),B585="Insumo",F585*G585,B585="Etapa","")</f>
        <v>42</v>
      </c>
      <c r="I585" s="1082"/>
    </row>
    <row r="586" spans="1:9" hidden="1" outlineLevel="2" x14ac:dyDescent="0.25">
      <c r="A586" s="1079">
        <f t="shared" si="24"/>
        <v>38</v>
      </c>
      <c r="B586" s="1079" t="s">
        <v>1362</v>
      </c>
      <c r="C586" s="1079" t="str">
        <f t="shared" si="21"/>
        <v>Concreto Usinado FCK = 40MPa Bombeavel Para Supraestrutura</v>
      </c>
      <c r="D586" s="1079" t="s">
        <v>1434</v>
      </c>
      <c r="E586" s="1080" t="str">
        <f>_xlfn.XLOOKUP(D586,Insumos!$B$1:$B$670,Insumos!$C$1:$C$670)</f>
        <v>KG</v>
      </c>
      <c r="F586" s="1083">
        <v>1</v>
      </c>
      <c r="G586" s="1081">
        <f>IF(B586="insumo",_xlfn.XLOOKUP($D586,Insumos!$B$1:$B$670,Insumos!$D$1:$D$670),"")</f>
        <v>0.76</v>
      </c>
      <c r="H586" s="1081" cm="1">
        <f t="array" ref="H586">_xlfn.IFS(B586="Serviço",SUMIFS(H587:$H$2465,C587:$C$2465,$C586),B586="Insumo",F586*G586,B586="Etapa","")</f>
        <v>0.76</v>
      </c>
      <c r="I586" s="1082"/>
    </row>
    <row r="587" spans="1:9" hidden="1" outlineLevel="1" collapsed="1" x14ac:dyDescent="0.25">
      <c r="A587" s="1079">
        <f t="shared" si="24"/>
        <v>1</v>
      </c>
      <c r="B587" s="1079" t="s">
        <v>471</v>
      </c>
      <c r="C587" s="1079" t="str">
        <f t="shared" si="21"/>
        <v>Concreto Usinado FCK = 50MPa Bombeavel Para Supraestrutura</v>
      </c>
      <c r="D587" s="1079" t="s">
        <v>1575</v>
      </c>
      <c r="E587" s="1080" t="s">
        <v>1426</v>
      </c>
      <c r="F587" s="1079"/>
      <c r="G587" s="1081" t="str">
        <f>IF(B587="insumo",_xlfn.XLOOKUP($D587,Insumos!$B$1:$B$670,Insumos!$D$1:$D$670),"")</f>
        <v/>
      </c>
      <c r="H587" s="1081" cm="1">
        <f t="array" ref="H587">_xlfn.IFS(B587="Serviço",SUMIFS(H588:$H$2465,C588:$C$2465,$C587),B587="Insumo",F587*G587,B587="Etapa","")</f>
        <v>683.26</v>
      </c>
      <c r="I587" s="1082" t="s">
        <v>872</v>
      </c>
    </row>
    <row r="588" spans="1:9" hidden="1" outlineLevel="2" x14ac:dyDescent="0.25">
      <c r="A588" s="1079">
        <f t="shared" si="24"/>
        <v>3</v>
      </c>
      <c r="B588" s="1079" t="s">
        <v>1362</v>
      </c>
      <c r="C588" s="1079" t="str">
        <f t="shared" si="21"/>
        <v>Concreto Usinado FCK = 50MPa Bombeavel Para Supraestrutura</v>
      </c>
      <c r="D588" s="1079" t="s">
        <v>1522</v>
      </c>
      <c r="E588" s="1080" t="str">
        <f>_xlfn.XLOOKUP(D588,Insumos!$B$1:$B$670,Insumos!$C$1:$C$670)</f>
        <v>M3</v>
      </c>
      <c r="F588" s="1083">
        <v>1.05</v>
      </c>
      <c r="G588" s="1081">
        <f>IF(B588="insumo",_xlfn.XLOOKUP($D588,Insumos!$B$1:$B$670,Insumos!$D$1:$D$670),"")</f>
        <v>610</v>
      </c>
      <c r="H588" s="1081" cm="1">
        <f t="array" ref="H588">_xlfn.IFS(B588="Serviço",SUMIFS(H589:$H$2465,C589:$C$2465,$C588),B588="Insumo",F588*G588,B588="Etapa","")</f>
        <v>640.5</v>
      </c>
      <c r="I588" s="1082"/>
    </row>
    <row r="589" spans="1:9" hidden="1" outlineLevel="2" x14ac:dyDescent="0.25">
      <c r="A589" s="1079">
        <f t="shared" si="24"/>
        <v>22</v>
      </c>
      <c r="B589" s="1079" t="s">
        <v>1362</v>
      </c>
      <c r="C589" s="1079" t="str">
        <f t="shared" si="21"/>
        <v>Concreto Usinado FCK = 50MPa Bombeavel Para Supraestrutura</v>
      </c>
      <c r="D589" s="1079" t="s">
        <v>1433</v>
      </c>
      <c r="E589" s="1080" t="str">
        <f>_xlfn.XLOOKUP(D589,Insumos!$B$1:$B$670,Insumos!$C$1:$C$670)</f>
        <v>M3</v>
      </c>
      <c r="F589" s="1083">
        <v>1.05</v>
      </c>
      <c r="G589" s="1081">
        <f>IF(B589="insumo",_xlfn.XLOOKUP($D589,Insumos!$B$1:$B$670,Insumos!$D$1:$D$670),"")</f>
        <v>40</v>
      </c>
      <c r="H589" s="1081" cm="1">
        <f t="array" ref="H589">_xlfn.IFS(B589="Serviço",SUMIFS(H590:$H$2465,C590:$C$2465,$C589),B589="Insumo",F589*G589,B589="Etapa","")</f>
        <v>42</v>
      </c>
      <c r="I589" s="1082"/>
    </row>
    <row r="590" spans="1:9" hidden="1" outlineLevel="2" x14ac:dyDescent="0.25">
      <c r="A590" s="1079">
        <f t="shared" si="24"/>
        <v>38</v>
      </c>
      <c r="B590" s="1079" t="s">
        <v>1362</v>
      </c>
      <c r="C590" s="1079" t="str">
        <f t="shared" si="21"/>
        <v>Concreto Usinado FCK = 50MPa Bombeavel Para Supraestrutura</v>
      </c>
      <c r="D590" s="1079" t="s">
        <v>1434</v>
      </c>
      <c r="E590" s="1080" t="str">
        <f>_xlfn.XLOOKUP(D590,Insumos!$B$1:$B$670,Insumos!$C$1:$C$670)</f>
        <v>KG</v>
      </c>
      <c r="F590" s="1083">
        <v>1</v>
      </c>
      <c r="G590" s="1081">
        <f>IF(B590="insumo",_xlfn.XLOOKUP($D590,Insumos!$B$1:$B$670,Insumos!$D$1:$D$670),"")</f>
        <v>0.76</v>
      </c>
      <c r="H590" s="1081" cm="1">
        <f t="array" ref="H590">_xlfn.IFS(B590="Serviço",SUMIFS(H591:$H$2465,C591:$C$2465,$C590),B590="Insumo",F590*G590,B590="Etapa","")</f>
        <v>0.76</v>
      </c>
      <c r="I590" s="1082"/>
    </row>
    <row r="591" spans="1:9" hidden="1" outlineLevel="1" collapsed="1" x14ac:dyDescent="0.25">
      <c r="A591" s="1079">
        <f t="shared" si="24"/>
        <v>1</v>
      </c>
      <c r="B591" s="1079" t="s">
        <v>471</v>
      </c>
      <c r="C591" s="1079" t="str">
        <f t="shared" si="21"/>
        <v>Concreto Usinado FCK = 50MPa  Bombeavel para Laje de Fundação</v>
      </c>
      <c r="D591" s="1079" t="s">
        <v>1576</v>
      </c>
      <c r="E591" s="1080" t="s">
        <v>1426</v>
      </c>
      <c r="F591" s="1079"/>
      <c r="G591" s="1081" t="str">
        <f>IF(B591="insumo",_xlfn.XLOOKUP($D591,Insumos!$B$1:$B$670,Insumos!$D$1:$D$670),"")</f>
        <v/>
      </c>
      <c r="H591" s="1081" cm="1">
        <f t="array" ref="H591">_xlfn.IFS(B591="Serviço",SUMIFS(H592:$H$2465,C592:$C$2465,$C591),B591="Insumo",F591*G591,B591="Etapa","")</f>
        <v>683.26</v>
      </c>
      <c r="I591" s="1082" t="s">
        <v>872</v>
      </c>
    </row>
    <row r="592" spans="1:9" hidden="1" outlineLevel="2" x14ac:dyDescent="0.25">
      <c r="A592" s="1079">
        <f t="shared" si="24"/>
        <v>3</v>
      </c>
      <c r="B592" s="1079" t="s">
        <v>1362</v>
      </c>
      <c r="C592" s="1079" t="str">
        <f t="shared" si="21"/>
        <v>Concreto Usinado FCK = 50MPa  Bombeavel para Laje de Fundação</v>
      </c>
      <c r="D592" s="1079" t="s">
        <v>1522</v>
      </c>
      <c r="E592" s="1080" t="str">
        <f>_xlfn.XLOOKUP(D592,Insumos!$B$1:$B$670,Insumos!$C$1:$C$670)</f>
        <v>M3</v>
      </c>
      <c r="F592" s="1083">
        <v>1.05</v>
      </c>
      <c r="G592" s="1081">
        <f>IF(B592="insumo",_xlfn.XLOOKUP($D592,Insumos!$B$1:$B$670,Insumos!$D$1:$D$670),"")</f>
        <v>610</v>
      </c>
      <c r="H592" s="1081" cm="1">
        <f t="array" ref="H592">_xlfn.IFS(B592="Serviço",SUMIFS(H593:$H$2465,C593:$C$2465,$C592),B592="Insumo",F592*G592,B592="Etapa","")</f>
        <v>640.5</v>
      </c>
      <c r="I592" s="1082"/>
    </row>
    <row r="593" spans="1:9" hidden="1" outlineLevel="2" x14ac:dyDescent="0.25">
      <c r="A593" s="1079">
        <f t="shared" si="24"/>
        <v>22</v>
      </c>
      <c r="B593" s="1079" t="s">
        <v>1362</v>
      </c>
      <c r="C593" s="1079" t="str">
        <f t="shared" si="21"/>
        <v>Concreto Usinado FCK = 50MPa  Bombeavel para Laje de Fundação</v>
      </c>
      <c r="D593" s="1079" t="s">
        <v>1433</v>
      </c>
      <c r="E593" s="1080" t="str">
        <f>_xlfn.XLOOKUP(D593,Insumos!$B$1:$B$670,Insumos!$C$1:$C$670)</f>
        <v>M3</v>
      </c>
      <c r="F593" s="1083">
        <v>1.05</v>
      </c>
      <c r="G593" s="1081">
        <f>IF(B593="insumo",_xlfn.XLOOKUP($D593,Insumos!$B$1:$B$670,Insumos!$D$1:$D$670),"")</f>
        <v>40</v>
      </c>
      <c r="H593" s="1081" cm="1">
        <f t="array" ref="H593">_xlfn.IFS(B593="Serviço",SUMIFS(H594:$H$2465,C594:$C$2465,$C593),B593="Insumo",F593*G593,B593="Etapa","")</f>
        <v>42</v>
      </c>
      <c r="I593" s="1082"/>
    </row>
    <row r="594" spans="1:9" hidden="1" outlineLevel="2" x14ac:dyDescent="0.25">
      <c r="A594" s="1079">
        <f t="shared" si="24"/>
        <v>38</v>
      </c>
      <c r="B594" s="1079" t="s">
        <v>1362</v>
      </c>
      <c r="C594" s="1079" t="str">
        <f t="shared" si="21"/>
        <v>Concreto Usinado FCK = 50MPa  Bombeavel para Laje de Fundação</v>
      </c>
      <c r="D594" s="1079" t="s">
        <v>1434</v>
      </c>
      <c r="E594" s="1080" t="str">
        <f>_xlfn.XLOOKUP(D594,Insumos!$B$1:$B$670,Insumos!$C$1:$C$670)</f>
        <v>KG</v>
      </c>
      <c r="F594" s="1083">
        <v>1</v>
      </c>
      <c r="G594" s="1081">
        <f>IF(B594="insumo",_xlfn.XLOOKUP($D594,Insumos!$B$1:$B$670,Insumos!$D$1:$D$670),"")</f>
        <v>0.76</v>
      </c>
      <c r="H594" s="1081" cm="1">
        <f t="array" ref="H594">_xlfn.IFS(B594="Serviço",SUMIFS(H595:$H$2465,C595:$C$2465,$C594),B594="Insumo",F594*G594,B594="Etapa","")</f>
        <v>0.76</v>
      </c>
      <c r="I594" s="1082"/>
    </row>
    <row r="595" spans="1:9" hidden="1" outlineLevel="1" x14ac:dyDescent="0.25">
      <c r="A595" s="1079">
        <f t="shared" si="24"/>
        <v>1</v>
      </c>
      <c r="B595" s="1079" t="s">
        <v>471</v>
      </c>
      <c r="C595" s="1079" t="str">
        <f t="shared" si="21"/>
        <v>Laje pré-moldada unidirecional enchimento em cerâmica, vigota convencional,</v>
      </c>
      <c r="D595" s="1079" t="s">
        <v>1577</v>
      </c>
      <c r="E595" s="1080" t="s">
        <v>17</v>
      </c>
      <c r="F595" s="1079"/>
      <c r="G595" s="1081" t="str">
        <f>IF(B595="insumo",_xlfn.XLOOKUP($D595,Insumos!$B$1:$B$670,Insumos!$D$1:$D$670),"")</f>
        <v/>
      </c>
      <c r="H595" s="1081" cm="1">
        <f t="array" ref="H595">_xlfn.IFS(B595="Serviço",SUMIFS(H596:$H$2465,C596:$C$2465,$C595),B595="Insumo",F595*G595,B595="Etapa","")</f>
        <v>169.40260000000001</v>
      </c>
      <c r="I595" s="1082" t="s">
        <v>872</v>
      </c>
    </row>
    <row r="596" spans="1:9" hidden="1" outlineLevel="2" x14ac:dyDescent="0.25">
      <c r="A596" s="1079">
        <f t="shared" si="24"/>
        <v>1</v>
      </c>
      <c r="B596" s="1079" t="s">
        <v>1362</v>
      </c>
      <c r="C596" s="1079" t="str">
        <f t="shared" si="21"/>
        <v>Laje pré-moldada unidirecional enchimento em cerâmica, vigota convencional,</v>
      </c>
      <c r="D596" s="1079" t="s">
        <v>1578</v>
      </c>
      <c r="E596" s="1080" t="str">
        <f>_xlfn.XLOOKUP(D596,Insumos!$B$1:$B$670,Insumos!$C$1:$C$670)</f>
        <v>M2</v>
      </c>
      <c r="F596" s="1083">
        <v>1</v>
      </c>
      <c r="G596" s="1081">
        <f>IF(B596="insumo",_xlfn.XLOOKUP($D596,Insumos!$B$1:$B$670,Insumos!$D$1:$D$670),"")</f>
        <v>59.4</v>
      </c>
      <c r="H596" s="1081" cm="1">
        <f t="array" ref="H596">_xlfn.IFS(B596="Serviço",SUMIFS(H597:$H$2465,C597:$C$2465,$C596),B596="Insumo",F596*G596,B596="Etapa","")</f>
        <v>59.4</v>
      </c>
      <c r="I596" s="1082"/>
    </row>
    <row r="597" spans="1:9" hidden="1" outlineLevel="2" x14ac:dyDescent="0.25">
      <c r="A597" s="1079">
        <f t="shared" si="24"/>
        <v>3</v>
      </c>
      <c r="B597" s="1079" t="s">
        <v>1362</v>
      </c>
      <c r="C597" s="1079" t="str">
        <f t="shared" si="21"/>
        <v>Laje pré-moldada unidirecional enchimento em cerâmica, vigota convencional,</v>
      </c>
      <c r="D597" s="1079" t="s">
        <v>1542</v>
      </c>
      <c r="E597" s="1080" t="str">
        <f>_xlfn.XLOOKUP(D597,Insumos!$B$1:$B$670,Insumos!$C$1:$C$670)</f>
        <v>M</v>
      </c>
      <c r="F597" s="1083">
        <v>1.87</v>
      </c>
      <c r="G597" s="1081">
        <f>IF(B597="insumo",_xlfn.XLOOKUP($D597,Insumos!$B$1:$B$670,Insumos!$D$1:$D$670),"")</f>
        <v>42.46</v>
      </c>
      <c r="H597" s="1081" cm="1">
        <f t="array" ref="H597">_xlfn.IFS(B597="Serviço",SUMIFS(H598:$H$2465,C598:$C$2465,$C597),B597="Insumo",F597*G597,B597="Etapa","")</f>
        <v>79.400200000000012</v>
      </c>
      <c r="I597" s="1082"/>
    </row>
    <row r="598" spans="1:9" hidden="1" outlineLevel="2" x14ac:dyDescent="0.25">
      <c r="A598" s="1079">
        <f t="shared" si="24"/>
        <v>1</v>
      </c>
      <c r="B598" s="1079" t="s">
        <v>1362</v>
      </c>
      <c r="C598" s="1079" t="str">
        <f t="shared" ref="C598:C636" si="25">IF(B598="serviço",D598,C597)</f>
        <v>Laje pré-moldada unidirecional enchimento em cerâmica, vigota convencional,</v>
      </c>
      <c r="D598" s="1079" t="s">
        <v>1579</v>
      </c>
      <c r="E598" s="1080" t="str">
        <f>_xlfn.XLOOKUP(D598,Insumos!$B$1:$B$670,Insumos!$C$1:$C$670)</f>
        <v>KG</v>
      </c>
      <c r="F598" s="1083">
        <v>0.04</v>
      </c>
      <c r="G598" s="1081">
        <f>IF(B598="insumo",_xlfn.XLOOKUP($D598,Insumos!$B$1:$B$670,Insumos!$D$1:$D$670),"")</f>
        <v>15.06</v>
      </c>
      <c r="H598" s="1081" cm="1">
        <f t="array" ref="H598">_xlfn.IFS(B598="Serviço",SUMIFS(H599:$H$2465,C599:$C$2465,$C598),B598="Insumo",F598*G598,B598="Etapa","")</f>
        <v>0.60240000000000005</v>
      </c>
      <c r="I598" s="1082"/>
    </row>
    <row r="599" spans="1:9" hidden="1" outlineLevel="2" x14ac:dyDescent="0.25">
      <c r="A599" s="1079">
        <f t="shared" si="24"/>
        <v>1</v>
      </c>
      <c r="B599" s="1079" t="s">
        <v>1362</v>
      </c>
      <c r="C599" s="1079" t="str">
        <f t="shared" si="25"/>
        <v>Laje pré-moldada unidirecional enchimento em cerâmica, vigota convencional,</v>
      </c>
      <c r="D599" s="1079" t="s">
        <v>1580</v>
      </c>
      <c r="E599" s="1080" t="str">
        <f>_xlfn.XLOOKUP(D599,Insumos!$B$1:$B$670,Insumos!$C$1:$C$670)</f>
        <v>M2</v>
      </c>
      <c r="F599" s="1083">
        <v>1</v>
      </c>
      <c r="G599" s="1081">
        <f>IF(B599="insumo",_xlfn.XLOOKUP($D599,Insumos!$B$1:$B$670,Insumos!$D$1:$D$670),"")</f>
        <v>30</v>
      </c>
      <c r="H599" s="1081" cm="1">
        <f t="array" ref="H599">_xlfn.IFS(B599="Serviço",SUMIFS(H600:$H$2465,C600:$C$2465,$C599),B599="Insumo",F599*G599,B599="Etapa","")</f>
        <v>30</v>
      </c>
      <c r="I599" s="1082"/>
    </row>
    <row r="600" spans="1:9" hidden="1" outlineLevel="1" collapsed="1" x14ac:dyDescent="0.25">
      <c r="A600" s="1079">
        <f t="shared" si="24"/>
        <v>1</v>
      </c>
      <c r="B600" s="1079" t="s">
        <v>471</v>
      </c>
      <c r="C600" s="1079" t="str">
        <f t="shared" si="25"/>
        <v>Lona Plastica para Contrapiso Armado</v>
      </c>
      <c r="D600" s="1079" t="s">
        <v>1581</v>
      </c>
      <c r="E600" s="1080" t="s">
        <v>17</v>
      </c>
      <c r="F600" s="1079"/>
      <c r="G600" s="1081" t="str">
        <f>IF(B600="insumo",_xlfn.XLOOKUP($D600,Insumos!$B$1:$B$670,Insumos!$D$1:$D$670),"")</f>
        <v/>
      </c>
      <c r="H600" s="1081" cm="1">
        <f t="array" ref="H600">_xlfn.IFS(B600="Serviço",SUMIFS(H601:$H$2465,C601:$C$2465,$C600),B600="Insumo",F600*G600,B600="Etapa","")</f>
        <v>2.7630000000000003</v>
      </c>
      <c r="I600" s="1082" t="s">
        <v>872</v>
      </c>
    </row>
    <row r="601" spans="1:9" hidden="1" outlineLevel="2" x14ac:dyDescent="0.25">
      <c r="A601" s="1079">
        <f t="shared" si="24"/>
        <v>2</v>
      </c>
      <c r="B601" s="1079" t="s">
        <v>1362</v>
      </c>
      <c r="C601" s="1079" t="str">
        <f t="shared" si="25"/>
        <v>Lona Plastica para Contrapiso Armado</v>
      </c>
      <c r="D601" s="1079" t="s">
        <v>1559</v>
      </c>
      <c r="E601" s="1080" t="str">
        <f>_xlfn.XLOOKUP(D601,Insumos!$B$1:$B$670,Insumos!$C$1:$C$670)</f>
        <v>M2</v>
      </c>
      <c r="F601" s="1083">
        <v>1.2</v>
      </c>
      <c r="G601" s="1081">
        <f>IF(B601="insumo",_xlfn.XLOOKUP($D601,Insumos!$B$1:$B$670,Insumos!$D$1:$D$670),"")</f>
        <v>2.3025000000000002</v>
      </c>
      <c r="H601" s="1081" cm="1">
        <f t="array" ref="H601">_xlfn.IFS(B601="Serviço",SUMIFS(H602:$H$2465,C602:$C$2465,$C601),B601="Insumo",F601*G601,B601="Etapa","")</f>
        <v>2.7630000000000003</v>
      </c>
      <c r="I601" s="1082"/>
    </row>
    <row r="602" spans="1:9" hidden="1" outlineLevel="1" collapsed="1" x14ac:dyDescent="0.25">
      <c r="A602" s="1079">
        <f t="shared" si="24"/>
        <v>1</v>
      </c>
      <c r="B602" s="1079" t="s">
        <v>471</v>
      </c>
      <c r="C602" s="1079" t="str">
        <f t="shared" si="25"/>
        <v xml:space="preserve">Protenção de cordoalhas para laje protendida Nervurada Tec- Serviço </v>
      </c>
      <c r="D602" s="1079" t="s">
        <v>1582</v>
      </c>
      <c r="E602" s="1080" t="s">
        <v>17</v>
      </c>
      <c r="F602" s="1079"/>
      <c r="G602" s="1081" t="str">
        <f>IF(B602="insumo",_xlfn.XLOOKUP($D602,Insumos!$B$1:$B$670,Insumos!$D$1:$D$670),"")</f>
        <v/>
      </c>
      <c r="H602" s="1081" cm="1">
        <f t="array" ref="H602">_xlfn.IFS(B602="Serviço",SUMIFS(H603:$H$2465,C603:$C$2465,$C602),B602="Insumo",F602*G602,B602="Etapa","")</f>
        <v>11.499840000000001</v>
      </c>
      <c r="I602" s="1082" t="s">
        <v>872</v>
      </c>
    </row>
    <row r="603" spans="1:9" hidden="1" outlineLevel="2" x14ac:dyDescent="0.25">
      <c r="A603" s="1079">
        <f t="shared" si="24"/>
        <v>1</v>
      </c>
      <c r="B603" s="1079" t="s">
        <v>1362</v>
      </c>
      <c r="C603" s="1079" t="str">
        <f t="shared" si="25"/>
        <v xml:space="preserve">Protenção de cordoalhas para laje protendida Nervurada Tec- Serviço </v>
      </c>
      <c r="D603" s="1079" t="s">
        <v>1583</v>
      </c>
      <c r="E603" s="1080" t="str">
        <f>_xlfn.XLOOKUP(D603,Insumos!$B$1:$B$670,Insumos!$C$1:$C$670)</f>
        <v>KG</v>
      </c>
      <c r="F603" s="1083">
        <v>1.9359999999999999</v>
      </c>
      <c r="G603" s="1081">
        <f>IF(B603="insumo",_xlfn.XLOOKUP($D603,Insumos!$B$1:$B$670,Insumos!$D$1:$D$670),"")</f>
        <v>4.4400000000000004</v>
      </c>
      <c r="H603" s="1081" cm="1">
        <f t="array" ref="H603">_xlfn.IFS(B603="Serviço",SUMIFS(H604:$H$2465,C604:$C$2465,$C603),B603="Insumo",F603*G603,B603="Etapa","")</f>
        <v>8.5958400000000008</v>
      </c>
      <c r="I603" s="1082"/>
    </row>
    <row r="604" spans="1:9" hidden="1" outlineLevel="2" x14ac:dyDescent="0.25">
      <c r="A604" s="1079">
        <f t="shared" si="24"/>
        <v>1</v>
      </c>
      <c r="B604" s="1079" t="s">
        <v>1362</v>
      </c>
      <c r="C604" s="1079" t="str">
        <f t="shared" si="25"/>
        <v xml:space="preserve">Protenção de cordoalhas para laje protendida Nervurada Tec- Serviço </v>
      </c>
      <c r="D604" s="1079" t="s">
        <v>1584</v>
      </c>
      <c r="E604" s="1080" t="str">
        <f>_xlfn.XLOOKUP(D604,Insumos!$B$1:$B$670,Insumos!$C$1:$C$670)</f>
        <v>KG</v>
      </c>
      <c r="F604" s="1083">
        <v>1.9359999999999999</v>
      </c>
      <c r="G604" s="1081">
        <f>IF(B604="insumo",_xlfn.XLOOKUP($D604,Insumos!$B$1:$B$670,Insumos!$D$1:$D$670),"")</f>
        <v>0.4</v>
      </c>
      <c r="H604" s="1081" cm="1">
        <f t="array" ref="H604">_xlfn.IFS(B604="Serviço",SUMIFS(H605:$H$2465,C605:$C$2465,$C604),B604="Insumo",F604*G604,B604="Etapa","")</f>
        <v>0.77439999999999998</v>
      </c>
      <c r="I604" s="1082"/>
    </row>
    <row r="605" spans="1:9" hidden="1" outlineLevel="2" x14ac:dyDescent="0.25">
      <c r="A605" s="1079">
        <f t="shared" si="24"/>
        <v>1</v>
      </c>
      <c r="B605" s="1079" t="s">
        <v>1362</v>
      </c>
      <c r="C605" s="1079" t="str">
        <f t="shared" si="25"/>
        <v xml:space="preserve">Protenção de cordoalhas para laje protendida Nervurada Tec- Serviço </v>
      </c>
      <c r="D605" s="1079" t="s">
        <v>1585</v>
      </c>
      <c r="E605" s="1080" t="str">
        <f>_xlfn.XLOOKUP(D605,Insumos!$B$1:$B$670,Insumos!$C$1:$C$670)</f>
        <v>KG</v>
      </c>
      <c r="F605" s="1083">
        <v>1.9359999999999999</v>
      </c>
      <c r="G605" s="1081">
        <f>IF(B605="insumo",_xlfn.XLOOKUP($D605,Insumos!$B$1:$B$670,Insumos!$D$1:$D$670),"")</f>
        <v>0.4</v>
      </c>
      <c r="H605" s="1081" cm="1">
        <f t="array" ref="H605">_xlfn.IFS(B605="Serviço",SUMIFS(H606:$H$2465,C606:$C$2465,$C605),B605="Insumo",F605*G605,B605="Etapa","")</f>
        <v>0.77439999999999998</v>
      </c>
      <c r="I605" s="1082"/>
    </row>
    <row r="606" spans="1:9" hidden="1" outlineLevel="2" x14ac:dyDescent="0.25">
      <c r="A606" s="1079">
        <f t="shared" si="24"/>
        <v>1</v>
      </c>
      <c r="B606" s="1079" t="s">
        <v>1362</v>
      </c>
      <c r="C606" s="1079" t="str">
        <f t="shared" si="25"/>
        <v xml:space="preserve">Protenção de cordoalhas para laje protendida Nervurada Tec- Serviço </v>
      </c>
      <c r="D606" s="1079" t="s">
        <v>1586</v>
      </c>
      <c r="E606" s="1080" t="str">
        <f>_xlfn.XLOOKUP(D606,Insumos!$B$1:$B$670,Insumos!$C$1:$C$670)</f>
        <v>KG</v>
      </c>
      <c r="F606" s="1083">
        <v>1.9359999999999999</v>
      </c>
      <c r="G606" s="1081">
        <f>IF(B606="insumo",_xlfn.XLOOKUP($D606,Insumos!$B$1:$B$670,Insumos!$D$1:$D$670),"")</f>
        <v>0.2</v>
      </c>
      <c r="H606" s="1081" cm="1">
        <f t="array" ref="H606">_xlfn.IFS(B606="Serviço",SUMIFS(H607:$H$2465,C607:$C$2465,$C606),B606="Insumo",F606*G606,B606="Etapa","")</f>
        <v>0.38719999999999999</v>
      </c>
      <c r="I606" s="1082"/>
    </row>
    <row r="607" spans="1:9" hidden="1" outlineLevel="2" x14ac:dyDescent="0.25">
      <c r="A607" s="1079">
        <f t="shared" si="24"/>
        <v>1</v>
      </c>
      <c r="B607" s="1079" t="s">
        <v>1362</v>
      </c>
      <c r="C607" s="1079" t="str">
        <f t="shared" si="25"/>
        <v xml:space="preserve">Protenção de cordoalhas para laje protendida Nervurada Tec- Serviço </v>
      </c>
      <c r="D607" s="1079" t="s">
        <v>1587</v>
      </c>
      <c r="E607" s="1080" t="str">
        <f>_xlfn.XLOOKUP(D607,Insumos!$B$1:$B$670,Insumos!$C$1:$C$670)</f>
        <v>UN</v>
      </c>
      <c r="F607" s="1083">
        <v>1.9359999999999999</v>
      </c>
      <c r="G607" s="1081">
        <f>IF(B607="insumo",_xlfn.XLOOKUP($D607,Insumos!$B$1:$B$670,Insumos!$D$1:$D$670),"")</f>
        <v>0.5</v>
      </c>
      <c r="H607" s="1081" cm="1">
        <f t="array" ref="H607">_xlfn.IFS(B607="Serviço",SUMIFS(H608:$H$2465,C608:$C$2465,$C607),B607="Insumo",F607*G607,B607="Etapa","")</f>
        <v>0.96799999999999997</v>
      </c>
      <c r="I607" s="1082"/>
    </row>
    <row r="608" spans="1:9" hidden="1" outlineLevel="1" collapsed="1" x14ac:dyDescent="0.25">
      <c r="A608" s="1079">
        <f t="shared" si="24"/>
        <v>1</v>
      </c>
      <c r="B608" s="1079" t="s">
        <v>471</v>
      </c>
      <c r="C608" s="1079" t="str">
        <f t="shared" si="25"/>
        <v>Protenção de cordoalhas para laje protendida Nervurada Tec - Materiais e acessórios</v>
      </c>
      <c r="D608" s="1079" t="s">
        <v>1588</v>
      </c>
      <c r="E608" s="1080" t="s">
        <v>17</v>
      </c>
      <c r="F608" s="1079"/>
      <c r="G608" s="1081" t="str">
        <f>IF(B608="insumo",_xlfn.XLOOKUP($D608,Insumos!$B$1:$B$670,Insumos!$D$1:$D$670),"")</f>
        <v/>
      </c>
      <c r="H608" s="1081" cm="1">
        <f t="array" ref="H608">_xlfn.IFS(B608="Serviço",SUMIFS(H609:$H$2465,C609:$C$2465,$C608),B608="Insumo",F608*G608,B608="Etapa","")</f>
        <v>11.478750000000002</v>
      </c>
      <c r="I608" s="1082" t="s">
        <v>872</v>
      </c>
    </row>
    <row r="609" spans="1:9" hidden="1" outlineLevel="2" x14ac:dyDescent="0.25">
      <c r="A609" s="1079">
        <f t="shared" si="24"/>
        <v>1</v>
      </c>
      <c r="B609" s="1079" t="s">
        <v>1362</v>
      </c>
      <c r="C609" s="1079" t="str">
        <f t="shared" si="25"/>
        <v>Protenção de cordoalhas para laje protendida Nervurada Tec - Materiais e acessórios</v>
      </c>
      <c r="D609" s="1079" t="s">
        <v>1589</v>
      </c>
      <c r="E609" s="1080" t="str">
        <f>_xlfn.XLOOKUP(D609,Insumos!$B$1:$B$670,Insumos!$C$1:$C$670)</f>
        <v>UN</v>
      </c>
      <c r="F609" s="1083">
        <v>0.253</v>
      </c>
      <c r="G609" s="1081">
        <f>IF(B609="insumo",_xlfn.XLOOKUP($D609,Insumos!$B$1:$B$670,Insumos!$D$1:$D$670),"")</f>
        <v>12.5</v>
      </c>
      <c r="H609" s="1081" cm="1">
        <f t="array" ref="H609">_xlfn.IFS(B609="Serviço",SUMIFS(H610:$H$2465,C610:$C$2465,$C609),B609="Insumo",F609*G609,B609="Etapa","")</f>
        <v>3.1625000000000001</v>
      </c>
      <c r="I609" s="1082"/>
    </row>
    <row r="610" spans="1:9" hidden="1" outlineLevel="2" x14ac:dyDescent="0.25">
      <c r="A610" s="1079">
        <f t="shared" si="24"/>
        <v>1</v>
      </c>
      <c r="B610" s="1079" t="s">
        <v>1362</v>
      </c>
      <c r="C610" s="1079" t="str">
        <f t="shared" si="25"/>
        <v>Protenção de cordoalhas para laje protendida Nervurada Tec - Materiais e acessórios</v>
      </c>
      <c r="D610" s="1079" t="s">
        <v>1590</v>
      </c>
      <c r="E610" s="1080" t="str">
        <f>_xlfn.XLOOKUP(D610,Insumos!$B$1:$B$670,Insumos!$C$1:$C$670)</f>
        <v>PAR</v>
      </c>
      <c r="F610" s="1083">
        <v>0.25</v>
      </c>
      <c r="G610" s="1081">
        <f>IF(B610="insumo",_xlfn.XLOOKUP($D610,Insumos!$B$1:$B$670,Insumos!$D$1:$D$670),"")</f>
        <v>9.1300000000000008</v>
      </c>
      <c r="H610" s="1081" cm="1">
        <f t="array" ref="H610">_xlfn.IFS(B610="Serviço",SUMIFS(H611:$H$2465,C611:$C$2465,$C610),B610="Insumo",F610*G610,B610="Etapa","")</f>
        <v>2.2825000000000002</v>
      </c>
      <c r="I610" s="1082"/>
    </row>
    <row r="611" spans="1:9" hidden="1" outlineLevel="2" x14ac:dyDescent="0.25">
      <c r="A611" s="1079">
        <f t="shared" si="24"/>
        <v>1</v>
      </c>
      <c r="B611" s="1079" t="s">
        <v>1362</v>
      </c>
      <c r="C611" s="1079" t="str">
        <f t="shared" si="25"/>
        <v>Protenção de cordoalhas para laje protendida Nervurada Tec - Materiais e acessórios</v>
      </c>
      <c r="D611" s="1079" t="s">
        <v>1591</v>
      </c>
      <c r="E611" s="1080" t="str">
        <f>_xlfn.XLOOKUP(D611,Insumos!$B$1:$B$670,Insumos!$C$1:$C$670)</f>
        <v>UN</v>
      </c>
      <c r="F611" s="1083">
        <v>1.4999999999999999E-2</v>
      </c>
      <c r="G611" s="1081">
        <f>IF(B611="insumo",_xlfn.XLOOKUP($D611,Insumos!$B$1:$B$670,Insumos!$D$1:$D$670),"")</f>
        <v>2.85</v>
      </c>
      <c r="H611" s="1081" cm="1">
        <f t="array" ref="H611">_xlfn.IFS(B611="Serviço",SUMIFS(H612:$H$2465,C612:$C$2465,$C611),B611="Insumo",F611*G611,B611="Etapa","")</f>
        <v>4.2749999999999996E-2</v>
      </c>
      <c r="I611" s="1082"/>
    </row>
    <row r="612" spans="1:9" hidden="1" outlineLevel="2" x14ac:dyDescent="0.25">
      <c r="A612" s="1079">
        <f t="shared" si="24"/>
        <v>1</v>
      </c>
      <c r="B612" s="1079" t="s">
        <v>1362</v>
      </c>
      <c r="C612" s="1079" t="str">
        <f t="shared" si="25"/>
        <v>Protenção de cordoalhas para laje protendida Nervurada Tec - Materiais e acessórios</v>
      </c>
      <c r="D612" s="1079" t="s">
        <v>1592</v>
      </c>
      <c r="E612" s="1080" t="str">
        <f>_xlfn.XLOOKUP(D612,Insumos!$B$1:$B$670,Insumos!$C$1:$C$670)</f>
        <v>UN</v>
      </c>
      <c r="F612" s="1083">
        <v>1.4999999999999999E-2</v>
      </c>
      <c r="G612" s="1081">
        <f>IF(B612="insumo",_xlfn.XLOOKUP($D612,Insumos!$B$1:$B$670,Insumos!$D$1:$D$670),"")</f>
        <v>1.42</v>
      </c>
      <c r="H612" s="1081" cm="1">
        <f t="array" ref="H612">_xlfn.IFS(B612="Serviço",SUMIFS(H613:$H$2465,C613:$C$2465,$C612),B612="Insumo",F612*G612,B612="Etapa","")</f>
        <v>2.1299999999999999E-2</v>
      </c>
      <c r="I612" s="1082"/>
    </row>
    <row r="613" spans="1:9" hidden="1" outlineLevel="2" x14ac:dyDescent="0.25">
      <c r="A613" s="1079">
        <f t="shared" si="24"/>
        <v>1</v>
      </c>
      <c r="B613" s="1079" t="s">
        <v>1362</v>
      </c>
      <c r="C613" s="1079" t="str">
        <f t="shared" si="25"/>
        <v>Protenção de cordoalhas para laje protendida Nervurada Tec - Materiais e acessórios</v>
      </c>
      <c r="D613" s="1079" t="s">
        <v>1593</v>
      </c>
      <c r="E613" s="1080" t="str">
        <f>_xlfn.XLOOKUP(D613,Insumos!$B$1:$B$670,Insumos!$C$1:$C$670)</f>
        <v>UN</v>
      </c>
      <c r="F613" s="1083">
        <v>1.4999999999999999E-2</v>
      </c>
      <c r="G613" s="1081">
        <f>IF(B613="insumo",_xlfn.XLOOKUP($D613,Insumos!$B$1:$B$670,Insumos!$D$1:$D$670),"")</f>
        <v>5.68</v>
      </c>
      <c r="H613" s="1081" cm="1">
        <f t="array" ref="H613">_xlfn.IFS(B613="Serviço",SUMIFS(H614:$H$2465,C614:$C$2465,$C613),B613="Insumo",F613*G613,B613="Etapa","")</f>
        <v>8.5199999999999998E-2</v>
      </c>
      <c r="I613" s="1082"/>
    </row>
    <row r="614" spans="1:9" hidden="1" outlineLevel="2" x14ac:dyDescent="0.25">
      <c r="A614" s="1079">
        <f t="shared" si="24"/>
        <v>1</v>
      </c>
      <c r="B614" s="1079" t="s">
        <v>1362</v>
      </c>
      <c r="C614" s="1079" t="str">
        <f t="shared" si="25"/>
        <v>Protenção de cordoalhas para laje protendida Nervurada Tec - Materiais e acessórios</v>
      </c>
      <c r="D614" s="1079" t="s">
        <v>1594</v>
      </c>
      <c r="E614" s="1080" t="str">
        <f>_xlfn.XLOOKUP(D614,Insumos!$B$1:$B$670,Insumos!$C$1:$C$670)</f>
        <v>PAR</v>
      </c>
      <c r="F614" s="1083">
        <v>1.4999999999999999E-2</v>
      </c>
      <c r="G614" s="1081">
        <f>IF(B614="insumo",_xlfn.XLOOKUP($D614,Insumos!$B$1:$B$670,Insumos!$D$1:$D$670),"")</f>
        <v>2.2999999999999998</v>
      </c>
      <c r="H614" s="1081" cm="1">
        <f t="array" ref="H614">_xlfn.IFS(B614="Serviço",SUMIFS(H615:$H$2465,C615:$C$2465,$C614),B614="Insumo",F614*G614,B614="Etapa","")</f>
        <v>3.4499999999999996E-2</v>
      </c>
      <c r="I614" s="1082"/>
    </row>
    <row r="615" spans="1:9" hidden="1" outlineLevel="2" x14ac:dyDescent="0.25">
      <c r="A615" s="1079">
        <f t="shared" si="24"/>
        <v>1</v>
      </c>
      <c r="B615" s="1079" t="s">
        <v>1362</v>
      </c>
      <c r="C615" s="1079" t="str">
        <f t="shared" si="25"/>
        <v>Protenção de cordoalhas para laje protendida Nervurada Tec - Materiais e acessórios</v>
      </c>
      <c r="D615" s="1079" t="s">
        <v>1595</v>
      </c>
      <c r="E615" s="1080" t="str">
        <f>_xlfn.XLOOKUP(D615,Insumos!$B$1:$B$670,Insumos!$C$1:$C$670)</f>
        <v>PAR</v>
      </c>
      <c r="F615" s="1083">
        <v>1.3</v>
      </c>
      <c r="G615" s="1081">
        <f>IF(B615="insumo",_xlfn.XLOOKUP($D615,Insumos!$B$1:$B$670,Insumos!$D$1:$D$670),"")</f>
        <v>3.4</v>
      </c>
      <c r="H615" s="1081" cm="1">
        <f t="array" ref="H615">_xlfn.IFS(B615="Serviço",SUMIFS(H616:$H$2465,C616:$C$2465,$C615),B615="Insumo",F615*G615,B615="Etapa","")</f>
        <v>4.42</v>
      </c>
      <c r="I615" s="1082"/>
    </row>
    <row r="616" spans="1:9" hidden="1" outlineLevel="2" x14ac:dyDescent="0.25">
      <c r="A616" s="1079">
        <f t="shared" si="24"/>
        <v>1</v>
      </c>
      <c r="B616" s="1079" t="s">
        <v>1362</v>
      </c>
      <c r="C616" s="1079" t="str">
        <f t="shared" si="25"/>
        <v>Protenção de cordoalhas para laje protendida Nervurada Tec - Materiais e acessórios</v>
      </c>
      <c r="D616" s="1079" t="s">
        <v>1596</v>
      </c>
      <c r="E616" s="1080" t="str">
        <f>_xlfn.XLOOKUP(D616,Insumos!$B$1:$B$670,Insumos!$C$1:$C$670)</f>
        <v>PAR</v>
      </c>
      <c r="F616" s="1083">
        <v>1.3</v>
      </c>
      <c r="G616" s="1081">
        <f>IF(B616="insumo",_xlfn.XLOOKUP($D616,Insumos!$B$1:$B$670,Insumos!$D$1:$D$670),"")</f>
        <v>1.1000000000000001</v>
      </c>
      <c r="H616" s="1081" cm="1">
        <f t="array" ref="H616">_xlfn.IFS(B616="Serviço",SUMIFS(H617:$H$2465,C617:$C$2465,$C616),B616="Insumo",F616*G616,B616="Etapa","")</f>
        <v>1.4300000000000002</v>
      </c>
      <c r="I616" s="1082"/>
    </row>
    <row r="617" spans="1:9" hidden="1" outlineLevel="1" collapsed="1" x14ac:dyDescent="0.25">
      <c r="A617" s="1079">
        <f t="shared" si="24"/>
        <v>1</v>
      </c>
      <c r="B617" s="1079" t="s">
        <v>471</v>
      </c>
      <c r="C617" s="1079" t="str">
        <f t="shared" si="25"/>
        <v>Locação de cubetas para laje nervurada</v>
      </c>
      <c r="D617" s="1079" t="s">
        <v>1597</v>
      </c>
      <c r="E617" s="1080" t="s">
        <v>1598</v>
      </c>
      <c r="F617" s="1079"/>
      <c r="G617" s="1081" t="str">
        <f>IF(B617="insumo",_xlfn.XLOOKUP($D617,Insumos!$B$1:$B$670,Insumos!$D$1:$D$670),"")</f>
        <v/>
      </c>
      <c r="H617" s="1081" cm="1">
        <f t="array" ref="H617">_xlfn.IFS(B617="Serviço",SUMIFS(H618:$H$2465,C618:$C$2465,$C617),B617="Insumo",F617*G617,B617="Etapa","")</f>
        <v>14.751791999999998</v>
      </c>
      <c r="I617" s="1082" t="s">
        <v>872</v>
      </c>
    </row>
    <row r="618" spans="1:9" hidden="1" outlineLevel="2" x14ac:dyDescent="0.25">
      <c r="A618" s="1079">
        <f t="shared" si="24"/>
        <v>1</v>
      </c>
      <c r="B618" s="1079" t="s">
        <v>1362</v>
      </c>
      <c r="C618" s="1079" t="str">
        <f t="shared" si="25"/>
        <v>Locação de cubetas para laje nervurada</v>
      </c>
      <c r="D618" s="1079" t="s">
        <v>1599</v>
      </c>
      <c r="E618" s="1080" t="str">
        <f>_xlfn.XLOOKUP(D618,Insumos!$B$1:$B$670,Insumos!$C$1:$C$670)</f>
        <v>UN/MÊS</v>
      </c>
      <c r="F618" s="1083">
        <f>ROUNDUP(1/(0.6*0.6),2)</f>
        <v>2.78</v>
      </c>
      <c r="G618" s="1081">
        <f>IF(B618="insumo",_xlfn.XLOOKUP($D618,Insumos!$B$1:$B$670,Insumos!$D$1:$D$670),"")</f>
        <v>5.3064</v>
      </c>
      <c r="H618" s="1081" cm="1">
        <f t="array" ref="H618">_xlfn.IFS(B618="Serviço",SUMIFS(H619:$H$2465,C619:$C$2465,$C618),B618="Insumo",F618*G618,B618="Etapa","")</f>
        <v>14.751791999999998</v>
      </c>
      <c r="I618" s="1082"/>
    </row>
    <row r="619" spans="1:9" hidden="1" outlineLevel="1" collapsed="1" x14ac:dyDescent="0.25">
      <c r="A619" s="1079">
        <f t="shared" si="24"/>
        <v>1</v>
      </c>
      <c r="B619" s="1079" t="s">
        <v>471</v>
      </c>
      <c r="C619" s="1079" t="str">
        <f t="shared" si="25"/>
        <v>Manutenção de cubetas proprias</v>
      </c>
      <c r="D619" s="1079" t="s">
        <v>1600</v>
      </c>
      <c r="E619" s="1080" t="s">
        <v>1426</v>
      </c>
      <c r="F619" s="1079"/>
      <c r="G619" s="1081" t="str">
        <f>IF(B619="insumo",_xlfn.XLOOKUP($D619,Insumos!$B$1:$B$670,Insumos!$D$1:$D$670),"")</f>
        <v/>
      </c>
      <c r="H619" s="1081" cm="1">
        <f t="array" ref="H619">_xlfn.IFS(B619="Serviço",SUMIFS(H620:$H$2465,C620:$C$2465,$C619),B619="Insumo",F619*G619,B619="Etapa","")</f>
        <v>39432.81</v>
      </c>
      <c r="I619" s="1082" t="s">
        <v>872</v>
      </c>
    </row>
    <row r="620" spans="1:9" hidden="1" outlineLevel="2" x14ac:dyDescent="0.25">
      <c r="A620" s="1079">
        <f t="shared" si="24"/>
        <v>1</v>
      </c>
      <c r="B620" s="1079" t="s">
        <v>1362</v>
      </c>
      <c r="C620" s="1079" t="str">
        <f t="shared" si="25"/>
        <v>Manutenção de cubetas proprias</v>
      </c>
      <c r="D620" s="1079" t="str">
        <f>D619</f>
        <v>Manutenção de cubetas proprias</v>
      </c>
      <c r="E620" s="1080" t="str">
        <f>_xlfn.XLOOKUP(D620,Insumos!$B$1:$B$670,Insumos!$C$1:$C$670)</f>
        <v>VB</v>
      </c>
      <c r="F620" s="1083">
        <v>1</v>
      </c>
      <c r="G620" s="1081">
        <f>IF(B620="insumo",_xlfn.XLOOKUP($D620,Insumos!$B$1:$B$670,Insumos!$D$1:$D$670),"")</f>
        <v>39432.81</v>
      </c>
      <c r="H620" s="1081" cm="1">
        <f t="array" ref="H620">_xlfn.IFS(B620="Serviço",SUMIFS(H621:$H$2465,C621:$C$2465,$C620),B620="Insumo",F620*G620,B620="Etapa","")</f>
        <v>39432.81</v>
      </c>
      <c r="I620" s="1082"/>
    </row>
    <row r="621" spans="1:9" hidden="1" outlineLevel="1" collapsed="1" x14ac:dyDescent="0.25">
      <c r="A621" s="1079">
        <f t="shared" si="24"/>
        <v>1</v>
      </c>
      <c r="B621" s="1079" t="s">
        <v>471</v>
      </c>
      <c r="C621" s="1079" t="str">
        <f t="shared" si="25"/>
        <v>Locação de escoramento metálico pe direito simples</v>
      </c>
      <c r="D621" s="1079" t="s">
        <v>1601</v>
      </c>
      <c r="E621" s="1080" t="s">
        <v>17</v>
      </c>
      <c r="F621" s="1083"/>
      <c r="G621" s="1081" t="str">
        <f>IF(B621="insumo",_xlfn.XLOOKUP($D621,Insumos!$B$1:$B$670,Insumos!$D$1:$D$670),"")</f>
        <v/>
      </c>
      <c r="H621" s="1081" cm="1">
        <f t="array" ref="H621">_xlfn.IFS(B621="Serviço",SUMIFS(H622:$H$2465,C622:$C$2465,$C621),B621="Insumo",F621*G621,B621="Etapa","")</f>
        <v>39</v>
      </c>
      <c r="I621" s="1082"/>
    </row>
    <row r="622" spans="1:9" hidden="1" outlineLevel="2" x14ac:dyDescent="0.25">
      <c r="A622" s="1079">
        <f t="shared" si="24"/>
        <v>1</v>
      </c>
      <c r="B622" s="1079" t="s">
        <v>1362</v>
      </c>
      <c r="C622" s="1079" t="str">
        <f t="shared" si="25"/>
        <v>Locação de escoramento metálico pe direito simples</v>
      </c>
      <c r="D622" s="1079" t="s">
        <v>1602</v>
      </c>
      <c r="E622" s="1080" t="str">
        <f>_xlfn.XLOOKUP(D622,Insumos!$B$1:$B$670,Insumos!$C$1:$C$670)</f>
        <v>UN</v>
      </c>
      <c r="F622" s="1083">
        <v>1</v>
      </c>
      <c r="G622" s="1081">
        <f>IF(B622="insumo",_xlfn.XLOOKUP($D622,Insumos!$B$1:$B$670,Insumos!$D$1:$D$670),"")</f>
        <v>39</v>
      </c>
      <c r="H622" s="1081" cm="1">
        <f t="array" ref="H622">_xlfn.IFS(B622="Serviço",SUMIFS(H623:$H$2465,C623:$C$2465,$C622),B622="Insumo",F622*G622,B622="Etapa","")</f>
        <v>39</v>
      </c>
      <c r="I622" s="1082"/>
    </row>
    <row r="623" spans="1:9" hidden="1" outlineLevel="1" collapsed="1" x14ac:dyDescent="0.25">
      <c r="A623" s="1079">
        <f t="shared" si="24"/>
        <v>1</v>
      </c>
      <c r="B623" s="1079" t="s">
        <v>471</v>
      </c>
      <c r="C623" s="1079" t="str">
        <f t="shared" si="25"/>
        <v>Locação topográfica de lajes</v>
      </c>
      <c r="D623" s="1079" t="s">
        <v>1603</v>
      </c>
      <c r="E623" s="1080" t="s">
        <v>1604</v>
      </c>
      <c r="F623" s="1079"/>
      <c r="G623" s="1081" t="str">
        <f>IF(B623="insumo",_xlfn.XLOOKUP($D623,Insumos!$B$1:$B$670,Insumos!$D$1:$D$670),"")</f>
        <v/>
      </c>
      <c r="H623" s="1081" cm="1">
        <f t="array" ref="H623">_xlfn.IFS(B623="Serviço",SUMIFS(H624:$H$2465,C624:$C$2465,$C623),B623="Insumo",F623*G623,B623="Etapa","")</f>
        <v>1300</v>
      </c>
      <c r="I623" s="1082" t="s">
        <v>872</v>
      </c>
    </row>
    <row r="624" spans="1:9" hidden="1" outlineLevel="2" x14ac:dyDescent="0.25">
      <c r="A624" s="1079">
        <f t="shared" si="24"/>
        <v>1</v>
      </c>
      <c r="B624" s="1079" t="s">
        <v>1362</v>
      </c>
      <c r="C624" s="1079" t="str">
        <f t="shared" si="25"/>
        <v>Locação topográfica de lajes</v>
      </c>
      <c r="D624" s="1079" t="s">
        <v>1605</v>
      </c>
      <c r="E624" s="1080" t="str">
        <f>_xlfn.XLOOKUP(D624,Insumos!$B$1:$B$670,Insumos!$C$1:$C$670)</f>
        <v>DIA</v>
      </c>
      <c r="F624" s="1083">
        <v>1</v>
      </c>
      <c r="G624" s="1081">
        <f>IF(B624="insumo",_xlfn.XLOOKUP($D624,Insumos!$B$1:$B$670,Insumos!$D$1:$D$670),"")</f>
        <v>1300</v>
      </c>
      <c r="H624" s="1081" cm="1">
        <f t="array" ref="H624">_xlfn.IFS(B624="Serviço",SUMIFS(H625:$H$2465,C625:$C$2465,$C624),B624="Insumo",F624*G624,B624="Etapa","")</f>
        <v>1300</v>
      </c>
      <c r="I624" s="1082"/>
    </row>
    <row r="625" spans="1:9" hidden="1" outlineLevel="1" collapsed="1" x14ac:dyDescent="0.25">
      <c r="A625" s="1079">
        <f t="shared" si="24"/>
        <v>1</v>
      </c>
      <c r="B625" s="1079" t="s">
        <v>471</v>
      </c>
      <c r="C625" s="1079" t="str">
        <f t="shared" si="25"/>
        <v>Sistema de Ancoragem Provisória e definitiva</v>
      </c>
      <c r="D625" s="1079" t="s">
        <v>1606</v>
      </c>
      <c r="E625" s="1080" t="s">
        <v>355</v>
      </c>
      <c r="F625" s="1079"/>
      <c r="G625" s="1081" t="str">
        <f>IF(B625="insumo",_xlfn.XLOOKUP($D625,Insumos!$B$1:$B$670,Insumos!$D$1:$D$670),"")</f>
        <v/>
      </c>
      <c r="H625" s="1081" cm="1">
        <f t="array" ref="H625">_xlfn.IFS(B625="Serviço",SUMIFS(H626:$H$2465,C626:$C$2465,$C625),B625="Insumo",F625*G625,B625="Etapa","")</f>
        <v>15000</v>
      </c>
      <c r="I625" s="1082" t="s">
        <v>872</v>
      </c>
    </row>
    <row r="626" spans="1:9" hidden="1" outlineLevel="2" x14ac:dyDescent="0.25">
      <c r="A626" s="1079">
        <f t="shared" si="24"/>
        <v>1</v>
      </c>
      <c r="B626" s="1079" t="s">
        <v>1362</v>
      </c>
      <c r="C626" s="1079" t="str">
        <f t="shared" si="25"/>
        <v>Sistema de Ancoragem Provisória e definitiva</v>
      </c>
      <c r="D626" s="1079" t="s">
        <v>1606</v>
      </c>
      <c r="E626" s="1080" t="str">
        <f>_xlfn.XLOOKUP(D626,Insumos!$B$1:$B$670,Insumos!$C$1:$C$670)</f>
        <v>vb</v>
      </c>
      <c r="F626" s="1083">
        <v>1</v>
      </c>
      <c r="G626" s="1081">
        <f>IF(B626="insumo",_xlfn.XLOOKUP($D626,Insumos!$B$1:$B$670,Insumos!$D$1:$D$670),"")</f>
        <v>15000</v>
      </c>
      <c r="H626" s="1081" cm="1">
        <f t="array" ref="H626">_xlfn.IFS(B626="Serviço",SUMIFS(H627:$H$2465,C627:$C$2465,$C626),B626="Insumo",F626*G626,B626="Etapa","")</f>
        <v>15000</v>
      </c>
      <c r="I626" s="1082"/>
    </row>
    <row r="627" spans="1:9" hidden="1" outlineLevel="1" collapsed="1" x14ac:dyDescent="0.25">
      <c r="A627" s="1079">
        <f t="shared" si="24"/>
        <v>1</v>
      </c>
      <c r="B627" s="1079" t="s">
        <v>471</v>
      </c>
      <c r="C627" s="1079" t="str">
        <f t="shared" si="25"/>
        <v>Serviço de Perfuração de vigas e lajes</v>
      </c>
      <c r="D627" s="1079" t="s">
        <v>1607</v>
      </c>
      <c r="E627" s="1080" t="s">
        <v>355</v>
      </c>
      <c r="F627" s="1083"/>
      <c r="G627" s="1081" t="str">
        <f>IF(B627="insumo",_xlfn.XLOOKUP($D627,Insumos!$B$1:$B$670,Insumos!$D$1:$D$670),"")</f>
        <v/>
      </c>
      <c r="H627" s="1081" cm="1">
        <f t="array" ref="H627">_xlfn.IFS(B627="Serviço",SUMIFS(H628:$H$2465,C628:$C$2465,$C627),B627="Insumo",F627*G627,B627="Etapa","")</f>
        <v>93981.530500000008</v>
      </c>
      <c r="I627" s="1082"/>
    </row>
    <row r="628" spans="1:9" hidden="1" outlineLevel="2" x14ac:dyDescent="0.25">
      <c r="A628" s="1079">
        <f t="shared" si="24"/>
        <v>1</v>
      </c>
      <c r="B628" s="1079" t="s">
        <v>1362</v>
      </c>
      <c r="C628" s="1079" t="str">
        <f t="shared" si="25"/>
        <v>Serviço de Perfuração de vigas e lajes</v>
      </c>
      <c r="D628" s="1079" t="s">
        <v>1607</v>
      </c>
      <c r="E628" s="1080" t="str">
        <f>_xlfn.XLOOKUP(D628,Insumos!$B$1:$B$670,Insumos!$C$1:$C$670)</f>
        <v>VB</v>
      </c>
      <c r="F628" s="1083">
        <v>1</v>
      </c>
      <c r="G628" s="1081">
        <f>IF(B628="insumo",_xlfn.XLOOKUP($D628,Insumos!$B$1:$B$670,Insumos!$D$1:$D$670),"")</f>
        <v>93981.530500000008</v>
      </c>
      <c r="H628" s="1081" cm="1">
        <f t="array" ref="H628">_xlfn.IFS(B628="Serviço",SUMIFS(H629:$H$2465,C629:$C$2465,$C628),B628="Insumo",F628*G628,B628="Etapa","")</f>
        <v>93981.530500000008</v>
      </c>
      <c r="I628" s="1082"/>
    </row>
    <row r="629" spans="1:9" hidden="1" outlineLevel="1" collapsed="1" x14ac:dyDescent="0.25">
      <c r="A629" s="1079">
        <f t="shared" si="24"/>
        <v>1</v>
      </c>
      <c r="B629" s="1079" t="s">
        <v>471</v>
      </c>
      <c r="C629" s="1079" t="str">
        <f t="shared" si="25"/>
        <v>Escoramento de fôrmas para Lajes com escoras de Madeira incluindo travamento, 4 utilizações.</v>
      </c>
      <c r="D629" s="1079" t="s">
        <v>882</v>
      </c>
      <c r="E629" s="1080" t="s">
        <v>1426</v>
      </c>
      <c r="F629" s="1079"/>
      <c r="G629" s="1081" t="str">
        <f>IF(B629="insumo",_xlfn.XLOOKUP($D629,Insumos!$B$1:$B$670,Insumos!$D$1:$D$670),"")</f>
        <v/>
      </c>
      <c r="H629" s="1081" cm="1">
        <f t="array" ref="H629">_xlfn.IFS(B629="Serviço",SUMIFS(H630:$H$2465,C630:$C$2465,$C629),B629="Insumo",F629*G629,B629="Etapa","")</f>
        <v>11.49611955</v>
      </c>
      <c r="I629" s="1082" t="s">
        <v>872</v>
      </c>
    </row>
    <row r="630" spans="1:9" hidden="1" outlineLevel="2" x14ac:dyDescent="0.25">
      <c r="A630" s="1079">
        <f t="shared" si="24"/>
        <v>33</v>
      </c>
      <c r="B630" s="1079" t="s">
        <v>1362</v>
      </c>
      <c r="C630" s="1079" t="str">
        <f t="shared" si="25"/>
        <v>Escoramento de fôrmas para Lajes com escoras de Madeira incluindo travamento, 4 utilizações.</v>
      </c>
      <c r="D630" s="1079" t="s">
        <v>1375</v>
      </c>
      <c r="E630" s="1080" t="str">
        <f>_xlfn.XLOOKUP(D630,Insumos!$B$1:$B$670,Insumos!$C$1:$C$670)</f>
        <v>KG</v>
      </c>
      <c r="F630" s="1083">
        <v>2.3535E-2</v>
      </c>
      <c r="G630" s="1081">
        <f>IF(B630="insumo",_xlfn.XLOOKUP($D630,Insumos!$B$1:$B$670,Insumos!$D$1:$D$670),"")</f>
        <v>18.13</v>
      </c>
      <c r="H630" s="1081" cm="1">
        <f t="array" ref="H630">_xlfn.IFS(B630="Serviço",SUMIFS(H631:$H$2465,C631:$C$2465,$C630),B630="Insumo",F630*G630,B630="Etapa","")</f>
        <v>0.42668954999999997</v>
      </c>
      <c r="I630" s="1082"/>
    </row>
    <row r="631" spans="1:9" hidden="1" outlineLevel="2" x14ac:dyDescent="0.25">
      <c r="A631" s="1079">
        <f t="shared" si="24"/>
        <v>3</v>
      </c>
      <c r="B631" s="1079" t="s">
        <v>1362</v>
      </c>
      <c r="C631" s="1079" t="str">
        <f t="shared" si="25"/>
        <v>Escoramento de fôrmas para Lajes com escoras de Madeira incluindo travamento, 4 utilizações.</v>
      </c>
      <c r="D631" s="1079" t="s">
        <v>1542</v>
      </c>
      <c r="E631" s="1080" t="str">
        <f>_xlfn.XLOOKUP(D631,Insumos!$B$1:$B$670,Insumos!$C$1:$C$670)</f>
        <v>M</v>
      </c>
      <c r="F631" s="1083">
        <v>0.14299999999999999</v>
      </c>
      <c r="G631" s="1081">
        <f>IF(B631="insumo",_xlfn.XLOOKUP($D631,Insumos!$B$1:$B$670,Insumos!$D$1:$D$670),"")</f>
        <v>42.46</v>
      </c>
      <c r="H631" s="1081" cm="1">
        <f t="array" ref="H631">_xlfn.IFS(B631="Serviço",SUMIFS(H632:$H$2465,C632:$C$2465,$C631),B631="Insumo",F631*G631,B631="Etapa","")</f>
        <v>6.0717799999999995</v>
      </c>
      <c r="I631" s="1082"/>
    </row>
    <row r="632" spans="1:9" hidden="1" outlineLevel="2" x14ac:dyDescent="0.25">
      <c r="A632" s="1079">
        <f t="shared" si="24"/>
        <v>21</v>
      </c>
      <c r="B632" s="1079" t="s">
        <v>1362</v>
      </c>
      <c r="C632" s="1079" t="str">
        <f t="shared" si="25"/>
        <v>Escoramento de fôrmas para Lajes com escoras de Madeira incluindo travamento, 4 utilizações.</v>
      </c>
      <c r="D632" s="1079" t="s">
        <v>1372</v>
      </c>
      <c r="E632" s="1080" t="str">
        <f>_xlfn.XLOOKUP(D632,Insumos!$B$1:$B$670,Insumos!$C$1:$C$670)</f>
        <v>M</v>
      </c>
      <c r="F632" s="1083">
        <v>0.71395000000000008</v>
      </c>
      <c r="G632" s="1081">
        <f>IF(B632="insumo",_xlfn.XLOOKUP($D632,Insumos!$B$1:$B$670,Insumos!$D$1:$D$670),"")</f>
        <v>7</v>
      </c>
      <c r="H632" s="1081" cm="1">
        <f t="array" ref="H632">_xlfn.IFS(B632="Serviço",SUMIFS(H633:$H$2465,C633:$C$2465,$C632),B632="Insumo",F632*G632,B632="Etapa","")</f>
        <v>4.9976500000000001</v>
      </c>
      <c r="I632" s="1082"/>
    </row>
    <row r="633" spans="1:9" hidden="1" outlineLevel="1" collapsed="1" x14ac:dyDescent="0.25">
      <c r="A633" s="1079">
        <f t="shared" si="24"/>
        <v>1</v>
      </c>
      <c r="B633" s="1079" t="s">
        <v>471</v>
      </c>
      <c r="C633" s="1079" t="str">
        <f t="shared" si="25"/>
        <v>Mão de obra para execução de supraestrutura de concreto armado</v>
      </c>
      <c r="D633" s="1079" t="s">
        <v>478</v>
      </c>
      <c r="E633" s="1080" t="s">
        <v>17</v>
      </c>
      <c r="F633" s="1079"/>
      <c r="G633" s="1081" t="str">
        <f>IF(B633="insumo",_xlfn.XLOOKUP($D633,Insumos!$B$1:$B$670,Insumos!$D$1:$D$670),"")</f>
        <v/>
      </c>
      <c r="H633" s="1081" cm="1">
        <f t="array" ref="H633">_xlfn.IFS(B633="Serviço",SUMIFS(H634:$H$2465,C634:$C$2465,$C633),B633="Insumo",F633*G633,B633="Etapa","")</f>
        <v>240</v>
      </c>
      <c r="I633" s="1082" t="s">
        <v>872</v>
      </c>
    </row>
    <row r="634" spans="1:9" hidden="1" outlineLevel="2" x14ac:dyDescent="0.25">
      <c r="A634" s="1079">
        <f t="shared" si="24"/>
        <v>1</v>
      </c>
      <c r="B634" s="1079" t="s">
        <v>1362</v>
      </c>
      <c r="C634" s="1079" t="str">
        <f t="shared" si="25"/>
        <v>Mão de obra para execução de supraestrutura de concreto armado</v>
      </c>
      <c r="D634" s="1079" t="s">
        <v>478</v>
      </c>
      <c r="E634" s="1080" t="str">
        <f>_xlfn.XLOOKUP(D634,Insumos!$B$1:$B$670,Insumos!$C$1:$C$670)</f>
        <v>m2</v>
      </c>
      <c r="F634" s="1083">
        <v>1</v>
      </c>
      <c r="G634" s="1081">
        <f>IF(B634="insumo",_xlfn.XLOOKUP($D634,Insumos!$B$1:$B$670,Insumos!$D$1:$D$670),"")</f>
        <v>240</v>
      </c>
      <c r="H634" s="1081" cm="1">
        <f t="array" ref="H634">_xlfn.IFS(B634="Serviço",SUMIFS(H635:$H$2465,C635:$C$2465,$C634),B634="Insumo",F634*G634,B634="Etapa","")</f>
        <v>240</v>
      </c>
      <c r="I634" s="1082"/>
    </row>
    <row r="635" spans="1:9" hidden="1" outlineLevel="1" collapsed="1" x14ac:dyDescent="0.25">
      <c r="A635" s="1079">
        <f t="shared" si="24"/>
        <v>1</v>
      </c>
      <c r="B635" s="1079" t="s">
        <v>471</v>
      </c>
      <c r="C635" s="1079" t="str">
        <f t="shared" si="25"/>
        <v>Mão de Obra Polimento de piso</v>
      </c>
      <c r="D635" s="1079" t="s">
        <v>1608</v>
      </c>
      <c r="E635" s="1080" t="s">
        <v>17</v>
      </c>
      <c r="F635" s="1079"/>
      <c r="G635" s="1081" t="str">
        <f>IF(B635="insumo",_xlfn.XLOOKUP($D635,Insumos!$B$1:$B$670,Insumos!$D$1:$D$670),"")</f>
        <v/>
      </c>
      <c r="H635" s="1081" cm="1">
        <f t="array" ref="H635">_xlfn.IFS(B635="Serviço",SUMIFS(H636:$H$2465,C636:$C$2465,$C635),B635="Insumo",F635*G635,B635="Etapa","")</f>
        <v>25</v>
      </c>
      <c r="I635" s="1082" t="s">
        <v>872</v>
      </c>
    </row>
    <row r="636" spans="1:9" hidden="1" outlineLevel="2" x14ac:dyDescent="0.25">
      <c r="A636" s="1079">
        <f t="shared" si="24"/>
        <v>1</v>
      </c>
      <c r="B636" s="1079" t="s">
        <v>1362</v>
      </c>
      <c r="C636" s="1079" t="str">
        <f t="shared" si="25"/>
        <v>Mão de Obra Polimento de piso</v>
      </c>
      <c r="D636" s="1079" t="s">
        <v>1608</v>
      </c>
      <c r="E636" s="1080" t="str">
        <f>_xlfn.XLOOKUP(D636,Insumos!$B$1:$B$670,Insumos!$C$1:$C$670)</f>
        <v>m2</v>
      </c>
      <c r="F636" s="1083">
        <v>1</v>
      </c>
      <c r="G636" s="1081">
        <f>IF(B636="insumo",_xlfn.XLOOKUP($D636,Insumos!$B$1:$B$670,Insumos!$D$1:$D$670),"")</f>
        <v>25</v>
      </c>
      <c r="H636" s="1081" cm="1">
        <f t="array" ref="H636">_xlfn.IFS(B636="Serviço",SUMIFS(H637:$H$2465,C637:$C$2465,$C636),B636="Insumo",F636*G636,B636="Etapa","")</f>
        <v>25</v>
      </c>
      <c r="I636" s="1082"/>
    </row>
    <row r="637" spans="1:9" collapsed="1" x14ac:dyDescent="0.25">
      <c r="A637" s="1076">
        <f t="shared" si="24"/>
        <v>1</v>
      </c>
      <c r="B637" s="1076" t="s">
        <v>469</v>
      </c>
      <c r="C637" s="1076"/>
      <c r="D637" s="1076" t="s">
        <v>1609</v>
      </c>
      <c r="E637" s="1077"/>
      <c r="F637" s="1078"/>
      <c r="G637" s="1084" t="str">
        <f>IF(B637="insumo",_xlfn.XLOOKUP($D637,Insumos!$B$1:$B$670,Insumos!$D$1:$D$670),"")</f>
        <v/>
      </c>
      <c r="H637" s="1084" t="str" cm="1">
        <f t="array" ref="H637">_xlfn.IFS(B637="Serviço",SUMIFS(H638:$H$2465,C638:$C$2465,$C637),B637="Insumo",F637*G637,B637="Etapa","")</f>
        <v/>
      </c>
      <c r="I637" s="1078"/>
    </row>
    <row r="638" spans="1:9" hidden="1" outlineLevel="1" x14ac:dyDescent="0.25">
      <c r="A638" s="1079">
        <f t="shared" si="24"/>
        <v>1</v>
      </c>
      <c r="B638" s="1079" t="s">
        <v>471</v>
      </c>
      <c r="C638" s="1079" t="str">
        <f t="shared" ref="C638:C701" si="26">IF(B638="serviço",D638,C637)</f>
        <v>Alvenaria de vedacao de blocos ceramicos furados na horizontal de 9x19x19cm (espessura 9cm) com argamassa industrializada de assentamento</v>
      </c>
      <c r="D638" s="1079" t="s">
        <v>1610</v>
      </c>
      <c r="E638" s="1080" t="s">
        <v>17</v>
      </c>
      <c r="F638" s="1079"/>
      <c r="G638" s="1081" t="str">
        <f>IF(B638="insumo",_xlfn.XLOOKUP($D638,Insumos!$B$1:$B$670,Insumos!$D$1:$D$670),"")</f>
        <v/>
      </c>
      <c r="H638" s="1081" cm="1">
        <f t="array" ref="H638">_xlfn.IFS(B638="Serviço",SUMIFS(H639:$H$2465,C639:$C$2465,$C638),B638="Insumo",F638*G638,B638="Etapa","")</f>
        <v>32.019999999999996</v>
      </c>
      <c r="I638" s="1082" t="s">
        <v>872</v>
      </c>
    </row>
    <row r="639" spans="1:9" hidden="1" outlineLevel="2" x14ac:dyDescent="0.25">
      <c r="A639" s="1079">
        <f t="shared" si="24"/>
        <v>2</v>
      </c>
      <c r="B639" s="1079" t="s">
        <v>1362</v>
      </c>
      <c r="C639" s="1079" t="str">
        <f t="shared" si="26"/>
        <v>Alvenaria de vedacao de blocos ceramicos furados na horizontal de 9x19x19cm (espessura 9cm) com argamassa industrializada de assentamento</v>
      </c>
      <c r="D639" s="1079" t="s">
        <v>1611</v>
      </c>
      <c r="E639" s="1080" t="str">
        <f>_xlfn.XLOOKUP(D639,Insumos!$B$1:$B$670,Insumos!$C$1:$C$670)</f>
        <v>UN</v>
      </c>
      <c r="F639" s="1083">
        <f>ROUNDUP(1/(0.19*0.19),)</f>
        <v>28</v>
      </c>
      <c r="G639" s="1081">
        <v>0.84</v>
      </c>
      <c r="H639" s="1081" cm="1">
        <f t="array" ref="H639">_xlfn.IFS(B639="Serviço",SUMIFS(H640:$H$2465,C640:$C$2465,$C639),B639="Insumo",F639*G639,B639="Etapa","")</f>
        <v>23.52</v>
      </c>
      <c r="I639" s="1082"/>
    </row>
    <row r="640" spans="1:9" hidden="1" outlineLevel="2" x14ac:dyDescent="0.25">
      <c r="A640" s="1079">
        <f t="shared" si="24"/>
        <v>12</v>
      </c>
      <c r="B640" s="1079" t="s">
        <v>1362</v>
      </c>
      <c r="C640" s="1079" t="str">
        <f t="shared" si="26"/>
        <v>Alvenaria de vedacao de blocos ceramicos furados na horizontal de 9x19x19cm (espessura 9cm) com argamassa industrializada de assentamento</v>
      </c>
      <c r="D640" s="1079" t="s">
        <v>1612</v>
      </c>
      <c r="E640" s="1080" t="str">
        <f>_xlfn.XLOOKUP(D640,Insumos!$B$1:$B$670,Insumos!$C$1:$C$670)</f>
        <v>M3</v>
      </c>
      <c r="F640" s="1083">
        <v>0.02</v>
      </c>
      <c r="G640" s="1081">
        <f>IF(B640="insumo",_xlfn.XLOOKUP($D640,Insumos!$B$1:$B$670,Insumos!$D$1:$D$670),"")</f>
        <v>425</v>
      </c>
      <c r="H640" s="1081" cm="1">
        <f t="array" ref="H640">_xlfn.IFS(B640="Serviço",SUMIFS(H641:$H$2465,C641:$C$2465,$C640),B640="Insumo",F640*G640,B640="Etapa","")</f>
        <v>8.5</v>
      </c>
      <c r="I640" s="1082"/>
    </row>
    <row r="641" spans="1:9" hidden="1" outlineLevel="1" collapsed="1" x14ac:dyDescent="0.25">
      <c r="A641" s="1079">
        <f t="shared" si="24"/>
        <v>1</v>
      </c>
      <c r="B641" s="1079" t="s">
        <v>471</v>
      </c>
      <c r="C641" s="1079" t="str">
        <f t="shared" si="26"/>
        <v>Alvenaria de vedacao de blocos ceramicos furados na horizontal de 11,5x19x19cm (espessura 11,5cm) com argamassa de assentamento Dun Dun</v>
      </c>
      <c r="D641" s="1079" t="s">
        <v>1613</v>
      </c>
      <c r="E641" s="1080" t="s">
        <v>17</v>
      </c>
      <c r="F641" s="1079"/>
      <c r="G641" s="1081" t="str">
        <f>IF(B641="insumo",_xlfn.XLOOKUP($D641,Insumos!$B$1:$B$670,Insumos!$D$1:$D$670),"")</f>
        <v/>
      </c>
      <c r="H641" s="1081" cm="1">
        <f t="array" ref="H641">_xlfn.IFS(B641="Serviço",SUMIFS(H642:$H$2465,C642:$C$2465,$C641),B641="Insumo",F641*G641,B641="Etapa","")</f>
        <v>57.659199999999998</v>
      </c>
      <c r="I641" s="1082" t="s">
        <v>872</v>
      </c>
    </row>
    <row r="642" spans="1:9" hidden="1" outlineLevel="2" x14ac:dyDescent="0.25">
      <c r="A642" s="1079">
        <f t="shared" ref="A642:A705" si="27">COUNTIFS($D$2:$D$2465,D642,$B$2:$B$2465,B642)</f>
        <v>2</v>
      </c>
      <c r="B642" s="1079" t="s">
        <v>1362</v>
      </c>
      <c r="C642" s="1079" t="str">
        <f t="shared" si="26"/>
        <v>Alvenaria de vedacao de blocos ceramicos furados na horizontal de 11,5x19x19cm (espessura 11,5cm) com argamassa de assentamento Dun Dun</v>
      </c>
      <c r="D642" s="1079" t="s">
        <v>1614</v>
      </c>
      <c r="E642" s="1080" t="s">
        <v>491</v>
      </c>
      <c r="F642" s="1083">
        <f>ROUNDUP(1/(0.19*0.19),)</f>
        <v>28</v>
      </c>
      <c r="G642" s="1081">
        <f>IF(B642="insumo",_xlfn.XLOOKUP($D642,Insumos!$B$1:$B$670,Insumos!$D$1:$D$670),"")</f>
        <v>1.24</v>
      </c>
      <c r="H642" s="1081" cm="1">
        <f t="array" ref="H642">_xlfn.IFS(B642="Serviço",SUMIFS(H643:$H$2465,C643:$C$2465,$C642),B642="Insumo",F642*G642,B642="Etapa","")</f>
        <v>34.72</v>
      </c>
      <c r="I642" s="1082"/>
    </row>
    <row r="643" spans="1:9" hidden="1" outlineLevel="2" x14ac:dyDescent="0.25">
      <c r="A643" s="1079">
        <f t="shared" si="27"/>
        <v>1</v>
      </c>
      <c r="B643" s="1079" t="s">
        <v>1362</v>
      </c>
      <c r="C643" s="1079" t="str">
        <f t="shared" si="26"/>
        <v>Alvenaria de vedacao de blocos ceramicos furados na horizontal de 11,5x19x19cm (espessura 11,5cm) com argamassa de assentamento Dun Dun</v>
      </c>
      <c r="D643" s="1079" t="s">
        <v>1615</v>
      </c>
      <c r="E643" s="1080" t="s">
        <v>1481</v>
      </c>
      <c r="F643" s="1083">
        <v>1.2</v>
      </c>
      <c r="G643" s="1081">
        <f>IF(B643="insumo",_xlfn.XLOOKUP($D643,Insumos!$B$1:$B$670,Insumos!$D$1:$D$670),"")</f>
        <v>19.116</v>
      </c>
      <c r="H643" s="1081" cm="1">
        <f t="array" ref="H643">_xlfn.IFS(B643="Serviço",SUMIFS(H644:$H$2465,C644:$C$2465,$C643),B643="Insumo",F643*G643,B643="Etapa","")</f>
        <v>22.9392</v>
      </c>
      <c r="I643" s="1082"/>
    </row>
    <row r="644" spans="1:9" hidden="1" outlineLevel="1" x14ac:dyDescent="0.25">
      <c r="A644" s="1079">
        <f t="shared" si="27"/>
        <v>1</v>
      </c>
      <c r="B644" s="1079" t="s">
        <v>471</v>
      </c>
      <c r="C644" s="1079" t="str">
        <f t="shared" si="26"/>
        <v>Alvenaria de vedacao de blocos ceramicos furados na horizontal de 11.5x19x19cm (espessura 11.5cm) com argamassa industrializada de assentamento</v>
      </c>
      <c r="D644" s="1079" t="s">
        <v>1616</v>
      </c>
      <c r="E644" s="1080" t="s">
        <v>17</v>
      </c>
      <c r="F644" s="1079"/>
      <c r="G644" s="1081" t="str">
        <f>IF(B644="insumo",_xlfn.XLOOKUP($D644,Insumos!$B$1:$B$670,Insumos!$D$1:$D$670),"")</f>
        <v/>
      </c>
      <c r="H644" s="1081" cm="1">
        <f t="array" ref="H644">_xlfn.IFS(B644="Serviço",SUMIFS(H645:$H$2465,C645:$C$2465,$C644),B644="Insumo",F644*G644,B644="Etapa","")</f>
        <v>34.82</v>
      </c>
      <c r="I644" s="1082" t="s">
        <v>872</v>
      </c>
    </row>
    <row r="645" spans="1:9" hidden="1" outlineLevel="2" x14ac:dyDescent="0.25">
      <c r="A645" s="1079">
        <f t="shared" si="27"/>
        <v>2</v>
      </c>
      <c r="B645" s="1079" t="s">
        <v>1362</v>
      </c>
      <c r="C645" s="1079" t="str">
        <f t="shared" si="26"/>
        <v>Alvenaria de vedacao de blocos ceramicos furados na horizontal de 11.5x19x19cm (espessura 11.5cm) com argamassa industrializada de assentamento</v>
      </c>
      <c r="D645" s="1079" t="s">
        <v>1614</v>
      </c>
      <c r="E645" s="1080" t="s">
        <v>491</v>
      </c>
      <c r="F645" s="1083">
        <f>ROUNDUP(1/(0.19*0.19),)</f>
        <v>28</v>
      </c>
      <c r="G645" s="1081">
        <v>0.94</v>
      </c>
      <c r="H645" s="1081" cm="1">
        <f t="array" ref="H645">_xlfn.IFS(B645="Serviço",SUMIFS(H646:$H$2465,C646:$C$2465,$C645),B645="Insumo",F645*G645,B645="Etapa","")</f>
        <v>26.32</v>
      </c>
      <c r="I645" s="1082"/>
    </row>
    <row r="646" spans="1:9" hidden="1" outlineLevel="2" x14ac:dyDescent="0.25">
      <c r="A646" s="1079">
        <f t="shared" si="27"/>
        <v>12</v>
      </c>
      <c r="B646" s="1079" t="s">
        <v>1362</v>
      </c>
      <c r="C646" s="1079" t="str">
        <f t="shared" si="26"/>
        <v>Alvenaria de vedacao de blocos ceramicos furados na horizontal de 11.5x19x19cm (espessura 11.5cm) com argamassa industrializada de assentamento</v>
      </c>
      <c r="D646" s="1079" t="s">
        <v>1612</v>
      </c>
      <c r="E646" s="1080" t="s">
        <v>1481</v>
      </c>
      <c r="F646" s="1083">
        <v>0.02</v>
      </c>
      <c r="G646" s="1081">
        <f>IF(B646="insumo",_xlfn.XLOOKUP($D646,Insumos!$B$1:$B$670,Insumos!$D$1:$D$670),"")</f>
        <v>425</v>
      </c>
      <c r="H646" s="1081" cm="1">
        <f t="array" ref="H646">_xlfn.IFS(B646="Serviço",SUMIFS(H647:$H$2465,C647:$C$2465,$C646),B646="Insumo",F646*G646,B646="Etapa","")</f>
        <v>8.5</v>
      </c>
      <c r="I646" s="1082"/>
    </row>
    <row r="647" spans="1:9" hidden="1" outlineLevel="1" x14ac:dyDescent="0.25">
      <c r="A647" s="1079">
        <f t="shared" si="27"/>
        <v>1</v>
      </c>
      <c r="B647" s="1079" t="s">
        <v>471</v>
      </c>
      <c r="C647" s="1079" t="str">
        <f t="shared" si="26"/>
        <v>Alvenaria de vedacao de blocos ceramicos furados na horizontal de 14x19x19cm (espessura 14cm) com argamassa industrializada de assentamento</v>
      </c>
      <c r="D647" s="1079" t="s">
        <v>1617</v>
      </c>
      <c r="E647" s="1080" t="s">
        <v>17</v>
      </c>
      <c r="F647" s="1079"/>
      <c r="G647" s="1081" t="str">
        <f>IF(B647="insumo",_xlfn.XLOOKUP($D647,Insumos!$B$1:$B$670,Insumos!$D$1:$D$670),"")</f>
        <v/>
      </c>
      <c r="H647" s="1081" cm="1">
        <f t="array" ref="H647">_xlfn.IFS(B647="Serviço",SUMIFS(H648:$H$2465,C648:$C$2465,$C647),B647="Insumo",F647*G647,B647="Etapa","")</f>
        <v>45.46</v>
      </c>
      <c r="I647" s="1082" t="s">
        <v>872</v>
      </c>
    </row>
    <row r="648" spans="1:9" hidden="1" outlineLevel="2" x14ac:dyDescent="0.25">
      <c r="A648" s="1079">
        <f t="shared" si="27"/>
        <v>1</v>
      </c>
      <c r="B648" s="1079" t="s">
        <v>1362</v>
      </c>
      <c r="C648" s="1079" t="str">
        <f t="shared" si="26"/>
        <v>Alvenaria de vedacao de blocos ceramicos furados na horizontal de 14x19x19cm (espessura 14cm) com argamassa industrializada de assentamento</v>
      </c>
      <c r="D648" s="1079" t="s">
        <v>1618</v>
      </c>
      <c r="E648" s="1080" t="s">
        <v>491</v>
      </c>
      <c r="F648" s="1083">
        <f>ROUNDUP(1/(0.19*0.19),)</f>
        <v>28</v>
      </c>
      <c r="G648" s="1081">
        <v>1.32</v>
      </c>
      <c r="H648" s="1081" cm="1">
        <f t="array" ref="H648">_xlfn.IFS(B648="Serviço",SUMIFS(H649:$H$2465,C649:$C$2465,$C648),B648="Insumo",F648*G648,B648="Etapa","")</f>
        <v>36.96</v>
      </c>
      <c r="I648" s="1082"/>
    </row>
    <row r="649" spans="1:9" hidden="1" outlineLevel="2" x14ac:dyDescent="0.25">
      <c r="A649" s="1079">
        <f t="shared" si="27"/>
        <v>12</v>
      </c>
      <c r="B649" s="1079" t="s">
        <v>1362</v>
      </c>
      <c r="C649" s="1079" t="str">
        <f t="shared" si="26"/>
        <v>Alvenaria de vedacao de blocos ceramicos furados na horizontal de 14x19x19cm (espessura 14cm) com argamassa industrializada de assentamento</v>
      </c>
      <c r="D649" s="1079" t="s">
        <v>1612</v>
      </c>
      <c r="E649" s="1080" t="str">
        <f>_xlfn.XLOOKUP(D649,Insumos!$B$1:$B$670,Insumos!$C$1:$C$670)</f>
        <v>M3</v>
      </c>
      <c r="F649" s="1083">
        <v>0.02</v>
      </c>
      <c r="G649" s="1081">
        <f>IF(B649="insumo",_xlfn.XLOOKUP($D649,Insumos!$B$1:$B$670,Insumos!$D$1:$D$670),"")</f>
        <v>425</v>
      </c>
      <c r="H649" s="1081" cm="1">
        <f t="array" ref="H649">_xlfn.IFS(B649="Serviço",SUMIFS(H650:$H$2465,C650:$C$2465,$C649),B649="Insumo",F649*G649,B649="Etapa","")</f>
        <v>8.5</v>
      </c>
      <c r="I649" s="1082"/>
    </row>
    <row r="650" spans="1:9" hidden="1" outlineLevel="1" collapsed="1" x14ac:dyDescent="0.25">
      <c r="A650" s="1079">
        <f t="shared" si="27"/>
        <v>1</v>
      </c>
      <c r="B650" s="1079" t="s">
        <v>471</v>
      </c>
      <c r="C650" s="1079" t="str">
        <f t="shared" si="26"/>
        <v>Alvenaria de vedacao de blocos ceramicos furados na horizontal de 14x19x39cm (espessura 9cm) com argamassa industrializada de assentamento</v>
      </c>
      <c r="D650" s="1079" t="s">
        <v>1619</v>
      </c>
      <c r="E650" s="1080" t="s">
        <v>17</v>
      </c>
      <c r="F650" s="1079"/>
      <c r="G650" s="1081" t="str">
        <f>IF(B650="insumo",_xlfn.XLOOKUP($D650,Insumos!$B$1:$B$670,Insumos!$D$1:$D$670),"")</f>
        <v/>
      </c>
      <c r="H650" s="1081" cm="1">
        <f t="array" ref="H650">_xlfn.IFS(B650="Serviço",SUMIFS(H651:$H$2465,C651:$C$2465,$C650),B650="Insumo",F650*G650,B650="Etapa","")</f>
        <v>28.099999999999998</v>
      </c>
      <c r="I650" s="1082" t="s">
        <v>872</v>
      </c>
    </row>
    <row r="651" spans="1:9" hidden="1" outlineLevel="2" x14ac:dyDescent="0.25">
      <c r="A651" s="1079">
        <f t="shared" si="27"/>
        <v>1</v>
      </c>
      <c r="B651" s="1079" t="s">
        <v>1362</v>
      </c>
      <c r="C651" s="1079" t="str">
        <f t="shared" si="26"/>
        <v>Alvenaria de vedacao de blocos ceramicos furados na horizontal de 14x19x39cm (espessura 9cm) com argamassa industrializada de assentamento</v>
      </c>
      <c r="D651" s="1079" t="s">
        <v>1620</v>
      </c>
      <c r="E651" s="1080" t="str">
        <f>_xlfn.XLOOKUP(D651,Insumos!$B$1:$B$670,Insumos!$C$1:$C$670)</f>
        <v>UN</v>
      </c>
      <c r="F651" s="1083">
        <f>ROUNDUP(1/(0.19*0.39),)</f>
        <v>14</v>
      </c>
      <c r="G651" s="1081">
        <f>IF(B651="insumo",_xlfn.XLOOKUP($D651,Insumos!$B$1:$B$670,Insumos!$D$1:$D$670),"")</f>
        <v>1.4</v>
      </c>
      <c r="H651" s="1081" cm="1">
        <f t="array" ref="H651">_xlfn.IFS(B651="Serviço",SUMIFS(H652:$H$2465,C652:$C$2465,$C651),B651="Insumo",F651*G651,B651="Etapa","")</f>
        <v>19.599999999999998</v>
      </c>
      <c r="I651" s="1082"/>
    </row>
    <row r="652" spans="1:9" hidden="1" outlineLevel="2" x14ac:dyDescent="0.25">
      <c r="A652" s="1079">
        <f t="shared" si="27"/>
        <v>12</v>
      </c>
      <c r="B652" s="1079" t="s">
        <v>1362</v>
      </c>
      <c r="C652" s="1079" t="str">
        <f t="shared" si="26"/>
        <v>Alvenaria de vedacao de blocos ceramicos furados na horizontal de 14x19x39cm (espessura 9cm) com argamassa industrializada de assentamento</v>
      </c>
      <c r="D652" s="1079" t="s">
        <v>1612</v>
      </c>
      <c r="E652" s="1080" t="str">
        <f>_xlfn.XLOOKUP(D652,Insumos!$B$1:$B$670,Insumos!$C$1:$C$670)</f>
        <v>M3</v>
      </c>
      <c r="F652" s="1083">
        <v>0.02</v>
      </c>
      <c r="G652" s="1081">
        <f>IF(B652="insumo",_xlfn.XLOOKUP($D652,Insumos!$B$1:$B$670,Insumos!$D$1:$D$670),"")</f>
        <v>425</v>
      </c>
      <c r="H652" s="1081" cm="1">
        <f t="array" ref="H652">_xlfn.IFS(B652="Serviço",SUMIFS(H653:$H$2465,C653:$C$2465,$C652),B652="Insumo",F652*G652,B652="Etapa","")</f>
        <v>8.5</v>
      </c>
      <c r="I652" s="1082"/>
    </row>
    <row r="653" spans="1:9" hidden="1" outlineLevel="1" collapsed="1" x14ac:dyDescent="0.25">
      <c r="A653" s="1079">
        <f t="shared" si="27"/>
        <v>1</v>
      </c>
      <c r="B653" s="1079" t="s">
        <v>471</v>
      </c>
      <c r="C653" s="1079" t="str">
        <f t="shared" si="26"/>
        <v>Alvenaria de vedação de blocos de concreto de 09x19x39cm, com argamassa estabilizada</v>
      </c>
      <c r="D653" s="1079" t="s">
        <v>1621</v>
      </c>
      <c r="E653" s="1080" t="s">
        <v>17</v>
      </c>
      <c r="F653" s="1079"/>
      <c r="G653" s="1081" t="str">
        <f>IF(B653="insumo",_xlfn.XLOOKUP($D653,Insumos!$B$1:$B$670,Insumos!$D$1:$D$670),"")</f>
        <v/>
      </c>
      <c r="H653" s="1081" cm="1">
        <f t="array" ref="H653">_xlfn.IFS(B653="Serviço",SUMIFS(H654:$H$2465,C654:$C$2465,$C653),B653="Insumo",F653*G653,B653="Etapa","")</f>
        <v>46.300000000000004</v>
      </c>
      <c r="I653" s="1082" t="s">
        <v>872</v>
      </c>
    </row>
    <row r="654" spans="1:9" hidden="1" outlineLevel="2" x14ac:dyDescent="0.25">
      <c r="A654" s="1079">
        <f t="shared" si="27"/>
        <v>1</v>
      </c>
      <c r="B654" s="1079" t="s">
        <v>1362</v>
      </c>
      <c r="C654" s="1079" t="str">
        <f t="shared" si="26"/>
        <v>Alvenaria de vedação de blocos de concreto de 09x19x39cm, com argamassa estabilizada</v>
      </c>
      <c r="D654" s="1079" t="s">
        <v>1622</v>
      </c>
      <c r="E654" s="1080" t="str">
        <f>_xlfn.XLOOKUP(D654,Insumos!$B$1:$B$670,Insumos!$C$1:$C$670)</f>
        <v>UN</v>
      </c>
      <c r="F654" s="1083">
        <f>ROUNDUP(1/(0.19*0.39),)</f>
        <v>14</v>
      </c>
      <c r="G654" s="1081">
        <f>IF(B654="insumo",_xlfn.XLOOKUP($D654,Insumos!$B$1:$B$670,Insumos!$D$1:$D$670),"")</f>
        <v>2.7</v>
      </c>
      <c r="H654" s="1081" cm="1">
        <f t="array" ref="H654">_xlfn.IFS(B654="Serviço",SUMIFS(H655:$H$2465,C655:$C$2465,$C654),B654="Insumo",F654*G654,B654="Etapa","")</f>
        <v>37.800000000000004</v>
      </c>
      <c r="I654" s="1082"/>
    </row>
    <row r="655" spans="1:9" hidden="1" outlineLevel="2" x14ac:dyDescent="0.25">
      <c r="A655" s="1079">
        <f t="shared" si="27"/>
        <v>12</v>
      </c>
      <c r="B655" s="1079" t="s">
        <v>1362</v>
      </c>
      <c r="C655" s="1079" t="str">
        <f t="shared" si="26"/>
        <v>Alvenaria de vedação de blocos de concreto de 09x19x39cm, com argamassa estabilizada</v>
      </c>
      <c r="D655" s="1079" t="s">
        <v>1612</v>
      </c>
      <c r="E655" s="1080" t="str">
        <f>_xlfn.XLOOKUP(D655,Insumos!$B$1:$B$670,Insumos!$C$1:$C$670)</f>
        <v>M3</v>
      </c>
      <c r="F655" s="1083">
        <v>0.02</v>
      </c>
      <c r="G655" s="1081">
        <f>IF(B655="insumo",_xlfn.XLOOKUP($D655,Insumos!$B$1:$B$670,Insumos!$D$1:$D$670),"")</f>
        <v>425</v>
      </c>
      <c r="H655" s="1081" cm="1">
        <f t="array" ref="H655">_xlfn.IFS(B655="Serviço",SUMIFS(H656:$H$2465,C656:$C$2465,$C655),B655="Insumo",F655*G655,B655="Etapa","")</f>
        <v>8.5</v>
      </c>
      <c r="I655" s="1082"/>
    </row>
    <row r="656" spans="1:9" hidden="1" outlineLevel="1" collapsed="1" x14ac:dyDescent="0.25">
      <c r="A656" s="1079">
        <f t="shared" si="27"/>
        <v>1</v>
      </c>
      <c r="B656" s="1079" t="s">
        <v>471</v>
      </c>
      <c r="C656" s="1079" t="str">
        <f t="shared" si="26"/>
        <v>Alvenaria de vedacao de blocos ceramicos maciço de 5,5 cm x 11,5 cm x 24 cm (espessura 5cm) com argamassa industrializada de assentamento</v>
      </c>
      <c r="D656" s="1079" t="s">
        <v>1623</v>
      </c>
      <c r="E656" s="1080" t="s">
        <v>17</v>
      </c>
      <c r="F656" s="1079"/>
      <c r="G656" s="1081" t="str">
        <f>IF(B656="insumo",_xlfn.XLOOKUP($D656,Insumos!$B$1:$B$670,Insumos!$D$1:$D$670),"")</f>
        <v/>
      </c>
      <c r="H656" s="1081" cm="1">
        <f t="array" ref="H656">_xlfn.IFS(B656="Serviço",SUMIFS(H657:$H$2465,C657:$C$2465,$C656),B656="Insumo",F656*G656,B656="Etapa","")</f>
        <v>47.35</v>
      </c>
      <c r="I656" s="1082" t="s">
        <v>872</v>
      </c>
    </row>
    <row r="657" spans="1:9" hidden="1" outlineLevel="2" x14ac:dyDescent="0.25">
      <c r="A657" s="1079">
        <f t="shared" si="27"/>
        <v>1</v>
      </c>
      <c r="B657" s="1079" t="s">
        <v>1362</v>
      </c>
      <c r="C657" s="1079" t="str">
        <f t="shared" si="26"/>
        <v>Alvenaria de vedacao de blocos ceramicos maciço de 5,5 cm x 11,5 cm x 24 cm (espessura 5cm) com argamassa industrializada de assentamento</v>
      </c>
      <c r="D657" s="1079" t="s">
        <v>1624</v>
      </c>
      <c r="E657" s="1080" t="str">
        <f>_xlfn.XLOOKUP(D657,Insumos!$B$1:$B$670,Insumos!$C$1:$C$670)</f>
        <v>UN</v>
      </c>
      <c r="F657" s="1083">
        <f>ROUNDUP(1/(0.115*0.24),)</f>
        <v>37</v>
      </c>
      <c r="G657" s="1081">
        <f>IF(B657="insumo",_xlfn.XLOOKUP($D657,Insumos!$B$1:$B$670,Insumos!$D$1:$D$670),"")</f>
        <v>1.05</v>
      </c>
      <c r="H657" s="1081" cm="1">
        <f t="array" ref="H657">_xlfn.IFS(B657="Serviço",SUMIFS(H658:$H$2465,C658:$C$2465,$C657),B657="Insumo",F657*G657,B657="Etapa","")</f>
        <v>38.85</v>
      </c>
      <c r="I657" s="1082"/>
    </row>
    <row r="658" spans="1:9" hidden="1" outlineLevel="2" x14ac:dyDescent="0.25">
      <c r="A658" s="1079">
        <f t="shared" si="27"/>
        <v>12</v>
      </c>
      <c r="B658" s="1079" t="s">
        <v>1362</v>
      </c>
      <c r="C658" s="1079" t="str">
        <f t="shared" si="26"/>
        <v>Alvenaria de vedacao de blocos ceramicos maciço de 5,5 cm x 11,5 cm x 24 cm (espessura 5cm) com argamassa industrializada de assentamento</v>
      </c>
      <c r="D658" s="1079" t="s">
        <v>1612</v>
      </c>
      <c r="E658" s="1080" t="str">
        <f>_xlfn.XLOOKUP(D658,Insumos!$B$1:$B$670,Insumos!$C$1:$C$670)</f>
        <v>M3</v>
      </c>
      <c r="F658" s="1083">
        <v>0.02</v>
      </c>
      <c r="G658" s="1081">
        <f>IF(B658="insumo",_xlfn.XLOOKUP($D658,Insumos!$B$1:$B$670,Insumos!$D$1:$D$670),"")</f>
        <v>425</v>
      </c>
      <c r="H658" s="1081" cm="1">
        <f t="array" ref="H658">_xlfn.IFS(B658="Serviço",SUMIFS(H659:$H$2465,C659:$C$2465,$C658),B658="Insumo",F658*G658,B658="Etapa","")</f>
        <v>8.5</v>
      </c>
      <c r="I658" s="1082"/>
    </row>
    <row r="659" spans="1:9" hidden="1" outlineLevel="1" collapsed="1" x14ac:dyDescent="0.25">
      <c r="A659" s="1079">
        <f t="shared" si="27"/>
        <v>1</v>
      </c>
      <c r="B659" s="1079" t="s">
        <v>471</v>
      </c>
      <c r="C659" s="1079" t="str">
        <f t="shared" si="26"/>
        <v>Alvenaria de vedacao de blocos ceramicos furados na horizontal de 9x19x29cm (espessura 9cm) com argamassa industrializada de assentamento</v>
      </c>
      <c r="D659" s="1079" t="s">
        <v>1284</v>
      </c>
      <c r="E659" s="1080" t="s">
        <v>17</v>
      </c>
      <c r="F659" s="1079"/>
      <c r="G659" s="1081" t="str">
        <f>IF(B659="insumo",_xlfn.XLOOKUP($D659,Insumos!$B$1:$B$670,Insumos!$D$1:$D$670),"")</f>
        <v/>
      </c>
      <c r="H659" s="1081" cm="1">
        <f t="array" ref="H659">_xlfn.IFS(B659="Serviço",SUMIFS(H660:$H$2465,C660:$C$2465,$C659),B659="Insumo",F659*G659,B659="Etapa","")</f>
        <v>30.919999999999998</v>
      </c>
      <c r="I659" s="1082" t="s">
        <v>872</v>
      </c>
    </row>
    <row r="660" spans="1:9" hidden="1" outlineLevel="2" x14ac:dyDescent="0.25">
      <c r="A660" s="1079">
        <f t="shared" si="27"/>
        <v>1</v>
      </c>
      <c r="B660" s="1079" t="s">
        <v>1362</v>
      </c>
      <c r="C660" s="1079" t="str">
        <f t="shared" si="26"/>
        <v>Alvenaria de vedacao de blocos ceramicos furados na horizontal de 9x19x29cm (espessura 9cm) com argamassa industrializada de assentamento</v>
      </c>
      <c r="D660" s="1079" t="s">
        <v>1625</v>
      </c>
      <c r="E660" s="1080" t="str">
        <f>_xlfn.XLOOKUP(D660,Insumos!$B$1:$B$670,Insumos!$C$1:$C$670)</f>
        <v>UN</v>
      </c>
      <c r="F660" s="1083">
        <f>ROUNDUP(1/(0.19*0.29),)</f>
        <v>19</v>
      </c>
      <c r="G660" s="1081">
        <f>IF(B660="insumo",_xlfn.XLOOKUP($D660,Insumos!$B$1:$B$670,Insumos!$D$1:$D$670),"")</f>
        <v>1.18</v>
      </c>
      <c r="H660" s="1081" cm="1">
        <f t="array" ref="H660">_xlfn.IFS(B660="Serviço",SUMIFS(H661:$H$2465,C661:$C$2465,$C660),B660="Insumo",F660*G660,B660="Etapa","")</f>
        <v>22.419999999999998</v>
      </c>
      <c r="I660" s="1082"/>
    </row>
    <row r="661" spans="1:9" hidden="1" outlineLevel="2" x14ac:dyDescent="0.25">
      <c r="A661" s="1079">
        <f t="shared" si="27"/>
        <v>12</v>
      </c>
      <c r="B661" s="1079" t="s">
        <v>1362</v>
      </c>
      <c r="C661" s="1079" t="str">
        <f t="shared" si="26"/>
        <v>Alvenaria de vedacao de blocos ceramicos furados na horizontal de 9x19x29cm (espessura 9cm) com argamassa industrializada de assentamento</v>
      </c>
      <c r="D661" s="1079" t="s">
        <v>1612</v>
      </c>
      <c r="E661" s="1080" t="str">
        <f>_xlfn.XLOOKUP(D661,Insumos!$B$1:$B$670,Insumos!$C$1:$C$670)</f>
        <v>M3</v>
      </c>
      <c r="F661" s="1083">
        <v>0.02</v>
      </c>
      <c r="G661" s="1081">
        <f>IF(B661="insumo",_xlfn.XLOOKUP($D661,Insumos!$B$1:$B$670,Insumos!$D$1:$D$670),"")</f>
        <v>425</v>
      </c>
      <c r="H661" s="1081" cm="1">
        <f t="array" ref="H661">_xlfn.IFS(B661="Serviço",SUMIFS(H662:$H$2465,C662:$C$2465,$C661),B661="Insumo",F661*G661,B661="Etapa","")</f>
        <v>8.5</v>
      </c>
      <c r="I661" s="1082"/>
    </row>
    <row r="662" spans="1:9" hidden="1" outlineLevel="1" x14ac:dyDescent="0.25">
      <c r="A662" s="1079">
        <f t="shared" si="27"/>
        <v>1</v>
      </c>
      <c r="B662" s="1079" t="s">
        <v>471</v>
      </c>
      <c r="C662" s="1079" t="str">
        <f t="shared" si="26"/>
        <v>Alvenaria de vedacao de blocos ceramicos furados na horizontal de 11.5x19x29cm (espessura 11.5cm) com argamassa industrializada de assentamento</v>
      </c>
      <c r="D662" s="1079" t="s">
        <v>1282</v>
      </c>
      <c r="E662" s="1080" t="s">
        <v>17</v>
      </c>
      <c r="F662" s="1079"/>
      <c r="G662" s="1081" t="str">
        <f>IF(B662="insumo",_xlfn.XLOOKUP($D662,Insumos!$B$1:$B$670,Insumos!$D$1:$D$670),"")</f>
        <v/>
      </c>
      <c r="H662" s="1081" cm="1">
        <f t="array" ref="H662">_xlfn.IFS(B662="Serviço",SUMIFS(H663:$H$2465,C663:$C$2465,$C662),B662="Insumo",F662*G662,B662="Etapa","")</f>
        <v>37.57</v>
      </c>
      <c r="I662" s="1082" t="s">
        <v>872</v>
      </c>
    </row>
    <row r="663" spans="1:9" hidden="1" outlineLevel="2" x14ac:dyDescent="0.25">
      <c r="A663" s="1079">
        <f t="shared" si="27"/>
        <v>1</v>
      </c>
      <c r="B663" s="1079" t="s">
        <v>1362</v>
      </c>
      <c r="C663" s="1079" t="str">
        <f t="shared" si="26"/>
        <v>Alvenaria de vedacao de blocos ceramicos furados na horizontal de 11.5x19x29cm (espessura 11.5cm) com argamassa industrializada de assentamento</v>
      </c>
      <c r="D663" s="1079" t="s">
        <v>1626</v>
      </c>
      <c r="E663" s="1080" t="str">
        <f>_xlfn.XLOOKUP(D663,Insumos!$B$1:$B$670,Insumos!$C$1:$C$670)</f>
        <v>UN</v>
      </c>
      <c r="F663" s="1083">
        <f>ROUNDUP(1/(0.19*0.29),)</f>
        <v>19</v>
      </c>
      <c r="G663" s="1081">
        <f>IF(B663="insumo",_xlfn.XLOOKUP($D663,Insumos!$B$1:$B$670,Insumos!$D$1:$D$670),"")</f>
        <v>1.53</v>
      </c>
      <c r="H663" s="1081" cm="1">
        <f t="array" ref="H663">_xlfn.IFS(B663="Serviço",SUMIFS(H664:$H$2465,C664:$C$2465,$C663),B663="Insumo",F663*G663,B663="Etapa","")</f>
        <v>29.07</v>
      </c>
      <c r="I663" s="1082"/>
    </row>
    <row r="664" spans="1:9" hidden="1" outlineLevel="2" x14ac:dyDescent="0.25">
      <c r="A664" s="1079">
        <f t="shared" si="27"/>
        <v>12</v>
      </c>
      <c r="B664" s="1079" t="s">
        <v>1362</v>
      </c>
      <c r="C664" s="1079" t="str">
        <f t="shared" si="26"/>
        <v>Alvenaria de vedacao de blocos ceramicos furados na horizontal de 11.5x19x29cm (espessura 11.5cm) com argamassa industrializada de assentamento</v>
      </c>
      <c r="D664" s="1079" t="s">
        <v>1612</v>
      </c>
      <c r="E664" s="1080" t="str">
        <f>_xlfn.XLOOKUP(D664,Insumos!$B$1:$B$670,Insumos!$C$1:$C$670)</f>
        <v>M3</v>
      </c>
      <c r="F664" s="1083">
        <v>0.02</v>
      </c>
      <c r="G664" s="1081">
        <f>IF(B664="insumo",_xlfn.XLOOKUP($D664,Insumos!$B$1:$B$670,Insumos!$D$1:$D$670),"")</f>
        <v>425</v>
      </c>
      <c r="H664" s="1081" cm="1">
        <f t="array" ref="H664">_xlfn.IFS(B664="Serviço",SUMIFS(H665:$H$2465,C665:$C$2465,$C664),B664="Insumo",F664*G664,B664="Etapa","")</f>
        <v>8.5</v>
      </c>
      <c r="I664" s="1082"/>
    </row>
    <row r="665" spans="1:9" hidden="1" outlineLevel="1" x14ac:dyDescent="0.25">
      <c r="A665" s="1079">
        <f t="shared" si="27"/>
        <v>1</v>
      </c>
      <c r="B665" s="1079" t="s">
        <v>471</v>
      </c>
      <c r="C665" s="1079" t="str">
        <f t="shared" si="26"/>
        <v>Alvenaria de vedacao de blocos ceramicos furados na horizontal de 19x19x19cm (espessura 19cm) com argamassa industrializada de assentamento</v>
      </c>
      <c r="D665" s="1079" t="s">
        <v>1627</v>
      </c>
      <c r="E665" s="1080" t="s">
        <v>17</v>
      </c>
      <c r="F665" s="1079"/>
      <c r="G665" s="1081" t="str">
        <f>IF(B665="insumo",_xlfn.XLOOKUP($D665,Insumos!$B$1:$B$670,Insumos!$D$1:$D$670),"")</f>
        <v/>
      </c>
      <c r="H665" s="1081" cm="1">
        <f t="array" ref="H665">_xlfn.IFS(B665="Serviço",SUMIFS(H666:$H$2465,C666:$C$2465,$C665),B665="Insumo",F665*G665,B665="Etapa","")</f>
        <v>53.86</v>
      </c>
      <c r="I665" s="1082" t="s">
        <v>872</v>
      </c>
    </row>
    <row r="666" spans="1:9" hidden="1" outlineLevel="2" x14ac:dyDescent="0.25">
      <c r="A666" s="1079">
        <f t="shared" si="27"/>
        <v>1</v>
      </c>
      <c r="B666" s="1079" t="s">
        <v>1362</v>
      </c>
      <c r="C666" s="1079" t="str">
        <f t="shared" si="26"/>
        <v>Alvenaria de vedacao de blocos ceramicos furados na horizontal de 19x19x19cm (espessura 19cm) com argamassa industrializada de assentamento</v>
      </c>
      <c r="D666" s="1079" t="s">
        <v>1628</v>
      </c>
      <c r="E666" s="1080" t="str">
        <f>_xlfn.XLOOKUP(D666,Insumos!$B$1:$B$670,Insumos!$C$1:$C$670)</f>
        <v>UN</v>
      </c>
      <c r="F666" s="1083">
        <f>ROUNDUP(1/(0.19*0.19),)</f>
        <v>28</v>
      </c>
      <c r="G666" s="1081">
        <v>1.62</v>
      </c>
      <c r="H666" s="1081" cm="1">
        <f t="array" ref="H666">_xlfn.IFS(B666="Serviço",SUMIFS(H667:$H$2465,C667:$C$2465,$C666),B666="Insumo",F666*G666,B666="Etapa","")</f>
        <v>45.36</v>
      </c>
      <c r="I666" s="1082"/>
    </row>
    <row r="667" spans="1:9" hidden="1" outlineLevel="2" x14ac:dyDescent="0.25">
      <c r="A667" s="1079">
        <f t="shared" si="27"/>
        <v>12</v>
      </c>
      <c r="B667" s="1079" t="s">
        <v>1362</v>
      </c>
      <c r="C667" s="1079" t="str">
        <f t="shared" si="26"/>
        <v>Alvenaria de vedacao de blocos ceramicos furados na horizontal de 19x19x19cm (espessura 19cm) com argamassa industrializada de assentamento</v>
      </c>
      <c r="D667" s="1079" t="s">
        <v>1612</v>
      </c>
      <c r="E667" s="1080" t="str">
        <f>_xlfn.XLOOKUP(D667,Insumos!$B$1:$B$670,Insumos!$C$1:$C$670)</f>
        <v>M3</v>
      </c>
      <c r="F667" s="1083">
        <v>0.02</v>
      </c>
      <c r="G667" s="1081">
        <f>IF(B667="insumo",_xlfn.XLOOKUP($D667,Insumos!$B$1:$B$670,Insumos!$D$1:$D$670),"")</f>
        <v>425</v>
      </c>
      <c r="H667" s="1081" cm="1">
        <f t="array" ref="H667">_xlfn.IFS(B667="Serviço",SUMIFS(H668:$H$2465,C668:$C$2465,$C667),B667="Insumo",F667*G667,B667="Etapa","")</f>
        <v>8.5</v>
      </c>
      <c r="I667" s="1082"/>
    </row>
    <row r="668" spans="1:9" hidden="1" outlineLevel="1" collapsed="1" x14ac:dyDescent="0.25">
      <c r="A668" s="1079">
        <f t="shared" si="27"/>
        <v>1</v>
      </c>
      <c r="B668" s="1079" t="s">
        <v>471</v>
      </c>
      <c r="C668" s="1079" t="str">
        <f t="shared" si="26"/>
        <v>Alvenaria de vedacao de blocos ceramicos furados na horizontal de 14x19x29cm (espessura 14cm) com argamassa industrializada de assentamento</v>
      </c>
      <c r="D668" s="1079" t="s">
        <v>1283</v>
      </c>
      <c r="E668" s="1080" t="s">
        <v>17</v>
      </c>
      <c r="F668" s="1079"/>
      <c r="G668" s="1081" t="str">
        <f>IF(B668="insumo",_xlfn.XLOOKUP($D668,Insumos!$B$1:$B$670,Insumos!$D$1:$D$670),"")</f>
        <v/>
      </c>
      <c r="H668" s="1081" cm="1">
        <f t="array" ref="H668">_xlfn.IFS(B668="Serviço",SUMIFS(H669:$H$2465,C669:$C$2465,$C668),B668="Insumo",F668*G668,B668="Etapa","")</f>
        <v>59.61</v>
      </c>
      <c r="I668" s="1082" t="s">
        <v>872</v>
      </c>
    </row>
    <row r="669" spans="1:9" hidden="1" outlineLevel="2" x14ac:dyDescent="0.25">
      <c r="A669" s="1079">
        <f t="shared" si="27"/>
        <v>1</v>
      </c>
      <c r="B669" s="1079" t="s">
        <v>1362</v>
      </c>
      <c r="C669" s="1079" t="str">
        <f t="shared" si="26"/>
        <v>Alvenaria de vedacao de blocos ceramicos furados na horizontal de 14x19x29cm (espessura 14cm) com argamassa industrializada de assentamento</v>
      </c>
      <c r="D669" s="1079" t="s">
        <v>1629</v>
      </c>
      <c r="E669" s="1080" t="str">
        <f>_xlfn.XLOOKUP(D669,Insumos!$B$1:$B$670,Insumos!$C$1:$C$670)</f>
        <v>UN</v>
      </c>
      <c r="F669" s="1083">
        <f>ROUNDUP(1/(0.19*0.29),)</f>
        <v>19</v>
      </c>
      <c r="G669" s="1081">
        <f>IF(B669="insumo",_xlfn.XLOOKUP($D669,Insumos!$B$1:$B$670,Insumos!$D$1:$D$670),"")</f>
        <v>2.69</v>
      </c>
      <c r="H669" s="1081" cm="1">
        <f t="array" ref="H669">_xlfn.IFS(B669="Serviço",SUMIFS(H670:$H$2465,C670:$C$2465,$C669),B669="Insumo",F669*G669,B669="Etapa","")</f>
        <v>51.11</v>
      </c>
      <c r="I669" s="1082"/>
    </row>
    <row r="670" spans="1:9" hidden="1" outlineLevel="2" x14ac:dyDescent="0.25">
      <c r="A670" s="1079">
        <f t="shared" si="27"/>
        <v>12</v>
      </c>
      <c r="B670" s="1079" t="s">
        <v>1362</v>
      </c>
      <c r="C670" s="1079" t="str">
        <f t="shared" si="26"/>
        <v>Alvenaria de vedacao de blocos ceramicos furados na horizontal de 14x19x29cm (espessura 14cm) com argamassa industrializada de assentamento</v>
      </c>
      <c r="D670" s="1079" t="s">
        <v>1612</v>
      </c>
      <c r="E670" s="1080" t="str">
        <f>_xlfn.XLOOKUP(D670,Insumos!$B$1:$B$670,Insumos!$C$1:$C$670)</f>
        <v>M3</v>
      </c>
      <c r="F670" s="1083">
        <v>0.02</v>
      </c>
      <c r="G670" s="1081">
        <f>IF(B670="insumo",_xlfn.XLOOKUP($D670,Insumos!$B$1:$B$670,Insumos!$D$1:$D$670),"")</f>
        <v>425</v>
      </c>
      <c r="H670" s="1081" cm="1">
        <f t="array" ref="H670">_xlfn.IFS(B670="Serviço",SUMIFS(H671:$H$2465,C671:$C$2465,$C670),B670="Insumo",F670*G670,B670="Etapa","")</f>
        <v>8.5</v>
      </c>
      <c r="I670" s="1082"/>
    </row>
    <row r="671" spans="1:9" hidden="1" outlineLevel="1" collapsed="1" x14ac:dyDescent="0.25">
      <c r="A671" s="1079">
        <f t="shared" si="27"/>
        <v>1</v>
      </c>
      <c r="B671" s="1079" t="s">
        <v>471</v>
      </c>
      <c r="C671" s="1079" t="str">
        <f t="shared" si="26"/>
        <v>Alvenaria de vedacao de blocos ceramicos estrutural de 11.5x19x29cm (espessura 11.5cm) com argamassa industrializada de assentamento</v>
      </c>
      <c r="D671" s="1079" t="s">
        <v>1630</v>
      </c>
      <c r="E671" s="1080" t="s">
        <v>17</v>
      </c>
      <c r="F671" s="1079"/>
      <c r="G671" s="1081" t="str">
        <f>IF(B671="insumo",_xlfn.XLOOKUP($D671,Insumos!$B$1:$B$670,Insumos!$D$1:$D$670),"")</f>
        <v/>
      </c>
      <c r="H671" s="1081" cm="1">
        <f t="array" ref="H671">_xlfn.IFS(B671="Serviço",SUMIFS(H672:$H$2465,C672:$C$2465,$C671),B671="Insumo",F671*G671,B671="Etapa","")</f>
        <v>40.61</v>
      </c>
      <c r="I671" s="1082" t="s">
        <v>872</v>
      </c>
    </row>
    <row r="672" spans="1:9" hidden="1" outlineLevel="2" x14ac:dyDescent="0.25">
      <c r="A672" s="1079">
        <f t="shared" si="27"/>
        <v>1</v>
      </c>
      <c r="B672" s="1079" t="s">
        <v>1362</v>
      </c>
      <c r="C672" s="1079" t="str">
        <f t="shared" si="26"/>
        <v>Alvenaria de vedacao de blocos ceramicos estrutural de 11.5x19x29cm (espessura 11.5cm) com argamassa industrializada de assentamento</v>
      </c>
      <c r="D672" s="1079" t="s">
        <v>1631</v>
      </c>
      <c r="E672" s="1080" t="str">
        <f>_xlfn.XLOOKUP(D672,Insumos!$B$1:$B$670,Insumos!$C$1:$C$670)</f>
        <v>UN</v>
      </c>
      <c r="F672" s="1083">
        <f>ROUNDUP(1/(0.19*0.29),)</f>
        <v>19</v>
      </c>
      <c r="G672" s="1081">
        <f>IF(B672="insumo",_xlfn.XLOOKUP($D672,Insumos!$B$1:$B$670,Insumos!$D$1:$D$670),"")</f>
        <v>1.69</v>
      </c>
      <c r="H672" s="1081" cm="1">
        <f t="array" ref="H672">_xlfn.IFS(B672="Serviço",SUMIFS(H673:$H$2465,C673:$C$2465,$C672),B672="Insumo",F672*G672,B672="Etapa","")</f>
        <v>32.11</v>
      </c>
      <c r="I672" s="1082"/>
    </row>
    <row r="673" spans="1:9" hidden="1" outlineLevel="2" x14ac:dyDescent="0.25">
      <c r="A673" s="1079">
        <f t="shared" si="27"/>
        <v>15</v>
      </c>
      <c r="B673" s="1079" t="s">
        <v>1362</v>
      </c>
      <c r="C673" s="1079" t="str">
        <f t="shared" si="26"/>
        <v>Alvenaria de vedacao de blocos ceramicos estrutural de 11.5x19x29cm (espessura 11.5cm) com argamassa industrializada de assentamento</v>
      </c>
      <c r="D673" s="1079" t="s">
        <v>1632</v>
      </c>
      <c r="E673" s="1080" t="str">
        <f>_xlfn.XLOOKUP(D673,Insumos!$B$1:$B$670,Insumos!$C$1:$C$670)</f>
        <v>M3</v>
      </c>
      <c r="F673" s="1083">
        <v>0.02</v>
      </c>
      <c r="G673" s="1081">
        <f>IF(B673="insumo",_xlfn.XLOOKUP($D673,Insumos!$B$1:$B$670,Insumos!$D$1:$D$670),"")</f>
        <v>425</v>
      </c>
      <c r="H673" s="1081" cm="1">
        <f t="array" ref="H673">_xlfn.IFS(B673="Serviço",SUMIFS(H674:$H$2465,C674:$C$2465,$C673),B673="Insumo",F673*G673,B673="Etapa","")</f>
        <v>8.5</v>
      </c>
      <c r="I673" s="1082"/>
    </row>
    <row r="674" spans="1:9" hidden="1" outlineLevel="1" collapsed="1" x14ac:dyDescent="0.25">
      <c r="A674" s="1079">
        <f t="shared" si="27"/>
        <v>1</v>
      </c>
      <c r="B674" s="1079" t="s">
        <v>471</v>
      </c>
      <c r="C674" s="1079" t="str">
        <f t="shared" si="26"/>
        <v>Alvenaria de vedacao de blocos ceramicos estrutural de 14x19x29cm (espessura 14cm) com argamassa industrializada de assentamento</v>
      </c>
      <c r="D674" s="1079" t="s">
        <v>1633</v>
      </c>
      <c r="E674" s="1080" t="s">
        <v>17</v>
      </c>
      <c r="F674" s="1079"/>
      <c r="G674" s="1081" t="str">
        <f>IF(B674="insumo",_xlfn.XLOOKUP($D674,Insumos!$B$1:$B$670,Insumos!$D$1:$D$670),"")</f>
        <v/>
      </c>
      <c r="H674" s="1081" cm="1">
        <f t="array" ref="H674">_xlfn.IFS(B674="Serviço",SUMIFS(H675:$H$2465,C675:$C$2465,$C674),B674="Insumo",F674*G674,B674="Etapa","")</f>
        <v>60.94</v>
      </c>
      <c r="I674" s="1082" t="s">
        <v>872</v>
      </c>
    </row>
    <row r="675" spans="1:9" hidden="1" outlineLevel="2" x14ac:dyDescent="0.25">
      <c r="A675" s="1079">
        <f t="shared" si="27"/>
        <v>1</v>
      </c>
      <c r="B675" s="1079" t="s">
        <v>1362</v>
      </c>
      <c r="C675" s="1079" t="str">
        <f t="shared" si="26"/>
        <v>Alvenaria de vedacao de blocos ceramicos estrutural de 14x19x29cm (espessura 14cm) com argamassa industrializada de assentamento</v>
      </c>
      <c r="D675" s="1079" t="s">
        <v>1634</v>
      </c>
      <c r="E675" s="1080" t="str">
        <f>_xlfn.XLOOKUP(D675,Insumos!$B$1:$B$670,Insumos!$C$1:$C$670)</f>
        <v>UN</v>
      </c>
      <c r="F675" s="1083">
        <f>ROUNDUP(1/(0.19*0.29),)</f>
        <v>19</v>
      </c>
      <c r="G675" s="1081">
        <f>IF(B675="insumo",_xlfn.XLOOKUP($D675,Insumos!$B$1:$B$670,Insumos!$D$1:$D$670),"")</f>
        <v>2.76</v>
      </c>
      <c r="H675" s="1081" cm="1">
        <f t="array" ref="H675">_xlfn.IFS(B675="Serviço",SUMIFS(H676:$H$2465,C676:$C$2465,$C675),B675="Insumo",F675*G675,B675="Etapa","")</f>
        <v>52.44</v>
      </c>
      <c r="I675" s="1082"/>
    </row>
    <row r="676" spans="1:9" hidden="1" outlineLevel="2" x14ac:dyDescent="0.25">
      <c r="A676" s="1079">
        <f t="shared" si="27"/>
        <v>15</v>
      </c>
      <c r="B676" s="1079" t="s">
        <v>1362</v>
      </c>
      <c r="C676" s="1079" t="str">
        <f t="shared" si="26"/>
        <v>Alvenaria de vedacao de blocos ceramicos estrutural de 14x19x29cm (espessura 14cm) com argamassa industrializada de assentamento</v>
      </c>
      <c r="D676" s="1079" t="s">
        <v>1632</v>
      </c>
      <c r="E676" s="1080" t="str">
        <f>_xlfn.XLOOKUP(D676,Insumos!$B$1:$B$670,Insumos!$C$1:$C$670)</f>
        <v>M3</v>
      </c>
      <c r="F676" s="1083">
        <v>0.02</v>
      </c>
      <c r="G676" s="1081">
        <f>IF(B676="insumo",_xlfn.XLOOKUP($D676,Insumos!$B$1:$B$670,Insumos!$D$1:$D$670),"")</f>
        <v>425</v>
      </c>
      <c r="H676" s="1081" cm="1">
        <f t="array" ref="H676">_xlfn.IFS(B676="Serviço",SUMIFS(H677:$H$2465,C677:$C$2465,$C676),B676="Insumo",F676*G676,B676="Etapa","")</f>
        <v>8.5</v>
      </c>
      <c r="I676" s="1082"/>
    </row>
    <row r="677" spans="1:9" hidden="1" outlineLevel="1" x14ac:dyDescent="0.25">
      <c r="A677" s="1079">
        <f t="shared" si="27"/>
        <v>1</v>
      </c>
      <c r="B677" s="1079" t="s">
        <v>471</v>
      </c>
      <c r="C677" s="1079" t="str">
        <f t="shared" si="26"/>
        <v>Alvenaria em Bloco De Concreto Celular 60x30x12,5cm Sical (espessura 12,5cm) com argamassa industrializada de assentamento</v>
      </c>
      <c r="D677" s="1079" t="s">
        <v>1635</v>
      </c>
      <c r="E677" s="1080" t="s">
        <v>17</v>
      </c>
      <c r="F677" s="1079"/>
      <c r="G677" s="1081" t="str">
        <f>IF(B677="insumo",_xlfn.XLOOKUP($D677,Insumos!$B$1:$B$670,Insumos!$D$1:$D$670),"")</f>
        <v/>
      </c>
      <c r="H677" s="1081" cm="1">
        <f t="array" ref="H677">_xlfn.IFS(B677="Serviço",SUMIFS(H678:$H$2465,C678:$C$2465,$C677),B677="Insumo",F677*G677,B677="Etapa","")</f>
        <v>115.96000000000001</v>
      </c>
      <c r="I677" s="1082" t="s">
        <v>872</v>
      </c>
    </row>
    <row r="678" spans="1:9" hidden="1" outlineLevel="2" x14ac:dyDescent="0.25">
      <c r="A678" s="1079">
        <f t="shared" si="27"/>
        <v>1</v>
      </c>
      <c r="B678" s="1079" t="s">
        <v>1362</v>
      </c>
      <c r="C678" s="1079" t="str">
        <f t="shared" si="26"/>
        <v>Alvenaria em Bloco De Concreto Celular 60x30x12,5cm Sical (espessura 12,5cm) com argamassa industrializada de assentamento</v>
      </c>
      <c r="D678" s="1079" t="s">
        <v>1636</v>
      </c>
      <c r="E678" s="1080" t="str">
        <f>_xlfn.XLOOKUP(D678,Insumos!$B$1:$B$670,Insumos!$C$1:$C$670)</f>
        <v>M3</v>
      </c>
      <c r="F678" s="1083">
        <f>ROUNDUP(1/(0.3*0.6),)</f>
        <v>6</v>
      </c>
      <c r="G678" s="1081">
        <f>IF(B678="insumo",_xlfn.XLOOKUP($D678,Insumos!$B$1:$B$670,Insumos!$D$1:$D$670),"")</f>
        <v>17.91</v>
      </c>
      <c r="H678" s="1081" cm="1">
        <f t="array" ref="H678">_xlfn.IFS(B678="Serviço",SUMIFS(H679:$H$2465,C679:$C$2465,$C678),B678="Insumo",F678*G678,B678="Etapa","")</f>
        <v>107.46000000000001</v>
      </c>
      <c r="I678" s="1082"/>
    </row>
    <row r="679" spans="1:9" hidden="1" outlineLevel="2" x14ac:dyDescent="0.25">
      <c r="A679" s="1079">
        <f t="shared" si="27"/>
        <v>15</v>
      </c>
      <c r="B679" s="1079" t="s">
        <v>1362</v>
      </c>
      <c r="C679" s="1079" t="str">
        <f t="shared" si="26"/>
        <v>Alvenaria em Bloco De Concreto Celular 60x30x12,5cm Sical (espessura 12,5cm) com argamassa industrializada de assentamento</v>
      </c>
      <c r="D679" s="1079" t="s">
        <v>1632</v>
      </c>
      <c r="E679" s="1080" t="str">
        <f>_xlfn.XLOOKUP(D679,Insumos!$B$1:$B$670,Insumos!$C$1:$C$670)</f>
        <v>M3</v>
      </c>
      <c r="F679" s="1083">
        <v>0.02</v>
      </c>
      <c r="G679" s="1081">
        <f>IF(B679="insumo",_xlfn.XLOOKUP($D679,Insumos!$B$1:$B$670,Insumos!$D$1:$D$670),"")</f>
        <v>425</v>
      </c>
      <c r="H679" s="1081" cm="1">
        <f t="array" ref="H679">_xlfn.IFS(B679="Serviço",SUMIFS(H680:$H$2465,C680:$C$2465,$C679),B679="Insumo",F679*G679,B679="Etapa","")</f>
        <v>8.5</v>
      </c>
      <c r="I679" s="1082"/>
    </row>
    <row r="680" spans="1:9" hidden="1" outlineLevel="1" x14ac:dyDescent="0.25">
      <c r="A680" s="1079">
        <f t="shared" si="27"/>
        <v>1</v>
      </c>
      <c r="B680" s="1079" t="s">
        <v>471</v>
      </c>
      <c r="C680" s="1079" t="str">
        <f t="shared" si="26"/>
        <v>Alvenaria em Bloco De Concreto Celular 60x30x10cm Sical (espessura 10cm) com argamassa industrializada de assentamento</v>
      </c>
      <c r="D680" s="1079" t="s">
        <v>1637</v>
      </c>
      <c r="E680" s="1080" t="s">
        <v>17</v>
      </c>
      <c r="F680" s="1079"/>
      <c r="G680" s="1081" t="str">
        <f>IF(B680="insumo",_xlfn.XLOOKUP($D680,Insumos!$B$1:$B$670,Insumos!$D$1:$D$670),"")</f>
        <v/>
      </c>
      <c r="H680" s="1081" cm="1">
        <f t="array" ref="H680">_xlfn.IFS(B680="Serviço",SUMIFS(H681:$H$2465,C681:$C$2465,$C680),B680="Insumo",F680*G680,B680="Etapa","")</f>
        <v>85.9</v>
      </c>
      <c r="I680" s="1082" t="s">
        <v>872</v>
      </c>
    </row>
    <row r="681" spans="1:9" hidden="1" outlineLevel="2" x14ac:dyDescent="0.25">
      <c r="A681" s="1079">
        <f t="shared" si="27"/>
        <v>1</v>
      </c>
      <c r="B681" s="1079" t="s">
        <v>1362</v>
      </c>
      <c r="C681" s="1079" t="str">
        <f t="shared" si="26"/>
        <v>Alvenaria em Bloco De Concreto Celular 60x30x10cm Sical (espessura 10cm) com argamassa industrializada de assentamento</v>
      </c>
      <c r="D681" s="1079" t="s">
        <v>1638</v>
      </c>
      <c r="E681" s="1080" t="s">
        <v>1426</v>
      </c>
      <c r="F681" s="1083">
        <f>ROUNDUP(1/(0.3*0.6),)</f>
        <v>6</v>
      </c>
      <c r="G681" s="1081">
        <f>IF(B681="insumo",_xlfn.XLOOKUP($D681,Insumos!$B$1:$B$670,Insumos!$D$1:$D$670),"")</f>
        <v>12.9</v>
      </c>
      <c r="H681" s="1081" cm="1">
        <f t="array" ref="H681">_xlfn.IFS(B681="Serviço",SUMIFS(H682:$H$2465,C682:$C$2465,$C681),B681="Insumo",F681*G681,B681="Etapa","")</f>
        <v>77.400000000000006</v>
      </c>
      <c r="I681" s="1082"/>
    </row>
    <row r="682" spans="1:9" hidden="1" outlineLevel="2" x14ac:dyDescent="0.25">
      <c r="A682" s="1079">
        <f t="shared" si="27"/>
        <v>15</v>
      </c>
      <c r="B682" s="1079" t="s">
        <v>1362</v>
      </c>
      <c r="C682" s="1079" t="str">
        <f t="shared" si="26"/>
        <v>Alvenaria em Bloco De Concreto Celular 60x30x10cm Sical (espessura 10cm) com argamassa industrializada de assentamento</v>
      </c>
      <c r="D682" s="1079" t="s">
        <v>1632</v>
      </c>
      <c r="E682" s="1080" t="s">
        <v>1426</v>
      </c>
      <c r="F682" s="1083">
        <v>0.02</v>
      </c>
      <c r="G682" s="1081">
        <f>IF(B682="insumo",_xlfn.XLOOKUP($D682,Insumos!$B$1:$B$670,Insumos!$D$1:$D$670),"")</f>
        <v>425</v>
      </c>
      <c r="H682" s="1081" cm="1">
        <f t="array" ref="H682">_xlfn.IFS(B682="Serviço",SUMIFS(H683:$H$2465,C683:$C$2465,$C682),B682="Insumo",F682*G682,B682="Etapa","")</f>
        <v>8.5</v>
      </c>
      <c r="I682" s="1082"/>
    </row>
    <row r="683" spans="1:9" hidden="1" outlineLevel="1" x14ac:dyDescent="0.25">
      <c r="A683" s="1079">
        <f t="shared" si="27"/>
        <v>1</v>
      </c>
      <c r="B683" s="1079" t="s">
        <v>471</v>
      </c>
      <c r="C683" s="1079" t="str">
        <f t="shared" si="26"/>
        <v>Alvenaria em Bloco De Concreto Celular 60x30x7,5cm Sical (espessura 7,5cm) com argamassa industrializada de assentamento</v>
      </c>
      <c r="D683" s="1079" t="s">
        <v>1639</v>
      </c>
      <c r="E683" s="1080" t="s">
        <v>17</v>
      </c>
      <c r="F683" s="1079"/>
      <c r="G683" s="1081" t="str">
        <f>IF(B683="insumo",_xlfn.XLOOKUP($D683,Insumos!$B$1:$B$670,Insumos!$D$1:$D$670),"")</f>
        <v/>
      </c>
      <c r="H683" s="1081" cm="1">
        <f t="array" ref="H683">_xlfn.IFS(B683="Serviço",SUMIFS(H684:$H$2465,C684:$C$2465,$C683),B683="Insumo",F683*G683,B683="Etapa","")</f>
        <v>72.760000000000005</v>
      </c>
      <c r="I683" s="1082" t="s">
        <v>872</v>
      </c>
    </row>
    <row r="684" spans="1:9" hidden="1" outlineLevel="2" x14ac:dyDescent="0.25">
      <c r="A684" s="1079">
        <f t="shared" si="27"/>
        <v>1</v>
      </c>
      <c r="B684" s="1079" t="s">
        <v>1362</v>
      </c>
      <c r="C684" s="1079" t="str">
        <f t="shared" si="26"/>
        <v>Alvenaria em Bloco De Concreto Celular 60x30x7,5cm Sical (espessura 7,5cm) com argamassa industrializada de assentamento</v>
      </c>
      <c r="D684" s="1079" t="s">
        <v>1640</v>
      </c>
      <c r="E684" s="1080" t="str">
        <f>_xlfn.XLOOKUP(D684,Insumos!$B$1:$B$670,Insumos!$C$1:$C$670)</f>
        <v>M3</v>
      </c>
      <c r="F684" s="1083">
        <f>ROUNDUP(1/(0.3*0.6),)</f>
        <v>6</v>
      </c>
      <c r="G684" s="1081">
        <f>IF(B684="insumo",_xlfn.XLOOKUP($D684,Insumos!$B$1:$B$670,Insumos!$D$1:$D$670),"")</f>
        <v>10.71</v>
      </c>
      <c r="H684" s="1081" cm="1">
        <f t="array" ref="H684">_xlfn.IFS(B684="Serviço",SUMIFS(H685:$H$2465,C685:$C$2465,$C684),B684="Insumo",F684*G684,B684="Etapa","")</f>
        <v>64.260000000000005</v>
      </c>
      <c r="I684" s="1082"/>
    </row>
    <row r="685" spans="1:9" hidden="1" outlineLevel="2" x14ac:dyDescent="0.25">
      <c r="A685" s="1079">
        <f t="shared" si="27"/>
        <v>15</v>
      </c>
      <c r="B685" s="1079" t="s">
        <v>1362</v>
      </c>
      <c r="C685" s="1079" t="str">
        <f t="shared" si="26"/>
        <v>Alvenaria em Bloco De Concreto Celular 60x30x7,5cm Sical (espessura 7,5cm) com argamassa industrializada de assentamento</v>
      </c>
      <c r="D685" s="1079" t="s">
        <v>1632</v>
      </c>
      <c r="E685" s="1080" t="str">
        <f>_xlfn.XLOOKUP(D685,Insumos!$B$1:$B$670,Insumos!$C$1:$C$670)</f>
        <v>M3</v>
      </c>
      <c r="F685" s="1083">
        <v>0.02</v>
      </c>
      <c r="G685" s="1081">
        <f>IF(B685="insumo",_xlfn.XLOOKUP($D685,Insumos!$B$1:$B$670,Insumos!$D$1:$D$670),"")</f>
        <v>425</v>
      </c>
      <c r="H685" s="1081" cm="1">
        <f t="array" ref="H685">_xlfn.IFS(B685="Serviço",SUMIFS(H686:$H$2465,C686:$C$2465,$C685),B685="Insumo",F685*G685,B685="Etapa","")</f>
        <v>8.5</v>
      </c>
      <c r="I685" s="1082"/>
    </row>
    <row r="686" spans="1:9" hidden="1" outlineLevel="1" collapsed="1" x14ac:dyDescent="0.25">
      <c r="A686" s="1079">
        <f t="shared" si="27"/>
        <v>1</v>
      </c>
      <c r="B686" s="1079" t="s">
        <v>471</v>
      </c>
      <c r="C686" s="1079" t="str">
        <f t="shared" si="26"/>
        <v>Alvenaria Estrutural Bloco de concreto de 4,0 MPA, com argamassa estabilizada</v>
      </c>
      <c r="D686" s="1079" t="s">
        <v>1286</v>
      </c>
      <c r="E686" s="1080" t="s">
        <v>17</v>
      </c>
      <c r="F686" s="1079"/>
      <c r="G686" s="1081" t="str">
        <f>IF(B686="insumo",_xlfn.XLOOKUP($D686,Insumos!$B$1:$B$670,Insumos!$D$1:$D$670),"")</f>
        <v/>
      </c>
      <c r="H686" s="1081" cm="1">
        <f t="array" ref="H686">_xlfn.IFS(B686="Serviço",SUMIFS(H687:$H$2465,C687:$C$2465,$C686),B686="Insumo",F686*G686,B686="Etapa","")</f>
        <v>12.290469464289249</v>
      </c>
      <c r="I686" s="1082" t="s">
        <v>872</v>
      </c>
    </row>
    <row r="687" spans="1:9" hidden="1" outlineLevel="2" x14ac:dyDescent="0.25">
      <c r="A687" s="1079">
        <f t="shared" si="27"/>
        <v>1</v>
      </c>
      <c r="B687" s="1079" t="s">
        <v>1362</v>
      </c>
      <c r="C687" s="1079" t="str">
        <f t="shared" si="26"/>
        <v>Alvenaria Estrutural Bloco de concreto de 4,0 MPA, com argamassa estabilizada</v>
      </c>
      <c r="D687" s="1079" t="s">
        <v>1641</v>
      </c>
      <c r="E687" s="1080" t="str">
        <f>_xlfn.XLOOKUP(D687,Insumos!$B$1:$B$670,Insumos!$C$1:$C$670)</f>
        <v>UN</v>
      </c>
      <c r="F687" s="1083">
        <v>3.8590172369436584E-2</v>
      </c>
      <c r="G687" s="1081">
        <f>IF(B687="insumo",_xlfn.XLOOKUP($D687,Insumos!$B$1:$B$670,Insumos!$D$1:$D$670),"")</f>
        <v>4.0199999999999996</v>
      </c>
      <c r="H687" s="1081" cm="1">
        <f t="array" ref="H687">_xlfn.IFS(B687="Serviço",SUMIFS(H688:$H$2465,C688:$C$2465,$C687),B687="Insumo",F687*G687,B687="Etapa","")</f>
        <v>0.15513249292513506</v>
      </c>
      <c r="I687" s="1082"/>
    </row>
    <row r="688" spans="1:9" hidden="1" outlineLevel="2" x14ac:dyDescent="0.25">
      <c r="A688" s="1079">
        <f t="shared" si="27"/>
        <v>1</v>
      </c>
      <c r="B688" s="1079" t="s">
        <v>1362</v>
      </c>
      <c r="C688" s="1079" t="str">
        <f t="shared" si="26"/>
        <v>Alvenaria Estrutural Bloco de concreto de 4,0 MPA, com argamassa estabilizada</v>
      </c>
      <c r="D688" s="1079" t="s">
        <v>1642</v>
      </c>
      <c r="E688" s="1080" t="str">
        <f>_xlfn.XLOOKUP(D688,Insumos!$B$1:$B$670,Insumos!$C$1:$C$670)</f>
        <v>UN</v>
      </c>
      <c r="F688" s="1083">
        <v>1.6063159248777978</v>
      </c>
      <c r="G688" s="1081">
        <f>IF(B688="insumo",_xlfn.XLOOKUP($D688,Insumos!$B$1:$B$670,Insumos!$D$1:$D$670),"")</f>
        <v>1.998</v>
      </c>
      <c r="H688" s="1081" cm="1">
        <f t="array" ref="H688">_xlfn.IFS(B688="Serviço",SUMIFS(H689:$H$2465,C689:$C$2465,$C688),B688="Insumo",F688*G688,B688="Etapa","")</f>
        <v>3.2094192179058401</v>
      </c>
      <c r="I688" s="1082"/>
    </row>
    <row r="689" spans="1:9" hidden="1" outlineLevel="2" x14ac:dyDescent="0.25">
      <c r="A689" s="1079">
        <f t="shared" si="27"/>
        <v>1</v>
      </c>
      <c r="B689" s="1079" t="s">
        <v>1362</v>
      </c>
      <c r="C689" s="1079" t="str">
        <f t="shared" si="26"/>
        <v>Alvenaria Estrutural Bloco de concreto de 4,0 MPA, com argamassa estabilizada</v>
      </c>
      <c r="D689" s="1079" t="s">
        <v>1643</v>
      </c>
      <c r="E689" s="1080" t="str">
        <f>_xlfn.XLOOKUP(D689,Insumos!$B$1:$B$670,Insumos!$C$1:$C$670)</f>
        <v>UN</v>
      </c>
      <c r="F689" s="1083">
        <v>9.0043735528685373E-2</v>
      </c>
      <c r="G689" s="1081">
        <f>IF(B689="insumo",_xlfn.XLOOKUP($D689,Insumos!$B$1:$B$670,Insumos!$D$1:$D$670),"")</f>
        <v>1.3760000000000001</v>
      </c>
      <c r="H689" s="1081" cm="1">
        <f t="array" ref="H689">_xlfn.IFS(B689="Serviço",SUMIFS(H690:$H$2465,C690:$C$2465,$C689),B689="Insumo",F689*G689,B689="Etapa","")</f>
        <v>0.12390018008747108</v>
      </c>
      <c r="I689" s="1082"/>
    </row>
    <row r="690" spans="1:9" hidden="1" outlineLevel="2" x14ac:dyDescent="0.25">
      <c r="A690" s="1079">
        <f t="shared" si="27"/>
        <v>1</v>
      </c>
      <c r="B690" s="1079" t="s">
        <v>1362</v>
      </c>
      <c r="C690" s="1079" t="str">
        <f t="shared" si="26"/>
        <v>Alvenaria Estrutural Bloco de concreto de 4,0 MPA, com argamassa estabilizada</v>
      </c>
      <c r="D690" s="1079" t="s">
        <v>1644</v>
      </c>
      <c r="E690" s="1080" t="str">
        <f>_xlfn.XLOOKUP(D690,Insumos!$B$1:$B$670,Insumos!$C$1:$C$670)</f>
        <v>UN</v>
      </c>
      <c r="F690" s="1083">
        <v>3.8590172369436584E-2</v>
      </c>
      <c r="G690" s="1081">
        <f>IF(B690="insumo",_xlfn.XLOOKUP($D690,Insumos!$B$1:$B$670,Insumos!$D$1:$D$670),"")</f>
        <v>3.9889743589743589</v>
      </c>
      <c r="H690" s="1081" cm="1">
        <f t="array" ref="H690">_xlfn.IFS(B690="Serviço",SUMIFS(H691:$H$2465,C691:$C$2465,$C690),B690="Insumo",F690*G690,B690="Etapa","")</f>
        <v>0.15393520809008332</v>
      </c>
      <c r="I690" s="1082"/>
    </row>
    <row r="691" spans="1:9" hidden="1" outlineLevel="2" x14ac:dyDescent="0.25">
      <c r="A691" s="1079">
        <f t="shared" si="27"/>
        <v>1</v>
      </c>
      <c r="B691" s="1079" t="s">
        <v>1362</v>
      </c>
      <c r="C691" s="1079" t="str">
        <f t="shared" si="26"/>
        <v>Alvenaria Estrutural Bloco de concreto de 4,0 MPA, com argamassa estabilizada</v>
      </c>
      <c r="D691" s="1079" t="s">
        <v>1645</v>
      </c>
      <c r="E691" s="1080" t="str">
        <f>_xlfn.XLOOKUP(D691,Insumos!$B$1:$B$670,Insumos!$C$1:$C$670)</f>
        <v>UN</v>
      </c>
      <c r="F691" s="1083">
        <v>3.5374324671983537E-2</v>
      </c>
      <c r="G691" s="1081">
        <f>IF(B691="insumo",_xlfn.XLOOKUP($D691,Insumos!$B$1:$B$670,Insumos!$D$1:$D$670),"")</f>
        <v>4.1861538461538466</v>
      </c>
      <c r="H691" s="1081" cm="1">
        <f t="array" ref="H691">_xlfn.IFS(B691="Serviço",SUMIFS(H692:$H$2465,C692:$C$2465,$C691),B691="Insumo",F691*G691,B691="Etapa","")</f>
        <v>0.1480823652807188</v>
      </c>
      <c r="I691" s="1082"/>
    </row>
    <row r="692" spans="1:9" hidden="1" outlineLevel="2" x14ac:dyDescent="0.25">
      <c r="A692" s="1079">
        <f t="shared" si="27"/>
        <v>15</v>
      </c>
      <c r="B692" s="1079" t="s">
        <v>1362</v>
      </c>
      <c r="C692" s="1079" t="str">
        <f t="shared" si="26"/>
        <v>Alvenaria Estrutural Bloco de concreto de 4,0 MPA, com argamassa estabilizada</v>
      </c>
      <c r="D692" s="1079" t="s">
        <v>1632</v>
      </c>
      <c r="E692" s="1080" t="str">
        <f>_xlfn.XLOOKUP(D692,Insumos!$B$1:$B$670,Insumos!$C$1:$C$670)</f>
        <v>M3</v>
      </c>
      <c r="F692" s="1083">
        <v>0.02</v>
      </c>
      <c r="G692" s="1081">
        <f>IF(B692="insumo",_xlfn.XLOOKUP($D692,Insumos!$B$1:$B$670,Insumos!$D$1:$D$670),"")</f>
        <v>425</v>
      </c>
      <c r="H692" s="1081" cm="1">
        <f t="array" ref="H692">_xlfn.IFS(B692="Serviço",SUMIFS(H693:$H$2465,C693:$C$2465,$C692),B692="Insumo",F692*G692,B692="Etapa","")</f>
        <v>8.5</v>
      </c>
      <c r="I692" s="1082"/>
    </row>
    <row r="693" spans="1:9" hidden="1" outlineLevel="1" collapsed="1" x14ac:dyDescent="0.25">
      <c r="A693" s="1079">
        <f t="shared" si="27"/>
        <v>1</v>
      </c>
      <c r="B693" s="1079" t="s">
        <v>471</v>
      </c>
      <c r="C693" s="1079" t="str">
        <f t="shared" si="26"/>
        <v>Alvenaria Estrutural Bloco de concreto de 6,0 MPA, com argamassa estabilizada</v>
      </c>
      <c r="D693" s="1079" t="s">
        <v>1646</v>
      </c>
      <c r="E693" s="1080" t="s">
        <v>17</v>
      </c>
      <c r="F693" s="1079"/>
      <c r="G693" s="1081" t="str">
        <f>IF(B693="insumo",_xlfn.XLOOKUP($D693,Insumos!$B$1:$B$670,Insumos!$D$1:$D$670),"")</f>
        <v/>
      </c>
      <c r="H693" s="1081" cm="1">
        <f t="array" ref="H693">_xlfn.IFS(B693="Serviço",SUMIFS(H694:$H$2465,C694:$C$2465,$C693),B693="Insumo",F693*G693,B693="Etapa","")</f>
        <v>45.96608760180635</v>
      </c>
      <c r="I693" s="1082" t="s">
        <v>872</v>
      </c>
    </row>
    <row r="694" spans="1:9" hidden="1" outlineLevel="2" x14ac:dyDescent="0.25">
      <c r="A694" s="1079">
        <f t="shared" si="27"/>
        <v>1</v>
      </c>
      <c r="B694" s="1079" t="s">
        <v>1362</v>
      </c>
      <c r="C694" s="1079" t="str">
        <f t="shared" si="26"/>
        <v>Alvenaria Estrutural Bloco de concreto de 6,0 MPA, com argamassa estabilizada</v>
      </c>
      <c r="D694" s="1079" t="s">
        <v>1647</v>
      </c>
      <c r="E694" s="1080" t="str">
        <f>_xlfn.XLOOKUP(D694,Insumos!$B$1:$B$670,Insumos!$C$1:$C$670)</f>
        <v>UN</v>
      </c>
      <c r="F694" s="1083">
        <v>0.15200739173199007</v>
      </c>
      <c r="G694" s="1081">
        <f>IF(B694="insumo",_xlfn.XLOOKUP($D694,Insumos!$B$1:$B$670,Insumos!$D$1:$D$670),"")</f>
        <v>4.1890000000000001</v>
      </c>
      <c r="H694" s="1081" cm="1">
        <f t="array" ref="H694">_xlfn.IFS(B694="Serviço",SUMIFS(H695:$H$2465,C695:$C$2465,$C694),B694="Insumo",F694*G694,B694="Etapa","")</f>
        <v>0.6367589639653064</v>
      </c>
      <c r="I694" s="1082"/>
    </row>
    <row r="695" spans="1:9" hidden="1" outlineLevel="2" x14ac:dyDescent="0.25">
      <c r="A695" s="1079">
        <f t="shared" si="27"/>
        <v>1</v>
      </c>
      <c r="B695" s="1079" t="s">
        <v>1362</v>
      </c>
      <c r="C695" s="1079" t="str">
        <f t="shared" si="26"/>
        <v>Alvenaria Estrutural Bloco de concreto de 6,0 MPA, com argamassa estabilizada</v>
      </c>
      <c r="D695" s="1079" t="s">
        <v>1648</v>
      </c>
      <c r="E695" s="1080" t="str">
        <f>_xlfn.XLOOKUP(D695,Insumos!$B$1:$B$670,Insumos!$C$1:$C$670)</f>
        <v>UN</v>
      </c>
      <c r="F695" s="1083">
        <v>11.710530237548804</v>
      </c>
      <c r="G695" s="1081">
        <f>IF(B695="insumo",_xlfn.XLOOKUP($D695,Insumos!$B$1:$B$670,Insumos!$D$1:$D$670),"")</f>
        <v>2.0979999999999999</v>
      </c>
      <c r="H695" s="1081" cm="1">
        <f t="array" ref="H695">_xlfn.IFS(B695="Serviço",SUMIFS(H696:$H$2465,C696:$C$2465,$C695),B695="Insumo",F695*G695,B695="Etapa","")</f>
        <v>24.56869243837739</v>
      </c>
      <c r="I695" s="1082"/>
    </row>
    <row r="696" spans="1:9" hidden="1" outlineLevel="2" x14ac:dyDescent="0.25">
      <c r="A696" s="1079">
        <f t="shared" si="27"/>
        <v>1</v>
      </c>
      <c r="B696" s="1079" t="s">
        <v>1362</v>
      </c>
      <c r="C696" s="1079" t="str">
        <f t="shared" si="26"/>
        <v>Alvenaria Estrutural Bloco de concreto de 6,0 MPA, com argamassa estabilizada</v>
      </c>
      <c r="D696" s="1079" t="s">
        <v>1649</v>
      </c>
      <c r="E696" s="1080" t="str">
        <f>_xlfn.XLOOKUP(D696,Insumos!$B$1:$B$670,Insumos!$C$1:$C$670)</f>
        <v>UN</v>
      </c>
      <c r="F696" s="1083">
        <v>0.75705642156716635</v>
      </c>
      <c r="G696" s="1081">
        <f>IF(B696="insumo",_xlfn.XLOOKUP($D696,Insumos!$B$1:$B$670,Insumos!$D$1:$D$670),"")</f>
        <v>1.4359999999999999</v>
      </c>
      <c r="H696" s="1081" cm="1">
        <f t="array" ref="H696">_xlfn.IFS(B696="Serviço",SUMIFS(H697:$H$2465,C697:$C$2465,$C696),B696="Insumo",F696*G696,B696="Etapa","")</f>
        <v>1.0871330213704509</v>
      </c>
      <c r="I696" s="1082"/>
    </row>
    <row r="697" spans="1:9" hidden="1" outlineLevel="2" x14ac:dyDescent="0.25">
      <c r="A697" s="1079">
        <f t="shared" si="27"/>
        <v>1</v>
      </c>
      <c r="B697" s="1079" t="s">
        <v>1362</v>
      </c>
      <c r="C697" s="1079" t="str">
        <f t="shared" si="26"/>
        <v>Alvenaria Estrutural Bloco de concreto de 6,0 MPA, com argamassa estabilizada</v>
      </c>
      <c r="D697" s="1079" t="s">
        <v>1650</v>
      </c>
      <c r="E697" s="1080" t="str">
        <f>_xlfn.XLOOKUP(D697,Insumos!$B$1:$B$670,Insumos!$C$1:$C$670)</f>
        <v>UN</v>
      </c>
      <c r="F697" s="1083">
        <v>0.4142946558969926</v>
      </c>
      <c r="G697" s="1081">
        <f>IF(B697="insumo",_xlfn.XLOOKUP($D697,Insumos!$B$1:$B$670,Insumos!$D$1:$D$670),"")</f>
        <v>3.9889743589743589</v>
      </c>
      <c r="H697" s="1081" cm="1">
        <f t="array" ref="H697">_xlfn.IFS(B697="Serviço",SUMIFS(H698:$H$2465,C698:$C$2465,$C697),B697="Insumo",F697*G697,B697="Etapa","")</f>
        <v>1.6526107594332087</v>
      </c>
      <c r="I697" s="1082"/>
    </row>
    <row r="698" spans="1:9" hidden="1" outlineLevel="2" x14ac:dyDescent="0.25">
      <c r="A698" s="1079">
        <f t="shared" si="27"/>
        <v>1</v>
      </c>
      <c r="B698" s="1079" t="s">
        <v>1362</v>
      </c>
      <c r="C698" s="1079" t="str">
        <f t="shared" si="26"/>
        <v>Alvenaria Estrutural Bloco de concreto de 6,0 MPA, com argamassa estabilizada</v>
      </c>
      <c r="D698" s="1079" t="s">
        <v>1651</v>
      </c>
      <c r="E698" s="1080" t="str">
        <f>_xlfn.XLOOKUP(D698,Insumos!$B$1:$B$670,Insumos!$C$1:$C$670)</f>
        <v>UN</v>
      </c>
      <c r="F698" s="1083">
        <v>0.63187386367023324</v>
      </c>
      <c r="G698" s="1081">
        <f>IF(B698="insumo",_xlfn.XLOOKUP($D698,Insumos!$B$1:$B$670,Insumos!$D$1:$D$670),"")</f>
        <v>4.1861538461538466</v>
      </c>
      <c r="H698" s="1081" cm="1">
        <f t="array" ref="H698">_xlfn.IFS(B698="Serviço",SUMIFS(H699:$H$2465,C699:$C$2465,$C698),B698="Insumo",F698*G698,B698="Etapa","")</f>
        <v>2.6451212046872383</v>
      </c>
      <c r="I698" s="1082"/>
    </row>
    <row r="699" spans="1:9" hidden="1" outlineLevel="2" x14ac:dyDescent="0.25">
      <c r="A699" s="1079">
        <f t="shared" si="27"/>
        <v>1</v>
      </c>
      <c r="B699" s="1079" t="s">
        <v>1362</v>
      </c>
      <c r="C699" s="1079" t="str">
        <f t="shared" si="26"/>
        <v>Alvenaria Estrutural Bloco de concreto de 6,0 MPA, com argamassa estabilizada</v>
      </c>
      <c r="D699" s="1079" t="s">
        <v>1652</v>
      </c>
      <c r="E699" s="1080" t="str">
        <f>_xlfn.XLOOKUP(D699,Insumos!$B$1:$B$670,Insumos!$C$1:$C$670)</f>
        <v>UN</v>
      </c>
      <c r="F699" s="1083">
        <v>2.0804148907633153</v>
      </c>
      <c r="G699" s="1081">
        <f>IF(B699="insumo",_xlfn.XLOOKUP($D699,Insumos!$B$1:$B$670,Insumos!$D$1:$D$670),"")</f>
        <v>3.3050000000000002</v>
      </c>
      <c r="H699" s="1081" cm="1">
        <f t="array" ref="H699">_xlfn.IFS(B699="Serviço",SUMIFS(H700:$H$2465,C700:$C$2465,$C699),B699="Insumo",F699*G699,B699="Etapa","")</f>
        <v>6.8757712139727571</v>
      </c>
      <c r="I699" s="1082"/>
    </row>
    <row r="700" spans="1:9" hidden="1" outlineLevel="2" x14ac:dyDescent="0.25">
      <c r="A700" s="1079">
        <f t="shared" si="27"/>
        <v>15</v>
      </c>
      <c r="B700" s="1079" t="s">
        <v>1362</v>
      </c>
      <c r="C700" s="1079" t="str">
        <f t="shared" si="26"/>
        <v>Alvenaria Estrutural Bloco de concreto de 6,0 MPA, com argamassa estabilizada</v>
      </c>
      <c r="D700" s="1079" t="s">
        <v>1632</v>
      </c>
      <c r="E700" s="1080" t="str">
        <f>_xlfn.XLOOKUP(D700,Insumos!$B$1:$B$670,Insumos!$C$1:$C$670)</f>
        <v>M3</v>
      </c>
      <c r="F700" s="1083">
        <v>0.02</v>
      </c>
      <c r="G700" s="1081">
        <f>IF(B700="insumo",_xlfn.XLOOKUP($D700,Insumos!$B$1:$B$670,Insumos!$D$1:$D$670),"")</f>
        <v>425</v>
      </c>
      <c r="H700" s="1081" cm="1">
        <f t="array" ref="H700">_xlfn.IFS(B700="Serviço",SUMIFS(H701:$H$2465,C701:$C$2465,$C700),B700="Insumo",F700*G700,B700="Etapa","")</f>
        <v>8.5</v>
      </c>
      <c r="I700" s="1082"/>
    </row>
    <row r="701" spans="1:9" hidden="1" outlineLevel="1" collapsed="1" x14ac:dyDescent="0.25">
      <c r="A701" s="1079">
        <f t="shared" si="27"/>
        <v>1</v>
      </c>
      <c r="B701" s="1079" t="s">
        <v>471</v>
      </c>
      <c r="C701" s="1079" t="str">
        <f t="shared" si="26"/>
        <v>Alvenaria Estrutural Bloco de concreto de 8,0 MPA, com argamassa estabilizada</v>
      </c>
      <c r="D701" s="1079" t="s">
        <v>1653</v>
      </c>
      <c r="E701" s="1080" t="s">
        <v>17</v>
      </c>
      <c r="F701" s="1079"/>
      <c r="G701" s="1081" t="str">
        <f>IF(B701="insumo",_xlfn.XLOOKUP($D701,Insumos!$B$1:$B$670,Insumos!$D$1:$D$670),"")</f>
        <v/>
      </c>
      <c r="H701" s="1081" cm="1">
        <f t="array" ref="H701">_xlfn.IFS(B701="Serviço",SUMIFS(H702:$H$2465,C702:$C$2465,$C701),B701="Insumo",F701*G701,B701="Etapa","")</f>
        <v>58.163310258023913</v>
      </c>
      <c r="I701" s="1082" t="s">
        <v>872</v>
      </c>
    </row>
    <row r="702" spans="1:9" hidden="1" outlineLevel="2" x14ac:dyDescent="0.25">
      <c r="A702" s="1079">
        <f t="shared" si="27"/>
        <v>1</v>
      </c>
      <c r="B702" s="1079" t="s">
        <v>1362</v>
      </c>
      <c r="C702" s="1079" t="str">
        <f t="shared" ref="C702:C765" si="28">IF(B702="serviço",D702,C701)</f>
        <v>Alvenaria Estrutural Bloco de concreto de 8,0 MPA, com argamassa estabilizada</v>
      </c>
      <c r="D702" s="1079" t="s">
        <v>1654</v>
      </c>
      <c r="E702" s="1080" t="str">
        <f>_xlfn.XLOOKUP(D702,Insumos!$B$1:$B$670,Insumos!$C$1:$C$670)</f>
        <v>UN</v>
      </c>
      <c r="F702" s="1083">
        <v>12.146003775959723</v>
      </c>
      <c r="G702" s="1081">
        <f>IF(B702="insumo",_xlfn.XLOOKUP($D702,Insumos!$B$1:$B$670,Insumos!$D$1:$D$670),"")</f>
        <v>3.22</v>
      </c>
      <c r="H702" s="1081" cm="1">
        <f t="array" ref="H702">_xlfn.IFS(B702="Serviço",SUMIFS(H703:$H$2465,C703:$C$2465,$C702),B702="Insumo",F702*G702,B702="Etapa","")</f>
        <v>39.110132158590311</v>
      </c>
      <c r="I702" s="1082"/>
    </row>
    <row r="703" spans="1:9" hidden="1" outlineLevel="2" x14ac:dyDescent="0.25">
      <c r="A703" s="1079">
        <f t="shared" si="27"/>
        <v>1</v>
      </c>
      <c r="B703" s="1079" t="s">
        <v>1362</v>
      </c>
      <c r="C703" s="1079" t="str">
        <f t="shared" si="28"/>
        <v>Alvenaria Estrutural Bloco de concreto de 8,0 MPA, com argamassa estabilizada</v>
      </c>
      <c r="D703" s="1079" t="s">
        <v>1655</v>
      </c>
      <c r="E703" s="1080" t="str">
        <f>_xlfn.XLOOKUP(D703,Insumos!$B$1:$B$670,Insumos!$C$1:$C$670)</f>
        <v>UN</v>
      </c>
      <c r="F703" s="1083">
        <v>2.5802391441157959</v>
      </c>
      <c r="G703" s="1081">
        <f>IF(B703="insumo",_xlfn.XLOOKUP($D703,Insumos!$B$1:$B$670,Insumos!$D$1:$D$670),"")</f>
        <v>4.09</v>
      </c>
      <c r="H703" s="1081" cm="1">
        <f t="array" ref="H703">_xlfn.IFS(B703="Serviço",SUMIFS(H704:$H$2465,C704:$C$2465,$C703),B703="Insumo",F703*G703,B703="Etapa","")</f>
        <v>10.553178099433605</v>
      </c>
      <c r="I703" s="1082"/>
    </row>
    <row r="704" spans="1:9" hidden="1" outlineLevel="2" x14ac:dyDescent="0.25">
      <c r="A704" s="1079">
        <f t="shared" si="27"/>
        <v>15</v>
      </c>
      <c r="B704" s="1079" t="s">
        <v>1362</v>
      </c>
      <c r="C704" s="1079" t="str">
        <f t="shared" si="28"/>
        <v>Alvenaria Estrutural Bloco de concreto de 8,0 MPA, com argamassa estabilizada</v>
      </c>
      <c r="D704" s="1079" t="s">
        <v>1632</v>
      </c>
      <c r="E704" s="1080" t="str">
        <f>_xlfn.XLOOKUP(D704,Insumos!$B$1:$B$670,Insumos!$C$1:$C$670)</f>
        <v>M3</v>
      </c>
      <c r="F704" s="1083">
        <v>0.02</v>
      </c>
      <c r="G704" s="1081">
        <f>IF(B704="insumo",_xlfn.XLOOKUP($D704,Insumos!$B$1:$B$670,Insumos!$D$1:$D$670),"")</f>
        <v>425</v>
      </c>
      <c r="H704" s="1081" cm="1">
        <f t="array" ref="H704">_xlfn.IFS(B704="Serviço",SUMIFS(H705:$H$2465,C705:$C$2465,$C704),B704="Insumo",F704*G704,B704="Etapa","")</f>
        <v>8.5</v>
      </c>
      <c r="I704" s="1082"/>
    </row>
    <row r="705" spans="1:9" hidden="1" outlineLevel="1" collapsed="1" x14ac:dyDescent="0.25">
      <c r="A705" s="1079">
        <f t="shared" si="27"/>
        <v>1</v>
      </c>
      <c r="B705" s="1079" t="s">
        <v>471</v>
      </c>
      <c r="C705" s="1079" t="str">
        <f t="shared" si="28"/>
        <v>Grout 15 Mpa</v>
      </c>
      <c r="D705" s="1079" t="s">
        <v>1656</v>
      </c>
      <c r="E705" s="1080" t="s">
        <v>1426</v>
      </c>
      <c r="F705" s="1079"/>
      <c r="G705" s="1081" t="str">
        <f>IF(B705="insumo",_xlfn.XLOOKUP($D705,Insumos!$B$1:$B$670,Insumos!$D$1:$D$670),"")</f>
        <v/>
      </c>
      <c r="H705" s="1081" cm="1">
        <f t="array" ref="H705">_xlfn.IFS(B705="Serviço",SUMIFS(H706:$H$2465,C706:$C$2465,$C705),B705="Insumo",F705*G705,B705="Etapa","")</f>
        <v>492.30300000000005</v>
      </c>
      <c r="I705" s="1082" t="s">
        <v>872</v>
      </c>
    </row>
    <row r="706" spans="1:9" hidden="1" outlineLevel="2" x14ac:dyDescent="0.25">
      <c r="A706" s="1079">
        <f t="shared" ref="A706:A769" si="29">COUNTIFS($D$2:$D$2465,D706,$B$2:$B$2465,B706)</f>
        <v>1</v>
      </c>
      <c r="B706" s="1079" t="s">
        <v>1362</v>
      </c>
      <c r="C706" s="1079" t="str">
        <f t="shared" si="28"/>
        <v>Grout 15 Mpa</v>
      </c>
      <c r="D706" s="1079" t="s">
        <v>1656</v>
      </c>
      <c r="E706" s="1080" t="str">
        <f>_xlfn.XLOOKUP(D706,Insumos!$B$1:$B$670,Insumos!$C$1:$C$670)</f>
        <v>M3</v>
      </c>
      <c r="F706" s="1083">
        <v>1.05</v>
      </c>
      <c r="G706" s="1081">
        <f>IF(B706="insumo",_xlfn.XLOOKUP($D706,Insumos!$B$1:$B$670,Insumos!$D$1:$D$670),"")</f>
        <v>468.86</v>
      </c>
      <c r="H706" s="1081" cm="1">
        <f t="array" ref="H706">_xlfn.IFS(B706="Serviço",SUMIFS(H707:$H$2465,C707:$C$2465,$C706),B706="Insumo",F706*G706,B706="Etapa","")</f>
        <v>492.30300000000005</v>
      </c>
      <c r="I706" s="1082"/>
    </row>
    <row r="707" spans="1:9" hidden="1" outlineLevel="1" collapsed="1" x14ac:dyDescent="0.25">
      <c r="A707" s="1079">
        <f t="shared" si="29"/>
        <v>1</v>
      </c>
      <c r="B707" s="1079" t="s">
        <v>471</v>
      </c>
      <c r="C707" s="1079" t="str">
        <f t="shared" si="28"/>
        <v>Grout 20 Mpa</v>
      </c>
      <c r="D707" s="1079" t="s">
        <v>1657</v>
      </c>
      <c r="E707" s="1080" t="s">
        <v>1426</v>
      </c>
      <c r="F707" s="1079"/>
      <c r="G707" s="1081" t="str">
        <f>IF(B707="insumo",_xlfn.XLOOKUP($D707,Insumos!$B$1:$B$670,Insumos!$D$1:$D$670),"")</f>
        <v/>
      </c>
      <c r="H707" s="1081" cm="1">
        <f t="array" ref="H707">_xlfn.IFS(B707="Serviço",SUMIFS(H708:$H$2465,C708:$C$2465,$C707),B707="Insumo",F707*G707,B707="Etapa","")</f>
        <v>518.17500000000007</v>
      </c>
      <c r="I707" s="1082" t="s">
        <v>872</v>
      </c>
    </row>
    <row r="708" spans="1:9" hidden="1" outlineLevel="2" x14ac:dyDescent="0.25">
      <c r="A708" s="1079">
        <f t="shared" si="29"/>
        <v>1</v>
      </c>
      <c r="B708" s="1079" t="s">
        <v>1362</v>
      </c>
      <c r="C708" s="1079" t="str">
        <f t="shared" si="28"/>
        <v>Grout 20 Mpa</v>
      </c>
      <c r="D708" s="1079" t="s">
        <v>1657</v>
      </c>
      <c r="E708" s="1080" t="str">
        <f>_xlfn.XLOOKUP(D708,Insumos!$B$1:$B$670,Insumos!$C$1:$C$670)</f>
        <v>M3</v>
      </c>
      <c r="F708" s="1083">
        <v>1.05</v>
      </c>
      <c r="G708" s="1081">
        <f>IF(B708="insumo",_xlfn.XLOOKUP($D708,Insumos!$B$1:$B$670,Insumos!$D$1:$D$670),"")</f>
        <v>493.5</v>
      </c>
      <c r="H708" s="1081" cm="1">
        <f t="array" ref="H708">_xlfn.IFS(B708="Serviço",SUMIFS(H709:$H$2465,C709:$C$2465,$C708),B708="Insumo",F708*G708,B708="Etapa","")</f>
        <v>518.17500000000007</v>
      </c>
      <c r="I708" s="1082"/>
    </row>
    <row r="709" spans="1:9" hidden="1" outlineLevel="1" collapsed="1" x14ac:dyDescent="0.25">
      <c r="A709" s="1079">
        <f t="shared" si="29"/>
        <v>1</v>
      </c>
      <c r="B709" s="1079" t="s">
        <v>471</v>
      </c>
      <c r="C709" s="1079" t="str">
        <f t="shared" si="28"/>
        <v>Cobogó em cerâmico vazado 20x20cm</v>
      </c>
      <c r="D709" s="1079" t="s">
        <v>1658</v>
      </c>
      <c r="E709" s="1080" t="s">
        <v>17</v>
      </c>
      <c r="F709" s="1079"/>
      <c r="G709" s="1081" t="str">
        <f>IF(B709="insumo",_xlfn.XLOOKUP($D709,Insumos!$B$1:$B$670,Insumos!$D$1:$D$670),"")</f>
        <v/>
      </c>
      <c r="H709" s="1081" cm="1">
        <f t="array" ref="H709">_xlfn.IFS(B709="Serviço",SUMIFS(H710:$H$2465,C710:$C$2465,$C709),B709="Insumo",F709*G709,B709="Etapa","")</f>
        <v>309.52499999999998</v>
      </c>
      <c r="I709" s="1082" t="s">
        <v>872</v>
      </c>
    </row>
    <row r="710" spans="1:9" hidden="1" outlineLevel="2" x14ac:dyDescent="0.25">
      <c r="A710" s="1079">
        <f t="shared" si="29"/>
        <v>15</v>
      </c>
      <c r="B710" s="1079" t="s">
        <v>1362</v>
      </c>
      <c r="C710" s="1079" t="str">
        <f t="shared" si="28"/>
        <v>Cobogó em cerâmico vazado 20x20cm</v>
      </c>
      <c r="D710" s="1079" t="s">
        <v>1632</v>
      </c>
      <c r="E710" s="1080" t="str">
        <f>_xlfn.XLOOKUP(D710,Insumos!$B$1:$B$670,Insumos!$C$1:$C$670)</f>
        <v>M3</v>
      </c>
      <c r="F710" s="1083">
        <v>2.3E-2</v>
      </c>
      <c r="G710" s="1081">
        <f>IF(B710="insumo",_xlfn.XLOOKUP($D710,Insumos!$B$1:$B$670,Insumos!$D$1:$D$670),"")</f>
        <v>425</v>
      </c>
      <c r="H710" s="1081" cm="1">
        <f t="array" ref="H710">_xlfn.IFS(B710="Serviço",SUMIFS(H711:$H$2465,C711:$C$2465,$C710),B710="Insumo",F710*G710,B710="Etapa","")</f>
        <v>9.7750000000000004</v>
      </c>
      <c r="I710" s="1082"/>
    </row>
    <row r="711" spans="1:9" hidden="1" outlineLevel="2" x14ac:dyDescent="0.25">
      <c r="A711" s="1079">
        <f t="shared" si="29"/>
        <v>1</v>
      </c>
      <c r="B711" s="1079" t="s">
        <v>1362</v>
      </c>
      <c r="C711" s="1079" t="str">
        <f t="shared" si="28"/>
        <v>Cobogó em cerâmico vazado 20x20cm</v>
      </c>
      <c r="D711" s="1079" t="s">
        <v>1659</v>
      </c>
      <c r="E711" s="1080" t="str">
        <f>_xlfn.XLOOKUP(D711,Insumos!$B$1:$B$670,Insumos!$C$1:$C$670)</f>
        <v>UN</v>
      </c>
      <c r="F711" s="1083">
        <v>25</v>
      </c>
      <c r="G711" s="1081">
        <f>IF(B711="insumo",_xlfn.XLOOKUP($D711,Insumos!$B$1:$B$670,Insumos!$D$1:$D$670),"")</f>
        <v>11.99</v>
      </c>
      <c r="H711" s="1081" cm="1">
        <f t="array" ref="H711">_xlfn.IFS(B711="Serviço",SUMIFS(H712:$H$2465,C712:$C$2465,$C711),B711="Insumo",F711*G711,B711="Etapa","")</f>
        <v>299.75</v>
      </c>
      <c r="I711" s="1082"/>
    </row>
    <row r="712" spans="1:9" hidden="1" outlineLevel="1" collapsed="1" x14ac:dyDescent="0.25">
      <c r="A712" s="1079">
        <f t="shared" si="29"/>
        <v>1</v>
      </c>
      <c r="B712" s="1079" t="s">
        <v>471</v>
      </c>
      <c r="C712" s="1079" t="str">
        <f t="shared" si="28"/>
        <v>Cobogó em concreto vazado 20x20cm</v>
      </c>
      <c r="D712" s="1079" t="s">
        <v>1660</v>
      </c>
      <c r="E712" s="1080" t="s">
        <v>17</v>
      </c>
      <c r="F712" s="1079"/>
      <c r="G712" s="1081" t="str">
        <f>IF(B712="insumo",_xlfn.XLOOKUP($D712,Insumos!$B$1:$B$670,Insumos!$D$1:$D$670),"")</f>
        <v/>
      </c>
      <c r="H712" s="1081" cm="1">
        <f t="array" ref="H712">_xlfn.IFS(B712="Serviço",SUMIFS(H713:$H$2465,C713:$C$2465,$C712),B712="Insumo",F712*G712,B712="Etapa","")</f>
        <v>384.77499999999998</v>
      </c>
      <c r="I712" s="1082" t="s">
        <v>872</v>
      </c>
    </row>
    <row r="713" spans="1:9" hidden="1" outlineLevel="2" x14ac:dyDescent="0.25">
      <c r="A713" s="1079">
        <f t="shared" si="29"/>
        <v>15</v>
      </c>
      <c r="B713" s="1079" t="s">
        <v>1362</v>
      </c>
      <c r="C713" s="1079" t="str">
        <f t="shared" si="28"/>
        <v>Cobogó em concreto vazado 20x20cm</v>
      </c>
      <c r="D713" s="1079" t="s">
        <v>1632</v>
      </c>
      <c r="E713" s="1080" t="str">
        <f>_xlfn.XLOOKUP(D713,Insumos!$B$1:$B$670,Insumos!$C$1:$C$670)</f>
        <v>M3</v>
      </c>
      <c r="F713" s="1083">
        <v>2.3E-2</v>
      </c>
      <c r="G713" s="1081">
        <f>IF(B713="insumo",_xlfn.XLOOKUP($D713,Insumos!$B$1:$B$670,Insumos!$D$1:$D$670),"")</f>
        <v>425</v>
      </c>
      <c r="H713" s="1081" cm="1">
        <f t="array" ref="H713">_xlfn.IFS(B713="Serviço",SUMIFS(H714:$H$2465,C714:$C$2465,$C713),B713="Insumo",F713*G713,B713="Etapa","")</f>
        <v>9.7750000000000004</v>
      </c>
      <c r="I713" s="1082"/>
    </row>
    <row r="714" spans="1:9" hidden="1" outlineLevel="2" x14ac:dyDescent="0.25">
      <c r="A714" s="1079">
        <f t="shared" si="29"/>
        <v>1</v>
      </c>
      <c r="B714" s="1079" t="s">
        <v>1362</v>
      </c>
      <c r="C714" s="1079" t="str">
        <f t="shared" si="28"/>
        <v>Cobogó em concreto vazado 20x20cm</v>
      </c>
      <c r="D714" s="1079" t="s">
        <v>1661</v>
      </c>
      <c r="E714" s="1080" t="str">
        <f>_xlfn.XLOOKUP(D714,Insumos!$B$1:$B$670,Insumos!$C$1:$C$670)</f>
        <v>UN</v>
      </c>
      <c r="F714" s="1083">
        <v>25</v>
      </c>
      <c r="G714" s="1081">
        <f>IF(B714="insumo",_xlfn.XLOOKUP($D714,Insumos!$B$1:$B$670,Insumos!$D$1:$D$670),"")</f>
        <v>15</v>
      </c>
      <c r="H714" s="1081" cm="1">
        <f t="array" ref="H714">_xlfn.IFS(B714="Serviço",SUMIFS(H715:$H$2465,C715:$C$2465,$C714),B714="Insumo",F714*G714,B714="Etapa","")</f>
        <v>375</v>
      </c>
      <c r="I714" s="1082"/>
    </row>
    <row r="715" spans="1:9" hidden="1" outlineLevel="1" x14ac:dyDescent="0.25">
      <c r="A715" s="1079">
        <f t="shared" si="29"/>
        <v>1</v>
      </c>
      <c r="B715" s="1079" t="s">
        <v>471</v>
      </c>
      <c r="C715" s="1079" t="str">
        <f t="shared" si="28"/>
        <v>Tijolo refratário para churrasqueiras 5x11,5x23cm com argamassa</v>
      </c>
      <c r="D715" s="1079" t="s">
        <v>1662</v>
      </c>
      <c r="E715" s="1080" t="s">
        <v>17</v>
      </c>
      <c r="F715" s="1079"/>
      <c r="G715" s="1081" t="str">
        <f>IF(B715="insumo",_xlfn.XLOOKUP($D715,Insumos!$B$1:$B$670,Insumos!$D$1:$D$670),"")</f>
        <v/>
      </c>
      <c r="H715" s="1081" cm="1">
        <f t="array" ref="H715">_xlfn.IFS(B715="Serviço",SUMIFS(H716:$H$2465,C716:$C$2465,$C715),B715="Insumo",F715*G715,B715="Etapa","")</f>
        <v>266.02625</v>
      </c>
      <c r="I715" s="1082" t="s">
        <v>872</v>
      </c>
    </row>
    <row r="716" spans="1:9" hidden="1" outlineLevel="2" x14ac:dyDescent="0.25">
      <c r="A716" s="1079">
        <f t="shared" si="29"/>
        <v>1</v>
      </c>
      <c r="B716" s="1079" t="s">
        <v>1362</v>
      </c>
      <c r="C716" s="1079" t="str">
        <f t="shared" si="28"/>
        <v>Tijolo refratário para churrasqueiras 5x11,5x23cm com argamassa</v>
      </c>
      <c r="D716" s="1079" t="s">
        <v>1663</v>
      </c>
      <c r="E716" s="1080" t="str">
        <f>_xlfn.XLOOKUP(D716,Insumos!$B$1:$B$670,Insumos!$C$1:$C$670)</f>
        <v>UN</v>
      </c>
      <c r="F716" s="1083">
        <v>38</v>
      </c>
      <c r="G716" s="1081">
        <f>IF(B716="insumo",_xlfn.XLOOKUP($D716,Insumos!$B$1:$B$670,Insumos!$D$1:$D$670),"")</f>
        <v>7</v>
      </c>
      <c r="H716" s="1081" cm="1">
        <f t="array" ref="H716">_xlfn.IFS(B716="Serviço",SUMIFS(H717:$H$2465,C717:$C$2465,$C716),B716="Insumo",F716*G716,B716="Etapa","")</f>
        <v>266</v>
      </c>
      <c r="I716" s="1082"/>
    </row>
    <row r="717" spans="1:9" hidden="1" outlineLevel="2" x14ac:dyDescent="0.25">
      <c r="A717" s="1079">
        <f t="shared" si="29"/>
        <v>2</v>
      </c>
      <c r="B717" s="1079" t="s">
        <v>1362</v>
      </c>
      <c r="C717" s="1079" t="str">
        <f t="shared" si="28"/>
        <v>Tijolo refratário para churrasqueiras 5x11,5x23cm com argamassa</v>
      </c>
      <c r="D717" s="1079" t="s">
        <v>1664</v>
      </c>
      <c r="E717" s="1080" t="str">
        <f>_xlfn.XLOOKUP(D717,Insumos!$B$1:$B$670,Insumos!$C$1:$C$670)</f>
        <v>M3</v>
      </c>
      <c r="F717" s="1083">
        <v>1.4999999999999999E-2</v>
      </c>
      <c r="G717" s="1081">
        <f>IF(B717="insumo",_xlfn.XLOOKUP($D717,Insumos!$B$1:$B$670,Insumos!$D$1:$D$670),"")</f>
        <v>1.75</v>
      </c>
      <c r="H717" s="1081" cm="1">
        <f t="array" ref="H717">_xlfn.IFS(B717="Serviço",SUMIFS(H718:$H$2465,C718:$C$2465,$C717),B717="Insumo",F717*G717,B717="Etapa","")</f>
        <v>2.6249999999999999E-2</v>
      </c>
      <c r="I717" s="1082"/>
    </row>
    <row r="718" spans="1:9" hidden="1" outlineLevel="1" x14ac:dyDescent="0.25">
      <c r="A718" s="1079">
        <f t="shared" si="29"/>
        <v>1</v>
      </c>
      <c r="B718" s="1079" t="s">
        <v>471</v>
      </c>
      <c r="C718" s="1079" t="str">
        <f t="shared" si="28"/>
        <v>Tijolo refratário para churrasqueiras 2,5x11,5x23cm com argamassa</v>
      </c>
      <c r="D718" s="1079" t="s">
        <v>1285</v>
      </c>
      <c r="E718" s="1080" t="s">
        <v>17</v>
      </c>
      <c r="F718" s="1079"/>
      <c r="G718" s="1081" t="str">
        <f>IF(B718="insumo",_xlfn.XLOOKUP($D718,Insumos!$B$1:$B$670,Insumos!$D$1:$D$670),"")</f>
        <v/>
      </c>
      <c r="H718" s="1081" cm="1">
        <f t="array" ref="H718">_xlfn.IFS(B718="Serviço",SUMIFS(H719:$H$2465,C719:$C$2465,$C718),B718="Insumo",F718*G718,B718="Etapa","")</f>
        <v>226.12625</v>
      </c>
      <c r="I718" s="1082" t="s">
        <v>872</v>
      </c>
    </row>
    <row r="719" spans="1:9" hidden="1" outlineLevel="2" x14ac:dyDescent="0.25">
      <c r="A719" s="1079">
        <f t="shared" si="29"/>
        <v>1</v>
      </c>
      <c r="B719" s="1079" t="s">
        <v>1362</v>
      </c>
      <c r="C719" s="1079" t="str">
        <f t="shared" si="28"/>
        <v>Tijolo refratário para churrasqueiras 2,5x11,5x23cm com argamassa</v>
      </c>
      <c r="D719" s="1079" t="s">
        <v>1665</v>
      </c>
      <c r="E719" s="1080" t="str">
        <f>_xlfn.XLOOKUP(D719,Insumos!$B$1:$B$670,Insumos!$C$1:$C$670)</f>
        <v>UN</v>
      </c>
      <c r="F719" s="1083">
        <v>38</v>
      </c>
      <c r="G719" s="1081">
        <f>IF(B719="insumo",_xlfn.XLOOKUP($D719,Insumos!$B$1:$B$670,Insumos!$D$1:$D$670),"")</f>
        <v>5.95</v>
      </c>
      <c r="H719" s="1081" cm="1">
        <f t="array" ref="H719">_xlfn.IFS(B719="Serviço",SUMIFS(H720:$H$2465,C720:$C$2465,$C719),B719="Insumo",F719*G719,B719="Etapa","")</f>
        <v>226.1</v>
      </c>
      <c r="I719" s="1082"/>
    </row>
    <row r="720" spans="1:9" hidden="1" outlineLevel="2" x14ac:dyDescent="0.25">
      <c r="A720" s="1079">
        <f t="shared" si="29"/>
        <v>2</v>
      </c>
      <c r="B720" s="1079" t="s">
        <v>1362</v>
      </c>
      <c r="C720" s="1079" t="str">
        <f t="shared" si="28"/>
        <v>Tijolo refratário para churrasqueiras 2,5x11,5x23cm com argamassa</v>
      </c>
      <c r="D720" s="1079" t="s">
        <v>1664</v>
      </c>
      <c r="E720" s="1080" t="str">
        <f>_xlfn.XLOOKUP(D720,Insumos!$B$1:$B$670,Insumos!$C$1:$C$670)</f>
        <v>M3</v>
      </c>
      <c r="F720" s="1083">
        <v>1.4999999999999999E-2</v>
      </c>
      <c r="G720" s="1081">
        <f>IF(B720="insumo",_xlfn.XLOOKUP($D720,Insumos!$B$1:$B$670,Insumos!$D$1:$D$670),"")</f>
        <v>1.75</v>
      </c>
      <c r="H720" s="1081" cm="1">
        <f t="array" ref="H720">_xlfn.IFS(B720="Serviço",SUMIFS(H721:$H$2465,C721:$C$2465,$C720),B720="Insumo",F720*G720,B720="Etapa","")</f>
        <v>2.6249999999999999E-2</v>
      </c>
      <c r="I720" s="1082"/>
    </row>
    <row r="721" spans="1:9" hidden="1" outlineLevel="1" x14ac:dyDescent="0.25">
      <c r="A721" s="1079">
        <f t="shared" si="29"/>
        <v>1</v>
      </c>
      <c r="B721" s="1079" t="s">
        <v>471</v>
      </c>
      <c r="C721" s="1079" t="str">
        <f t="shared" si="28"/>
        <v>Encunhamento De Alvenaria De Vedação Com Argamassa Expansiva</v>
      </c>
      <c r="D721" s="1079" t="s">
        <v>1666</v>
      </c>
      <c r="E721" s="1080" t="s">
        <v>281</v>
      </c>
      <c r="F721" s="1079"/>
      <c r="G721" s="1081" t="str">
        <f>IF(B721="insumo",_xlfn.XLOOKUP($D721,Insumos!$B$1:$B$670,Insumos!$D$1:$D$670),"")</f>
        <v/>
      </c>
      <c r="H721" s="1081" cm="1">
        <f t="array" ref="H721">_xlfn.IFS(B721="Serviço",SUMIFS(H722:$H$2465,C722:$C$2465,$C721),B721="Insumo",F721*G721,B721="Etapa","")</f>
        <v>14.787500000000001</v>
      </c>
      <c r="I721" s="1082" t="s">
        <v>872</v>
      </c>
    </row>
    <row r="722" spans="1:9" hidden="1" outlineLevel="2" x14ac:dyDescent="0.25">
      <c r="A722" s="1079">
        <f t="shared" si="29"/>
        <v>15</v>
      </c>
      <c r="B722" s="1079" t="s">
        <v>1362</v>
      </c>
      <c r="C722" s="1079" t="str">
        <f t="shared" si="28"/>
        <v>Encunhamento De Alvenaria De Vedação Com Argamassa Expansiva</v>
      </c>
      <c r="D722" s="1079" t="s">
        <v>1632</v>
      </c>
      <c r="E722" s="1080" t="str">
        <f>_xlfn.XLOOKUP(D722,Insumos!$B$1:$B$670,Insumos!$C$1:$C$670)</f>
        <v>M3</v>
      </c>
      <c r="F722" s="1083">
        <v>3.5000000000000001E-3</v>
      </c>
      <c r="G722" s="1081">
        <f>IF(B722="insumo",_xlfn.XLOOKUP($D722,Insumos!$B$1:$B$670,Insumos!$D$1:$D$670),"")</f>
        <v>425</v>
      </c>
      <c r="H722" s="1081" cm="1">
        <f t="array" ref="H722">_xlfn.IFS(B722="Serviço",SUMIFS(H723:$H$2465,C723:$C$2465,$C722),B722="Insumo",F722*G722,B722="Etapa","")</f>
        <v>1.4875</v>
      </c>
      <c r="I722" s="1082"/>
    </row>
    <row r="723" spans="1:9" hidden="1" outlineLevel="2" x14ac:dyDescent="0.25">
      <c r="A723" s="1079">
        <f t="shared" si="29"/>
        <v>3</v>
      </c>
      <c r="B723" s="1079" t="s">
        <v>1362</v>
      </c>
      <c r="C723" s="1079" t="str">
        <f t="shared" si="28"/>
        <v>Encunhamento De Alvenaria De Vedação Com Argamassa Expansiva</v>
      </c>
      <c r="D723" s="1079" t="s">
        <v>1667</v>
      </c>
      <c r="E723" s="1080" t="str">
        <f>_xlfn.XLOOKUP(D723,Insumos!$B$1:$B$670,Insumos!$C$1:$C$670)</f>
        <v>KG</v>
      </c>
      <c r="F723" s="1083">
        <v>7.0000000000000007E-2</v>
      </c>
      <c r="G723" s="1081">
        <f>IF(B723="insumo",_xlfn.XLOOKUP($D723,Insumos!$B$1:$B$670,Insumos!$D$1:$D$670),"")</f>
        <v>190</v>
      </c>
      <c r="H723" s="1081" cm="1">
        <f t="array" ref="H723">_xlfn.IFS(B723="Serviço",SUMIFS(H724:$H$2465,C724:$C$2465,$C723),B723="Insumo",F723*G723,B723="Etapa","")</f>
        <v>13.3</v>
      </c>
      <c r="I723" s="1082"/>
    </row>
    <row r="724" spans="1:9" hidden="1" outlineLevel="1" x14ac:dyDescent="0.25">
      <c r="A724" s="1079">
        <f t="shared" si="29"/>
        <v>1</v>
      </c>
      <c r="B724" s="1079" t="s">
        <v>471</v>
      </c>
      <c r="C724" s="1079" t="str">
        <f t="shared" si="28"/>
        <v>Encunhamento De Alvenaria De Vedação Com Argamassa para encunhmento</v>
      </c>
      <c r="D724" s="1079" t="s">
        <v>1668</v>
      </c>
      <c r="E724" s="1080" t="s">
        <v>281</v>
      </c>
      <c r="F724" s="1079"/>
      <c r="G724" s="1081" t="str">
        <f>IF(B724="insumo",_xlfn.XLOOKUP($D724,Insumos!$B$1:$B$670,Insumos!$D$1:$D$670),"")</f>
        <v/>
      </c>
      <c r="H724" s="1081" cm="1">
        <f t="array" ref="H724">_xlfn.IFS(B724="Serviço",SUMIFS(H725:$H$2465,C725:$C$2465,$C724),B724="Insumo",F724*G724,B724="Etapa","")</f>
        <v>2.9455664000000001</v>
      </c>
      <c r="I724" s="1082" t="s">
        <v>872</v>
      </c>
    </row>
    <row r="725" spans="1:9" hidden="1" outlineLevel="2" x14ac:dyDescent="0.25">
      <c r="A725" s="1079">
        <f t="shared" si="29"/>
        <v>1</v>
      </c>
      <c r="B725" s="1079" t="s">
        <v>1362</v>
      </c>
      <c r="C725" s="1079" t="str">
        <f t="shared" si="28"/>
        <v>Encunhamento De Alvenaria De Vedação Com Argamassa para encunhmento</v>
      </c>
      <c r="D725" s="1079" t="s">
        <v>1669</v>
      </c>
      <c r="E725" s="1080" t="str">
        <f>_xlfn.XLOOKUP(D725,Insumos!$B$1:$B$670,Insumos!$C$1:$C$670)</f>
        <v>kg</v>
      </c>
      <c r="F725" s="1083">
        <v>0.76719999999999999</v>
      </c>
      <c r="G725" s="1081">
        <f>IF(B725="insumo",_xlfn.XLOOKUP($D725,Insumos!$B$1:$B$670,Insumos!$D$1:$D$670),"")</f>
        <v>2.5619999999999998</v>
      </c>
      <c r="H725" s="1081" cm="1">
        <f t="array" ref="H725">_xlfn.IFS(B725="Serviço",SUMIFS(H726:$H$2465,C726:$C$2465,$C725),B725="Insumo",F725*G725,B725="Etapa","")</f>
        <v>1.9655663999999999</v>
      </c>
      <c r="I725" s="1082"/>
    </row>
    <row r="726" spans="1:9" hidden="1" outlineLevel="2" x14ac:dyDescent="0.25">
      <c r="A726" s="1079">
        <f t="shared" si="29"/>
        <v>3</v>
      </c>
      <c r="B726" s="1079" t="s">
        <v>1362</v>
      </c>
      <c r="C726" s="1079" t="str">
        <f t="shared" si="28"/>
        <v>Encunhamento De Alvenaria De Vedação Com Argamassa para encunhmento</v>
      </c>
      <c r="D726" s="1079" t="s">
        <v>1667</v>
      </c>
      <c r="E726" s="1080" t="str">
        <f>_xlfn.XLOOKUP(D726,Insumos!$B$1:$B$670,Insumos!$C$1:$C$670)</f>
        <v>KG</v>
      </c>
      <c r="F726" s="1083">
        <v>7.0000000000000007E-2</v>
      </c>
      <c r="G726" s="1081">
        <v>14</v>
      </c>
      <c r="H726" s="1081" cm="1">
        <f t="array" ref="H726">_xlfn.IFS(B726="Serviço",SUMIFS(H727:$H$2465,C727:$C$2465,$C726),B726="Insumo",F726*G726,B726="Etapa","")</f>
        <v>0.98000000000000009</v>
      </c>
      <c r="I726" s="1082"/>
    </row>
    <row r="727" spans="1:9" hidden="1" outlineLevel="1" x14ac:dyDescent="0.25">
      <c r="A727" s="1079">
        <f t="shared" si="29"/>
        <v>1</v>
      </c>
      <c r="B727" s="1079" t="s">
        <v>471</v>
      </c>
      <c r="C727" s="1079" t="str">
        <f t="shared" si="28"/>
        <v>Tela soldada para ligacao alvenaria/estrutura</v>
      </c>
      <c r="D727" s="1079" t="s">
        <v>1670</v>
      </c>
      <c r="E727" s="1080" t="s">
        <v>491</v>
      </c>
      <c r="F727" s="1079"/>
      <c r="G727" s="1081" t="str">
        <f>IF(B727="insumo",_xlfn.XLOOKUP($D727,Insumos!$B$1:$B$670,Insumos!$D$1:$D$670),"")</f>
        <v/>
      </c>
      <c r="H727" s="1081" cm="1">
        <f t="array" ref="H727">_xlfn.IFS(B727="Serviço",SUMIFS(H728:$H$2465,C728:$C$2465,$C727),B727="Insumo",F727*G727,B727="Etapa","")</f>
        <v>4.1071999999999997</v>
      </c>
      <c r="I727" s="1082" t="s">
        <v>872</v>
      </c>
    </row>
    <row r="728" spans="1:9" hidden="1" outlineLevel="2" x14ac:dyDescent="0.25">
      <c r="A728" s="1079">
        <f t="shared" si="29"/>
        <v>2</v>
      </c>
      <c r="B728" s="1079" t="s">
        <v>1362</v>
      </c>
      <c r="C728" s="1079" t="str">
        <f t="shared" si="28"/>
        <v>Tela soldada para ligacao alvenaria/estrutura</v>
      </c>
      <c r="D728" s="1079" t="s">
        <v>1671</v>
      </c>
      <c r="E728" s="1080" t="str">
        <f>_xlfn.XLOOKUP(D728,Insumos!$B$1:$B$670,Insumos!$C$1:$C$670)</f>
        <v>UN</v>
      </c>
      <c r="F728" s="1083">
        <v>2</v>
      </c>
      <c r="G728" s="1081">
        <f>IF(B728="insumo",_xlfn.XLOOKUP($D728,Insumos!$B$1:$B$670,Insumos!$D$1:$D$670),"")</f>
        <v>0.43359999999999999</v>
      </c>
      <c r="H728" s="1081" cm="1">
        <f t="array" ref="H728">_xlfn.IFS(B728="Serviço",SUMIFS(H729:$H$2465,C729:$C$2465,$C728),B728="Insumo",F728*G728,B728="Etapa","")</f>
        <v>0.86719999999999997</v>
      </c>
      <c r="I728" s="1082"/>
    </row>
    <row r="729" spans="1:9" hidden="1" outlineLevel="2" x14ac:dyDescent="0.25">
      <c r="A729" s="1079">
        <f t="shared" si="29"/>
        <v>2</v>
      </c>
      <c r="B729" s="1079" t="s">
        <v>1362</v>
      </c>
      <c r="C729" s="1079" t="str">
        <f t="shared" si="28"/>
        <v>Tela soldada para ligacao alvenaria/estrutura</v>
      </c>
      <c r="D729" s="1079" t="s">
        <v>1672</v>
      </c>
      <c r="E729" s="1080" t="str">
        <f>_xlfn.XLOOKUP(D729,Insumos!$B$1:$B$670,Insumos!$C$1:$C$670)</f>
        <v>UN</v>
      </c>
      <c r="F729" s="1083">
        <v>1</v>
      </c>
      <c r="G729" s="1081">
        <f>IF(B729="insumo",_xlfn.XLOOKUP($D729,Insumos!$B$1:$B$670,Insumos!$D$1:$D$670),"")</f>
        <v>2.5</v>
      </c>
      <c r="H729" s="1081" cm="1">
        <f t="array" ref="H729">_xlfn.IFS(B729="Serviço",SUMIFS(H730:$H$2465,C730:$C$2465,$C729),B729="Insumo",F729*G729,B729="Etapa","")</f>
        <v>2.5</v>
      </c>
      <c r="I729" s="1082"/>
    </row>
    <row r="730" spans="1:9" hidden="1" outlineLevel="2" x14ac:dyDescent="0.25">
      <c r="A730" s="1079">
        <f t="shared" si="29"/>
        <v>2</v>
      </c>
      <c r="B730" s="1079" t="s">
        <v>1362</v>
      </c>
      <c r="C730" s="1079" t="str">
        <f t="shared" si="28"/>
        <v>Tela soldada para ligacao alvenaria/estrutura</v>
      </c>
      <c r="D730" s="1079" t="s">
        <v>1673</v>
      </c>
      <c r="E730" s="1080" t="str">
        <f>_xlfn.XLOOKUP(D730,Insumos!$B$1:$B$670,Insumos!$C$1:$C$670)</f>
        <v>UN</v>
      </c>
      <c r="F730" s="1083">
        <v>2</v>
      </c>
      <c r="G730" s="1081">
        <f>IF(B730="insumo",_xlfn.XLOOKUP($D730,Insumos!$B$1:$B$670,Insumos!$D$1:$D$670),"")</f>
        <v>0.37</v>
      </c>
      <c r="H730" s="1081" cm="1">
        <f t="array" ref="H730">_xlfn.IFS(B730="Serviço",SUMIFS(H731:$H$2465,C731:$C$2465,$C730),B730="Insumo",F730*G730,B730="Etapa","")</f>
        <v>0.74</v>
      </c>
      <c r="I730" s="1082"/>
    </row>
    <row r="731" spans="1:9" hidden="1" outlineLevel="1" collapsed="1" x14ac:dyDescent="0.25">
      <c r="A731" s="1079">
        <f t="shared" si="29"/>
        <v>1</v>
      </c>
      <c r="B731" s="1079" t="s">
        <v>471</v>
      </c>
      <c r="C731" s="1079" t="str">
        <f t="shared" si="28"/>
        <v>Verga/contraverga de concreto, moldada in loco</v>
      </c>
      <c r="D731" s="1079" t="s">
        <v>767</v>
      </c>
      <c r="E731" s="1080" t="s">
        <v>491</v>
      </c>
      <c r="F731" s="1079"/>
      <c r="G731" s="1081" t="str">
        <f>IF(B731="insumo",_xlfn.XLOOKUP($D731,Insumos!$B$1:$B$670,Insumos!$D$1:$D$670),"")</f>
        <v/>
      </c>
      <c r="H731" s="1081" cm="1">
        <f t="array" ref="H731">_xlfn.IFS(B731="Serviço",SUMIFS(H732:$H$2465,C732:$C$2465,$C731),B731="Insumo",F731*G731,B731="Etapa","")</f>
        <v>80.381544640000001</v>
      </c>
      <c r="I731" s="1082" t="s">
        <v>872</v>
      </c>
    </row>
    <row r="732" spans="1:9" hidden="1" outlineLevel="2" x14ac:dyDescent="0.25">
      <c r="A732" s="1079">
        <f t="shared" si="29"/>
        <v>5</v>
      </c>
      <c r="B732" s="1079" t="s">
        <v>1362</v>
      </c>
      <c r="C732" s="1079" t="str">
        <f t="shared" si="28"/>
        <v>Verga/contraverga de concreto, moldada in loco</v>
      </c>
      <c r="D732" s="1079" t="s">
        <v>1486</v>
      </c>
      <c r="E732" s="1080" t="str">
        <f>_xlfn.XLOOKUP(D732,Insumos!$B$1:$B$670,Insumos!$C$1:$C$670)</f>
        <v>KG</v>
      </c>
      <c r="F732" s="1083">
        <v>0.87690000000000001</v>
      </c>
      <c r="G732" s="1081">
        <f>IF(B732="insumo",_xlfn.XLOOKUP($D732,Insumos!$B$1:$B$670,Insumos!$D$1:$D$670),"")</f>
        <v>6.04</v>
      </c>
      <c r="H732" s="1081" cm="1">
        <f t="array" ref="H732">_xlfn.IFS(B732="Serviço",SUMIFS(H733:$H$2465,C733:$C$2465,$C732),B732="Insumo",F732*G732,B732="Etapa","")</f>
        <v>5.2964760000000002</v>
      </c>
      <c r="I732" s="1082"/>
    </row>
    <row r="733" spans="1:9" hidden="1" outlineLevel="2" x14ac:dyDescent="0.25">
      <c r="A733" s="1079">
        <f t="shared" si="29"/>
        <v>33</v>
      </c>
      <c r="B733" s="1079" t="s">
        <v>1362</v>
      </c>
      <c r="C733" s="1079" t="str">
        <f t="shared" si="28"/>
        <v>Verga/contraverga de concreto, moldada in loco</v>
      </c>
      <c r="D733" s="1079" t="s">
        <v>1375</v>
      </c>
      <c r="E733" s="1080" t="str">
        <f>_xlfn.XLOOKUP(D733,Insumos!$B$1:$B$670,Insumos!$C$1:$C$670)</f>
        <v>KG</v>
      </c>
      <c r="F733" s="1083">
        <v>9.7280000000000005E-3</v>
      </c>
      <c r="G733" s="1081">
        <f>IF(B733="insumo",_xlfn.XLOOKUP($D733,Insumos!$B$1:$B$670,Insumos!$D$1:$D$670),"")</f>
        <v>18.13</v>
      </c>
      <c r="H733" s="1081" cm="1">
        <f t="array" ref="H733">_xlfn.IFS(B733="Serviço",SUMIFS(H734:$H$2465,C734:$C$2465,$C733),B733="Insumo",F733*G733,B733="Etapa","")</f>
        <v>0.17636863999999999</v>
      </c>
      <c r="I733" s="1082"/>
    </row>
    <row r="734" spans="1:9" hidden="1" outlineLevel="2" x14ac:dyDescent="0.25">
      <c r="A734" s="1079">
        <f t="shared" si="29"/>
        <v>1</v>
      </c>
      <c r="B734" s="1079" t="s">
        <v>1362</v>
      </c>
      <c r="C734" s="1079" t="str">
        <f t="shared" si="28"/>
        <v>Verga/contraverga de concreto, moldada in loco</v>
      </c>
      <c r="D734" s="1079" t="s">
        <v>1674</v>
      </c>
      <c r="E734" s="1080" t="str">
        <f>_xlfn.XLOOKUP(D734,Insumos!$B$1:$B$670,Insumos!$C$1:$C$670)</f>
        <v>M2</v>
      </c>
      <c r="F734" s="1083">
        <v>6</v>
      </c>
      <c r="G734" s="1081">
        <f>IF(B734="insumo",_xlfn.XLOOKUP($D734,Insumos!$B$1:$B$670,Insumos!$D$1:$D$670),"")</f>
        <v>0.43</v>
      </c>
      <c r="H734" s="1081" cm="1">
        <f t="array" ref="H734">_xlfn.IFS(B734="Serviço",SUMIFS(H735:$H$2465,C735:$C$2465,$C734),B734="Insumo",F734*G734,B734="Etapa","")</f>
        <v>2.58</v>
      </c>
      <c r="I734" s="1082"/>
    </row>
    <row r="735" spans="1:9" hidden="1" outlineLevel="2" x14ac:dyDescent="0.25">
      <c r="A735" s="1079">
        <f t="shared" si="29"/>
        <v>4</v>
      </c>
      <c r="B735" s="1079" t="s">
        <v>1362</v>
      </c>
      <c r="C735" s="1079" t="str">
        <f t="shared" si="28"/>
        <v>Verga/contraverga de concreto, moldada in loco</v>
      </c>
      <c r="D735" s="1079" t="s">
        <v>1514</v>
      </c>
      <c r="E735" s="1080" t="str">
        <f>_xlfn.XLOOKUP(D735,Insumos!$B$1:$B$670,Insumos!$C$1:$C$670)</f>
        <v>M3</v>
      </c>
      <c r="F735" s="1083">
        <v>3.2000000000000001E-2</v>
      </c>
      <c r="G735" s="1081">
        <f>IF(B735="insumo",_xlfn.XLOOKUP($D735,Insumos!$B$1:$B$670,Insumos!$D$1:$D$670),"")</f>
        <v>510</v>
      </c>
      <c r="H735" s="1081" cm="1">
        <f t="array" ref="H735">_xlfn.IFS(B735="Serviço",SUMIFS(H736:$H$2465,C736:$C$2465,$C735),B735="Insumo",F735*G735,B735="Etapa","")</f>
        <v>16.32</v>
      </c>
      <c r="I735" s="1082"/>
    </row>
    <row r="736" spans="1:9" hidden="1" outlineLevel="2" x14ac:dyDescent="0.25">
      <c r="A736" s="1079">
        <f t="shared" si="29"/>
        <v>9</v>
      </c>
      <c r="B736" s="1079" t="s">
        <v>1362</v>
      </c>
      <c r="C736" s="1079" t="str">
        <f t="shared" si="28"/>
        <v>Verga/contraverga de concreto, moldada in loco</v>
      </c>
      <c r="D736" s="1079" t="s">
        <v>1507</v>
      </c>
      <c r="E736" s="1080" t="str">
        <f>_xlfn.XLOOKUP(D736,Insumos!$B$1:$B$670,Insumos!$C$1:$C$670)</f>
        <v>L</v>
      </c>
      <c r="F736" s="1083">
        <v>8.9999999999999993E-3</v>
      </c>
      <c r="G736" s="1081">
        <f>IF(B736="insumo",_xlfn.XLOOKUP($D736,Insumos!$B$1:$B$670,Insumos!$D$1:$D$670),"")</f>
        <v>15.55</v>
      </c>
      <c r="H736" s="1081" cm="1">
        <f t="array" ref="H736">_xlfn.IFS(B736="Serviço",SUMIFS(H737:$H$2465,C737:$C$2465,$C736),B736="Insumo",F736*G736,B736="Etapa","")</f>
        <v>0.13994999999999999</v>
      </c>
      <c r="I736" s="1088"/>
    </row>
    <row r="737" spans="1:9" hidden="1" outlineLevel="2" x14ac:dyDescent="0.25">
      <c r="A737" s="1079">
        <f t="shared" si="29"/>
        <v>8</v>
      </c>
      <c r="B737" s="1079" t="s">
        <v>1362</v>
      </c>
      <c r="C737" s="1079" t="str">
        <f t="shared" si="28"/>
        <v>Verga/contraverga de concreto, moldada in loco</v>
      </c>
      <c r="D737" s="1079" t="s">
        <v>1395</v>
      </c>
      <c r="E737" s="1080" t="str">
        <f>_xlfn.XLOOKUP(D737,Insumos!$B$1:$B$670,Insumos!$C$1:$C$670)</f>
        <v>M3</v>
      </c>
      <c r="F737" s="1083">
        <v>1.5225000000000001E-2</v>
      </c>
      <c r="G737" s="1081">
        <f>IF(B737="insumo",_xlfn.XLOOKUP($D737,Insumos!$B$1:$B$670,Insumos!$D$1:$D$670),"")</f>
        <v>1100</v>
      </c>
      <c r="H737" s="1081" cm="1">
        <f t="array" ref="H737">_xlfn.IFS(B737="Serviço",SUMIFS(H738:$H$2465,C738:$C$2465,$C737),B737="Insumo",F737*G737,B737="Etapa","")</f>
        <v>16.747500000000002</v>
      </c>
      <c r="I737" s="1082"/>
    </row>
    <row r="738" spans="1:9" hidden="1" outlineLevel="2" x14ac:dyDescent="0.25">
      <c r="A738" s="1079">
        <f t="shared" si="29"/>
        <v>15</v>
      </c>
      <c r="B738" s="1079" t="s">
        <v>1362</v>
      </c>
      <c r="C738" s="1079" t="str">
        <f t="shared" si="28"/>
        <v>Verga/contraverga de concreto, moldada in loco</v>
      </c>
      <c r="D738" s="1079" t="s">
        <v>1402</v>
      </c>
      <c r="E738" s="1080" t="str">
        <f>_xlfn.XLOOKUP(D738,Insumos!$B$1:$B$670,Insumos!$C$1:$C$670)</f>
        <v>M3</v>
      </c>
      <c r="F738" s="1083">
        <v>1.8749999999999999E-3</v>
      </c>
      <c r="G738" s="1081">
        <f>IF(B738="insumo",_xlfn.XLOOKUP($D738,Insumos!$B$1:$B$670,Insumos!$D$1:$D$670),"")</f>
        <v>1350</v>
      </c>
      <c r="H738" s="1081" cm="1">
        <f t="array" ref="H738">_xlfn.IFS(B738="Serviço",SUMIFS(H739:$H$2465,C739:$C$2465,$C738),B738="Insumo",F738*G738,B738="Etapa","")</f>
        <v>2.53125</v>
      </c>
      <c r="I738" s="1082"/>
    </row>
    <row r="739" spans="1:9" hidden="1" outlineLevel="2" x14ac:dyDescent="0.25">
      <c r="A739" s="1079">
        <f t="shared" si="29"/>
        <v>5</v>
      </c>
      <c r="B739" s="1079" t="s">
        <v>1362</v>
      </c>
      <c r="C739" s="1079" t="str">
        <f t="shared" si="28"/>
        <v>Verga/contraverga de concreto, moldada in loco</v>
      </c>
      <c r="D739" s="1079" t="s">
        <v>1508</v>
      </c>
      <c r="E739" s="1080" t="str">
        <f>_xlfn.XLOOKUP(D739,Insumos!$B$1:$B$670,Insumos!$C$1:$C$670)</f>
        <v>M</v>
      </c>
      <c r="F739" s="1083">
        <v>0.86175223739990581</v>
      </c>
      <c r="G739" s="1081">
        <f>IF(B739="insumo",_xlfn.XLOOKUP($D739,Insumos!$B$1:$B$670,Insumos!$D$1:$D$670),"")</f>
        <v>42.46</v>
      </c>
      <c r="H739" s="1081" cm="1">
        <f t="array" ref="H739">_xlfn.IFS(B739="Serviço",SUMIFS(H740:$H$2465,C740:$C$2465,$C739),B739="Insumo",F739*G739,B739="Etapa","")</f>
        <v>36.590000000000003</v>
      </c>
      <c r="I739" s="1082"/>
    </row>
    <row r="740" spans="1:9" hidden="1" outlineLevel="1" collapsed="1" x14ac:dyDescent="0.25">
      <c r="A740" s="1079">
        <f t="shared" si="29"/>
        <v>1</v>
      </c>
      <c r="B740" s="1079" t="s">
        <v>471</v>
      </c>
      <c r="C740" s="1079" t="str">
        <f t="shared" si="28"/>
        <v>Estrutura e fechamento em drywall Parede Drywall montande 48</v>
      </c>
      <c r="D740" s="1079" t="s">
        <v>1675</v>
      </c>
      <c r="E740" s="1080" t="s">
        <v>17</v>
      </c>
      <c r="F740" s="1079"/>
      <c r="G740" s="1081" t="s">
        <v>482</v>
      </c>
      <c r="H740" s="1081" cm="1">
        <f t="array" ref="H740">_xlfn.IFS(B740="Serviço",SUMIFS(H741:$H$2465,C741:$C$2465,$C740),B740="Insumo",F740*G740,B740="Etapa","")</f>
        <v>377.8363900815155</v>
      </c>
      <c r="I740" s="1082" t="s">
        <v>872</v>
      </c>
    </row>
    <row r="741" spans="1:9" hidden="1" outlineLevel="2" x14ac:dyDescent="0.25">
      <c r="A741" s="1079">
        <f t="shared" si="29"/>
        <v>2</v>
      </c>
      <c r="B741" s="1079" t="s">
        <v>1362</v>
      </c>
      <c r="C741" s="1079" t="str">
        <f t="shared" si="28"/>
        <v>Estrutura e fechamento em drywall Parede Drywall montande 48</v>
      </c>
      <c r="D741" s="1079" t="s">
        <v>1676</v>
      </c>
      <c r="E741" s="1080" t="s">
        <v>17</v>
      </c>
      <c r="F741" s="1083">
        <v>1</v>
      </c>
      <c r="G741" s="1081">
        <f>IF(B741="insumo",_xlfn.XLOOKUP($D741,Insumos!$B$1:$B$670,Insumos!$D$1:$D$670),"")</f>
        <v>377.8363900815155</v>
      </c>
      <c r="H741" s="1081" cm="1">
        <f t="array" ref="H741">_xlfn.IFS(B741="Serviço",SUMIFS(H742:$H$2465,C742:$C$2465,$C741),B741="Insumo",F741*G741,B741="Etapa","")</f>
        <v>377.8363900815155</v>
      </c>
      <c r="I741" s="1082"/>
    </row>
    <row r="742" spans="1:9" hidden="1" outlineLevel="1" collapsed="1" x14ac:dyDescent="0.25">
      <c r="A742" s="1079">
        <f t="shared" si="29"/>
        <v>1</v>
      </c>
      <c r="B742" s="1079" t="s">
        <v>471</v>
      </c>
      <c r="C742" s="1079" t="str">
        <f t="shared" si="28"/>
        <v>Estrutura e fechamento em drywall Parede Drywall montande 90</v>
      </c>
      <c r="D742" s="1079" t="s">
        <v>1677</v>
      </c>
      <c r="E742" s="1080" t="s">
        <v>17</v>
      </c>
      <c r="F742" s="1079"/>
      <c r="G742" s="1081" t="s">
        <v>482</v>
      </c>
      <c r="H742" s="1081" cm="1">
        <f t="array" ref="H742">_xlfn.IFS(B742="Serviço",SUMIFS(H743:$H$2465,C743:$C$2465,$C742),B742="Insumo",F742*G742,B742="Etapa","")</f>
        <v>377.8363900815155</v>
      </c>
      <c r="I742" s="1082" t="s">
        <v>872</v>
      </c>
    </row>
    <row r="743" spans="1:9" hidden="1" outlineLevel="2" x14ac:dyDescent="0.25">
      <c r="A743" s="1079">
        <f t="shared" si="29"/>
        <v>2</v>
      </c>
      <c r="B743" s="1079" t="s">
        <v>1362</v>
      </c>
      <c r="C743" s="1079" t="str">
        <f t="shared" si="28"/>
        <v>Estrutura e fechamento em drywall Parede Drywall montande 90</v>
      </c>
      <c r="D743" s="1079" t="s">
        <v>1676</v>
      </c>
      <c r="E743" s="1080" t="s">
        <v>17</v>
      </c>
      <c r="F743" s="1083">
        <v>1</v>
      </c>
      <c r="G743" s="1081">
        <f>IF(B743="insumo",_xlfn.XLOOKUP($D743,Insumos!$B$1:$B$670,Insumos!$D$1:$D$670),"")</f>
        <v>377.8363900815155</v>
      </c>
      <c r="H743" s="1081" cm="1">
        <f t="array" ref="H743">_xlfn.IFS(B743="Serviço",SUMIFS(H744:$H$2465,C744:$C$2465,$C743),B743="Insumo",F743*G743,B743="Etapa","")</f>
        <v>377.8363900815155</v>
      </c>
      <c r="I743" s="1082"/>
    </row>
    <row r="744" spans="1:9" hidden="1" outlineLevel="1" collapsed="1" x14ac:dyDescent="0.25">
      <c r="A744" s="1079">
        <f t="shared" si="29"/>
        <v>1</v>
      </c>
      <c r="B744" s="1079" t="s">
        <v>471</v>
      </c>
      <c r="C744" s="1079" t="str">
        <f t="shared" si="28"/>
        <v>Reforços Para Paredes em Drywall</v>
      </c>
      <c r="D744" s="1079" t="s">
        <v>1678</v>
      </c>
      <c r="E744" s="1080" t="s">
        <v>17</v>
      </c>
      <c r="F744" s="1079"/>
      <c r="G744" s="1081" t="s">
        <v>482</v>
      </c>
      <c r="H744" s="1081" cm="1">
        <f t="array" ref="H744">_xlfn.IFS(B744="Serviço",SUMIFS(H745:$H$2465,C745:$C$2465,$C744),B744="Insumo",F744*G744,B744="Etapa","")</f>
        <v>58.988734923708691</v>
      </c>
      <c r="I744" s="1082" t="s">
        <v>872</v>
      </c>
    </row>
    <row r="745" spans="1:9" hidden="1" outlineLevel="2" x14ac:dyDescent="0.25">
      <c r="A745" s="1079">
        <f t="shared" si="29"/>
        <v>1</v>
      </c>
      <c r="B745" s="1079" t="s">
        <v>1362</v>
      </c>
      <c r="C745" s="1079" t="str">
        <f t="shared" si="28"/>
        <v>Reforços Para Paredes em Drywall</v>
      </c>
      <c r="D745" s="1079" t="s">
        <v>1678</v>
      </c>
      <c r="E745" s="1080" t="s">
        <v>17</v>
      </c>
      <c r="F745" s="1083">
        <v>1</v>
      </c>
      <c r="G745" s="1081">
        <f>IF(B745="insumo",_xlfn.XLOOKUP($D745,Insumos!$B$1:$B$670,Insumos!$D$1:$D$670),"")</f>
        <v>58.988734923708691</v>
      </c>
      <c r="H745" s="1081" cm="1">
        <f t="array" ref="H745">_xlfn.IFS(B745="Serviço",SUMIFS(H746:$H$2465,C746:$C$2465,$C745),B745="Insumo",F745*G745,B745="Etapa","")</f>
        <v>58.988734923708691</v>
      </c>
      <c r="I745" s="1082"/>
    </row>
    <row r="746" spans="1:9" hidden="1" outlineLevel="1" collapsed="1" x14ac:dyDescent="0.25">
      <c r="A746" s="1079">
        <f t="shared" si="29"/>
        <v>1</v>
      </c>
      <c r="B746" s="1079" t="s">
        <v>471</v>
      </c>
      <c r="C746" s="1079" t="str">
        <f t="shared" si="28"/>
        <v>Fechamento de Shaft em Alvenaria convencional de 9x19x19cm</v>
      </c>
      <c r="D746" s="1079" t="s">
        <v>1679</v>
      </c>
      <c r="E746" s="1080" t="s">
        <v>17</v>
      </c>
      <c r="F746" s="1079"/>
      <c r="G746" s="1081" t="str">
        <f>IF(B746="insumo",_xlfn.XLOOKUP($D746,Insumos!$B$1:$B$670,Insumos!$D$1:$D$670),"")</f>
        <v/>
      </c>
      <c r="H746" s="1081" cm="1">
        <f t="array" ref="H746">_xlfn.IFS(B746="Serviço",SUMIFS(H747:$H$2465,C747:$C$2465,$C746),B746="Insumo",F746*G746,B746="Etapa","")</f>
        <v>39.985453999999997</v>
      </c>
      <c r="I746" s="1082" t="s">
        <v>872</v>
      </c>
    </row>
    <row r="747" spans="1:9" hidden="1" outlineLevel="2" x14ac:dyDescent="0.25">
      <c r="A747" s="1079">
        <f t="shared" si="29"/>
        <v>2</v>
      </c>
      <c r="B747" s="1079" t="s">
        <v>1362</v>
      </c>
      <c r="C747" s="1079" t="str">
        <f t="shared" si="28"/>
        <v>Fechamento de Shaft em Alvenaria convencional de 9x19x19cm</v>
      </c>
      <c r="D747" s="1079" t="s">
        <v>1611</v>
      </c>
      <c r="E747" s="1080" t="str">
        <f>_xlfn.XLOOKUP(D747,Insumos!$B$1:$B$670,Insumos!$C$1:$C$670)</f>
        <v>UN</v>
      </c>
      <c r="F747" s="1083">
        <f>ROUNDUP(1/(0.19*0.19),)</f>
        <v>28</v>
      </c>
      <c r="G747" s="1081">
        <f>IF(B747="insumo",_xlfn.XLOOKUP($D747,Insumos!$B$1:$B$670,Insumos!$D$1:$D$670),"")</f>
        <v>0.99</v>
      </c>
      <c r="H747" s="1081" cm="1">
        <f t="array" ref="H747">_xlfn.IFS(B747="Serviço",SUMIFS(H748:$H$2465,C748:$C$2465,$C747),B747="Insumo",F747*G747,B747="Etapa","")</f>
        <v>27.72</v>
      </c>
      <c r="I747" s="1082"/>
    </row>
    <row r="748" spans="1:9" hidden="1" outlineLevel="2" x14ac:dyDescent="0.25">
      <c r="A748" s="1079">
        <f t="shared" si="29"/>
        <v>12</v>
      </c>
      <c r="B748" s="1079" t="s">
        <v>1362</v>
      </c>
      <c r="C748" s="1079" t="str">
        <f t="shared" si="28"/>
        <v>Fechamento de Shaft em Alvenaria convencional de 9x19x19cm</v>
      </c>
      <c r="D748" s="1079" t="s">
        <v>1612</v>
      </c>
      <c r="E748" s="1080" t="str">
        <f>_xlfn.XLOOKUP(D748,Insumos!$B$1:$B$670,Insumos!$C$1:$C$670)</f>
        <v>M3</v>
      </c>
      <c r="F748" s="1083">
        <v>0.02</v>
      </c>
      <c r="G748" s="1081">
        <f>IF(B748="insumo",_xlfn.XLOOKUP($D748,Insumos!$B$1:$B$670,Insumos!$D$1:$D$670),"")</f>
        <v>425</v>
      </c>
      <c r="H748" s="1081" cm="1">
        <f t="array" ref="H748">_xlfn.IFS(B748="Serviço",SUMIFS(H749:$H$2465,C749:$C$2465,$C748),B748="Insumo",F748*G748,B748="Etapa","")</f>
        <v>8.5</v>
      </c>
      <c r="I748" s="1082"/>
    </row>
    <row r="749" spans="1:9" hidden="1" outlineLevel="2" x14ac:dyDescent="0.25">
      <c r="A749" s="1079">
        <f t="shared" si="29"/>
        <v>13</v>
      </c>
      <c r="B749" s="1079" t="s">
        <v>1362</v>
      </c>
      <c r="C749" s="1079" t="str">
        <f t="shared" si="28"/>
        <v>Fechamento de Shaft em Alvenaria convencional de 9x19x19cm</v>
      </c>
      <c r="D749" s="1079" t="s">
        <v>1680</v>
      </c>
      <c r="E749" s="1080" t="str">
        <f>_xlfn.XLOOKUP(D749,Insumos!$B$1:$B$670,Insumos!$C$1:$C$670)</f>
        <v>KG</v>
      </c>
      <c r="F749" s="1083">
        <v>1.0978000000000001</v>
      </c>
      <c r="G749" s="1081">
        <f>IF(B749="insumo",_xlfn.XLOOKUP($D749,Insumos!$B$1:$B$670,Insumos!$D$1:$D$670),"")</f>
        <v>3.43</v>
      </c>
      <c r="H749" s="1081" cm="1">
        <f t="array" ref="H749">_xlfn.IFS(B749="Serviço",SUMIFS(H750:$H$2465,C750:$C$2465,$C749),B749="Insumo",F749*G749,B749="Etapa","")</f>
        <v>3.7654540000000005</v>
      </c>
      <c r="I749" s="1082"/>
    </row>
    <row r="750" spans="1:9" hidden="1" outlineLevel="1" collapsed="1" x14ac:dyDescent="0.25">
      <c r="A750" s="1079">
        <f t="shared" si="29"/>
        <v>1</v>
      </c>
      <c r="B750" s="1079" t="s">
        <v>471</v>
      </c>
      <c r="C750" s="1079" t="str">
        <f t="shared" si="28"/>
        <v>Parede Com Sistema Em Chapas De Gesso Para Drywall, Uso Interno, Montante 48mm, Com Duas Face Simples Standart e isolamento com Lâ de Vidro (ST/48/ST)</v>
      </c>
      <c r="D750" s="1079" t="s">
        <v>1681</v>
      </c>
      <c r="E750" s="1080" t="s">
        <v>17</v>
      </c>
      <c r="F750" s="1079"/>
      <c r="G750" s="1081" t="str">
        <f>IF(B750="insumo",_xlfn.XLOOKUP($D750,Insumos!$B$1:$B$670,Insumos!$D$1:$D$670),"")</f>
        <v/>
      </c>
      <c r="H750" s="1081" cm="1">
        <f t="array" ref="H750">_xlfn.IFS(B750="Serviço",SUMIFS(H751:$H$2465,C751:$C$2465,$C750),B750="Insumo",F750*G750,B750="Etapa","")</f>
        <v>165.99321883333337</v>
      </c>
      <c r="I750" s="1082" t="s">
        <v>872</v>
      </c>
    </row>
    <row r="751" spans="1:9" hidden="1" outlineLevel="2" x14ac:dyDescent="0.25">
      <c r="A751" s="1079">
        <f t="shared" si="29"/>
        <v>10</v>
      </c>
      <c r="B751" s="1079" t="s">
        <v>1362</v>
      </c>
      <c r="C751" s="1079" t="str">
        <f t="shared" si="28"/>
        <v>Parede Com Sistema Em Chapas De Gesso Para Drywall, Uso Interno, Montante 48mm, Com Duas Face Simples Standart e isolamento com Lâ de Vidro (ST/48/ST)</v>
      </c>
      <c r="D751" s="1079" t="s">
        <v>1682</v>
      </c>
      <c r="E751" s="1080" t="str">
        <f>_xlfn.XLOOKUP(D751,Insumos!$B$1:$B$670,Insumos!$C$1:$C$670)</f>
        <v>M2</v>
      </c>
      <c r="F751" s="1083">
        <v>1</v>
      </c>
      <c r="G751" s="1081">
        <f>IF(B751="insumo",_xlfn.XLOOKUP($D751,Insumos!$B$1:$B$670,Insumos!$D$1:$D$670),"")</f>
        <v>40</v>
      </c>
      <c r="H751" s="1081" cm="1">
        <f t="array" ref="H751">_xlfn.IFS(B751="Serviço",SUMIFS(H752:$H$2465,C752:$C$2465,$C751),B751="Insumo",F751*G751,B751="Etapa","")</f>
        <v>40</v>
      </c>
      <c r="I751" s="1082"/>
    </row>
    <row r="752" spans="1:9" hidden="1" outlineLevel="2" x14ac:dyDescent="0.25">
      <c r="A752" s="1079">
        <f t="shared" si="29"/>
        <v>5</v>
      </c>
      <c r="B752" s="1079" t="s">
        <v>1362</v>
      </c>
      <c r="C752" s="1079" t="str">
        <f t="shared" si="28"/>
        <v>Parede Com Sistema Em Chapas De Gesso Para Drywall, Uso Interno, Montante 48mm, Com Duas Face Simples Standart e isolamento com Lâ de Vidro (ST/48/ST)</v>
      </c>
      <c r="D752" s="1079" t="s">
        <v>1683</v>
      </c>
      <c r="E752" s="1080" t="str">
        <f>_xlfn.XLOOKUP(D752,Insumos!$B$1:$B$670,Insumos!$C$1:$C$670)</f>
        <v>M2</v>
      </c>
      <c r="F752" s="1083">
        <v>2.1059999999999999</v>
      </c>
      <c r="G752" s="1081">
        <f>IF(B752="insumo",_xlfn.XLOOKUP($D752,Insumos!$B$1:$B$670,Insumos!$D$1:$D$670),"")</f>
        <v>18.40625</v>
      </c>
      <c r="H752" s="1081" cm="1">
        <f t="array" ref="H752">_xlfn.IFS(B752="Serviço",SUMIFS(H753:$H$2465,C753:$C$2465,$C752),B752="Insumo",F752*G752,B752="Etapa","")</f>
        <v>38.763562499999999</v>
      </c>
      <c r="I752" s="1082"/>
    </row>
    <row r="753" spans="1:9" hidden="1" outlineLevel="2" x14ac:dyDescent="0.25">
      <c r="A753" s="1079">
        <f t="shared" si="29"/>
        <v>12</v>
      </c>
      <c r="B753" s="1079" t="s">
        <v>1362</v>
      </c>
      <c r="C753" s="1079" t="str">
        <f t="shared" si="28"/>
        <v>Parede Com Sistema Em Chapas De Gesso Para Drywall, Uso Interno, Montante 48mm, Com Duas Face Simples Standart e isolamento com Lâ de Vidro (ST/48/ST)</v>
      </c>
      <c r="D753" s="1079" t="s">
        <v>1684</v>
      </c>
      <c r="E753" s="1080" t="str">
        <f>_xlfn.XLOOKUP(D753,Insumos!$B$1:$B$670,Insumos!$C$1:$C$670)</f>
        <v>UN</v>
      </c>
      <c r="F753" s="1083">
        <v>5.92</v>
      </c>
      <c r="G753" s="1081">
        <f>IF(B753="insumo",_xlfn.XLOOKUP($D753,Insumos!$B$1:$B$670,Insumos!$D$1:$D$670),"")</f>
        <v>0.504</v>
      </c>
      <c r="H753" s="1081" cm="1">
        <f t="array" ref="H753">_xlfn.IFS(B753="Serviço",SUMIFS(H754:$H$2465,C754:$C$2465,$C753),B753="Insumo",F753*G753,B753="Etapa","")</f>
        <v>2.9836800000000001</v>
      </c>
      <c r="I753" s="1082"/>
    </row>
    <row r="754" spans="1:9" hidden="1" outlineLevel="2" x14ac:dyDescent="0.25">
      <c r="A754" s="1079">
        <f t="shared" si="29"/>
        <v>2</v>
      </c>
      <c r="B754" s="1079" t="s">
        <v>1362</v>
      </c>
      <c r="C754" s="1079" t="str">
        <f t="shared" si="28"/>
        <v>Parede Com Sistema Em Chapas De Gesso Para Drywall, Uso Interno, Montante 48mm, Com Duas Face Simples Standart e isolamento com Lâ de Vidro (ST/48/ST)</v>
      </c>
      <c r="D754" s="1079" t="s">
        <v>1685</v>
      </c>
      <c r="E754" s="1080" t="str">
        <f>_xlfn.XLOOKUP(D754,Insumos!$B$1:$B$670,Insumos!$C$1:$C$670)</f>
        <v>M</v>
      </c>
      <c r="F754" s="1083">
        <v>1.8233999999999999</v>
      </c>
      <c r="G754" s="1081">
        <f>IF(B754="insumo",_xlfn.XLOOKUP($D754,Insumos!$B$1:$B$670,Insumos!$D$1:$D$670),"")</f>
        <v>7.03</v>
      </c>
      <c r="H754" s="1081" cm="1">
        <f t="array" ref="H754">_xlfn.IFS(B754="Serviço",SUMIFS(H755:$H$2465,C755:$C$2465,$C754),B754="Insumo",F754*G754,B754="Etapa","")</f>
        <v>12.818502000000001</v>
      </c>
      <c r="I754" s="1082"/>
    </row>
    <row r="755" spans="1:9" hidden="1" outlineLevel="2" x14ac:dyDescent="0.25">
      <c r="A755" s="1079">
        <f t="shared" si="29"/>
        <v>2</v>
      </c>
      <c r="B755" s="1079" t="s">
        <v>1362</v>
      </c>
      <c r="C755" s="1079" t="str">
        <f t="shared" si="28"/>
        <v>Parede Com Sistema Em Chapas De Gesso Para Drywall, Uso Interno, Montante 48mm, Com Duas Face Simples Standart e isolamento com Lâ de Vidro (ST/48/ST)</v>
      </c>
      <c r="D755" s="1079" t="s">
        <v>1686</v>
      </c>
      <c r="E755" s="1080" t="str">
        <f>_xlfn.XLOOKUP(D755,Insumos!$B$1:$B$670,Insumos!$C$1:$C$670)</f>
        <v>M</v>
      </c>
      <c r="F755" s="1083">
        <v>5.8277999999999999</v>
      </c>
      <c r="G755" s="1081">
        <f>IF(B755="insumo",_xlfn.XLOOKUP($D755,Insumos!$B$1:$B$670,Insumos!$D$1:$D$670),"")</f>
        <v>7.98</v>
      </c>
      <c r="H755" s="1081" cm="1">
        <f t="array" ref="H755">_xlfn.IFS(B755="Serviço",SUMIFS(H756:$H$2465,C756:$C$2465,$C755),B755="Insumo",F755*G755,B755="Etapa","")</f>
        <v>46.505844000000003</v>
      </c>
      <c r="I755" s="1082"/>
    </row>
    <row r="756" spans="1:9" hidden="1" outlineLevel="2" x14ac:dyDescent="0.25">
      <c r="A756" s="1079">
        <f t="shared" si="29"/>
        <v>13</v>
      </c>
      <c r="B756" s="1079" t="s">
        <v>1362</v>
      </c>
      <c r="C756" s="1079" t="str">
        <f t="shared" si="28"/>
        <v>Parede Com Sistema Em Chapas De Gesso Para Drywall, Uso Interno, Montante 48mm, Com Duas Face Simples Standart e isolamento com Lâ de Vidro (ST/48/ST)</v>
      </c>
      <c r="D756" s="1079" t="s">
        <v>1680</v>
      </c>
      <c r="E756" s="1080" t="str">
        <f>_xlfn.XLOOKUP(D756,Insumos!$B$1:$B$670,Insumos!$C$1:$C$670)</f>
        <v>KG</v>
      </c>
      <c r="F756" s="1083">
        <v>1.0978000000000001</v>
      </c>
      <c r="G756" s="1081">
        <f>IF(B756="insumo",_xlfn.XLOOKUP($D756,Insumos!$B$1:$B$670,Insumos!$D$1:$D$670),"")</f>
        <v>3.43</v>
      </c>
      <c r="H756" s="1081" cm="1">
        <f t="array" ref="H756">_xlfn.IFS(B756="Serviço",SUMIFS(H757:$H$2465,C757:$C$2465,$C756),B756="Insumo",F756*G756,B756="Etapa","")</f>
        <v>3.7654540000000005</v>
      </c>
      <c r="I756" s="1082"/>
    </row>
    <row r="757" spans="1:9" hidden="1" outlineLevel="2" x14ac:dyDescent="0.25">
      <c r="A757" s="1079">
        <f t="shared" si="29"/>
        <v>12</v>
      </c>
      <c r="B757" s="1079" t="s">
        <v>1362</v>
      </c>
      <c r="C757" s="1079" t="str">
        <f t="shared" si="28"/>
        <v>Parede Com Sistema Em Chapas De Gesso Para Drywall, Uso Interno, Montante 48mm, Com Duas Face Simples Standart e isolamento com Lâ de Vidro (ST/48/ST)</v>
      </c>
      <c r="D757" s="1079" t="s">
        <v>1687</v>
      </c>
      <c r="E757" s="1080" t="str">
        <f>_xlfn.XLOOKUP(D757,Insumos!$B$1:$B$670,Insumos!$C$1:$C$670)</f>
        <v>M</v>
      </c>
      <c r="F757" s="1083">
        <v>2.5026999999999999</v>
      </c>
      <c r="G757" s="1081">
        <f>IF(B757="insumo",_xlfn.XLOOKUP($D757,Insumos!$B$1:$B$670,Insumos!$D$1:$D$670),"")</f>
        <v>0.31</v>
      </c>
      <c r="H757" s="1081" cm="1">
        <f t="array" ref="H757">_xlfn.IFS(B757="Serviço",SUMIFS(H758:$H$2465,C758:$C$2465,$C757),B757="Insumo",F757*G757,B757="Etapa","")</f>
        <v>0.775837</v>
      </c>
      <c r="I757" s="1082"/>
    </row>
    <row r="758" spans="1:9" hidden="1" outlineLevel="2" x14ac:dyDescent="0.25">
      <c r="A758" s="1079">
        <f t="shared" si="29"/>
        <v>12</v>
      </c>
      <c r="B758" s="1079" t="s">
        <v>1362</v>
      </c>
      <c r="C758" s="1079" t="str">
        <f t="shared" si="28"/>
        <v>Parede Com Sistema Em Chapas De Gesso Para Drywall, Uso Interno, Montante 48mm, Com Duas Face Simples Standart e isolamento com Lâ de Vidro (ST/48/ST)</v>
      </c>
      <c r="D758" s="1079" t="s">
        <v>1688</v>
      </c>
      <c r="E758" s="1080" t="str">
        <f>_xlfn.XLOOKUP(D758,Insumos!$B$1:$B$670,Insumos!$C$1:$C$670)</f>
        <v>M</v>
      </c>
      <c r="F758" s="1083">
        <v>1.5851</v>
      </c>
      <c r="G758" s="1081">
        <f>IF(B758="insumo",_xlfn.XLOOKUP($D758,Insumos!$B$1:$B$670,Insumos!$D$1:$D$670),"")</f>
        <v>2.74</v>
      </c>
      <c r="H758" s="1081" cm="1">
        <f t="array" ref="H758">_xlfn.IFS(B758="Serviço",SUMIFS(H759:$H$2465,C759:$C$2465,$C758),B758="Insumo",F758*G758,B758="Etapa","")</f>
        <v>4.3431740000000003</v>
      </c>
      <c r="I758" s="1082"/>
    </row>
    <row r="759" spans="1:9" hidden="1" outlineLevel="2" x14ac:dyDescent="0.25">
      <c r="A759" s="1079">
        <f t="shared" si="29"/>
        <v>10</v>
      </c>
      <c r="B759" s="1079" t="s">
        <v>1362</v>
      </c>
      <c r="C759" s="1079" t="str">
        <f t="shared" si="28"/>
        <v>Parede Com Sistema Em Chapas De Gesso Para Drywall, Uso Interno, Montante 48mm, Com Duas Face Simples Standart e isolamento com Lâ de Vidro (ST/48/ST)</v>
      </c>
      <c r="D759" s="1079" t="s">
        <v>1689</v>
      </c>
      <c r="E759" s="1080" t="str">
        <f>_xlfn.XLOOKUP(D759,Insumos!$B$1:$B$670,Insumos!$C$1:$C$670)</f>
        <v>UN</v>
      </c>
      <c r="F759" s="1083">
        <v>20.186800000000002</v>
      </c>
      <c r="G759" s="1081">
        <f>IF(B759="insumo",_xlfn.XLOOKUP($D759,Insumos!$B$1:$B$670,Insumos!$D$1:$D$670),"")</f>
        <v>0.09</v>
      </c>
      <c r="H759" s="1081" cm="1">
        <f t="array" ref="H759">_xlfn.IFS(B759="Serviço",SUMIFS(H760:$H$2465,C760:$C$2465,$C759),B759="Insumo",F759*G759,B759="Etapa","")</f>
        <v>1.8168120000000001</v>
      </c>
      <c r="I759" s="1082"/>
    </row>
    <row r="760" spans="1:9" hidden="1" outlineLevel="2" x14ac:dyDescent="0.25">
      <c r="A760" s="1079">
        <f t="shared" si="29"/>
        <v>10</v>
      </c>
      <c r="B760" s="1079" t="s">
        <v>1362</v>
      </c>
      <c r="C760" s="1079" t="str">
        <f t="shared" si="28"/>
        <v>Parede Com Sistema Em Chapas De Gesso Para Drywall, Uso Interno, Montante 48mm, Com Duas Face Simples Standart e isolamento com Lâ de Vidro (ST/48/ST)</v>
      </c>
      <c r="D760" s="1079" t="s">
        <v>1690</v>
      </c>
      <c r="E760" s="1080" t="str">
        <f>_xlfn.XLOOKUP(D760,Insumos!$B$1:$B$670,Insumos!$C$1:$C$670)</f>
        <v>UN</v>
      </c>
      <c r="F760" s="1083">
        <v>0.54410000000000003</v>
      </c>
      <c r="G760" s="1081">
        <f>IF(B760="insumo",_xlfn.XLOOKUP($D760,Insumos!$B$1:$B$670,Insumos!$D$1:$D$670),"")</f>
        <v>0.2</v>
      </c>
      <c r="H760" s="1081" cm="1">
        <f t="array" ref="H760">_xlfn.IFS(B760="Serviço",SUMIFS(H761:$H$2465,C761:$C$2465,$C760),B760="Insumo",F760*G760,B760="Etapa","")</f>
        <v>0.10882000000000001</v>
      </c>
      <c r="I760" s="1082"/>
    </row>
    <row r="761" spans="1:9" hidden="1" outlineLevel="2" x14ac:dyDescent="0.25">
      <c r="A761" s="1079">
        <f t="shared" si="29"/>
        <v>8</v>
      </c>
      <c r="B761" s="1079" t="s">
        <v>1362</v>
      </c>
      <c r="C761" s="1079" t="str">
        <f t="shared" si="28"/>
        <v>Parede Com Sistema Em Chapas De Gesso Para Drywall, Uso Interno, Montante 48mm, Com Duas Face Simples Standart e isolamento com Lâ de Vidro (ST/48/ST)</v>
      </c>
      <c r="D761" s="1079" t="s">
        <v>1691</v>
      </c>
      <c r="E761" s="1080" t="str">
        <f>_xlfn.XLOOKUP(D761,Insumos!$B$1:$B$670,Insumos!$C$1:$C$670)</f>
        <v>M2</v>
      </c>
      <c r="F761" s="1083">
        <v>1.1000000000000001</v>
      </c>
      <c r="G761" s="1081">
        <f>IF(B761="insumo",_xlfn.XLOOKUP($D761,Insumos!$B$1:$B$670,Insumos!$D$1:$D$670),"")</f>
        <v>12.828666666666667</v>
      </c>
      <c r="H761" s="1081" cm="1">
        <f t="array" ref="H761">_xlfn.IFS(B761="Serviço",SUMIFS(H762:$H$2465,C762:$C$2465,$C761),B761="Insumo",F761*G761,B761="Etapa","")</f>
        <v>14.111533333333334</v>
      </c>
      <c r="I761" s="1082"/>
    </row>
    <row r="762" spans="1:9" hidden="1" outlineLevel="1" collapsed="1" x14ac:dyDescent="0.25">
      <c r="A762" s="1079">
        <f t="shared" si="29"/>
        <v>1</v>
      </c>
      <c r="B762" s="1079" t="s">
        <v>471</v>
      </c>
      <c r="C762" s="1079" t="str">
        <f t="shared" si="28"/>
        <v>Fechamento de Shaft em Chapas De Gesso Para Drywall, Uso Interno, Montante 48mm, Com Duas Face Resistente a Umidade(RU/48/RU)</v>
      </c>
      <c r="D762" s="1079" t="s">
        <v>1692</v>
      </c>
      <c r="E762" s="1080" t="s">
        <v>17</v>
      </c>
      <c r="F762" s="1079"/>
      <c r="G762" s="1081" t="str">
        <f>IF(B762="insumo",_xlfn.XLOOKUP($D762,Insumos!$B$1:$B$670,Insumos!$D$1:$D$670),"")</f>
        <v/>
      </c>
      <c r="H762" s="1081" cm="1">
        <f t="array" ref="H762">_xlfn.IFS(B762="Serviço",SUMIFS(H763:$H$2465,C763:$C$2465,$C762),B762="Insumo",F762*G762,B762="Etapa","")</f>
        <v>174.60162300000002</v>
      </c>
      <c r="I762" s="1082" t="s">
        <v>872</v>
      </c>
    </row>
    <row r="763" spans="1:9" hidden="1" outlineLevel="2" x14ac:dyDescent="0.25">
      <c r="A763" s="1079">
        <f t="shared" si="29"/>
        <v>10</v>
      </c>
      <c r="B763" s="1079" t="s">
        <v>1362</v>
      </c>
      <c r="C763" s="1079" t="str">
        <f t="shared" si="28"/>
        <v>Fechamento de Shaft em Chapas De Gesso Para Drywall, Uso Interno, Montante 48mm, Com Duas Face Resistente a Umidade(RU/48/RU)</v>
      </c>
      <c r="D763" s="1079" t="s">
        <v>1682</v>
      </c>
      <c r="E763" s="1080" t="str">
        <f>_xlfn.XLOOKUP(D763,Insumos!$B$1:$B$670,Insumos!$C$1:$C$670)</f>
        <v>M2</v>
      </c>
      <c r="F763" s="1083">
        <v>1</v>
      </c>
      <c r="G763" s="1081">
        <f>IF(B763="insumo",_xlfn.XLOOKUP($D763,Insumos!$B$1:$B$670,Insumos!$D$1:$D$670),"")</f>
        <v>40</v>
      </c>
      <c r="H763" s="1081" cm="1">
        <f t="array" ref="H763">_xlfn.IFS(B763="Serviço",SUMIFS(H764:$H$2465,C764:$C$2465,$C763),B763="Insumo",F763*G763,B763="Etapa","")</f>
        <v>40</v>
      </c>
      <c r="I763" s="1082"/>
    </row>
    <row r="764" spans="1:9" hidden="1" outlineLevel="2" x14ac:dyDescent="0.25">
      <c r="A764" s="1079">
        <f t="shared" si="29"/>
        <v>7</v>
      </c>
      <c r="B764" s="1079" t="s">
        <v>1362</v>
      </c>
      <c r="C764" s="1079" t="str">
        <f t="shared" si="28"/>
        <v>Fechamento de Shaft em Chapas De Gesso Para Drywall, Uso Interno, Montante 48mm, Com Duas Face Resistente a Umidade(RU/48/RU)</v>
      </c>
      <c r="D764" s="1079" t="s">
        <v>1693</v>
      </c>
      <c r="E764" s="1080" t="str">
        <f>_xlfn.XLOOKUP(D764,Insumos!$B$1:$B$670,Insumos!$C$1:$C$670)</f>
        <v>M2</v>
      </c>
      <c r="F764" s="1083">
        <v>2.1059999999999999</v>
      </c>
      <c r="G764" s="1081">
        <f>IF(B764="insumo",_xlfn.XLOOKUP($D764,Insumos!$B$1:$B$670,Insumos!$D$1:$D$670),"")</f>
        <v>29.194444444444446</v>
      </c>
      <c r="H764" s="1081" cm="1">
        <f t="array" ref="H764">_xlfn.IFS(B764="Serviço",SUMIFS(H765:$H$2465,C765:$C$2465,$C764),B764="Insumo",F764*G764,B764="Etapa","")</f>
        <v>61.483499999999999</v>
      </c>
      <c r="I764" s="1082"/>
    </row>
    <row r="765" spans="1:9" hidden="1" outlineLevel="2" x14ac:dyDescent="0.25">
      <c r="A765" s="1079">
        <f t="shared" si="29"/>
        <v>12</v>
      </c>
      <c r="B765" s="1079" t="s">
        <v>1362</v>
      </c>
      <c r="C765" s="1079" t="str">
        <f t="shared" si="28"/>
        <v>Fechamento de Shaft em Chapas De Gesso Para Drywall, Uso Interno, Montante 48mm, Com Duas Face Resistente a Umidade(RU/48/RU)</v>
      </c>
      <c r="D765" s="1079" t="s">
        <v>1684</v>
      </c>
      <c r="E765" s="1080" t="str">
        <f>_xlfn.XLOOKUP(D765,Insumos!$B$1:$B$670,Insumos!$C$1:$C$670)</f>
        <v>UN</v>
      </c>
      <c r="F765" s="1083">
        <v>5.92</v>
      </c>
      <c r="G765" s="1081">
        <f>IF(B765="insumo",_xlfn.XLOOKUP($D765,Insumos!$B$1:$B$670,Insumos!$D$1:$D$670),"")</f>
        <v>0.504</v>
      </c>
      <c r="H765" s="1081" cm="1">
        <f t="array" ref="H765">_xlfn.IFS(B765="Serviço",SUMIFS(H766:$H$2465,C766:$C$2465,$C765),B765="Insumo",F765*G765,B765="Etapa","")</f>
        <v>2.9836800000000001</v>
      </c>
      <c r="I765" s="1082"/>
    </row>
    <row r="766" spans="1:9" hidden="1" outlineLevel="2" x14ac:dyDescent="0.25">
      <c r="A766" s="1079">
        <f t="shared" si="29"/>
        <v>2</v>
      </c>
      <c r="B766" s="1079" t="s">
        <v>1362</v>
      </c>
      <c r="C766" s="1079" t="str">
        <f t="shared" ref="C766:C780" si="30">IF(B766="serviço",D766,C765)</f>
        <v>Fechamento de Shaft em Chapas De Gesso Para Drywall, Uso Interno, Montante 48mm, Com Duas Face Resistente a Umidade(RU/48/RU)</v>
      </c>
      <c r="D766" s="1079" t="s">
        <v>1685</v>
      </c>
      <c r="E766" s="1080" t="str">
        <f>_xlfn.XLOOKUP(D766,Insumos!$B$1:$B$670,Insumos!$C$1:$C$670)</f>
        <v>M</v>
      </c>
      <c r="F766" s="1083">
        <v>1.8233999999999999</v>
      </c>
      <c r="G766" s="1081">
        <f>IF(B766="insumo",_xlfn.XLOOKUP($D766,Insumos!$B$1:$B$670,Insumos!$D$1:$D$670),"")</f>
        <v>7.03</v>
      </c>
      <c r="H766" s="1081" cm="1">
        <f t="array" ref="H766">_xlfn.IFS(B766="Serviço",SUMIFS(H767:$H$2465,C767:$C$2465,$C766),B766="Insumo",F766*G766,B766="Etapa","")</f>
        <v>12.818502000000001</v>
      </c>
      <c r="I766" s="1082"/>
    </row>
    <row r="767" spans="1:9" hidden="1" outlineLevel="2" x14ac:dyDescent="0.25">
      <c r="A767" s="1079">
        <f t="shared" si="29"/>
        <v>2</v>
      </c>
      <c r="B767" s="1079" t="s">
        <v>1362</v>
      </c>
      <c r="C767" s="1079" t="str">
        <f t="shared" si="30"/>
        <v>Fechamento de Shaft em Chapas De Gesso Para Drywall, Uso Interno, Montante 48mm, Com Duas Face Resistente a Umidade(RU/48/RU)</v>
      </c>
      <c r="D767" s="1079" t="s">
        <v>1686</v>
      </c>
      <c r="E767" s="1080" t="str">
        <f>_xlfn.XLOOKUP(D767,Insumos!$B$1:$B$670,Insumos!$C$1:$C$670)</f>
        <v>M</v>
      </c>
      <c r="F767" s="1083">
        <v>5.8277999999999999</v>
      </c>
      <c r="G767" s="1081">
        <f>IF(B767="insumo",_xlfn.XLOOKUP($D767,Insumos!$B$1:$B$670,Insumos!$D$1:$D$670),"")</f>
        <v>7.98</v>
      </c>
      <c r="H767" s="1081" cm="1">
        <f t="array" ref="H767">_xlfn.IFS(B767="Serviço",SUMIFS(H768:$H$2465,C768:$C$2465,$C767),B767="Insumo",F767*G767,B767="Etapa","")</f>
        <v>46.505844000000003</v>
      </c>
      <c r="I767" s="1082"/>
    </row>
    <row r="768" spans="1:9" hidden="1" outlineLevel="2" x14ac:dyDescent="0.25">
      <c r="A768" s="1079">
        <f t="shared" si="29"/>
        <v>13</v>
      </c>
      <c r="B768" s="1079" t="s">
        <v>1362</v>
      </c>
      <c r="C768" s="1079" t="str">
        <f t="shared" si="30"/>
        <v>Fechamento de Shaft em Chapas De Gesso Para Drywall, Uso Interno, Montante 48mm, Com Duas Face Resistente a Umidade(RU/48/RU)</v>
      </c>
      <c r="D768" s="1079" t="s">
        <v>1680</v>
      </c>
      <c r="E768" s="1080" t="str">
        <f>_xlfn.XLOOKUP(D768,Insumos!$B$1:$B$670,Insumos!$C$1:$C$670)</f>
        <v>KG</v>
      </c>
      <c r="F768" s="1083">
        <v>1.0978000000000001</v>
      </c>
      <c r="G768" s="1081">
        <f>IF(B768="insumo",_xlfn.XLOOKUP($D768,Insumos!$B$1:$B$670,Insumos!$D$1:$D$670),"")</f>
        <v>3.43</v>
      </c>
      <c r="H768" s="1081" cm="1">
        <f t="array" ref="H768">_xlfn.IFS(B768="Serviço",SUMIFS(H769:$H$2465,C769:$C$2465,$C768),B768="Insumo",F768*G768,B768="Etapa","")</f>
        <v>3.7654540000000005</v>
      </c>
      <c r="I768" s="1082"/>
    </row>
    <row r="769" spans="1:9" hidden="1" outlineLevel="2" x14ac:dyDescent="0.25">
      <c r="A769" s="1079">
        <f t="shared" si="29"/>
        <v>12</v>
      </c>
      <c r="B769" s="1079" t="s">
        <v>1362</v>
      </c>
      <c r="C769" s="1079" t="str">
        <f t="shared" si="30"/>
        <v>Fechamento de Shaft em Chapas De Gesso Para Drywall, Uso Interno, Montante 48mm, Com Duas Face Resistente a Umidade(RU/48/RU)</v>
      </c>
      <c r="D769" s="1079" t="s">
        <v>1687</v>
      </c>
      <c r="E769" s="1080" t="str">
        <f>_xlfn.XLOOKUP(D769,Insumos!$B$1:$B$670,Insumos!$C$1:$C$670)</f>
        <v>M</v>
      </c>
      <c r="F769" s="1083">
        <v>2.5026999999999999</v>
      </c>
      <c r="G769" s="1081">
        <f>IF(B769="insumo",_xlfn.XLOOKUP($D769,Insumos!$B$1:$B$670,Insumos!$D$1:$D$670),"")</f>
        <v>0.31</v>
      </c>
      <c r="H769" s="1081" cm="1">
        <f t="array" ref="H769">_xlfn.IFS(B769="Serviço",SUMIFS(H770:$H$2465,C770:$C$2465,$C769),B769="Insumo",F769*G769,B769="Etapa","")</f>
        <v>0.775837</v>
      </c>
      <c r="I769" s="1082"/>
    </row>
    <row r="770" spans="1:9" hidden="1" outlineLevel="2" x14ac:dyDescent="0.25">
      <c r="A770" s="1079">
        <f t="shared" ref="A770:A833" si="31">COUNTIFS($D$2:$D$2465,D770,$B$2:$B$2465,B770)</f>
        <v>12</v>
      </c>
      <c r="B770" s="1079" t="s">
        <v>1362</v>
      </c>
      <c r="C770" s="1079" t="str">
        <f t="shared" si="30"/>
        <v>Fechamento de Shaft em Chapas De Gesso Para Drywall, Uso Interno, Montante 48mm, Com Duas Face Resistente a Umidade(RU/48/RU)</v>
      </c>
      <c r="D770" s="1079" t="s">
        <v>1688</v>
      </c>
      <c r="E770" s="1080" t="str">
        <f>_xlfn.XLOOKUP(D770,Insumos!$B$1:$B$670,Insumos!$C$1:$C$670)</f>
        <v>M</v>
      </c>
      <c r="F770" s="1083">
        <v>1.5851</v>
      </c>
      <c r="G770" s="1081">
        <f>IF(B770="insumo",_xlfn.XLOOKUP($D770,Insumos!$B$1:$B$670,Insumos!$D$1:$D$670),"")</f>
        <v>2.74</v>
      </c>
      <c r="H770" s="1081" cm="1">
        <f t="array" ref="H770">_xlfn.IFS(B770="Serviço",SUMIFS(H771:$H$2465,C771:$C$2465,$C770),B770="Insumo",F770*G770,B770="Etapa","")</f>
        <v>4.3431740000000003</v>
      </c>
      <c r="I770" s="1082"/>
    </row>
    <row r="771" spans="1:9" hidden="1" outlineLevel="2" x14ac:dyDescent="0.25">
      <c r="A771" s="1079">
        <f t="shared" si="31"/>
        <v>10</v>
      </c>
      <c r="B771" s="1079" t="s">
        <v>1362</v>
      </c>
      <c r="C771" s="1079" t="str">
        <f t="shared" si="30"/>
        <v>Fechamento de Shaft em Chapas De Gesso Para Drywall, Uso Interno, Montante 48mm, Com Duas Face Resistente a Umidade(RU/48/RU)</v>
      </c>
      <c r="D771" s="1079" t="s">
        <v>1689</v>
      </c>
      <c r="E771" s="1080" t="str">
        <f>_xlfn.XLOOKUP(D771,Insumos!$B$1:$B$670,Insumos!$C$1:$C$670)</f>
        <v>UN</v>
      </c>
      <c r="F771" s="1083">
        <v>20.186800000000002</v>
      </c>
      <c r="G771" s="1081">
        <f>IF(B771="insumo",_xlfn.XLOOKUP($D771,Insumos!$B$1:$B$670,Insumos!$D$1:$D$670),"")</f>
        <v>0.09</v>
      </c>
      <c r="H771" s="1081" cm="1">
        <f t="array" ref="H771">_xlfn.IFS(B771="Serviço",SUMIFS(H772:$H$2465,C772:$C$2465,$C771),B771="Insumo",F771*G771,B771="Etapa","")</f>
        <v>1.8168120000000001</v>
      </c>
      <c r="I771" s="1082"/>
    </row>
    <row r="772" spans="1:9" hidden="1" outlineLevel="2" x14ac:dyDescent="0.25">
      <c r="A772" s="1079">
        <f t="shared" si="31"/>
        <v>10</v>
      </c>
      <c r="B772" s="1079" t="s">
        <v>1362</v>
      </c>
      <c r="C772" s="1079" t="str">
        <f t="shared" si="30"/>
        <v>Fechamento de Shaft em Chapas De Gesso Para Drywall, Uso Interno, Montante 48mm, Com Duas Face Resistente a Umidade(RU/48/RU)</v>
      </c>
      <c r="D772" s="1079" t="s">
        <v>1690</v>
      </c>
      <c r="E772" s="1080" t="str">
        <f>_xlfn.XLOOKUP(D772,Insumos!$B$1:$B$670,Insumos!$C$1:$C$670)</f>
        <v>UN</v>
      </c>
      <c r="F772" s="1083">
        <v>0.54410000000000003</v>
      </c>
      <c r="G772" s="1081">
        <f>IF(B772="insumo",_xlfn.XLOOKUP($D772,Insumos!$B$1:$B$670,Insumos!$D$1:$D$670),"")</f>
        <v>0.2</v>
      </c>
      <c r="H772" s="1081" cm="1">
        <f t="array" ref="H772">_xlfn.IFS(B772="Serviço",SUMIFS(H773:$H$2465,C773:$C$2465,$C772),B772="Insumo",F772*G772,B772="Etapa","")</f>
        <v>0.10882000000000001</v>
      </c>
      <c r="I772" s="1082"/>
    </row>
    <row r="773" spans="1:9" hidden="1" outlineLevel="1" x14ac:dyDescent="0.25">
      <c r="A773" s="1079">
        <f t="shared" si="31"/>
        <v>1</v>
      </c>
      <c r="B773" s="1079" t="s">
        <v>471</v>
      </c>
      <c r="C773" s="1079" t="str">
        <f t="shared" si="30"/>
        <v>Parede Com Sistema Em Chapas De Gesso Para Drywall, Uso Interno, Montante 90mm, Com Duas Face Simples Standart e Duas Resiste a Umidade (2ST/90/2RU)</v>
      </c>
      <c r="D773" s="1079" t="s">
        <v>1694</v>
      </c>
      <c r="E773" s="1080" t="s">
        <v>17</v>
      </c>
      <c r="F773" s="1079"/>
      <c r="G773" s="1081" t="str">
        <f>IF(B773="insumo",_xlfn.XLOOKUP($D773,Insumos!$B$1:$B$670,Insumos!$D$1:$D$670),"")</f>
        <v/>
      </c>
      <c r="H773" s="1081" cm="1">
        <f t="array" ref="H773">_xlfn.IFS(B773="Serviço",SUMIFS(H774:$H$2465,C774:$C$2465,$C773),B773="Insumo",F773*G773,B773="Etapa","")</f>
        <v>331.02427849999992</v>
      </c>
      <c r="I773" s="1082" t="s">
        <v>872</v>
      </c>
    </row>
    <row r="774" spans="1:9" hidden="1" outlineLevel="2" x14ac:dyDescent="0.25">
      <c r="A774" s="1079">
        <f t="shared" si="31"/>
        <v>10</v>
      </c>
      <c r="B774" s="1079" t="s">
        <v>1362</v>
      </c>
      <c r="C774" s="1079" t="str">
        <f t="shared" si="30"/>
        <v>Parede Com Sistema Em Chapas De Gesso Para Drywall, Uso Interno, Montante 90mm, Com Duas Face Simples Standart e Duas Resiste a Umidade (2ST/90/2RU)</v>
      </c>
      <c r="D774" s="1079" t="s">
        <v>1682</v>
      </c>
      <c r="E774" s="1080" t="str">
        <f>_xlfn.XLOOKUP(D774,Insumos!$B$1:$B$670,Insumos!$C$1:$C$670)</f>
        <v>M2</v>
      </c>
      <c r="F774" s="1083">
        <v>1</v>
      </c>
      <c r="G774" s="1081">
        <f>IF(B774="insumo",_xlfn.XLOOKUP($D774,Insumos!$B$1:$B$670,Insumos!$D$1:$D$670),"")</f>
        <v>40</v>
      </c>
      <c r="H774" s="1081" cm="1">
        <f t="array" ref="H774">_xlfn.IFS(B774="Serviço",SUMIFS(H775:$H$2465,C775:$C$2465,$C774),B774="Insumo",F774*G774,B774="Etapa","")</f>
        <v>40</v>
      </c>
      <c r="I774" s="1082"/>
    </row>
    <row r="775" spans="1:9" hidden="1" outlineLevel="2" x14ac:dyDescent="0.25">
      <c r="A775" s="1079">
        <f t="shared" si="31"/>
        <v>5</v>
      </c>
      <c r="B775" s="1079" t="s">
        <v>1362</v>
      </c>
      <c r="C775" s="1079" t="str">
        <f t="shared" si="30"/>
        <v>Parede Com Sistema Em Chapas De Gesso Para Drywall, Uso Interno, Montante 90mm, Com Duas Face Simples Standart e Duas Resiste a Umidade (2ST/90/2RU)</v>
      </c>
      <c r="D775" s="1079" t="s">
        <v>1683</v>
      </c>
      <c r="E775" s="1080" t="str">
        <f>_xlfn.XLOOKUP(D775,Insumos!$B$1:$B$670,Insumos!$C$1:$C$670)</f>
        <v>M2</v>
      </c>
      <c r="F775" s="1083">
        <v>2.1059999999999999</v>
      </c>
      <c r="G775" s="1081">
        <f>IF(B775="insumo",_xlfn.XLOOKUP($D775,Insumos!$B$1:$B$670,Insumos!$D$1:$D$670),"")</f>
        <v>18.40625</v>
      </c>
      <c r="H775" s="1081" cm="1">
        <f t="array" ref="H775">_xlfn.IFS(B775="Serviço",SUMIFS(H777:$H$2465,C777:$C$2465,$C775),B775="Insumo",F775*G775,B775="Etapa","")</f>
        <v>38.763562499999999</v>
      </c>
      <c r="I775" s="1082"/>
    </row>
    <row r="776" spans="1:9" hidden="1" outlineLevel="2" x14ac:dyDescent="0.25">
      <c r="A776" s="1079">
        <f t="shared" si="31"/>
        <v>7</v>
      </c>
      <c r="B776" s="1079" t="s">
        <v>1362</v>
      </c>
      <c r="C776" s="1079" t="str">
        <f t="shared" si="30"/>
        <v>Parede Com Sistema Em Chapas De Gesso Para Drywall, Uso Interno, Montante 90mm, Com Duas Face Simples Standart e Duas Resiste a Umidade (2ST/90/2RU)</v>
      </c>
      <c r="D776" s="1079" t="s">
        <v>1693</v>
      </c>
      <c r="E776" s="1080" t="str">
        <f>_xlfn.XLOOKUP(D776,Insumos!$B$1:$B$670,Insumos!$C$1:$C$670)</f>
        <v>M2</v>
      </c>
      <c r="F776" s="1083">
        <v>1.0529999999999999</v>
      </c>
      <c r="G776" s="1081">
        <f>IF(B776="insumo",_xlfn.XLOOKUP($D776,Insumos!$B$1:$B$670,Insumos!$D$1:$D$670),"")</f>
        <v>29.194444444444446</v>
      </c>
      <c r="H776" s="1081" cm="1">
        <f t="array" ref="H776">_xlfn.IFS(B776="Serviço",SUMIFS(H777:$H$2465,C777:$C$2465,$C776),B776="Insumo",F776*G776,B776="Etapa","")</f>
        <v>30.74175</v>
      </c>
      <c r="I776" s="1082"/>
    </row>
    <row r="777" spans="1:9" hidden="1" outlineLevel="2" x14ac:dyDescent="0.25">
      <c r="A777" s="1079">
        <f t="shared" si="31"/>
        <v>2</v>
      </c>
      <c r="B777" s="1079" t="s">
        <v>1362</v>
      </c>
      <c r="C777" s="1079" t="str">
        <f t="shared" si="30"/>
        <v>Parede Com Sistema Em Chapas De Gesso Para Drywall, Uso Interno, Montante 90mm, Com Duas Face Simples Standart e Duas Resiste a Umidade (2ST/90/2RU)</v>
      </c>
      <c r="D777" s="1089" t="s">
        <v>1695</v>
      </c>
      <c r="E777" s="1090" t="s">
        <v>17</v>
      </c>
      <c r="F777" s="1091">
        <v>1.0529999999999999</v>
      </c>
      <c r="G777" s="1092">
        <v>69.400000000000006</v>
      </c>
      <c r="H777" s="1092" cm="1">
        <f t="array" ref="H777">_xlfn.IFS(B777="Serviço",SUMIFS(H778:$H$2465,C778:$C$2465,$C777),B777="Insumo",F777*G777,B777="Etapa","")</f>
        <v>73.078199999999995</v>
      </c>
      <c r="I777" s="1093" t="s">
        <v>1696</v>
      </c>
    </row>
    <row r="778" spans="1:9" hidden="1" outlineLevel="2" x14ac:dyDescent="0.25">
      <c r="A778" s="1079">
        <f t="shared" si="31"/>
        <v>12</v>
      </c>
      <c r="B778" s="1079" t="s">
        <v>1362</v>
      </c>
      <c r="C778" s="1079" t="str">
        <f t="shared" si="30"/>
        <v>Parede Com Sistema Em Chapas De Gesso Para Drywall, Uso Interno, Montante 90mm, Com Duas Face Simples Standart e Duas Resiste a Umidade (2ST/90/2RU)</v>
      </c>
      <c r="D778" s="1079" t="s">
        <v>1684</v>
      </c>
      <c r="E778" s="1080" t="str">
        <f>_xlfn.XLOOKUP(D778,Insumos!$B$1:$B$670,Insumos!$C$1:$C$670)</f>
        <v>UN</v>
      </c>
      <c r="F778" s="1083">
        <v>5.92</v>
      </c>
      <c r="G778" s="1081">
        <f>IF(B778="insumo",_xlfn.XLOOKUP($D778,Insumos!$B$1:$B$670,Insumos!$D$1:$D$670),"")</f>
        <v>0.504</v>
      </c>
      <c r="H778" s="1081" cm="1">
        <f t="array" ref="H778">_xlfn.IFS(B778="Serviço",SUMIFS(H779:$H$2465,C779:$C$2465,$C778),B778="Insumo",F778*G778,B778="Etapa","")</f>
        <v>2.9836800000000001</v>
      </c>
      <c r="I778" s="1082"/>
    </row>
    <row r="779" spans="1:9" hidden="1" outlineLevel="2" x14ac:dyDescent="0.25">
      <c r="A779" s="1079">
        <f t="shared" si="31"/>
        <v>3</v>
      </c>
      <c r="B779" s="1079" t="s">
        <v>1362</v>
      </c>
      <c r="C779" s="1079" t="str">
        <f t="shared" si="30"/>
        <v>Parede Com Sistema Em Chapas De Gesso Para Drywall, Uso Interno, Montante 90mm, Com Duas Face Simples Standart e Duas Resiste a Umidade (2ST/90/2RU)</v>
      </c>
      <c r="D779" s="1079" t="s">
        <v>1697</v>
      </c>
      <c r="E779" s="1080" t="str">
        <f>_xlfn.XLOOKUP(D779,Insumos!$B$1:$B$670,Insumos!$C$1:$C$670)</f>
        <v>M</v>
      </c>
      <c r="F779" s="1083">
        <v>1.5247999999999999</v>
      </c>
      <c r="G779" s="1081">
        <f>IF(B779="insumo",_xlfn.XLOOKUP($D779,Insumos!$B$1:$B$670,Insumos!$D$1:$D$670),"")</f>
        <v>16.8</v>
      </c>
      <c r="H779" s="1081" cm="1">
        <f t="array" ref="H779">_xlfn.IFS(B779="Serviço",SUMIFS(H780:$H$2465,C780:$C$2465,$C779),B779="Insumo",F779*G779,B779="Etapa","")</f>
        <v>25.61664</v>
      </c>
      <c r="I779" s="1082"/>
    </row>
    <row r="780" spans="1:9" hidden="1" outlineLevel="2" x14ac:dyDescent="0.25">
      <c r="A780" s="1079">
        <f t="shared" si="31"/>
        <v>3</v>
      </c>
      <c r="B780" s="1079" t="s">
        <v>1362</v>
      </c>
      <c r="C780" s="1079" t="str">
        <f t="shared" si="30"/>
        <v>Parede Com Sistema Em Chapas De Gesso Para Drywall, Uso Interno, Montante 90mm, Com Duas Face Simples Standart e Duas Resiste a Umidade (2ST/90/2RU)</v>
      </c>
      <c r="D780" s="1079" t="s">
        <v>1698</v>
      </c>
      <c r="E780" s="1080" t="str">
        <f>_xlfn.XLOOKUP(D780,Insumos!$B$1:$B$670,Insumos!$C$1:$C$670)</f>
        <v>M</v>
      </c>
      <c r="F780" s="1083">
        <v>4.0011000000000001</v>
      </c>
      <c r="G780" s="1081">
        <f>IF(B780="insumo",_xlfn.XLOOKUP($D780,Insumos!$B$1:$B$670,Insumos!$D$1:$D$670),"")</f>
        <v>18.09</v>
      </c>
      <c r="H780" s="1081" cm="1">
        <f t="array" ref="H780">_xlfn.IFS(B780="Serviço",SUMIFS(H784:$H$2465,C784:$C$2465,$C780),B780="Insumo",F780*G780,B780="Etapa","")</f>
        <v>72.379898999999995</v>
      </c>
      <c r="I780" s="1082"/>
    </row>
    <row r="781" spans="1:9" hidden="1" outlineLevel="2" x14ac:dyDescent="0.25">
      <c r="A781" s="1079">
        <f t="shared" si="31"/>
        <v>2</v>
      </c>
      <c r="B781" s="1079" t="s">
        <v>1362</v>
      </c>
      <c r="C781" s="1079" t="str">
        <f>IF(B781="serviço",D781,C778)</f>
        <v>Parede Com Sistema Em Chapas De Gesso Para Drywall, Uso Interno, Montante 90mm, Com Duas Face Simples Standart e Duas Resiste a Umidade (2ST/90/2RU)</v>
      </c>
      <c r="D781" s="1089" t="s">
        <v>1699</v>
      </c>
      <c r="E781" s="1090" t="s">
        <v>17</v>
      </c>
      <c r="F781" s="1091">
        <v>1.0529999999999999</v>
      </c>
      <c r="G781" s="1092">
        <v>18.600000000000001</v>
      </c>
      <c r="H781" s="1092" cm="1">
        <f t="array" ref="H781">_xlfn.IFS(B781="Serviço",SUMIFS(H782:$H$2465,C782:$C$2465,$C781),B781="Insumo",F781*G781,B781="Etapa","")</f>
        <v>19.585799999999999</v>
      </c>
      <c r="I781" s="1082"/>
    </row>
    <row r="782" spans="1:9" hidden="1" outlineLevel="2" x14ac:dyDescent="0.25">
      <c r="A782" s="1079">
        <f t="shared" si="31"/>
        <v>2</v>
      </c>
      <c r="B782" s="1079" t="s">
        <v>1362</v>
      </c>
      <c r="C782" s="1079" t="str">
        <f>IF(B782="serviço",D782,C779)</f>
        <v>Parede Com Sistema Em Chapas De Gesso Para Drywall, Uso Interno, Montante 90mm, Com Duas Face Simples Standart e Duas Resiste a Umidade (2ST/90/2RU)</v>
      </c>
      <c r="D782" s="1089" t="s">
        <v>1700</v>
      </c>
      <c r="E782" s="1090" t="s">
        <v>17</v>
      </c>
      <c r="F782" s="1091">
        <v>1.0529999999999999</v>
      </c>
      <c r="G782" s="1092">
        <v>15.25</v>
      </c>
      <c r="H782" s="1092" cm="1">
        <f t="array" ref="H782">_xlfn.IFS(B782="Serviço",SUMIFS(H783:$H$2465,C783:$C$2465,$C782),B782="Insumo",F782*G782,B782="Etapa","")</f>
        <v>16.058249999999997</v>
      </c>
      <c r="I782" s="1082"/>
    </row>
    <row r="783" spans="1:9" hidden="1" outlineLevel="2" x14ac:dyDescent="0.25">
      <c r="A783" s="1079">
        <f t="shared" si="31"/>
        <v>2</v>
      </c>
      <c r="B783" s="1079" t="s">
        <v>1362</v>
      </c>
      <c r="C783" s="1079" t="str">
        <f>IF(B783="serviço",D783,C780)</f>
        <v>Parede Com Sistema Em Chapas De Gesso Para Drywall, Uso Interno, Montante 90mm, Com Duas Face Simples Standart e Duas Resiste a Umidade (2ST/90/2RU)</v>
      </c>
      <c r="D783" s="1089" t="s">
        <v>1701</v>
      </c>
      <c r="E783" s="1090" t="s">
        <v>1481</v>
      </c>
      <c r="F783" s="1091">
        <f>4/25</f>
        <v>0.16</v>
      </c>
      <c r="G783" s="1092">
        <v>6.29</v>
      </c>
      <c r="H783" s="1092" cm="1">
        <f t="array" ref="H783">_xlfn.IFS(B783="Serviço",SUMIFS(H784:$H$2465,C784:$C$2465,$C783),B783="Insumo",F783*G783,B783="Etapa","")</f>
        <v>1.0064</v>
      </c>
      <c r="I783" s="1082"/>
    </row>
    <row r="784" spans="1:9" hidden="1" outlineLevel="2" x14ac:dyDescent="0.25">
      <c r="A784" s="1079">
        <f t="shared" si="31"/>
        <v>13</v>
      </c>
      <c r="B784" s="1079" t="s">
        <v>1362</v>
      </c>
      <c r="C784" s="1079" t="str">
        <f t="shared" ref="C784:C795" si="32">IF(B784="serviço",D784,C783)</f>
        <v>Parede Com Sistema Em Chapas De Gesso Para Drywall, Uso Interno, Montante 90mm, Com Duas Face Simples Standart e Duas Resiste a Umidade (2ST/90/2RU)</v>
      </c>
      <c r="D784" s="1079" t="s">
        <v>1680</v>
      </c>
      <c r="E784" s="1080" t="str">
        <f>_xlfn.XLOOKUP(D784,Insumos!$B$1:$B$670,Insumos!$C$1:$C$670)</f>
        <v>KG</v>
      </c>
      <c r="F784" s="1083">
        <v>1.0978000000000001</v>
      </c>
      <c r="G784" s="1081">
        <f>IF(B784="insumo",_xlfn.XLOOKUP($D784,Insumos!$B$1:$B$670,Insumos!$D$1:$D$670),"")</f>
        <v>3.43</v>
      </c>
      <c r="H784" s="1081" cm="1">
        <f t="array" ref="H784">_xlfn.IFS(B784="Serviço",SUMIFS(H785:$H$2465,C785:$C$2465,$C784),B784="Insumo",F784*G784,B784="Etapa","")</f>
        <v>3.7654540000000005</v>
      </c>
      <c r="I784" s="1082"/>
    </row>
    <row r="785" spans="1:9" hidden="1" outlineLevel="2" x14ac:dyDescent="0.25">
      <c r="A785" s="1079">
        <f t="shared" si="31"/>
        <v>12</v>
      </c>
      <c r="B785" s="1079" t="s">
        <v>1362</v>
      </c>
      <c r="C785" s="1079" t="str">
        <f t="shared" si="32"/>
        <v>Parede Com Sistema Em Chapas De Gesso Para Drywall, Uso Interno, Montante 90mm, Com Duas Face Simples Standart e Duas Resiste a Umidade (2ST/90/2RU)</v>
      </c>
      <c r="D785" s="1079" t="s">
        <v>1687</v>
      </c>
      <c r="E785" s="1080" t="str">
        <f>_xlfn.XLOOKUP(D785,Insumos!$B$1:$B$670,Insumos!$C$1:$C$670)</f>
        <v>M</v>
      </c>
      <c r="F785" s="1083">
        <v>2.5026999999999999</v>
      </c>
      <c r="G785" s="1081">
        <f>IF(B785="insumo",_xlfn.XLOOKUP($D785,Insumos!$B$1:$B$670,Insumos!$D$1:$D$670),"")</f>
        <v>0.31</v>
      </c>
      <c r="H785" s="1081" cm="1">
        <f t="array" ref="H785">_xlfn.IFS(B785="Serviço",SUMIFS(H786:$H$2465,C786:$C$2465,$C785),B785="Insumo",F785*G785,B785="Etapa","")</f>
        <v>0.775837</v>
      </c>
      <c r="I785" s="1082"/>
    </row>
    <row r="786" spans="1:9" hidden="1" outlineLevel="2" x14ac:dyDescent="0.25">
      <c r="A786" s="1079">
        <f t="shared" si="31"/>
        <v>12</v>
      </c>
      <c r="B786" s="1079" t="s">
        <v>1362</v>
      </c>
      <c r="C786" s="1079" t="str">
        <f t="shared" si="32"/>
        <v>Parede Com Sistema Em Chapas De Gesso Para Drywall, Uso Interno, Montante 90mm, Com Duas Face Simples Standart e Duas Resiste a Umidade (2ST/90/2RU)</v>
      </c>
      <c r="D786" s="1079" t="s">
        <v>1688</v>
      </c>
      <c r="E786" s="1080" t="str">
        <f>_xlfn.XLOOKUP(D786,Insumos!$B$1:$B$670,Insumos!$C$1:$C$670)</f>
        <v>M</v>
      </c>
      <c r="F786" s="1083">
        <v>1.5851</v>
      </c>
      <c r="G786" s="1081">
        <f>IF(B786="insumo",_xlfn.XLOOKUP($D786,Insumos!$B$1:$B$670,Insumos!$D$1:$D$670),"")</f>
        <v>2.74</v>
      </c>
      <c r="H786" s="1081" cm="1">
        <f t="array" ref="H786">_xlfn.IFS(B786="Serviço",SUMIFS(H787:$H$2465,C787:$C$2465,$C786),B786="Insumo",F786*G786,B786="Etapa","")</f>
        <v>4.3431740000000003</v>
      </c>
      <c r="I786" s="1082"/>
    </row>
    <row r="787" spans="1:9" hidden="1" outlineLevel="2" x14ac:dyDescent="0.25">
      <c r="A787" s="1079">
        <f t="shared" si="31"/>
        <v>10</v>
      </c>
      <c r="B787" s="1079" t="s">
        <v>1362</v>
      </c>
      <c r="C787" s="1079" t="str">
        <f t="shared" si="32"/>
        <v>Parede Com Sistema Em Chapas De Gesso Para Drywall, Uso Interno, Montante 90mm, Com Duas Face Simples Standart e Duas Resiste a Umidade (2ST/90/2RU)</v>
      </c>
      <c r="D787" s="1079" t="s">
        <v>1689</v>
      </c>
      <c r="E787" s="1080" t="str">
        <f>_xlfn.XLOOKUP(D787,Insumos!$B$1:$B$670,Insumos!$C$1:$C$670)</f>
        <v>UN</v>
      </c>
      <c r="F787" s="1083">
        <v>20.186800000000002</v>
      </c>
      <c r="G787" s="1081">
        <f>IF(B787="insumo",_xlfn.XLOOKUP($D787,Insumos!$B$1:$B$670,Insumos!$D$1:$D$670),"")</f>
        <v>0.09</v>
      </c>
      <c r="H787" s="1081" cm="1">
        <f t="array" ref="H787">_xlfn.IFS(B787="Serviço",SUMIFS(H788:$H$2465,C788:$C$2465,$C787),B787="Insumo",F787*G787,B787="Etapa","")</f>
        <v>1.8168120000000001</v>
      </c>
      <c r="I787" s="1082"/>
    </row>
    <row r="788" spans="1:9" hidden="1" outlineLevel="2" x14ac:dyDescent="0.25">
      <c r="A788" s="1079">
        <f t="shared" si="31"/>
        <v>10</v>
      </c>
      <c r="B788" s="1079" t="s">
        <v>1362</v>
      </c>
      <c r="C788" s="1079" t="str">
        <f t="shared" si="32"/>
        <v>Parede Com Sistema Em Chapas De Gesso Para Drywall, Uso Interno, Montante 90mm, Com Duas Face Simples Standart e Duas Resiste a Umidade (2ST/90/2RU)</v>
      </c>
      <c r="D788" s="1079" t="s">
        <v>1690</v>
      </c>
      <c r="E788" s="1080" t="str">
        <f>_xlfn.XLOOKUP(D788,Insumos!$B$1:$B$670,Insumos!$C$1:$C$670)</f>
        <v>UN</v>
      </c>
      <c r="F788" s="1083">
        <v>0.54410000000000003</v>
      </c>
      <c r="G788" s="1081">
        <f>IF(B788="insumo",_xlfn.XLOOKUP($D788,Insumos!$B$1:$B$670,Insumos!$D$1:$D$670),"")</f>
        <v>0.2</v>
      </c>
      <c r="H788" s="1081" cm="1">
        <f t="array" ref="H788">_xlfn.IFS(B788="Serviço",SUMIFS(H789:$H$2465,C789:$C$2465,$C788),B788="Insumo",F788*G788,B788="Etapa","")</f>
        <v>0.10882000000000001</v>
      </c>
      <c r="I788" s="1082"/>
    </row>
    <row r="789" spans="1:9" hidden="1" outlineLevel="1" x14ac:dyDescent="0.25">
      <c r="A789" s="1079">
        <f t="shared" si="31"/>
        <v>1</v>
      </c>
      <c r="B789" s="1079" t="s">
        <v>471</v>
      </c>
      <c r="C789" s="1079" t="str">
        <f t="shared" si="32"/>
        <v>Parede Com Sistema Em Chapas De Gesso Para Drywall, Uso Interno, Montante 90mm, Com Uma Face Simples Standart e Uma Resiste a Umidade (ST/90/RU)</v>
      </c>
      <c r="D789" s="1079" t="s">
        <v>1702</v>
      </c>
      <c r="E789" s="1080" t="s">
        <v>17</v>
      </c>
      <c r="F789" s="1079"/>
      <c r="G789" s="1081" t="str">
        <f>IF(B789="insumo",_xlfn.XLOOKUP($D789,Insumos!$B$1:$B$670,Insumos!$D$1:$D$670),"")</f>
        <v/>
      </c>
      <c r="H789" s="1081" cm="1">
        <f t="array" ref="H789">_xlfn.IFS(B789="Serviço",SUMIFS(H790:$H$2465,C790:$C$2465,$C789),B789="Insumo",F789*G789,B789="Etapa","")</f>
        <v>280.90074724999994</v>
      </c>
      <c r="I789" s="1082" t="s">
        <v>872</v>
      </c>
    </row>
    <row r="790" spans="1:9" hidden="1" outlineLevel="2" x14ac:dyDescent="0.25">
      <c r="A790" s="1079">
        <f t="shared" si="31"/>
        <v>10</v>
      </c>
      <c r="B790" s="1079" t="s">
        <v>1362</v>
      </c>
      <c r="C790" s="1079" t="str">
        <f t="shared" si="32"/>
        <v>Parede Com Sistema Em Chapas De Gesso Para Drywall, Uso Interno, Montante 90mm, Com Uma Face Simples Standart e Uma Resiste a Umidade (ST/90/RU)</v>
      </c>
      <c r="D790" s="1079" t="s">
        <v>1682</v>
      </c>
      <c r="E790" s="1080" t="str">
        <f>_xlfn.XLOOKUP(D790,Insumos!$B$1:$B$670,Insumos!$C$1:$C$670)</f>
        <v>M2</v>
      </c>
      <c r="F790" s="1083">
        <v>1</v>
      </c>
      <c r="G790" s="1081">
        <f>IF(B790="insumo",_xlfn.XLOOKUP($D790,Insumos!$B$1:$B$670,Insumos!$D$1:$D$670),"")</f>
        <v>40</v>
      </c>
      <c r="H790" s="1081" cm="1">
        <f t="array" ref="H790">_xlfn.IFS(B790="Serviço",SUMIFS(H791:$H$2465,C791:$C$2465,$C790),B790="Insumo",F790*G790,B790="Etapa","")</f>
        <v>40</v>
      </c>
      <c r="I790" s="1082"/>
    </row>
    <row r="791" spans="1:9" hidden="1" outlineLevel="2" x14ac:dyDescent="0.25">
      <c r="A791" s="1079">
        <f t="shared" si="31"/>
        <v>5</v>
      </c>
      <c r="B791" s="1079" t="s">
        <v>1362</v>
      </c>
      <c r="C791" s="1079" t="str">
        <f t="shared" si="32"/>
        <v>Parede Com Sistema Em Chapas De Gesso Para Drywall, Uso Interno, Montante 90mm, Com Uma Face Simples Standart e Uma Resiste a Umidade (ST/90/RU)</v>
      </c>
      <c r="D791" s="1079" t="s">
        <v>1683</v>
      </c>
      <c r="E791" s="1080" t="str">
        <f>_xlfn.XLOOKUP(D791,Insumos!$B$1:$B$670,Insumos!$C$1:$C$670)</f>
        <v>M2</v>
      </c>
      <c r="F791" s="1083">
        <v>1.0529999999999999</v>
      </c>
      <c r="G791" s="1081">
        <f>IF(B791="insumo",_xlfn.XLOOKUP($D791,Insumos!$B$1:$B$670,Insumos!$D$1:$D$670),"")</f>
        <v>18.40625</v>
      </c>
      <c r="H791" s="1081" cm="1">
        <f t="array" ref="H791">_xlfn.IFS(B791="Serviço",SUMIFS(H792:$H$2465,C792:$C$2465,$C791),B791="Insumo",F791*G791,B791="Etapa","")</f>
        <v>19.38178125</v>
      </c>
      <c r="I791" s="1082"/>
    </row>
    <row r="792" spans="1:9" hidden="1" outlineLevel="2" x14ac:dyDescent="0.25">
      <c r="A792" s="1079">
        <f t="shared" si="31"/>
        <v>2</v>
      </c>
      <c r="B792" s="1079" t="s">
        <v>1362</v>
      </c>
      <c r="C792" s="1079" t="str">
        <f t="shared" si="32"/>
        <v>Parede Com Sistema Em Chapas De Gesso Para Drywall, Uso Interno, Montante 90mm, Com Uma Face Simples Standart e Uma Resiste a Umidade (ST/90/RU)</v>
      </c>
      <c r="D792" s="1089" t="s">
        <v>1695</v>
      </c>
      <c r="E792" s="1090" t="s">
        <v>17</v>
      </c>
      <c r="F792" s="1091">
        <v>1.0529999999999999</v>
      </c>
      <c r="G792" s="1092">
        <v>69.400000000000006</v>
      </c>
      <c r="H792" s="1092" cm="1">
        <f t="array" ref="H792">_xlfn.IFS(B792="Serviço",SUMIFS(H793:$H$2465,C793:$C$2465,$C792),B792="Insumo",F792*G792,B792="Etapa","")</f>
        <v>73.078199999999995</v>
      </c>
      <c r="I792" s="1093" t="s">
        <v>1696</v>
      </c>
    </row>
    <row r="793" spans="1:9" hidden="1" outlineLevel="2" x14ac:dyDescent="0.25">
      <c r="A793" s="1079">
        <f t="shared" si="31"/>
        <v>12</v>
      </c>
      <c r="B793" s="1079" t="s">
        <v>1362</v>
      </c>
      <c r="C793" s="1079" t="str">
        <f t="shared" si="32"/>
        <v>Parede Com Sistema Em Chapas De Gesso Para Drywall, Uso Interno, Montante 90mm, Com Uma Face Simples Standart e Uma Resiste a Umidade (ST/90/RU)</v>
      </c>
      <c r="D793" s="1079" t="s">
        <v>1684</v>
      </c>
      <c r="E793" s="1080" t="str">
        <f>_xlfn.XLOOKUP(D793,Insumos!$B$1:$B$670,Insumos!$C$1:$C$670)</f>
        <v>UN</v>
      </c>
      <c r="F793" s="1083">
        <v>5.92</v>
      </c>
      <c r="G793" s="1081">
        <f>IF(B793="insumo",_xlfn.XLOOKUP($D793,Insumos!$B$1:$B$670,Insumos!$D$1:$D$670),"")</f>
        <v>0.504</v>
      </c>
      <c r="H793" s="1081" cm="1">
        <f t="array" ref="H793">_xlfn.IFS(B793="Serviço",SUMIFS(H794:$H$2465,C794:$C$2465,$C793),B793="Insumo",F793*G793,B793="Etapa","")</f>
        <v>2.9836800000000001</v>
      </c>
      <c r="I793" s="1082"/>
    </row>
    <row r="794" spans="1:9" hidden="1" outlineLevel="2" x14ac:dyDescent="0.25">
      <c r="A794" s="1079">
        <f t="shared" si="31"/>
        <v>3</v>
      </c>
      <c r="B794" s="1079" t="s">
        <v>1362</v>
      </c>
      <c r="C794" s="1079" t="str">
        <f t="shared" si="32"/>
        <v>Parede Com Sistema Em Chapas De Gesso Para Drywall, Uso Interno, Montante 90mm, Com Uma Face Simples Standart e Uma Resiste a Umidade (ST/90/RU)</v>
      </c>
      <c r="D794" s="1079" t="s">
        <v>1697</v>
      </c>
      <c r="E794" s="1080" t="str">
        <f>_xlfn.XLOOKUP(D794,Insumos!$B$1:$B$670,Insumos!$C$1:$C$670)</f>
        <v>M</v>
      </c>
      <c r="F794" s="1083">
        <v>1.5247999999999999</v>
      </c>
      <c r="G794" s="1081">
        <f>IF(B794="insumo",_xlfn.XLOOKUP($D794,Insumos!$B$1:$B$670,Insumos!$D$1:$D$670),"")</f>
        <v>16.8</v>
      </c>
      <c r="H794" s="1081" cm="1">
        <f t="array" ref="H794">_xlfn.IFS(B794="Serviço",SUMIFS(H795:$H$2465,C795:$C$2465,$C794),B794="Insumo",F794*G794,B794="Etapa","")</f>
        <v>25.61664</v>
      </c>
      <c r="I794" s="1082"/>
    </row>
    <row r="795" spans="1:9" hidden="1" outlineLevel="2" x14ac:dyDescent="0.25">
      <c r="A795" s="1079">
        <f t="shared" si="31"/>
        <v>3</v>
      </c>
      <c r="B795" s="1079" t="s">
        <v>1362</v>
      </c>
      <c r="C795" s="1079" t="str">
        <f t="shared" si="32"/>
        <v>Parede Com Sistema Em Chapas De Gesso Para Drywall, Uso Interno, Montante 90mm, Com Uma Face Simples Standart e Uma Resiste a Umidade (ST/90/RU)</v>
      </c>
      <c r="D795" s="1079" t="s">
        <v>1698</v>
      </c>
      <c r="E795" s="1080" t="str">
        <f>_xlfn.XLOOKUP(D795,Insumos!$B$1:$B$670,Insumos!$C$1:$C$670)</f>
        <v>M</v>
      </c>
      <c r="F795" s="1083">
        <v>4.0011000000000001</v>
      </c>
      <c r="G795" s="1081">
        <f>IF(B795="insumo",_xlfn.XLOOKUP($D795,Insumos!$B$1:$B$670,Insumos!$D$1:$D$670),"")</f>
        <v>18.09</v>
      </c>
      <c r="H795" s="1081" cm="1">
        <f t="array" ref="H795">_xlfn.IFS(B795="Serviço",SUMIFS(H799:$H$2465,C799:$C$2465,$C795),B795="Insumo",F795*G795,B795="Etapa","")</f>
        <v>72.379898999999995</v>
      </c>
      <c r="I795" s="1082"/>
    </row>
    <row r="796" spans="1:9" hidden="1" outlineLevel="2" x14ac:dyDescent="0.25">
      <c r="A796" s="1079">
        <f t="shared" si="31"/>
        <v>2</v>
      </c>
      <c r="B796" s="1079" t="s">
        <v>1362</v>
      </c>
      <c r="C796" s="1079" t="str">
        <f>IF(B796="serviço",D796,C793)</f>
        <v>Parede Com Sistema Em Chapas De Gesso Para Drywall, Uso Interno, Montante 90mm, Com Uma Face Simples Standart e Uma Resiste a Umidade (ST/90/RU)</v>
      </c>
      <c r="D796" s="1089" t="s">
        <v>1699</v>
      </c>
      <c r="E796" s="1090" t="s">
        <v>17</v>
      </c>
      <c r="F796" s="1091">
        <v>1.0529999999999999</v>
      </c>
      <c r="G796" s="1092">
        <v>18.600000000000001</v>
      </c>
      <c r="H796" s="1092" cm="1">
        <f t="array" ref="H796">_xlfn.IFS(B796="Serviço",SUMIFS(H797:$H$2465,C797:$C$2465,$C796),B796="Insumo",F796*G796,B796="Etapa","")</f>
        <v>19.585799999999999</v>
      </c>
      <c r="I796" s="1082"/>
    </row>
    <row r="797" spans="1:9" hidden="1" outlineLevel="2" x14ac:dyDescent="0.25">
      <c r="A797" s="1079">
        <f t="shared" si="31"/>
        <v>2</v>
      </c>
      <c r="B797" s="1079" t="s">
        <v>1362</v>
      </c>
      <c r="C797" s="1079" t="str">
        <f>IF(B797="serviço",D797,C794)</f>
        <v>Parede Com Sistema Em Chapas De Gesso Para Drywall, Uso Interno, Montante 90mm, Com Uma Face Simples Standart e Uma Resiste a Umidade (ST/90/RU)</v>
      </c>
      <c r="D797" s="1089" t="s">
        <v>1700</v>
      </c>
      <c r="E797" s="1090" t="s">
        <v>17</v>
      </c>
      <c r="F797" s="1091">
        <v>1.0529999999999999</v>
      </c>
      <c r="G797" s="1092">
        <v>15.25</v>
      </c>
      <c r="H797" s="1092" cm="1">
        <f t="array" ref="H797">_xlfn.IFS(B797="Serviço",SUMIFS(H798:$H$2465,C798:$C$2465,$C797),B797="Insumo",F797*G797,B797="Etapa","")</f>
        <v>16.058249999999997</v>
      </c>
      <c r="I797" s="1082"/>
    </row>
    <row r="798" spans="1:9" hidden="1" outlineLevel="2" x14ac:dyDescent="0.25">
      <c r="A798" s="1079">
        <f t="shared" si="31"/>
        <v>2</v>
      </c>
      <c r="B798" s="1079" t="s">
        <v>1362</v>
      </c>
      <c r="C798" s="1079" t="str">
        <f>IF(B798="serviço",D798,C795)</f>
        <v>Parede Com Sistema Em Chapas De Gesso Para Drywall, Uso Interno, Montante 90mm, Com Uma Face Simples Standart e Uma Resiste a Umidade (ST/90/RU)</v>
      </c>
      <c r="D798" s="1089" t="s">
        <v>1701</v>
      </c>
      <c r="E798" s="1090" t="s">
        <v>1481</v>
      </c>
      <c r="F798" s="1091">
        <f>4/25</f>
        <v>0.16</v>
      </c>
      <c r="G798" s="1092">
        <v>6.29</v>
      </c>
      <c r="H798" s="1092" cm="1">
        <f t="array" ref="H798">_xlfn.IFS(B798="Serviço",SUMIFS(H799:$H$2465,C799:$C$2465,$C798),B798="Insumo",F798*G798,B798="Etapa","")</f>
        <v>1.0064</v>
      </c>
      <c r="I798" s="1082"/>
    </row>
    <row r="799" spans="1:9" hidden="1" outlineLevel="2" x14ac:dyDescent="0.25">
      <c r="A799" s="1079">
        <f t="shared" si="31"/>
        <v>13</v>
      </c>
      <c r="B799" s="1079" t="s">
        <v>1362</v>
      </c>
      <c r="C799" s="1079" t="str">
        <f t="shared" ref="C799:C862" si="33">IF(B799="serviço",D799,C798)</f>
        <v>Parede Com Sistema Em Chapas De Gesso Para Drywall, Uso Interno, Montante 90mm, Com Uma Face Simples Standart e Uma Resiste a Umidade (ST/90/RU)</v>
      </c>
      <c r="D799" s="1079" t="s">
        <v>1680</v>
      </c>
      <c r="E799" s="1080" t="str">
        <f>_xlfn.XLOOKUP(D799,Insumos!$B$1:$B$670,Insumos!$C$1:$C$670)</f>
        <v>KG</v>
      </c>
      <c r="F799" s="1083">
        <v>1.0978000000000001</v>
      </c>
      <c r="G799" s="1081">
        <f>IF(B799="insumo",_xlfn.XLOOKUP($D799,Insumos!$B$1:$B$670,Insumos!$D$1:$D$670),"")</f>
        <v>3.43</v>
      </c>
      <c r="H799" s="1081" cm="1">
        <f t="array" ref="H799">_xlfn.IFS(B799="Serviço",SUMIFS(H800:$H$2465,C800:$C$2465,$C799),B799="Insumo",F799*G799,B799="Etapa","")</f>
        <v>3.7654540000000005</v>
      </c>
      <c r="I799" s="1082"/>
    </row>
    <row r="800" spans="1:9" hidden="1" outlineLevel="2" x14ac:dyDescent="0.25">
      <c r="A800" s="1079">
        <f t="shared" si="31"/>
        <v>12</v>
      </c>
      <c r="B800" s="1079" t="s">
        <v>1362</v>
      </c>
      <c r="C800" s="1079" t="str">
        <f t="shared" si="33"/>
        <v>Parede Com Sistema Em Chapas De Gesso Para Drywall, Uso Interno, Montante 90mm, Com Uma Face Simples Standart e Uma Resiste a Umidade (ST/90/RU)</v>
      </c>
      <c r="D800" s="1079" t="s">
        <v>1687</v>
      </c>
      <c r="E800" s="1080" t="str">
        <f>_xlfn.XLOOKUP(D800,Insumos!$B$1:$B$670,Insumos!$C$1:$C$670)</f>
        <v>M</v>
      </c>
      <c r="F800" s="1083">
        <v>2.5026999999999999</v>
      </c>
      <c r="G800" s="1081">
        <f>IF(B800="insumo",_xlfn.XLOOKUP($D800,Insumos!$B$1:$B$670,Insumos!$D$1:$D$670),"")</f>
        <v>0.31</v>
      </c>
      <c r="H800" s="1081" cm="1">
        <f t="array" ref="H800">_xlfn.IFS(B800="Serviço",SUMIFS(H801:$H$2465,C801:$C$2465,$C800),B800="Insumo",F800*G800,B800="Etapa","")</f>
        <v>0.775837</v>
      </c>
      <c r="I800" s="1082"/>
    </row>
    <row r="801" spans="1:9" hidden="1" outlineLevel="2" x14ac:dyDescent="0.25">
      <c r="A801" s="1079">
        <f t="shared" si="31"/>
        <v>12</v>
      </c>
      <c r="B801" s="1079" t="s">
        <v>1362</v>
      </c>
      <c r="C801" s="1079" t="str">
        <f t="shared" si="33"/>
        <v>Parede Com Sistema Em Chapas De Gesso Para Drywall, Uso Interno, Montante 90mm, Com Uma Face Simples Standart e Uma Resiste a Umidade (ST/90/RU)</v>
      </c>
      <c r="D801" s="1079" t="s">
        <v>1688</v>
      </c>
      <c r="E801" s="1080" t="str">
        <f>_xlfn.XLOOKUP(D801,Insumos!$B$1:$B$670,Insumos!$C$1:$C$670)</f>
        <v>M</v>
      </c>
      <c r="F801" s="1083">
        <v>1.5851</v>
      </c>
      <c r="G801" s="1081">
        <f>IF(B801="insumo",_xlfn.XLOOKUP($D801,Insumos!$B$1:$B$670,Insumos!$D$1:$D$670),"")</f>
        <v>2.74</v>
      </c>
      <c r="H801" s="1081" cm="1">
        <f t="array" ref="H801">_xlfn.IFS(B801="Serviço",SUMIFS(H802:$H$2465,C802:$C$2465,$C801),B801="Insumo",F801*G801,B801="Etapa","")</f>
        <v>4.3431740000000003</v>
      </c>
      <c r="I801" s="1082"/>
    </row>
    <row r="802" spans="1:9" hidden="1" outlineLevel="2" x14ac:dyDescent="0.25">
      <c r="A802" s="1079">
        <f t="shared" si="31"/>
        <v>10</v>
      </c>
      <c r="B802" s="1079" t="s">
        <v>1362</v>
      </c>
      <c r="C802" s="1079" t="str">
        <f t="shared" si="33"/>
        <v>Parede Com Sistema Em Chapas De Gesso Para Drywall, Uso Interno, Montante 90mm, Com Uma Face Simples Standart e Uma Resiste a Umidade (ST/90/RU)</v>
      </c>
      <c r="D802" s="1079" t="s">
        <v>1689</v>
      </c>
      <c r="E802" s="1080" t="str">
        <f>_xlfn.XLOOKUP(D802,Insumos!$B$1:$B$670,Insumos!$C$1:$C$670)</f>
        <v>UN</v>
      </c>
      <c r="F802" s="1083">
        <v>20.186800000000002</v>
      </c>
      <c r="G802" s="1081">
        <f>IF(B802="insumo",_xlfn.XLOOKUP($D802,Insumos!$B$1:$B$670,Insumos!$D$1:$D$670),"")</f>
        <v>0.09</v>
      </c>
      <c r="H802" s="1081" cm="1">
        <f t="array" ref="H802">_xlfn.IFS(B802="Serviço",SUMIFS(H803:$H$2465,C803:$C$2465,$C802),B802="Insumo",F802*G802,B802="Etapa","")</f>
        <v>1.8168120000000001</v>
      </c>
      <c r="I802" s="1082"/>
    </row>
    <row r="803" spans="1:9" hidden="1" outlineLevel="2" x14ac:dyDescent="0.25">
      <c r="A803" s="1079">
        <f t="shared" si="31"/>
        <v>10</v>
      </c>
      <c r="B803" s="1079" t="s">
        <v>1362</v>
      </c>
      <c r="C803" s="1079" t="str">
        <f t="shared" si="33"/>
        <v>Parede Com Sistema Em Chapas De Gesso Para Drywall, Uso Interno, Montante 90mm, Com Uma Face Simples Standart e Uma Resiste a Umidade (ST/90/RU)</v>
      </c>
      <c r="D803" s="1079" t="s">
        <v>1690</v>
      </c>
      <c r="E803" s="1080" t="str">
        <f>_xlfn.XLOOKUP(D803,Insumos!$B$1:$B$670,Insumos!$C$1:$C$670)</f>
        <v>UN</v>
      </c>
      <c r="F803" s="1083">
        <v>0.54410000000000003</v>
      </c>
      <c r="G803" s="1081">
        <f>IF(B803="insumo",_xlfn.XLOOKUP($D803,Insumos!$B$1:$B$670,Insumos!$D$1:$D$670),"")</f>
        <v>0.2</v>
      </c>
      <c r="H803" s="1081" cm="1">
        <f t="array" ref="H803">_xlfn.IFS(B803="Serviço",SUMIFS(H804:$H$2465,C804:$C$2465,$C803),B803="Insumo",F803*G803,B803="Etapa","")</f>
        <v>0.10882000000000001</v>
      </c>
      <c r="I803" s="1082"/>
    </row>
    <row r="804" spans="1:9" hidden="1" outlineLevel="1" collapsed="1" x14ac:dyDescent="0.25">
      <c r="A804" s="1079">
        <f t="shared" si="31"/>
        <v>1</v>
      </c>
      <c r="B804" s="1079" t="s">
        <v>471</v>
      </c>
      <c r="C804" s="1079" t="str">
        <f t="shared" si="33"/>
        <v>Parede Com Sistema Em Chapas De Gesso Para Drywall, Uso Interno, Montante 70mm, Com Duas Face Simples Standart e isolamento com Lâ de Vidro (ST/70/ST)</v>
      </c>
      <c r="D804" s="1079" t="s">
        <v>1703</v>
      </c>
      <c r="E804" s="1080" t="s">
        <v>17</v>
      </c>
      <c r="F804" s="1079"/>
      <c r="G804" s="1081" t="str">
        <f>IF(B804="insumo",_xlfn.XLOOKUP($D804,Insumos!$B$1:$B$670,Insumos!$D$1:$D$670),"")</f>
        <v/>
      </c>
      <c r="H804" s="1081" cm="1">
        <f t="array" ref="H804">_xlfn.IFS(B804="Serviço",SUMIFS(H805:$H$2465,C805:$C$2465,$C804),B804="Insumo",F804*G804,B804="Etapa","")</f>
        <v>165.99321883333337</v>
      </c>
      <c r="I804" s="1082" t="s">
        <v>872</v>
      </c>
    </row>
    <row r="805" spans="1:9" hidden="1" outlineLevel="2" x14ac:dyDescent="0.25">
      <c r="A805" s="1079">
        <f t="shared" si="31"/>
        <v>10</v>
      </c>
      <c r="B805" s="1079" t="s">
        <v>1362</v>
      </c>
      <c r="C805" s="1079" t="str">
        <f t="shared" si="33"/>
        <v>Parede Com Sistema Em Chapas De Gesso Para Drywall, Uso Interno, Montante 70mm, Com Duas Face Simples Standart e isolamento com Lâ de Vidro (ST/70/ST)</v>
      </c>
      <c r="D805" s="1079" t="s">
        <v>1682</v>
      </c>
      <c r="E805" s="1080" t="str">
        <f>_xlfn.XLOOKUP(D805,Insumos!$B$1:$B$670,Insumos!$C$1:$C$670)</f>
        <v>M2</v>
      </c>
      <c r="F805" s="1083">
        <v>1</v>
      </c>
      <c r="G805" s="1081">
        <f>IF(B805="insumo",_xlfn.XLOOKUP($D805,Insumos!$B$1:$B$670,Insumos!$D$1:$D$670),"")</f>
        <v>40</v>
      </c>
      <c r="H805" s="1081" cm="1">
        <f t="array" ref="H805">_xlfn.IFS(B805="Serviço",SUMIFS(H806:$H$2465,C806:$C$2465,$C805),B805="Insumo",F805*G805,B805="Etapa","")</f>
        <v>40</v>
      </c>
      <c r="I805" s="1082"/>
    </row>
    <row r="806" spans="1:9" hidden="1" outlineLevel="2" x14ac:dyDescent="0.25">
      <c r="A806" s="1079">
        <f t="shared" si="31"/>
        <v>5</v>
      </c>
      <c r="B806" s="1079" t="s">
        <v>1362</v>
      </c>
      <c r="C806" s="1079" t="str">
        <f t="shared" si="33"/>
        <v>Parede Com Sistema Em Chapas De Gesso Para Drywall, Uso Interno, Montante 70mm, Com Duas Face Simples Standart e isolamento com Lâ de Vidro (ST/70/ST)</v>
      </c>
      <c r="D806" s="1079" t="s">
        <v>1683</v>
      </c>
      <c r="E806" s="1080" t="str">
        <f>_xlfn.XLOOKUP(D806,Insumos!$B$1:$B$670,Insumos!$C$1:$C$670)</f>
        <v>M2</v>
      </c>
      <c r="F806" s="1083">
        <v>2.1059999999999999</v>
      </c>
      <c r="G806" s="1081">
        <f>IF(B806="insumo",_xlfn.XLOOKUP($D806,Insumos!$B$1:$B$670,Insumos!$D$1:$D$670),"")</f>
        <v>18.40625</v>
      </c>
      <c r="H806" s="1081" cm="1">
        <f t="array" ref="H806">_xlfn.IFS(B806="Serviço",SUMIFS(H807:$H$2465,C807:$C$2465,$C806),B806="Insumo",F806*G806,B806="Etapa","")</f>
        <v>38.763562499999999</v>
      </c>
      <c r="I806" s="1082"/>
    </row>
    <row r="807" spans="1:9" hidden="1" outlineLevel="2" x14ac:dyDescent="0.25">
      <c r="A807" s="1079">
        <f t="shared" si="31"/>
        <v>12</v>
      </c>
      <c r="B807" s="1079" t="s">
        <v>1362</v>
      </c>
      <c r="C807" s="1079" t="str">
        <f t="shared" si="33"/>
        <v>Parede Com Sistema Em Chapas De Gesso Para Drywall, Uso Interno, Montante 70mm, Com Duas Face Simples Standart e isolamento com Lâ de Vidro (ST/70/ST)</v>
      </c>
      <c r="D807" s="1079" t="s">
        <v>1684</v>
      </c>
      <c r="E807" s="1080" t="str">
        <f>_xlfn.XLOOKUP(D807,Insumos!$B$1:$B$670,Insumos!$C$1:$C$670)</f>
        <v>UN</v>
      </c>
      <c r="F807" s="1083">
        <v>5.92</v>
      </c>
      <c r="G807" s="1081">
        <f>IF(B807="insumo",_xlfn.XLOOKUP($D807,Insumos!$B$1:$B$670,Insumos!$D$1:$D$670),"")</f>
        <v>0.504</v>
      </c>
      <c r="H807" s="1081" cm="1">
        <f t="array" ref="H807">_xlfn.IFS(B807="Serviço",SUMIFS(H808:$H$2465,C808:$C$2465,$C807),B807="Insumo",F807*G807,B807="Etapa","")</f>
        <v>2.9836800000000001</v>
      </c>
      <c r="I807" s="1082"/>
    </row>
    <row r="808" spans="1:9" hidden="1" outlineLevel="2" x14ac:dyDescent="0.25">
      <c r="A808" s="1079">
        <f t="shared" si="31"/>
        <v>5</v>
      </c>
      <c r="B808" s="1079" t="s">
        <v>1362</v>
      </c>
      <c r="C808" s="1079" t="str">
        <f t="shared" si="33"/>
        <v>Parede Com Sistema Em Chapas De Gesso Para Drywall, Uso Interno, Montante 70mm, Com Duas Face Simples Standart e isolamento com Lâ de Vidro (ST/70/ST)</v>
      </c>
      <c r="D808" s="1079" t="s">
        <v>1704</v>
      </c>
      <c r="E808" s="1080" t="str">
        <f>_xlfn.XLOOKUP(D808,Insumos!$B$1:$B$670,Insumos!$C$1:$C$670)</f>
        <v>M</v>
      </c>
      <c r="F808" s="1083">
        <v>1.8233999999999999</v>
      </c>
      <c r="G808" s="1081">
        <f>IF(B808="insumo",_xlfn.XLOOKUP($D808,Insumos!$B$1:$B$670,Insumos!$D$1:$D$670),"")</f>
        <v>7.03</v>
      </c>
      <c r="H808" s="1081" cm="1">
        <f t="array" ref="H808">_xlfn.IFS(B808="Serviço",SUMIFS(H809:$H$2465,C809:$C$2465,$C808),B808="Insumo",F808*G808,B808="Etapa","")</f>
        <v>12.818502000000001</v>
      </c>
      <c r="I808" s="1082"/>
    </row>
    <row r="809" spans="1:9" hidden="1" outlineLevel="2" x14ac:dyDescent="0.25">
      <c r="A809" s="1079">
        <f t="shared" si="31"/>
        <v>5</v>
      </c>
      <c r="B809" s="1079" t="s">
        <v>1362</v>
      </c>
      <c r="C809" s="1079" t="str">
        <f t="shared" si="33"/>
        <v>Parede Com Sistema Em Chapas De Gesso Para Drywall, Uso Interno, Montante 70mm, Com Duas Face Simples Standart e isolamento com Lâ de Vidro (ST/70/ST)</v>
      </c>
      <c r="D809" s="1079" t="s">
        <v>1705</v>
      </c>
      <c r="E809" s="1080" t="str">
        <f>_xlfn.XLOOKUP(D809,Insumos!$B$1:$B$670,Insumos!$C$1:$C$670)</f>
        <v>M</v>
      </c>
      <c r="F809" s="1083">
        <v>5.8277999999999999</v>
      </c>
      <c r="G809" s="1081">
        <f>IF(B809="insumo",_xlfn.XLOOKUP($D809,Insumos!$B$1:$B$670,Insumos!$D$1:$D$670),"")</f>
        <v>7.98</v>
      </c>
      <c r="H809" s="1081" cm="1">
        <f t="array" ref="H809">_xlfn.IFS(B809="Serviço",SUMIFS(H810:$H$2465,C810:$C$2465,$C809),B809="Insumo",F809*G809,B809="Etapa","")</f>
        <v>46.505844000000003</v>
      </c>
      <c r="I809" s="1082"/>
    </row>
    <row r="810" spans="1:9" hidden="1" outlineLevel="2" x14ac:dyDescent="0.25">
      <c r="A810" s="1079">
        <f t="shared" si="31"/>
        <v>13</v>
      </c>
      <c r="B810" s="1079" t="s">
        <v>1362</v>
      </c>
      <c r="C810" s="1079" t="str">
        <f t="shared" si="33"/>
        <v>Parede Com Sistema Em Chapas De Gesso Para Drywall, Uso Interno, Montante 70mm, Com Duas Face Simples Standart e isolamento com Lâ de Vidro (ST/70/ST)</v>
      </c>
      <c r="D810" s="1079" t="s">
        <v>1680</v>
      </c>
      <c r="E810" s="1080" t="str">
        <f>_xlfn.XLOOKUP(D810,Insumos!$B$1:$B$670,Insumos!$C$1:$C$670)</f>
        <v>KG</v>
      </c>
      <c r="F810" s="1083">
        <v>1.0978000000000001</v>
      </c>
      <c r="G810" s="1081">
        <f>IF(B810="insumo",_xlfn.XLOOKUP($D810,Insumos!$B$1:$B$670,Insumos!$D$1:$D$670),"")</f>
        <v>3.43</v>
      </c>
      <c r="H810" s="1081" cm="1">
        <f t="array" ref="H810">_xlfn.IFS(B810="Serviço",SUMIFS(H811:$H$2465,C811:$C$2465,$C810),B810="Insumo",F810*G810,B810="Etapa","")</f>
        <v>3.7654540000000005</v>
      </c>
      <c r="I810" s="1082"/>
    </row>
    <row r="811" spans="1:9" hidden="1" outlineLevel="2" x14ac:dyDescent="0.25">
      <c r="A811" s="1079">
        <f t="shared" si="31"/>
        <v>12</v>
      </c>
      <c r="B811" s="1079" t="s">
        <v>1362</v>
      </c>
      <c r="C811" s="1079" t="str">
        <f t="shared" si="33"/>
        <v>Parede Com Sistema Em Chapas De Gesso Para Drywall, Uso Interno, Montante 70mm, Com Duas Face Simples Standart e isolamento com Lâ de Vidro (ST/70/ST)</v>
      </c>
      <c r="D811" s="1079" t="s">
        <v>1687</v>
      </c>
      <c r="E811" s="1080" t="str">
        <f>_xlfn.XLOOKUP(D811,Insumos!$B$1:$B$670,Insumos!$C$1:$C$670)</f>
        <v>M</v>
      </c>
      <c r="F811" s="1083">
        <v>2.5026999999999999</v>
      </c>
      <c r="G811" s="1081">
        <f>IF(B811="insumo",_xlfn.XLOOKUP($D811,Insumos!$B$1:$B$670,Insumos!$D$1:$D$670),"")</f>
        <v>0.31</v>
      </c>
      <c r="H811" s="1081" cm="1">
        <f t="array" ref="H811">_xlfn.IFS(B811="Serviço",SUMIFS(H812:$H$2465,C812:$C$2465,$C811),B811="Insumo",F811*G811,B811="Etapa","")</f>
        <v>0.775837</v>
      </c>
      <c r="I811" s="1082"/>
    </row>
    <row r="812" spans="1:9" hidden="1" outlineLevel="2" x14ac:dyDescent="0.25">
      <c r="A812" s="1079">
        <f t="shared" si="31"/>
        <v>12</v>
      </c>
      <c r="B812" s="1079" t="s">
        <v>1362</v>
      </c>
      <c r="C812" s="1079" t="str">
        <f t="shared" si="33"/>
        <v>Parede Com Sistema Em Chapas De Gesso Para Drywall, Uso Interno, Montante 70mm, Com Duas Face Simples Standart e isolamento com Lâ de Vidro (ST/70/ST)</v>
      </c>
      <c r="D812" s="1079" t="s">
        <v>1688</v>
      </c>
      <c r="E812" s="1080" t="str">
        <f>_xlfn.XLOOKUP(D812,Insumos!$B$1:$B$670,Insumos!$C$1:$C$670)</f>
        <v>M</v>
      </c>
      <c r="F812" s="1083">
        <v>1.5851</v>
      </c>
      <c r="G812" s="1081">
        <f>IF(B812="insumo",_xlfn.XLOOKUP($D812,Insumos!$B$1:$B$670,Insumos!$D$1:$D$670),"")</f>
        <v>2.74</v>
      </c>
      <c r="H812" s="1081" cm="1">
        <f t="array" ref="H812">_xlfn.IFS(B812="Serviço",SUMIFS(H813:$H$2465,C813:$C$2465,$C812),B812="Insumo",F812*G812,B812="Etapa","")</f>
        <v>4.3431740000000003</v>
      </c>
      <c r="I812" s="1082"/>
    </row>
    <row r="813" spans="1:9" hidden="1" outlineLevel="2" x14ac:dyDescent="0.25">
      <c r="A813" s="1079">
        <f t="shared" si="31"/>
        <v>10</v>
      </c>
      <c r="B813" s="1079" t="s">
        <v>1362</v>
      </c>
      <c r="C813" s="1079" t="str">
        <f t="shared" si="33"/>
        <v>Parede Com Sistema Em Chapas De Gesso Para Drywall, Uso Interno, Montante 70mm, Com Duas Face Simples Standart e isolamento com Lâ de Vidro (ST/70/ST)</v>
      </c>
      <c r="D813" s="1079" t="s">
        <v>1689</v>
      </c>
      <c r="E813" s="1080" t="str">
        <f>_xlfn.XLOOKUP(D813,Insumos!$B$1:$B$670,Insumos!$C$1:$C$670)</f>
        <v>UN</v>
      </c>
      <c r="F813" s="1083">
        <v>20.186800000000002</v>
      </c>
      <c r="G813" s="1081">
        <f>IF(B813="insumo",_xlfn.XLOOKUP($D813,Insumos!$B$1:$B$670,Insumos!$D$1:$D$670),"")</f>
        <v>0.09</v>
      </c>
      <c r="H813" s="1081" cm="1">
        <f t="array" ref="H813">_xlfn.IFS(B813="Serviço",SUMIFS(H814:$H$2465,C814:$C$2465,$C813),B813="Insumo",F813*G813,B813="Etapa","")</f>
        <v>1.8168120000000001</v>
      </c>
      <c r="I813" s="1082"/>
    </row>
    <row r="814" spans="1:9" hidden="1" outlineLevel="2" x14ac:dyDescent="0.25">
      <c r="A814" s="1079">
        <f t="shared" si="31"/>
        <v>10</v>
      </c>
      <c r="B814" s="1079" t="s">
        <v>1362</v>
      </c>
      <c r="C814" s="1079" t="str">
        <f t="shared" si="33"/>
        <v>Parede Com Sistema Em Chapas De Gesso Para Drywall, Uso Interno, Montante 70mm, Com Duas Face Simples Standart e isolamento com Lâ de Vidro (ST/70/ST)</v>
      </c>
      <c r="D814" s="1079" t="s">
        <v>1690</v>
      </c>
      <c r="E814" s="1080" t="str">
        <f>_xlfn.XLOOKUP(D814,Insumos!$B$1:$B$670,Insumos!$C$1:$C$670)</f>
        <v>UN</v>
      </c>
      <c r="F814" s="1083">
        <v>0.54410000000000003</v>
      </c>
      <c r="G814" s="1081">
        <f>IF(B814="insumo",_xlfn.XLOOKUP($D814,Insumos!$B$1:$B$670,Insumos!$D$1:$D$670),"")</f>
        <v>0.2</v>
      </c>
      <c r="H814" s="1081" cm="1">
        <f t="array" ref="H814">_xlfn.IFS(B814="Serviço",SUMIFS(H815:$H$2465,C815:$C$2465,$C814),B814="Insumo",F814*G814,B814="Etapa","")</f>
        <v>0.10882000000000001</v>
      </c>
      <c r="I814" s="1082"/>
    </row>
    <row r="815" spans="1:9" hidden="1" outlineLevel="2" x14ac:dyDescent="0.25">
      <c r="A815" s="1079">
        <f t="shared" si="31"/>
        <v>8</v>
      </c>
      <c r="B815" s="1079" t="s">
        <v>1362</v>
      </c>
      <c r="C815" s="1079" t="str">
        <f t="shared" si="33"/>
        <v>Parede Com Sistema Em Chapas De Gesso Para Drywall, Uso Interno, Montante 70mm, Com Duas Face Simples Standart e isolamento com Lâ de Vidro (ST/70/ST)</v>
      </c>
      <c r="D815" s="1079" t="s">
        <v>1691</v>
      </c>
      <c r="E815" s="1080" t="str">
        <f>_xlfn.XLOOKUP(D815,Insumos!$B$1:$B$670,Insumos!$C$1:$C$670)</f>
        <v>M2</v>
      </c>
      <c r="F815" s="1083">
        <v>1.1000000000000001</v>
      </c>
      <c r="G815" s="1081">
        <f>IF(B815="insumo",_xlfn.XLOOKUP($D815,Insumos!$B$1:$B$670,Insumos!$D$1:$D$670),"")</f>
        <v>12.828666666666667</v>
      </c>
      <c r="H815" s="1081" cm="1">
        <f t="array" ref="H815">_xlfn.IFS(B815="Serviço",SUMIFS(H816:$H$2465,C816:$C$2465,$C815),B815="Insumo",F815*G815,B815="Etapa","")</f>
        <v>14.111533333333334</v>
      </c>
      <c r="I815" s="1082"/>
    </row>
    <row r="816" spans="1:9" hidden="1" outlineLevel="1" collapsed="1" x14ac:dyDescent="0.25">
      <c r="A816" s="1079">
        <f t="shared" si="31"/>
        <v>1</v>
      </c>
      <c r="B816" s="1079" t="s">
        <v>471</v>
      </c>
      <c r="C816" s="1079" t="str">
        <f t="shared" si="33"/>
        <v>Fechamento de Shaft em Chapas De Gesso Para Drywall, Uso Interno, Montante 90mm, Com Duas Face Simples Resistente à Umidade e isolamento com Lâ de Vidro (RU/90/RU)</v>
      </c>
      <c r="D816" s="1079" t="s">
        <v>1706</v>
      </c>
      <c r="E816" s="1080" t="s">
        <v>17</v>
      </c>
      <c r="F816" s="1079"/>
      <c r="G816" s="1081" t="str">
        <f>IF(B816="insumo",_xlfn.XLOOKUP($D816,Insumos!$B$1:$B$670,Insumos!$D$1:$D$670),"")</f>
        <v/>
      </c>
      <c r="H816" s="1081" cm="1">
        <f t="array" ref="H816">_xlfn.IFS(B816="Serviço",SUMIFS(H817:$H$2465,C817:$C$2465,$C816),B816="Insumo",F816*G816,B816="Etapa","")</f>
        <v>227.38534933333335</v>
      </c>
      <c r="I816" s="1082" t="s">
        <v>872</v>
      </c>
    </row>
    <row r="817" spans="1:9" hidden="1" outlineLevel="2" x14ac:dyDescent="0.25">
      <c r="A817" s="1079">
        <f t="shared" si="31"/>
        <v>10</v>
      </c>
      <c r="B817" s="1079" t="s">
        <v>1362</v>
      </c>
      <c r="C817" s="1079" t="str">
        <f t="shared" si="33"/>
        <v>Fechamento de Shaft em Chapas De Gesso Para Drywall, Uso Interno, Montante 90mm, Com Duas Face Simples Resistente à Umidade e isolamento com Lâ de Vidro (RU/90/RU)</v>
      </c>
      <c r="D817" s="1079" t="s">
        <v>1682</v>
      </c>
      <c r="E817" s="1080" t="str">
        <f>_xlfn.XLOOKUP(D817,Insumos!$B$1:$B$670,Insumos!$C$1:$C$670)</f>
        <v>M2</v>
      </c>
      <c r="F817" s="1083">
        <v>1</v>
      </c>
      <c r="G817" s="1081">
        <f>IF(B817="insumo",_xlfn.XLOOKUP($D817,Insumos!$B$1:$B$670,Insumos!$D$1:$D$670),"")</f>
        <v>40</v>
      </c>
      <c r="H817" s="1081" cm="1">
        <f t="array" ref="H817">_xlfn.IFS(B817="Serviço",SUMIFS(H818:$H$2465,C818:$C$2465,$C817),B817="Insumo",F817*G817,B817="Etapa","")</f>
        <v>40</v>
      </c>
      <c r="I817" s="1082"/>
    </row>
    <row r="818" spans="1:9" hidden="1" outlineLevel="2" x14ac:dyDescent="0.25">
      <c r="A818" s="1079">
        <f t="shared" si="31"/>
        <v>7</v>
      </c>
      <c r="B818" s="1079" t="s">
        <v>1362</v>
      </c>
      <c r="C818" s="1079" t="str">
        <f t="shared" si="33"/>
        <v>Fechamento de Shaft em Chapas De Gesso Para Drywall, Uso Interno, Montante 90mm, Com Duas Face Simples Resistente à Umidade e isolamento com Lâ de Vidro (RU/90/RU)</v>
      </c>
      <c r="D818" s="1079" t="s">
        <v>1693</v>
      </c>
      <c r="E818" s="1080" t="str">
        <f>_xlfn.XLOOKUP(D818,Insumos!$B$1:$B$670,Insumos!$C$1:$C$670)</f>
        <v>M2</v>
      </c>
      <c r="F818" s="1083">
        <v>2.1059999999999999</v>
      </c>
      <c r="G818" s="1081">
        <f>IF(B818="insumo",_xlfn.XLOOKUP($D818,Insumos!$B$1:$B$670,Insumos!$D$1:$D$670),"")</f>
        <v>29.194444444444446</v>
      </c>
      <c r="H818" s="1081" cm="1">
        <f t="array" ref="H818">_xlfn.IFS(B818="Serviço",SUMIFS(H819:$H$2465,C819:$C$2465,$C818),B818="Insumo",F818*G818,B818="Etapa","")</f>
        <v>61.483499999999999</v>
      </c>
      <c r="I818" s="1082"/>
    </row>
    <row r="819" spans="1:9" hidden="1" outlineLevel="2" x14ac:dyDescent="0.25">
      <c r="A819" s="1079">
        <f t="shared" si="31"/>
        <v>12</v>
      </c>
      <c r="B819" s="1079" t="s">
        <v>1362</v>
      </c>
      <c r="C819" s="1079" t="str">
        <f t="shared" si="33"/>
        <v>Fechamento de Shaft em Chapas De Gesso Para Drywall, Uso Interno, Montante 90mm, Com Duas Face Simples Resistente à Umidade e isolamento com Lâ de Vidro (RU/90/RU)</v>
      </c>
      <c r="D819" s="1079" t="s">
        <v>1684</v>
      </c>
      <c r="E819" s="1080" t="str">
        <f>_xlfn.XLOOKUP(D819,Insumos!$B$1:$B$670,Insumos!$C$1:$C$670)</f>
        <v>UN</v>
      </c>
      <c r="F819" s="1083">
        <v>5.92</v>
      </c>
      <c r="G819" s="1081">
        <f>IF(B819="insumo",_xlfn.XLOOKUP($D819,Insumos!$B$1:$B$670,Insumos!$D$1:$D$670),"")</f>
        <v>0.504</v>
      </c>
      <c r="H819" s="1081" cm="1">
        <f t="array" ref="H819">_xlfn.IFS(B819="Serviço",SUMIFS(H820:$H$2465,C820:$C$2465,$C819),B819="Insumo",F819*G819,B819="Etapa","")</f>
        <v>2.9836800000000001</v>
      </c>
      <c r="I819" s="1082"/>
    </row>
    <row r="820" spans="1:9" hidden="1" outlineLevel="2" x14ac:dyDescent="0.25">
      <c r="A820" s="1079">
        <f t="shared" si="31"/>
        <v>3</v>
      </c>
      <c r="B820" s="1079" t="s">
        <v>1362</v>
      </c>
      <c r="C820" s="1079" t="str">
        <f t="shared" si="33"/>
        <v>Fechamento de Shaft em Chapas De Gesso Para Drywall, Uso Interno, Montante 90mm, Com Duas Face Simples Resistente à Umidade e isolamento com Lâ de Vidro (RU/90/RU)</v>
      </c>
      <c r="D820" s="1079" t="s">
        <v>1697</v>
      </c>
      <c r="E820" s="1080" t="str">
        <f>_xlfn.XLOOKUP(D820,Insumos!$B$1:$B$670,Insumos!$C$1:$C$670)</f>
        <v>M</v>
      </c>
      <c r="F820" s="1083">
        <v>1.5247999999999999</v>
      </c>
      <c r="G820" s="1081">
        <f>IF(B820="insumo",_xlfn.XLOOKUP($D820,Insumos!$B$1:$B$670,Insumos!$D$1:$D$670),"")</f>
        <v>16.8</v>
      </c>
      <c r="H820" s="1081" cm="1">
        <f t="array" ref="H820">_xlfn.IFS(B820="Serviço",SUMIFS(H821:$H$2465,C821:$C$2465,$C820),B820="Insumo",F820*G820,B820="Etapa","")</f>
        <v>25.61664</v>
      </c>
      <c r="I820" s="1082"/>
    </row>
    <row r="821" spans="1:9" hidden="1" outlineLevel="2" x14ac:dyDescent="0.25">
      <c r="A821" s="1079">
        <f t="shared" si="31"/>
        <v>3</v>
      </c>
      <c r="B821" s="1079" t="s">
        <v>1362</v>
      </c>
      <c r="C821" s="1079" t="str">
        <f t="shared" si="33"/>
        <v>Fechamento de Shaft em Chapas De Gesso Para Drywall, Uso Interno, Montante 90mm, Com Duas Face Simples Resistente à Umidade e isolamento com Lâ de Vidro (RU/90/RU)</v>
      </c>
      <c r="D821" s="1079" t="s">
        <v>1698</v>
      </c>
      <c r="E821" s="1080" t="str">
        <f>_xlfn.XLOOKUP(D821,Insumos!$B$1:$B$670,Insumos!$C$1:$C$670)</f>
        <v>M</v>
      </c>
      <c r="F821" s="1083">
        <v>4.0011000000000001</v>
      </c>
      <c r="G821" s="1081">
        <f>IF(B821="insumo",_xlfn.XLOOKUP($D821,Insumos!$B$1:$B$670,Insumos!$D$1:$D$670),"")</f>
        <v>18.09</v>
      </c>
      <c r="H821" s="1081" cm="1">
        <f t="array" ref="H821">_xlfn.IFS(B821="Serviço",SUMIFS(H822:$H$2465,C822:$C$2465,$C821),B821="Insumo",F821*G821,B821="Etapa","")</f>
        <v>72.379898999999995</v>
      </c>
      <c r="I821" s="1082"/>
    </row>
    <row r="822" spans="1:9" hidden="1" outlineLevel="2" x14ac:dyDescent="0.25">
      <c r="A822" s="1079">
        <f t="shared" si="31"/>
        <v>13</v>
      </c>
      <c r="B822" s="1079" t="s">
        <v>1362</v>
      </c>
      <c r="C822" s="1079" t="str">
        <f t="shared" si="33"/>
        <v>Fechamento de Shaft em Chapas De Gesso Para Drywall, Uso Interno, Montante 90mm, Com Duas Face Simples Resistente à Umidade e isolamento com Lâ de Vidro (RU/90/RU)</v>
      </c>
      <c r="D822" s="1079" t="s">
        <v>1680</v>
      </c>
      <c r="E822" s="1080" t="str">
        <f>_xlfn.XLOOKUP(D822,Insumos!$B$1:$B$670,Insumos!$C$1:$C$670)</f>
        <v>KG</v>
      </c>
      <c r="F822" s="1083">
        <v>1.0978000000000001</v>
      </c>
      <c r="G822" s="1081">
        <f>IF(B822="insumo",_xlfn.XLOOKUP($D822,Insumos!$B$1:$B$670,Insumos!$D$1:$D$670),"")</f>
        <v>3.43</v>
      </c>
      <c r="H822" s="1081" cm="1">
        <f t="array" ref="H822">_xlfn.IFS(B822="Serviço",SUMIFS(H823:$H$2465,C823:$C$2465,$C822),B822="Insumo",F822*G822,B822="Etapa","")</f>
        <v>3.7654540000000005</v>
      </c>
      <c r="I822" s="1082"/>
    </row>
    <row r="823" spans="1:9" hidden="1" outlineLevel="2" x14ac:dyDescent="0.25">
      <c r="A823" s="1079">
        <f t="shared" si="31"/>
        <v>12</v>
      </c>
      <c r="B823" s="1079" t="s">
        <v>1362</v>
      </c>
      <c r="C823" s="1079" t="str">
        <f t="shared" si="33"/>
        <v>Fechamento de Shaft em Chapas De Gesso Para Drywall, Uso Interno, Montante 90mm, Com Duas Face Simples Resistente à Umidade e isolamento com Lâ de Vidro (RU/90/RU)</v>
      </c>
      <c r="D823" s="1079" t="s">
        <v>1687</v>
      </c>
      <c r="E823" s="1080" t="str">
        <f>_xlfn.XLOOKUP(D823,Insumos!$B$1:$B$670,Insumos!$C$1:$C$670)</f>
        <v>M</v>
      </c>
      <c r="F823" s="1083">
        <v>2.5026999999999999</v>
      </c>
      <c r="G823" s="1081">
        <f>IF(B823="insumo",_xlfn.XLOOKUP($D823,Insumos!$B$1:$B$670,Insumos!$D$1:$D$670),"")</f>
        <v>0.31</v>
      </c>
      <c r="H823" s="1081" cm="1">
        <f t="array" ref="H823">_xlfn.IFS(B823="Serviço",SUMIFS(H824:$H$2465,C824:$C$2465,$C823),B823="Insumo",F823*G823,B823="Etapa","")</f>
        <v>0.775837</v>
      </c>
      <c r="I823" s="1082"/>
    </row>
    <row r="824" spans="1:9" hidden="1" outlineLevel="2" x14ac:dyDescent="0.25">
      <c r="A824" s="1079">
        <f t="shared" si="31"/>
        <v>12</v>
      </c>
      <c r="B824" s="1079" t="s">
        <v>1362</v>
      </c>
      <c r="C824" s="1079" t="str">
        <f t="shared" si="33"/>
        <v>Fechamento de Shaft em Chapas De Gesso Para Drywall, Uso Interno, Montante 90mm, Com Duas Face Simples Resistente à Umidade e isolamento com Lâ de Vidro (RU/90/RU)</v>
      </c>
      <c r="D824" s="1079" t="s">
        <v>1688</v>
      </c>
      <c r="E824" s="1080" t="str">
        <f>_xlfn.XLOOKUP(D824,Insumos!$B$1:$B$670,Insumos!$C$1:$C$670)</f>
        <v>M</v>
      </c>
      <c r="F824" s="1083">
        <v>1.5851</v>
      </c>
      <c r="G824" s="1081">
        <f>IF(B824="insumo",_xlfn.XLOOKUP($D824,Insumos!$B$1:$B$670,Insumos!$D$1:$D$670),"")</f>
        <v>2.74</v>
      </c>
      <c r="H824" s="1081" cm="1">
        <f t="array" ref="H824">_xlfn.IFS(B824="Serviço",SUMIFS(H825:$H$2465,C825:$C$2465,$C824),B824="Insumo",F824*G824,B824="Etapa","")</f>
        <v>4.3431740000000003</v>
      </c>
      <c r="I824" s="1082"/>
    </row>
    <row r="825" spans="1:9" hidden="1" outlineLevel="2" x14ac:dyDescent="0.25">
      <c r="A825" s="1079">
        <f t="shared" si="31"/>
        <v>10</v>
      </c>
      <c r="B825" s="1079" t="s">
        <v>1362</v>
      </c>
      <c r="C825" s="1079" t="str">
        <f t="shared" si="33"/>
        <v>Fechamento de Shaft em Chapas De Gesso Para Drywall, Uso Interno, Montante 90mm, Com Duas Face Simples Resistente à Umidade e isolamento com Lâ de Vidro (RU/90/RU)</v>
      </c>
      <c r="D825" s="1079" t="s">
        <v>1689</v>
      </c>
      <c r="E825" s="1080" t="str">
        <f>_xlfn.XLOOKUP(D825,Insumos!$B$1:$B$670,Insumos!$C$1:$C$670)</f>
        <v>UN</v>
      </c>
      <c r="F825" s="1083">
        <v>20.186800000000002</v>
      </c>
      <c r="G825" s="1081">
        <f>IF(B825="insumo",_xlfn.XLOOKUP($D825,Insumos!$B$1:$B$670,Insumos!$D$1:$D$670),"")</f>
        <v>0.09</v>
      </c>
      <c r="H825" s="1081" cm="1">
        <f t="array" ref="H825">_xlfn.IFS(B825="Serviço",SUMIFS(H826:$H$2465,C826:$C$2465,$C825),B825="Insumo",F825*G825,B825="Etapa","")</f>
        <v>1.8168120000000001</v>
      </c>
      <c r="I825" s="1082"/>
    </row>
    <row r="826" spans="1:9" hidden="1" outlineLevel="2" x14ac:dyDescent="0.25">
      <c r="A826" s="1079">
        <f t="shared" si="31"/>
        <v>10</v>
      </c>
      <c r="B826" s="1079" t="s">
        <v>1362</v>
      </c>
      <c r="C826" s="1079" t="str">
        <f t="shared" si="33"/>
        <v>Fechamento de Shaft em Chapas De Gesso Para Drywall, Uso Interno, Montante 90mm, Com Duas Face Simples Resistente à Umidade e isolamento com Lâ de Vidro (RU/90/RU)</v>
      </c>
      <c r="D826" s="1079" t="s">
        <v>1690</v>
      </c>
      <c r="E826" s="1080" t="str">
        <f>_xlfn.XLOOKUP(D826,Insumos!$B$1:$B$670,Insumos!$C$1:$C$670)</f>
        <v>UN</v>
      </c>
      <c r="F826" s="1083">
        <v>0.54410000000000003</v>
      </c>
      <c r="G826" s="1081">
        <f>IF(B826="insumo",_xlfn.XLOOKUP($D826,Insumos!$B$1:$B$670,Insumos!$D$1:$D$670),"")</f>
        <v>0.2</v>
      </c>
      <c r="H826" s="1081" cm="1">
        <f t="array" ref="H826">_xlfn.IFS(B826="Serviço",SUMIFS(H827:$H$2465,C827:$C$2465,$C826),B826="Insumo",F826*G826,B826="Etapa","")</f>
        <v>0.10882000000000001</v>
      </c>
      <c r="I826" s="1082"/>
    </row>
    <row r="827" spans="1:9" hidden="1" outlineLevel="2" x14ac:dyDescent="0.25">
      <c r="A827" s="1079">
        <f t="shared" si="31"/>
        <v>8</v>
      </c>
      <c r="B827" s="1079" t="s">
        <v>1362</v>
      </c>
      <c r="C827" s="1079" t="str">
        <f t="shared" si="33"/>
        <v>Fechamento de Shaft em Chapas De Gesso Para Drywall, Uso Interno, Montante 90mm, Com Duas Face Simples Resistente à Umidade e isolamento com Lâ de Vidro (RU/90/RU)</v>
      </c>
      <c r="D827" s="1079" t="s">
        <v>1691</v>
      </c>
      <c r="E827" s="1080" t="str">
        <f>_xlfn.XLOOKUP(D827,Insumos!$B$1:$B$670,Insumos!$C$1:$C$670)</f>
        <v>M2</v>
      </c>
      <c r="F827" s="1083">
        <v>1.1000000000000001</v>
      </c>
      <c r="G827" s="1081">
        <f>IF(B827="insumo",_xlfn.XLOOKUP($D827,Insumos!$B$1:$B$670,Insumos!$D$1:$D$670),"")</f>
        <v>12.828666666666667</v>
      </c>
      <c r="H827" s="1081" cm="1">
        <f t="array" ref="H827">_xlfn.IFS(B827="Serviço",SUMIFS(H828:$H$2465,C828:$C$2465,$C827),B827="Insumo",F827*G827,B827="Etapa","")</f>
        <v>14.111533333333334</v>
      </c>
      <c r="I827" s="1082"/>
    </row>
    <row r="828" spans="1:9" hidden="1" outlineLevel="1" x14ac:dyDescent="0.25">
      <c r="A828" s="1079">
        <f t="shared" si="31"/>
        <v>1</v>
      </c>
      <c r="B828" s="1079" t="s">
        <v>471</v>
      </c>
      <c r="C828" s="1079" t="str">
        <f t="shared" si="33"/>
        <v>Parede Com Sistema Em Chapas De Gesso Para Drywall, Uso Interno, Montante 70mm, Com Uma Face Simples Resistente à Umidade (RU/70)</v>
      </c>
      <c r="D828" s="1079" t="s">
        <v>1707</v>
      </c>
      <c r="E828" s="1080" t="s">
        <v>17</v>
      </c>
      <c r="F828" s="1079"/>
      <c r="G828" s="1081" t="str">
        <f>IF(B828="insumo",_xlfn.XLOOKUP($D828,Insumos!$B$1:$B$670,Insumos!$D$1:$D$670),"")</f>
        <v/>
      </c>
      <c r="H828" s="1081" cm="1">
        <f t="array" ref="H828">_xlfn.IFS(B828="Serviço",SUMIFS(H829:$H$2465,C829:$C$2465,$C828),B828="Insumo",F828*G828,B828="Etapa","")</f>
        <v>138.4548245</v>
      </c>
      <c r="I828" s="1082" t="s">
        <v>872</v>
      </c>
    </row>
    <row r="829" spans="1:9" hidden="1" outlineLevel="2" x14ac:dyDescent="0.25">
      <c r="A829" s="1079">
        <f t="shared" si="31"/>
        <v>10</v>
      </c>
      <c r="B829" s="1079" t="s">
        <v>1362</v>
      </c>
      <c r="C829" s="1079" t="str">
        <f t="shared" si="33"/>
        <v>Parede Com Sistema Em Chapas De Gesso Para Drywall, Uso Interno, Montante 70mm, Com Uma Face Simples Resistente à Umidade (RU/70)</v>
      </c>
      <c r="D829" s="1079" t="s">
        <v>1682</v>
      </c>
      <c r="E829" s="1080" t="str">
        <f>_xlfn.XLOOKUP(D829,Insumos!$B$1:$B$670,Insumos!$C$1:$C$670)</f>
        <v>M2</v>
      </c>
      <c r="F829" s="1083">
        <v>1</v>
      </c>
      <c r="G829" s="1081">
        <f>IF(B829="insumo",_xlfn.XLOOKUP($D829,Insumos!$B$1:$B$670,Insumos!$D$1:$D$670),"")</f>
        <v>40</v>
      </c>
      <c r="H829" s="1081" cm="1">
        <f t="array" ref="H829">_xlfn.IFS(B829="Serviço",SUMIFS(H830:$H$2465,C830:$C$2465,$C829),B829="Insumo",F829*G829,B829="Etapa","")</f>
        <v>40</v>
      </c>
      <c r="I829" s="1082"/>
    </row>
    <row r="830" spans="1:9" hidden="1" outlineLevel="2" x14ac:dyDescent="0.25">
      <c r="A830" s="1079">
        <f t="shared" si="31"/>
        <v>7</v>
      </c>
      <c r="B830" s="1079" t="s">
        <v>1362</v>
      </c>
      <c r="C830" s="1079" t="str">
        <f t="shared" si="33"/>
        <v>Parede Com Sistema Em Chapas De Gesso Para Drywall, Uso Interno, Montante 70mm, Com Uma Face Simples Resistente à Umidade (RU/70)</v>
      </c>
      <c r="D830" s="1079" t="s">
        <v>1693</v>
      </c>
      <c r="E830" s="1080" t="str">
        <f>_xlfn.XLOOKUP(D830,Insumos!$B$1:$B$670,Insumos!$C$1:$C$670)</f>
        <v>M2</v>
      </c>
      <c r="F830" s="1083">
        <v>1.0529999999999999</v>
      </c>
      <c r="G830" s="1081">
        <f>IF(B830="insumo",_xlfn.XLOOKUP($D830,Insumos!$B$1:$B$670,Insumos!$D$1:$D$670),"")</f>
        <v>29.194444444444446</v>
      </c>
      <c r="H830" s="1081" cm="1">
        <f t="array" ref="H830">_xlfn.IFS(B830="Serviço",SUMIFS(H831:$H$2465,C831:$C$2465,$C830),B830="Insumo",F830*G830,B830="Etapa","")</f>
        <v>30.74175</v>
      </c>
      <c r="I830" s="1082"/>
    </row>
    <row r="831" spans="1:9" hidden="1" outlineLevel="2" x14ac:dyDescent="0.25">
      <c r="A831" s="1079">
        <f t="shared" si="31"/>
        <v>12</v>
      </c>
      <c r="B831" s="1079" t="s">
        <v>1362</v>
      </c>
      <c r="C831" s="1079" t="str">
        <f t="shared" si="33"/>
        <v>Parede Com Sistema Em Chapas De Gesso Para Drywall, Uso Interno, Montante 70mm, Com Uma Face Simples Resistente à Umidade (RU/70)</v>
      </c>
      <c r="D831" s="1079" t="s">
        <v>1684</v>
      </c>
      <c r="E831" s="1080" t="str">
        <f>_xlfn.XLOOKUP(D831,Insumos!$B$1:$B$670,Insumos!$C$1:$C$670)</f>
        <v>UN</v>
      </c>
      <c r="F831" s="1083">
        <v>5.92</v>
      </c>
      <c r="G831" s="1081">
        <f>IF(B831="insumo",_xlfn.XLOOKUP($D831,Insumos!$B$1:$B$670,Insumos!$D$1:$D$670),"")</f>
        <v>0.504</v>
      </c>
      <c r="H831" s="1081" cm="1">
        <f t="array" ref="H831">_xlfn.IFS(B831="Serviço",SUMIFS(H832:$H$2465,C832:$C$2465,$C831),B831="Insumo",F831*G831,B831="Etapa","")</f>
        <v>2.9836800000000001</v>
      </c>
      <c r="I831" s="1082"/>
    </row>
    <row r="832" spans="1:9" hidden="1" outlineLevel="2" x14ac:dyDescent="0.25">
      <c r="A832" s="1079">
        <f t="shared" si="31"/>
        <v>5</v>
      </c>
      <c r="B832" s="1079" t="s">
        <v>1362</v>
      </c>
      <c r="C832" s="1079" t="str">
        <f t="shared" si="33"/>
        <v>Parede Com Sistema Em Chapas De Gesso Para Drywall, Uso Interno, Montante 70mm, Com Uma Face Simples Resistente à Umidade (RU/70)</v>
      </c>
      <c r="D832" s="1079" t="s">
        <v>1704</v>
      </c>
      <c r="E832" s="1080" t="str">
        <f>_xlfn.XLOOKUP(D832,Insumos!$B$1:$B$670,Insumos!$C$1:$C$670)</f>
        <v>M</v>
      </c>
      <c r="F832" s="1083">
        <v>1.8233999999999999</v>
      </c>
      <c r="G832" s="1081">
        <f>IF(B832="insumo",_xlfn.XLOOKUP($D832,Insumos!$B$1:$B$670,Insumos!$D$1:$D$670),"")</f>
        <v>7.03</v>
      </c>
      <c r="H832" s="1081" cm="1">
        <f t="array" ref="H832">_xlfn.IFS(B832="Serviço",SUMIFS(H833:$H$2465,C833:$C$2465,$C832),B832="Insumo",F832*G832,B832="Etapa","")</f>
        <v>12.818502000000001</v>
      </c>
      <c r="I832" s="1082"/>
    </row>
    <row r="833" spans="1:9" hidden="1" outlineLevel="2" x14ac:dyDescent="0.25">
      <c r="A833" s="1079">
        <f t="shared" si="31"/>
        <v>5</v>
      </c>
      <c r="B833" s="1079" t="s">
        <v>1362</v>
      </c>
      <c r="C833" s="1079" t="str">
        <f t="shared" si="33"/>
        <v>Parede Com Sistema Em Chapas De Gesso Para Drywall, Uso Interno, Montante 70mm, Com Uma Face Simples Resistente à Umidade (RU/70)</v>
      </c>
      <c r="D833" s="1079" t="s">
        <v>1705</v>
      </c>
      <c r="E833" s="1080" t="str">
        <f>_xlfn.XLOOKUP(D833,Insumos!$B$1:$B$670,Insumos!$C$1:$C$670)</f>
        <v>M</v>
      </c>
      <c r="F833" s="1083">
        <v>5.8277999999999999</v>
      </c>
      <c r="G833" s="1081">
        <f>IF(B833="insumo",_xlfn.XLOOKUP($D833,Insumos!$B$1:$B$670,Insumos!$D$1:$D$670),"")</f>
        <v>7.98</v>
      </c>
      <c r="H833" s="1081" cm="1">
        <f t="array" ref="H833">_xlfn.IFS(B833="Serviço",SUMIFS(H834:$H$2465,C834:$C$2465,$C833),B833="Insumo",F833*G833,B833="Etapa","")</f>
        <v>46.505844000000003</v>
      </c>
      <c r="I833" s="1082"/>
    </row>
    <row r="834" spans="1:9" hidden="1" outlineLevel="2" x14ac:dyDescent="0.25">
      <c r="A834" s="1079">
        <f t="shared" ref="A834:A897" si="34">COUNTIFS($D$2:$D$2465,D834,$B$2:$B$2465,B834)</f>
        <v>13</v>
      </c>
      <c r="B834" s="1079" t="s">
        <v>1362</v>
      </c>
      <c r="C834" s="1079" t="str">
        <f t="shared" si="33"/>
        <v>Parede Com Sistema Em Chapas De Gesso Para Drywall, Uso Interno, Montante 70mm, Com Uma Face Simples Resistente à Umidade (RU/70)</v>
      </c>
      <c r="D834" s="1079" t="s">
        <v>1680</v>
      </c>
      <c r="E834" s="1080" t="str">
        <f>_xlfn.XLOOKUP(D834,Insumos!$B$1:$B$670,Insumos!$C$1:$C$670)</f>
        <v>KG</v>
      </c>
      <c r="F834" s="1083">
        <v>0.54890000000000005</v>
      </c>
      <c r="G834" s="1081">
        <f>IF(B834="insumo",_xlfn.XLOOKUP($D834,Insumos!$B$1:$B$670,Insumos!$D$1:$D$670),"")</f>
        <v>3.43</v>
      </c>
      <c r="H834" s="1081" cm="1">
        <f t="array" ref="H834">_xlfn.IFS(B834="Serviço",SUMIFS(H835:$H$2465,C835:$C$2465,$C834),B834="Insumo",F834*G834,B834="Etapa","")</f>
        <v>1.8827270000000003</v>
      </c>
      <c r="I834" s="1082"/>
    </row>
    <row r="835" spans="1:9" hidden="1" outlineLevel="2" x14ac:dyDescent="0.25">
      <c r="A835" s="1079">
        <f t="shared" si="34"/>
        <v>12</v>
      </c>
      <c r="B835" s="1079" t="s">
        <v>1362</v>
      </c>
      <c r="C835" s="1079" t="str">
        <f t="shared" si="33"/>
        <v>Parede Com Sistema Em Chapas De Gesso Para Drywall, Uso Interno, Montante 70mm, Com Uma Face Simples Resistente à Umidade (RU/70)</v>
      </c>
      <c r="D835" s="1079" t="s">
        <v>1687</v>
      </c>
      <c r="E835" s="1080" t="str">
        <f>_xlfn.XLOOKUP(D835,Insumos!$B$1:$B$670,Insumos!$C$1:$C$670)</f>
        <v>M</v>
      </c>
      <c r="F835" s="1083">
        <v>1.25135</v>
      </c>
      <c r="G835" s="1081">
        <f>IF(B835="insumo",_xlfn.XLOOKUP($D835,Insumos!$B$1:$B$670,Insumos!$D$1:$D$670),"")</f>
        <v>0.31</v>
      </c>
      <c r="H835" s="1081" cm="1">
        <f t="array" ref="H835">_xlfn.IFS(B835="Serviço",SUMIFS(H836:$H$2465,C836:$C$2465,$C835),B835="Insumo",F835*G835,B835="Etapa","")</f>
        <v>0.3879185</v>
      </c>
      <c r="I835" s="1082"/>
    </row>
    <row r="836" spans="1:9" hidden="1" outlineLevel="2" x14ac:dyDescent="0.25">
      <c r="A836" s="1079">
        <f t="shared" si="34"/>
        <v>12</v>
      </c>
      <c r="B836" s="1079" t="s">
        <v>1362</v>
      </c>
      <c r="C836" s="1079" t="str">
        <f t="shared" si="33"/>
        <v>Parede Com Sistema Em Chapas De Gesso Para Drywall, Uso Interno, Montante 70mm, Com Uma Face Simples Resistente à Umidade (RU/70)</v>
      </c>
      <c r="D836" s="1079" t="s">
        <v>1688</v>
      </c>
      <c r="E836" s="1080" t="str">
        <f>_xlfn.XLOOKUP(D836,Insumos!$B$1:$B$670,Insumos!$C$1:$C$670)</f>
        <v>M</v>
      </c>
      <c r="F836" s="1083">
        <v>0.79254999999999998</v>
      </c>
      <c r="G836" s="1081">
        <f>IF(B836="insumo",_xlfn.XLOOKUP($D836,Insumos!$B$1:$B$670,Insumos!$D$1:$D$670),"")</f>
        <v>2.74</v>
      </c>
      <c r="H836" s="1081" cm="1">
        <f t="array" ref="H836">_xlfn.IFS(B836="Serviço",SUMIFS(H837:$H$2465,C837:$C$2465,$C836),B836="Insumo",F836*G836,B836="Etapa","")</f>
        <v>2.1715870000000002</v>
      </c>
      <c r="I836" s="1082"/>
    </row>
    <row r="837" spans="1:9" hidden="1" outlineLevel="2" x14ac:dyDescent="0.25">
      <c r="A837" s="1079">
        <f t="shared" si="34"/>
        <v>10</v>
      </c>
      <c r="B837" s="1079" t="s">
        <v>1362</v>
      </c>
      <c r="C837" s="1079" t="str">
        <f t="shared" si="33"/>
        <v>Parede Com Sistema Em Chapas De Gesso Para Drywall, Uso Interno, Montante 70mm, Com Uma Face Simples Resistente à Umidade (RU/70)</v>
      </c>
      <c r="D837" s="1079" t="s">
        <v>1689</v>
      </c>
      <c r="E837" s="1080" t="str">
        <f>_xlfn.XLOOKUP(D837,Insumos!$B$1:$B$670,Insumos!$C$1:$C$670)</f>
        <v>UN</v>
      </c>
      <c r="F837" s="1083">
        <v>10.093400000000001</v>
      </c>
      <c r="G837" s="1081">
        <f>IF(B837="insumo",_xlfn.XLOOKUP($D837,Insumos!$B$1:$B$670,Insumos!$D$1:$D$670),"")</f>
        <v>0.09</v>
      </c>
      <c r="H837" s="1081" cm="1">
        <f t="array" ref="H837">_xlfn.IFS(B837="Serviço",SUMIFS(H838:$H$2465,C838:$C$2465,$C837),B837="Insumo",F837*G837,B837="Etapa","")</f>
        <v>0.90840600000000005</v>
      </c>
      <c r="I837" s="1082"/>
    </row>
    <row r="838" spans="1:9" hidden="1" outlineLevel="2" x14ac:dyDescent="0.25">
      <c r="A838" s="1079">
        <f t="shared" si="34"/>
        <v>10</v>
      </c>
      <c r="B838" s="1079" t="s">
        <v>1362</v>
      </c>
      <c r="C838" s="1079" t="str">
        <f t="shared" si="33"/>
        <v>Parede Com Sistema Em Chapas De Gesso Para Drywall, Uso Interno, Montante 70mm, Com Uma Face Simples Resistente à Umidade (RU/70)</v>
      </c>
      <c r="D838" s="1079" t="s">
        <v>1690</v>
      </c>
      <c r="E838" s="1080" t="str">
        <f>_xlfn.XLOOKUP(D838,Insumos!$B$1:$B$670,Insumos!$C$1:$C$670)</f>
        <v>UN</v>
      </c>
      <c r="F838" s="1083">
        <v>0.27205000000000001</v>
      </c>
      <c r="G838" s="1081">
        <f>IF(B838="insumo",_xlfn.XLOOKUP($D838,Insumos!$B$1:$B$670,Insumos!$D$1:$D$670),"")</f>
        <v>0.2</v>
      </c>
      <c r="H838" s="1081" cm="1">
        <f t="array" ref="H838">_xlfn.IFS(B838="Serviço",SUMIFS(H839:$H$2465,C839:$C$2465,$C838),B838="Insumo",F838*G838,B838="Etapa","")</f>
        <v>5.4410000000000007E-2</v>
      </c>
      <c r="I838" s="1082"/>
    </row>
    <row r="839" spans="1:9" hidden="1" outlineLevel="1" collapsed="1" x14ac:dyDescent="0.25">
      <c r="A839" s="1079">
        <f t="shared" si="34"/>
        <v>1</v>
      </c>
      <c r="B839" s="1079" t="s">
        <v>471</v>
      </c>
      <c r="C839" s="1079" t="str">
        <f t="shared" si="33"/>
        <v>Parede Com Sistema Em Chapas De Gesso Para Drywall, Uso Interno, Montante 70mm, Com Uma Face Simples Resistente à Umidade e isolamento com Lâ de Vidro (RU/70)</v>
      </c>
      <c r="D839" s="1079" t="s">
        <v>1708</v>
      </c>
      <c r="E839" s="1080" t="s">
        <v>17</v>
      </c>
      <c r="F839" s="1079"/>
      <c r="G839" s="1081" t="str">
        <f>IF(B839="insumo",_xlfn.XLOOKUP($D839,Insumos!$B$1:$B$670,Insumos!$D$1:$D$670),"")</f>
        <v/>
      </c>
      <c r="H839" s="1081" cm="1">
        <f t="array" ref="H839">_xlfn.IFS(B839="Serviço",SUMIFS(H840:$H$2465,C840:$C$2465,$C839),B839="Insumo",F839*G839,B839="Etapa","")</f>
        <v>152.56635783333334</v>
      </c>
      <c r="I839" s="1082" t="s">
        <v>872</v>
      </c>
    </row>
    <row r="840" spans="1:9" hidden="1" outlineLevel="2" x14ac:dyDescent="0.25">
      <c r="A840" s="1079">
        <f t="shared" si="34"/>
        <v>10</v>
      </c>
      <c r="B840" s="1079" t="s">
        <v>1362</v>
      </c>
      <c r="C840" s="1079" t="str">
        <f t="shared" si="33"/>
        <v>Parede Com Sistema Em Chapas De Gesso Para Drywall, Uso Interno, Montante 70mm, Com Uma Face Simples Resistente à Umidade e isolamento com Lâ de Vidro (RU/70)</v>
      </c>
      <c r="D840" s="1079" t="s">
        <v>1682</v>
      </c>
      <c r="E840" s="1080" t="str">
        <f>_xlfn.XLOOKUP(D840,Insumos!$B$1:$B$670,Insumos!$C$1:$C$670)</f>
        <v>M2</v>
      </c>
      <c r="F840" s="1083">
        <v>1</v>
      </c>
      <c r="G840" s="1081">
        <f>IF(B840="insumo",_xlfn.XLOOKUP($D840,Insumos!$B$1:$B$670,Insumos!$D$1:$D$670),"")</f>
        <v>40</v>
      </c>
      <c r="H840" s="1081" cm="1">
        <f t="array" ref="H840">_xlfn.IFS(B840="Serviço",SUMIFS(H841:$H$2465,C841:$C$2465,$C840),B840="Insumo",F840*G840,B840="Etapa","")</f>
        <v>40</v>
      </c>
      <c r="I840" s="1082"/>
    </row>
    <row r="841" spans="1:9" hidden="1" outlineLevel="2" x14ac:dyDescent="0.25">
      <c r="A841" s="1079">
        <f t="shared" si="34"/>
        <v>7</v>
      </c>
      <c r="B841" s="1079" t="s">
        <v>1362</v>
      </c>
      <c r="C841" s="1079" t="str">
        <f t="shared" si="33"/>
        <v>Parede Com Sistema Em Chapas De Gesso Para Drywall, Uso Interno, Montante 70mm, Com Uma Face Simples Resistente à Umidade e isolamento com Lâ de Vidro (RU/70)</v>
      </c>
      <c r="D841" s="1079" t="s">
        <v>1693</v>
      </c>
      <c r="E841" s="1080" t="str">
        <f>_xlfn.XLOOKUP(D841,Insumos!$B$1:$B$670,Insumos!$C$1:$C$670)</f>
        <v>M2</v>
      </c>
      <c r="F841" s="1083">
        <v>1.0529999999999999</v>
      </c>
      <c r="G841" s="1081">
        <f>IF(B841="insumo",_xlfn.XLOOKUP($D841,Insumos!$B$1:$B$670,Insumos!$D$1:$D$670),"")</f>
        <v>29.194444444444446</v>
      </c>
      <c r="H841" s="1081" cm="1">
        <f t="array" ref="H841">_xlfn.IFS(B841="Serviço",SUMIFS(H842:$H$2465,C842:$C$2465,$C841),B841="Insumo",F841*G841,B841="Etapa","")</f>
        <v>30.74175</v>
      </c>
      <c r="I841" s="1082"/>
    </row>
    <row r="842" spans="1:9" hidden="1" outlineLevel="2" x14ac:dyDescent="0.25">
      <c r="A842" s="1079">
        <f t="shared" si="34"/>
        <v>12</v>
      </c>
      <c r="B842" s="1079" t="s">
        <v>1362</v>
      </c>
      <c r="C842" s="1079" t="str">
        <f t="shared" si="33"/>
        <v>Parede Com Sistema Em Chapas De Gesso Para Drywall, Uso Interno, Montante 70mm, Com Uma Face Simples Resistente à Umidade e isolamento com Lâ de Vidro (RU/70)</v>
      </c>
      <c r="D842" s="1079" t="s">
        <v>1684</v>
      </c>
      <c r="E842" s="1080" t="str">
        <f>_xlfn.XLOOKUP(D842,Insumos!$B$1:$B$670,Insumos!$C$1:$C$670)</f>
        <v>UN</v>
      </c>
      <c r="F842" s="1083">
        <v>5.92</v>
      </c>
      <c r="G842" s="1081">
        <f>IF(B842="insumo",_xlfn.XLOOKUP($D842,Insumos!$B$1:$B$670,Insumos!$D$1:$D$670),"")</f>
        <v>0.504</v>
      </c>
      <c r="H842" s="1081" cm="1">
        <f t="array" ref="H842">_xlfn.IFS(B842="Serviço",SUMIFS(H843:$H$2465,C843:$C$2465,$C842),B842="Insumo",F842*G842,B842="Etapa","")</f>
        <v>2.9836800000000001</v>
      </c>
      <c r="I842" s="1082"/>
    </row>
    <row r="843" spans="1:9" hidden="1" outlineLevel="2" x14ac:dyDescent="0.25">
      <c r="A843" s="1079">
        <f t="shared" si="34"/>
        <v>5</v>
      </c>
      <c r="B843" s="1079" t="s">
        <v>1362</v>
      </c>
      <c r="C843" s="1079" t="str">
        <f t="shared" si="33"/>
        <v>Parede Com Sistema Em Chapas De Gesso Para Drywall, Uso Interno, Montante 70mm, Com Uma Face Simples Resistente à Umidade e isolamento com Lâ de Vidro (RU/70)</v>
      </c>
      <c r="D843" s="1079" t="s">
        <v>1704</v>
      </c>
      <c r="E843" s="1080" t="str">
        <f>_xlfn.XLOOKUP(D843,Insumos!$B$1:$B$670,Insumos!$C$1:$C$670)</f>
        <v>M</v>
      </c>
      <c r="F843" s="1083">
        <v>1.8233999999999999</v>
      </c>
      <c r="G843" s="1081">
        <f>IF(B843="insumo",_xlfn.XLOOKUP($D843,Insumos!$B$1:$B$670,Insumos!$D$1:$D$670),"")</f>
        <v>7.03</v>
      </c>
      <c r="H843" s="1081" cm="1">
        <f t="array" ref="H843">_xlfn.IFS(B843="Serviço",SUMIFS(H844:$H$2465,C844:$C$2465,$C843),B843="Insumo",F843*G843,B843="Etapa","")</f>
        <v>12.818502000000001</v>
      </c>
      <c r="I843" s="1082"/>
    </row>
    <row r="844" spans="1:9" hidden="1" outlineLevel="2" x14ac:dyDescent="0.25">
      <c r="A844" s="1079">
        <f t="shared" si="34"/>
        <v>5</v>
      </c>
      <c r="B844" s="1079" t="s">
        <v>1362</v>
      </c>
      <c r="C844" s="1079" t="str">
        <f t="shared" si="33"/>
        <v>Parede Com Sistema Em Chapas De Gesso Para Drywall, Uso Interno, Montante 70mm, Com Uma Face Simples Resistente à Umidade e isolamento com Lâ de Vidro (RU/70)</v>
      </c>
      <c r="D844" s="1079" t="s">
        <v>1705</v>
      </c>
      <c r="E844" s="1080" t="str">
        <f>_xlfn.XLOOKUP(D844,Insumos!$B$1:$B$670,Insumos!$C$1:$C$670)</f>
        <v>M</v>
      </c>
      <c r="F844" s="1083">
        <v>5.8277999999999999</v>
      </c>
      <c r="G844" s="1081">
        <f>IF(B844="insumo",_xlfn.XLOOKUP($D844,Insumos!$B$1:$B$670,Insumos!$D$1:$D$670),"")</f>
        <v>7.98</v>
      </c>
      <c r="H844" s="1081" cm="1">
        <f t="array" ref="H844">_xlfn.IFS(B844="Serviço",SUMIFS(H845:$H$2465,C845:$C$2465,$C844),B844="Insumo",F844*G844,B844="Etapa","")</f>
        <v>46.505844000000003</v>
      </c>
      <c r="I844" s="1082"/>
    </row>
    <row r="845" spans="1:9" hidden="1" outlineLevel="2" x14ac:dyDescent="0.25">
      <c r="A845" s="1079">
        <f t="shared" si="34"/>
        <v>13</v>
      </c>
      <c r="B845" s="1079" t="s">
        <v>1362</v>
      </c>
      <c r="C845" s="1079" t="str">
        <f t="shared" si="33"/>
        <v>Parede Com Sistema Em Chapas De Gesso Para Drywall, Uso Interno, Montante 70mm, Com Uma Face Simples Resistente à Umidade e isolamento com Lâ de Vidro (RU/70)</v>
      </c>
      <c r="D845" s="1079" t="s">
        <v>1680</v>
      </c>
      <c r="E845" s="1080" t="str">
        <f>_xlfn.XLOOKUP(D845,Insumos!$B$1:$B$670,Insumos!$C$1:$C$670)</f>
        <v>KG</v>
      </c>
      <c r="F845" s="1083">
        <v>0.54890000000000005</v>
      </c>
      <c r="G845" s="1081">
        <f>IF(B845="insumo",_xlfn.XLOOKUP($D845,Insumos!$B$1:$B$670,Insumos!$D$1:$D$670),"")</f>
        <v>3.43</v>
      </c>
      <c r="H845" s="1081" cm="1">
        <f t="array" ref="H845">_xlfn.IFS(B845="Serviço",SUMIFS(H846:$H$2465,C846:$C$2465,$C845),B845="Insumo",F845*G845,B845="Etapa","")</f>
        <v>1.8827270000000003</v>
      </c>
      <c r="I845" s="1082"/>
    </row>
    <row r="846" spans="1:9" hidden="1" outlineLevel="2" x14ac:dyDescent="0.25">
      <c r="A846" s="1079">
        <f t="shared" si="34"/>
        <v>12</v>
      </c>
      <c r="B846" s="1079" t="s">
        <v>1362</v>
      </c>
      <c r="C846" s="1079" t="str">
        <f t="shared" si="33"/>
        <v>Parede Com Sistema Em Chapas De Gesso Para Drywall, Uso Interno, Montante 70mm, Com Uma Face Simples Resistente à Umidade e isolamento com Lâ de Vidro (RU/70)</v>
      </c>
      <c r="D846" s="1079" t="s">
        <v>1687</v>
      </c>
      <c r="E846" s="1080" t="str">
        <f>_xlfn.XLOOKUP(D846,Insumos!$B$1:$B$670,Insumos!$C$1:$C$670)</f>
        <v>M</v>
      </c>
      <c r="F846" s="1083">
        <v>1.25135</v>
      </c>
      <c r="G846" s="1081">
        <f>IF(B846="insumo",_xlfn.XLOOKUP($D846,Insumos!$B$1:$B$670,Insumos!$D$1:$D$670),"")</f>
        <v>0.31</v>
      </c>
      <c r="H846" s="1081" cm="1">
        <f t="array" ref="H846">_xlfn.IFS(B846="Serviço",SUMIFS(H847:$H$2465,C847:$C$2465,$C846),B846="Insumo",F846*G846,B846="Etapa","")</f>
        <v>0.3879185</v>
      </c>
      <c r="I846" s="1082"/>
    </row>
    <row r="847" spans="1:9" hidden="1" outlineLevel="2" x14ac:dyDescent="0.25">
      <c r="A847" s="1079">
        <f t="shared" si="34"/>
        <v>12</v>
      </c>
      <c r="B847" s="1079" t="s">
        <v>1362</v>
      </c>
      <c r="C847" s="1079" t="str">
        <f t="shared" si="33"/>
        <v>Parede Com Sistema Em Chapas De Gesso Para Drywall, Uso Interno, Montante 70mm, Com Uma Face Simples Resistente à Umidade e isolamento com Lâ de Vidro (RU/70)</v>
      </c>
      <c r="D847" s="1079" t="s">
        <v>1688</v>
      </c>
      <c r="E847" s="1080" t="str">
        <f>_xlfn.XLOOKUP(D847,Insumos!$B$1:$B$670,Insumos!$C$1:$C$670)</f>
        <v>M</v>
      </c>
      <c r="F847" s="1083">
        <v>0.79254999999999998</v>
      </c>
      <c r="G847" s="1081">
        <f>IF(B847="insumo",_xlfn.XLOOKUP($D847,Insumos!$B$1:$B$670,Insumos!$D$1:$D$670),"")</f>
        <v>2.74</v>
      </c>
      <c r="H847" s="1081" cm="1">
        <f t="array" ref="H847">_xlfn.IFS(B847="Serviço",SUMIFS(H848:$H$2465,C848:$C$2465,$C847),B847="Insumo",F847*G847,B847="Etapa","")</f>
        <v>2.1715870000000002</v>
      </c>
      <c r="I847" s="1082"/>
    </row>
    <row r="848" spans="1:9" hidden="1" outlineLevel="2" x14ac:dyDescent="0.25">
      <c r="A848" s="1079">
        <f t="shared" si="34"/>
        <v>10</v>
      </c>
      <c r="B848" s="1079" t="s">
        <v>1362</v>
      </c>
      <c r="C848" s="1079" t="str">
        <f t="shared" si="33"/>
        <v>Parede Com Sistema Em Chapas De Gesso Para Drywall, Uso Interno, Montante 70mm, Com Uma Face Simples Resistente à Umidade e isolamento com Lâ de Vidro (RU/70)</v>
      </c>
      <c r="D848" s="1079" t="s">
        <v>1689</v>
      </c>
      <c r="E848" s="1080" t="str">
        <f>_xlfn.XLOOKUP(D848,Insumos!$B$1:$B$670,Insumos!$C$1:$C$670)</f>
        <v>UN</v>
      </c>
      <c r="F848" s="1083">
        <v>10.093400000000001</v>
      </c>
      <c r="G848" s="1081">
        <f>IF(B848="insumo",_xlfn.XLOOKUP($D848,Insumos!$B$1:$B$670,Insumos!$D$1:$D$670),"")</f>
        <v>0.09</v>
      </c>
      <c r="H848" s="1081" cm="1">
        <f t="array" ref="H848">_xlfn.IFS(B848="Serviço",SUMIFS(H849:$H$2465,C849:$C$2465,$C848),B848="Insumo",F848*G848,B848="Etapa","")</f>
        <v>0.90840600000000005</v>
      </c>
      <c r="I848" s="1082"/>
    </row>
    <row r="849" spans="1:9" hidden="1" outlineLevel="2" x14ac:dyDescent="0.25">
      <c r="A849" s="1079">
        <f t="shared" si="34"/>
        <v>10</v>
      </c>
      <c r="B849" s="1079" t="s">
        <v>1362</v>
      </c>
      <c r="C849" s="1079" t="str">
        <f t="shared" si="33"/>
        <v>Parede Com Sistema Em Chapas De Gesso Para Drywall, Uso Interno, Montante 70mm, Com Uma Face Simples Resistente à Umidade e isolamento com Lâ de Vidro (RU/70)</v>
      </c>
      <c r="D849" s="1079" t="s">
        <v>1690</v>
      </c>
      <c r="E849" s="1080" t="str">
        <f>_xlfn.XLOOKUP(D849,Insumos!$B$1:$B$670,Insumos!$C$1:$C$670)</f>
        <v>UN</v>
      </c>
      <c r="F849" s="1083">
        <v>0.27205000000000001</v>
      </c>
      <c r="G849" s="1081">
        <f>IF(B849="insumo",_xlfn.XLOOKUP($D849,Insumos!$B$1:$B$670,Insumos!$D$1:$D$670),"")</f>
        <v>0.2</v>
      </c>
      <c r="H849" s="1081" cm="1">
        <f t="array" ref="H849">_xlfn.IFS(B849="Serviço",SUMIFS(H850:$H$2465,C850:$C$2465,$C849),B849="Insumo",F849*G849,B849="Etapa","")</f>
        <v>5.4410000000000007E-2</v>
      </c>
      <c r="I849" s="1082"/>
    </row>
    <row r="850" spans="1:9" hidden="1" outlineLevel="2" x14ac:dyDescent="0.25">
      <c r="A850" s="1079">
        <f t="shared" si="34"/>
        <v>8</v>
      </c>
      <c r="B850" s="1079" t="s">
        <v>1362</v>
      </c>
      <c r="C850" s="1079" t="str">
        <f t="shared" si="33"/>
        <v>Parede Com Sistema Em Chapas De Gesso Para Drywall, Uso Interno, Montante 70mm, Com Uma Face Simples Resistente à Umidade e isolamento com Lâ de Vidro (RU/70)</v>
      </c>
      <c r="D850" s="1079" t="s">
        <v>1691</v>
      </c>
      <c r="E850" s="1080" t="str">
        <f>_xlfn.XLOOKUP(D850,Insumos!$B$1:$B$670,Insumos!$C$1:$C$670)</f>
        <v>M2</v>
      </c>
      <c r="F850" s="1083">
        <v>1.1000000000000001</v>
      </c>
      <c r="G850" s="1081">
        <f>IF(B850="insumo",_xlfn.XLOOKUP($D850,Insumos!$B$1:$B$670,Insumos!$D$1:$D$670),"")</f>
        <v>12.828666666666667</v>
      </c>
      <c r="H850" s="1081" cm="1">
        <f t="array" ref="H850">_xlfn.IFS(B850="Serviço",SUMIFS(H851:$H$2465,C851:$C$2465,$C850),B850="Insumo",F850*G850,B850="Etapa","")</f>
        <v>14.111533333333334</v>
      </c>
      <c r="I850" s="1082"/>
    </row>
    <row r="851" spans="1:9" hidden="1" outlineLevel="1" collapsed="1" x14ac:dyDescent="0.25">
      <c r="A851" s="1079">
        <f t="shared" si="34"/>
        <v>1</v>
      </c>
      <c r="B851" s="1079" t="s">
        <v>471</v>
      </c>
      <c r="C851" s="1079" t="str">
        <f t="shared" si="33"/>
        <v>Enchimento de parede em Chapas De Gesso Para Drywall, Uso Interno, Montante 70mm, Com Uma Face Simples Resistente à Umidade e isolamento com Lâ de Vidro (RU/70)</v>
      </c>
      <c r="D851" s="1079" t="s">
        <v>1709</v>
      </c>
      <c r="E851" s="1080" t="s">
        <v>17</v>
      </c>
      <c r="F851" s="1079"/>
      <c r="G851" s="1081" t="str">
        <f>IF(B851="insumo",_xlfn.XLOOKUP($D851,Insumos!$B$1:$B$670,Insumos!$D$1:$D$670),"")</f>
        <v/>
      </c>
      <c r="H851" s="1081" cm="1">
        <f t="array" ref="H851">_xlfn.IFS(B851="Serviço",SUMIFS(H852:$H$2465,C852:$C$2465,$C851),B851="Insumo",F851*G851,B851="Etapa","")</f>
        <v>152.56635783333334</v>
      </c>
      <c r="I851" s="1082" t="s">
        <v>872</v>
      </c>
    </row>
    <row r="852" spans="1:9" hidden="1" outlineLevel="2" x14ac:dyDescent="0.25">
      <c r="A852" s="1079">
        <f t="shared" si="34"/>
        <v>10</v>
      </c>
      <c r="B852" s="1079" t="s">
        <v>1362</v>
      </c>
      <c r="C852" s="1079" t="str">
        <f t="shared" si="33"/>
        <v>Enchimento de parede em Chapas De Gesso Para Drywall, Uso Interno, Montante 70mm, Com Uma Face Simples Resistente à Umidade e isolamento com Lâ de Vidro (RU/70)</v>
      </c>
      <c r="D852" s="1079" t="s">
        <v>1682</v>
      </c>
      <c r="E852" s="1080" t="str">
        <f>_xlfn.XLOOKUP(D852,Insumos!$B$1:$B$670,Insumos!$C$1:$C$670)</f>
        <v>M2</v>
      </c>
      <c r="F852" s="1083">
        <v>1</v>
      </c>
      <c r="G852" s="1081">
        <f>IF(B852="insumo",_xlfn.XLOOKUP($D852,Insumos!$B$1:$B$670,Insumos!$D$1:$D$670),"")</f>
        <v>40</v>
      </c>
      <c r="H852" s="1081" cm="1">
        <f t="array" ref="H852">_xlfn.IFS(B852="Serviço",SUMIFS(H853:$H$2465,C853:$C$2465,$C852),B852="Insumo",F852*G852,B852="Etapa","")</f>
        <v>40</v>
      </c>
      <c r="I852" s="1082"/>
    </row>
    <row r="853" spans="1:9" hidden="1" outlineLevel="2" x14ac:dyDescent="0.25">
      <c r="A853" s="1079">
        <f t="shared" si="34"/>
        <v>7</v>
      </c>
      <c r="B853" s="1079" t="s">
        <v>1362</v>
      </c>
      <c r="C853" s="1079" t="str">
        <f t="shared" si="33"/>
        <v>Enchimento de parede em Chapas De Gesso Para Drywall, Uso Interno, Montante 70mm, Com Uma Face Simples Resistente à Umidade e isolamento com Lâ de Vidro (RU/70)</v>
      </c>
      <c r="D853" s="1079" t="s">
        <v>1693</v>
      </c>
      <c r="E853" s="1080" t="str">
        <f>_xlfn.XLOOKUP(D853,Insumos!$B$1:$B$670,Insumos!$C$1:$C$670)</f>
        <v>M2</v>
      </c>
      <c r="F853" s="1083">
        <v>1.0529999999999999</v>
      </c>
      <c r="G853" s="1081">
        <f>IF(B853="insumo",_xlfn.XLOOKUP($D853,Insumos!$B$1:$B$670,Insumos!$D$1:$D$670),"")</f>
        <v>29.194444444444446</v>
      </c>
      <c r="H853" s="1081" cm="1">
        <f t="array" ref="H853">_xlfn.IFS(B853="Serviço",SUMIFS(H854:$H$2465,C854:$C$2465,$C853),B853="Insumo",F853*G853,B853="Etapa","")</f>
        <v>30.74175</v>
      </c>
      <c r="I853" s="1082"/>
    </row>
    <row r="854" spans="1:9" hidden="1" outlineLevel="2" x14ac:dyDescent="0.25">
      <c r="A854" s="1079">
        <f t="shared" si="34"/>
        <v>12</v>
      </c>
      <c r="B854" s="1079" t="s">
        <v>1362</v>
      </c>
      <c r="C854" s="1079" t="str">
        <f t="shared" si="33"/>
        <v>Enchimento de parede em Chapas De Gesso Para Drywall, Uso Interno, Montante 70mm, Com Uma Face Simples Resistente à Umidade e isolamento com Lâ de Vidro (RU/70)</v>
      </c>
      <c r="D854" s="1079" t="s">
        <v>1684</v>
      </c>
      <c r="E854" s="1080" t="str">
        <f>_xlfn.XLOOKUP(D854,Insumos!$B$1:$B$670,Insumos!$C$1:$C$670)</f>
        <v>UN</v>
      </c>
      <c r="F854" s="1083">
        <v>5.92</v>
      </c>
      <c r="G854" s="1081">
        <f>IF(B854="insumo",_xlfn.XLOOKUP($D854,Insumos!$B$1:$B$670,Insumos!$D$1:$D$670),"")</f>
        <v>0.504</v>
      </c>
      <c r="H854" s="1081" cm="1">
        <f t="array" ref="H854">_xlfn.IFS(B854="Serviço",SUMIFS(H855:$H$2465,C855:$C$2465,$C854),B854="Insumo",F854*G854,B854="Etapa","")</f>
        <v>2.9836800000000001</v>
      </c>
      <c r="I854" s="1082"/>
    </row>
    <row r="855" spans="1:9" hidden="1" outlineLevel="2" x14ac:dyDescent="0.25">
      <c r="A855" s="1079">
        <f t="shared" si="34"/>
        <v>5</v>
      </c>
      <c r="B855" s="1079" t="s">
        <v>1362</v>
      </c>
      <c r="C855" s="1079" t="str">
        <f t="shared" si="33"/>
        <v>Enchimento de parede em Chapas De Gesso Para Drywall, Uso Interno, Montante 70mm, Com Uma Face Simples Resistente à Umidade e isolamento com Lâ de Vidro (RU/70)</v>
      </c>
      <c r="D855" s="1079" t="s">
        <v>1704</v>
      </c>
      <c r="E855" s="1080" t="str">
        <f>_xlfn.XLOOKUP(D855,Insumos!$B$1:$B$670,Insumos!$C$1:$C$670)</f>
        <v>M</v>
      </c>
      <c r="F855" s="1083">
        <v>1.8233999999999999</v>
      </c>
      <c r="G855" s="1081">
        <f>IF(B855="insumo",_xlfn.XLOOKUP($D855,Insumos!$B$1:$B$670,Insumos!$D$1:$D$670),"")</f>
        <v>7.03</v>
      </c>
      <c r="H855" s="1081" cm="1">
        <f t="array" ref="H855">_xlfn.IFS(B855="Serviço",SUMIFS(H856:$H$2465,C856:$C$2465,$C855),B855="Insumo",F855*G855,B855="Etapa","")</f>
        <v>12.818502000000001</v>
      </c>
      <c r="I855" s="1082"/>
    </row>
    <row r="856" spans="1:9" hidden="1" outlineLevel="2" x14ac:dyDescent="0.25">
      <c r="A856" s="1079">
        <f t="shared" si="34"/>
        <v>5</v>
      </c>
      <c r="B856" s="1079" t="s">
        <v>1362</v>
      </c>
      <c r="C856" s="1079" t="str">
        <f t="shared" si="33"/>
        <v>Enchimento de parede em Chapas De Gesso Para Drywall, Uso Interno, Montante 70mm, Com Uma Face Simples Resistente à Umidade e isolamento com Lâ de Vidro (RU/70)</v>
      </c>
      <c r="D856" s="1079" t="s">
        <v>1705</v>
      </c>
      <c r="E856" s="1080" t="str">
        <f>_xlfn.XLOOKUP(D856,Insumos!$B$1:$B$670,Insumos!$C$1:$C$670)</f>
        <v>M</v>
      </c>
      <c r="F856" s="1083">
        <v>5.8277999999999999</v>
      </c>
      <c r="G856" s="1081">
        <f>IF(B856="insumo",_xlfn.XLOOKUP($D856,Insumos!$B$1:$B$670,Insumos!$D$1:$D$670),"")</f>
        <v>7.98</v>
      </c>
      <c r="H856" s="1081" cm="1">
        <f t="array" ref="H856">_xlfn.IFS(B856="Serviço",SUMIFS(H857:$H$2465,C857:$C$2465,$C856),B856="Insumo",F856*G856,B856="Etapa","")</f>
        <v>46.505844000000003</v>
      </c>
      <c r="I856" s="1082"/>
    </row>
    <row r="857" spans="1:9" hidden="1" outlineLevel="2" x14ac:dyDescent="0.25">
      <c r="A857" s="1079">
        <f t="shared" si="34"/>
        <v>13</v>
      </c>
      <c r="B857" s="1079" t="s">
        <v>1362</v>
      </c>
      <c r="C857" s="1079" t="str">
        <f t="shared" si="33"/>
        <v>Enchimento de parede em Chapas De Gesso Para Drywall, Uso Interno, Montante 70mm, Com Uma Face Simples Resistente à Umidade e isolamento com Lâ de Vidro (RU/70)</v>
      </c>
      <c r="D857" s="1079" t="s">
        <v>1680</v>
      </c>
      <c r="E857" s="1080" t="str">
        <f>_xlfn.XLOOKUP(D857,Insumos!$B$1:$B$670,Insumos!$C$1:$C$670)</f>
        <v>KG</v>
      </c>
      <c r="F857" s="1083">
        <v>0.54890000000000005</v>
      </c>
      <c r="G857" s="1081">
        <f>IF(B857="insumo",_xlfn.XLOOKUP($D857,Insumos!$B$1:$B$670,Insumos!$D$1:$D$670),"")</f>
        <v>3.43</v>
      </c>
      <c r="H857" s="1081" cm="1">
        <f t="array" ref="H857">_xlfn.IFS(B857="Serviço",SUMIFS(H858:$H$2465,C858:$C$2465,$C857),B857="Insumo",F857*G857,B857="Etapa","")</f>
        <v>1.8827270000000003</v>
      </c>
      <c r="I857" s="1082"/>
    </row>
    <row r="858" spans="1:9" hidden="1" outlineLevel="2" x14ac:dyDescent="0.25">
      <c r="A858" s="1079">
        <f t="shared" si="34"/>
        <v>12</v>
      </c>
      <c r="B858" s="1079" t="s">
        <v>1362</v>
      </c>
      <c r="C858" s="1079" t="str">
        <f t="shared" si="33"/>
        <v>Enchimento de parede em Chapas De Gesso Para Drywall, Uso Interno, Montante 70mm, Com Uma Face Simples Resistente à Umidade e isolamento com Lâ de Vidro (RU/70)</v>
      </c>
      <c r="D858" s="1079" t="s">
        <v>1687</v>
      </c>
      <c r="E858" s="1080" t="str">
        <f>_xlfn.XLOOKUP(D858,Insumos!$B$1:$B$670,Insumos!$C$1:$C$670)</f>
        <v>M</v>
      </c>
      <c r="F858" s="1083">
        <v>1.25135</v>
      </c>
      <c r="G858" s="1081">
        <f>IF(B858="insumo",_xlfn.XLOOKUP($D858,Insumos!$B$1:$B$670,Insumos!$D$1:$D$670),"")</f>
        <v>0.31</v>
      </c>
      <c r="H858" s="1081" cm="1">
        <f t="array" ref="H858">_xlfn.IFS(B858="Serviço",SUMIFS(H859:$H$2465,C859:$C$2465,$C858),B858="Insumo",F858*G858,B858="Etapa","")</f>
        <v>0.3879185</v>
      </c>
      <c r="I858" s="1082"/>
    </row>
    <row r="859" spans="1:9" hidden="1" outlineLevel="2" x14ac:dyDescent="0.25">
      <c r="A859" s="1079">
        <f t="shared" si="34"/>
        <v>12</v>
      </c>
      <c r="B859" s="1079" t="s">
        <v>1362</v>
      </c>
      <c r="C859" s="1079" t="str">
        <f t="shared" si="33"/>
        <v>Enchimento de parede em Chapas De Gesso Para Drywall, Uso Interno, Montante 70mm, Com Uma Face Simples Resistente à Umidade e isolamento com Lâ de Vidro (RU/70)</v>
      </c>
      <c r="D859" s="1079" t="s">
        <v>1688</v>
      </c>
      <c r="E859" s="1080" t="str">
        <f>_xlfn.XLOOKUP(D859,Insumos!$B$1:$B$670,Insumos!$C$1:$C$670)</f>
        <v>M</v>
      </c>
      <c r="F859" s="1083">
        <v>0.79254999999999998</v>
      </c>
      <c r="G859" s="1081">
        <f>IF(B859="insumo",_xlfn.XLOOKUP($D859,Insumos!$B$1:$B$670,Insumos!$D$1:$D$670),"")</f>
        <v>2.74</v>
      </c>
      <c r="H859" s="1081" cm="1">
        <f t="array" ref="H859">_xlfn.IFS(B859="Serviço",SUMIFS(H860:$H$2465,C860:$C$2465,$C859),B859="Insumo",F859*G859,B859="Etapa","")</f>
        <v>2.1715870000000002</v>
      </c>
      <c r="I859" s="1082"/>
    </row>
    <row r="860" spans="1:9" hidden="1" outlineLevel="2" x14ac:dyDescent="0.25">
      <c r="A860" s="1079">
        <f t="shared" si="34"/>
        <v>10</v>
      </c>
      <c r="B860" s="1079" t="s">
        <v>1362</v>
      </c>
      <c r="C860" s="1079" t="str">
        <f t="shared" si="33"/>
        <v>Enchimento de parede em Chapas De Gesso Para Drywall, Uso Interno, Montante 70mm, Com Uma Face Simples Resistente à Umidade e isolamento com Lâ de Vidro (RU/70)</v>
      </c>
      <c r="D860" s="1079" t="s">
        <v>1689</v>
      </c>
      <c r="E860" s="1080" t="str">
        <f>_xlfn.XLOOKUP(D860,Insumos!$B$1:$B$670,Insumos!$C$1:$C$670)</f>
        <v>UN</v>
      </c>
      <c r="F860" s="1083">
        <v>10.093400000000001</v>
      </c>
      <c r="G860" s="1081">
        <f>IF(B860="insumo",_xlfn.XLOOKUP($D860,Insumos!$B$1:$B$670,Insumos!$D$1:$D$670),"")</f>
        <v>0.09</v>
      </c>
      <c r="H860" s="1081" cm="1">
        <f t="array" ref="H860">_xlfn.IFS(B860="Serviço",SUMIFS(H861:$H$2465,C861:$C$2465,$C860),B860="Insumo",F860*G860,B860="Etapa","")</f>
        <v>0.90840600000000005</v>
      </c>
      <c r="I860" s="1082"/>
    </row>
    <row r="861" spans="1:9" hidden="1" outlineLevel="2" x14ac:dyDescent="0.25">
      <c r="A861" s="1079">
        <f t="shared" si="34"/>
        <v>10</v>
      </c>
      <c r="B861" s="1079" t="s">
        <v>1362</v>
      </c>
      <c r="C861" s="1079" t="str">
        <f t="shared" si="33"/>
        <v>Enchimento de parede em Chapas De Gesso Para Drywall, Uso Interno, Montante 70mm, Com Uma Face Simples Resistente à Umidade e isolamento com Lâ de Vidro (RU/70)</v>
      </c>
      <c r="D861" s="1079" t="s">
        <v>1690</v>
      </c>
      <c r="E861" s="1080" t="str">
        <f>_xlfn.XLOOKUP(D861,Insumos!$B$1:$B$670,Insumos!$C$1:$C$670)</f>
        <v>UN</v>
      </c>
      <c r="F861" s="1083">
        <v>0.27205000000000001</v>
      </c>
      <c r="G861" s="1081">
        <f>IF(B861="insumo",_xlfn.XLOOKUP($D861,Insumos!$B$1:$B$670,Insumos!$D$1:$D$670),"")</f>
        <v>0.2</v>
      </c>
      <c r="H861" s="1081" cm="1">
        <f t="array" ref="H861">_xlfn.IFS(B861="Serviço",SUMIFS(H862:$H$2465,C862:$C$2465,$C861),B861="Insumo",F861*G861,B861="Etapa","")</f>
        <v>5.4410000000000007E-2</v>
      </c>
      <c r="I861" s="1082"/>
    </row>
    <row r="862" spans="1:9" hidden="1" outlineLevel="2" x14ac:dyDescent="0.25">
      <c r="A862" s="1079">
        <f t="shared" si="34"/>
        <v>8</v>
      </c>
      <c r="B862" s="1079" t="s">
        <v>1362</v>
      </c>
      <c r="C862" s="1079" t="str">
        <f t="shared" si="33"/>
        <v>Enchimento de parede em Chapas De Gesso Para Drywall, Uso Interno, Montante 70mm, Com Uma Face Simples Resistente à Umidade e isolamento com Lâ de Vidro (RU/70)</v>
      </c>
      <c r="D862" s="1079" t="s">
        <v>1691</v>
      </c>
      <c r="E862" s="1080" t="str">
        <f>_xlfn.XLOOKUP(D862,Insumos!$B$1:$B$670,Insumos!$C$1:$C$670)</f>
        <v>M2</v>
      </c>
      <c r="F862" s="1083">
        <v>1.1000000000000001</v>
      </c>
      <c r="G862" s="1081">
        <f>IF(B862="insumo",_xlfn.XLOOKUP($D862,Insumos!$B$1:$B$670,Insumos!$D$1:$D$670),"")</f>
        <v>12.828666666666667</v>
      </c>
      <c r="H862" s="1081" cm="1">
        <f t="array" ref="H862">_xlfn.IFS(B862="Serviço",SUMIFS(H863:$H$2465,C863:$C$2465,$C862),B862="Insumo",F862*G862,B862="Etapa","")</f>
        <v>14.111533333333334</v>
      </c>
      <c r="I862" s="1082"/>
    </row>
    <row r="863" spans="1:9" hidden="1" outlineLevel="1" collapsed="1" x14ac:dyDescent="0.25">
      <c r="A863" s="1079">
        <f t="shared" si="34"/>
        <v>1</v>
      </c>
      <c r="B863" s="1079" t="s">
        <v>471</v>
      </c>
      <c r="C863" s="1079" t="str">
        <f t="shared" ref="C863:C904" si="35">IF(B863="serviço",D863,C862)</f>
        <v>Enchimento de parede em Chapas De Gesso Para Drywall, Uso Interno, Montante 70mm, Com Uma Face SimplesStandart e isolamento com Lâ de Vidro (ST/70/ST)</v>
      </c>
      <c r="D863" s="1079" t="s">
        <v>1710</v>
      </c>
      <c r="E863" s="1080" t="s">
        <v>17</v>
      </c>
      <c r="F863" s="1079"/>
      <c r="G863" s="1081" t="str">
        <f>IF(B863="insumo",_xlfn.XLOOKUP($D863,Insumos!$B$1:$B$670,Insumos!$D$1:$D$670),"")</f>
        <v/>
      </c>
      <c r="H863" s="1081" cm="1">
        <f t="array" ref="H863">_xlfn.IFS(B863="Serviço",SUMIFS(H864:$H$2465,C864:$C$2465,$C863),B863="Insumo",F863*G863,B863="Etapa","")</f>
        <v>165.99321883333337</v>
      </c>
      <c r="I863" s="1082" t="s">
        <v>872</v>
      </c>
    </row>
    <row r="864" spans="1:9" hidden="1" outlineLevel="2" x14ac:dyDescent="0.25">
      <c r="A864" s="1079">
        <f t="shared" si="34"/>
        <v>10</v>
      </c>
      <c r="B864" s="1079" t="s">
        <v>1362</v>
      </c>
      <c r="C864" s="1079" t="str">
        <f t="shared" si="35"/>
        <v>Enchimento de parede em Chapas De Gesso Para Drywall, Uso Interno, Montante 70mm, Com Uma Face SimplesStandart e isolamento com Lâ de Vidro (ST/70/ST)</v>
      </c>
      <c r="D864" s="1079" t="s">
        <v>1682</v>
      </c>
      <c r="E864" s="1080" t="str">
        <f>_xlfn.XLOOKUP(D864,Insumos!$B$1:$B$670,Insumos!$C$1:$C$670)</f>
        <v>M2</v>
      </c>
      <c r="F864" s="1083">
        <v>1</v>
      </c>
      <c r="G864" s="1081">
        <f>IF(B864="insumo",_xlfn.XLOOKUP($D864,Insumos!$B$1:$B$670,Insumos!$D$1:$D$670),"")</f>
        <v>40</v>
      </c>
      <c r="H864" s="1081" cm="1">
        <f t="array" ref="H864">_xlfn.IFS(B864="Serviço",SUMIFS(H865:$H$2465,C865:$C$2465,$C864),B864="Insumo",F864*G864,B864="Etapa","")</f>
        <v>40</v>
      </c>
      <c r="I864" s="1082"/>
    </row>
    <row r="865" spans="1:9" hidden="1" outlineLevel="2" x14ac:dyDescent="0.25">
      <c r="A865" s="1079">
        <f t="shared" si="34"/>
        <v>5</v>
      </c>
      <c r="B865" s="1079" t="s">
        <v>1362</v>
      </c>
      <c r="C865" s="1079" t="str">
        <f t="shared" si="35"/>
        <v>Enchimento de parede em Chapas De Gesso Para Drywall, Uso Interno, Montante 70mm, Com Uma Face SimplesStandart e isolamento com Lâ de Vidro (ST/70/ST)</v>
      </c>
      <c r="D865" s="1079" t="s">
        <v>1683</v>
      </c>
      <c r="E865" s="1080" t="str">
        <f>_xlfn.XLOOKUP(D865,Insumos!$B$1:$B$670,Insumos!$C$1:$C$670)</f>
        <v>M2</v>
      </c>
      <c r="F865" s="1083">
        <v>2.1059999999999999</v>
      </c>
      <c r="G865" s="1081">
        <f>IF(B865="insumo",_xlfn.XLOOKUP($D865,Insumos!$B$1:$B$670,Insumos!$D$1:$D$670),"")</f>
        <v>18.40625</v>
      </c>
      <c r="H865" s="1081" cm="1">
        <f t="array" ref="H865">_xlfn.IFS(B865="Serviço",SUMIFS(H866:$H$2465,C866:$C$2465,$C865),B865="Insumo",F865*G865,B865="Etapa","")</f>
        <v>38.763562499999999</v>
      </c>
      <c r="I865" s="1082"/>
    </row>
    <row r="866" spans="1:9" hidden="1" outlineLevel="2" x14ac:dyDescent="0.25">
      <c r="A866" s="1079">
        <f t="shared" si="34"/>
        <v>12</v>
      </c>
      <c r="B866" s="1079" t="s">
        <v>1362</v>
      </c>
      <c r="C866" s="1079" t="str">
        <f t="shared" si="35"/>
        <v>Enchimento de parede em Chapas De Gesso Para Drywall, Uso Interno, Montante 70mm, Com Uma Face SimplesStandart e isolamento com Lâ de Vidro (ST/70/ST)</v>
      </c>
      <c r="D866" s="1079" t="s">
        <v>1684</v>
      </c>
      <c r="E866" s="1080" t="str">
        <f>_xlfn.XLOOKUP(D866,Insumos!$B$1:$B$670,Insumos!$C$1:$C$670)</f>
        <v>UN</v>
      </c>
      <c r="F866" s="1083">
        <v>5.92</v>
      </c>
      <c r="G866" s="1081">
        <f>IF(B866="insumo",_xlfn.XLOOKUP($D866,Insumos!$B$1:$B$670,Insumos!$D$1:$D$670),"")</f>
        <v>0.504</v>
      </c>
      <c r="H866" s="1081" cm="1">
        <f t="array" ref="H866">_xlfn.IFS(B866="Serviço",SUMIFS(H867:$H$2465,C867:$C$2465,$C866),B866="Insumo",F866*G866,B866="Etapa","")</f>
        <v>2.9836800000000001</v>
      </c>
      <c r="I866" s="1082"/>
    </row>
    <row r="867" spans="1:9" hidden="1" outlineLevel="2" x14ac:dyDescent="0.25">
      <c r="A867" s="1079">
        <f t="shared" si="34"/>
        <v>5</v>
      </c>
      <c r="B867" s="1079" t="s">
        <v>1362</v>
      </c>
      <c r="C867" s="1079" t="str">
        <f t="shared" si="35"/>
        <v>Enchimento de parede em Chapas De Gesso Para Drywall, Uso Interno, Montante 70mm, Com Uma Face SimplesStandart e isolamento com Lâ de Vidro (ST/70/ST)</v>
      </c>
      <c r="D867" s="1079" t="s">
        <v>1704</v>
      </c>
      <c r="E867" s="1080" t="str">
        <f>_xlfn.XLOOKUP(D867,Insumos!$B$1:$B$670,Insumos!$C$1:$C$670)</f>
        <v>M</v>
      </c>
      <c r="F867" s="1083">
        <v>1.8233999999999999</v>
      </c>
      <c r="G867" s="1081">
        <f>IF(B867="insumo",_xlfn.XLOOKUP($D867,Insumos!$B$1:$B$670,Insumos!$D$1:$D$670),"")</f>
        <v>7.03</v>
      </c>
      <c r="H867" s="1081" cm="1">
        <f t="array" ref="H867">_xlfn.IFS(B867="Serviço",SUMIFS(H868:$H$2465,C868:$C$2465,$C867),B867="Insumo",F867*G867,B867="Etapa","")</f>
        <v>12.818502000000001</v>
      </c>
      <c r="I867" s="1082"/>
    </row>
    <row r="868" spans="1:9" hidden="1" outlineLevel="2" x14ac:dyDescent="0.25">
      <c r="A868" s="1079">
        <f t="shared" si="34"/>
        <v>5</v>
      </c>
      <c r="B868" s="1079" t="s">
        <v>1362</v>
      </c>
      <c r="C868" s="1079" t="str">
        <f t="shared" si="35"/>
        <v>Enchimento de parede em Chapas De Gesso Para Drywall, Uso Interno, Montante 70mm, Com Uma Face SimplesStandart e isolamento com Lâ de Vidro (ST/70/ST)</v>
      </c>
      <c r="D868" s="1079" t="s">
        <v>1705</v>
      </c>
      <c r="E868" s="1080" t="str">
        <f>_xlfn.XLOOKUP(D868,Insumos!$B$1:$B$670,Insumos!$C$1:$C$670)</f>
        <v>M</v>
      </c>
      <c r="F868" s="1083">
        <v>5.8277999999999999</v>
      </c>
      <c r="G868" s="1081">
        <f>IF(B868="insumo",_xlfn.XLOOKUP($D868,Insumos!$B$1:$B$670,Insumos!$D$1:$D$670),"")</f>
        <v>7.98</v>
      </c>
      <c r="H868" s="1081" cm="1">
        <f t="array" ref="H868">_xlfn.IFS(B868="Serviço",SUMIFS(H869:$H$2465,C869:$C$2465,$C868),B868="Insumo",F868*G868,B868="Etapa","")</f>
        <v>46.505844000000003</v>
      </c>
      <c r="I868" s="1082"/>
    </row>
    <row r="869" spans="1:9" hidden="1" outlineLevel="2" x14ac:dyDescent="0.25">
      <c r="A869" s="1079">
        <f t="shared" si="34"/>
        <v>13</v>
      </c>
      <c r="B869" s="1079" t="s">
        <v>1362</v>
      </c>
      <c r="C869" s="1079" t="str">
        <f t="shared" si="35"/>
        <v>Enchimento de parede em Chapas De Gesso Para Drywall, Uso Interno, Montante 70mm, Com Uma Face SimplesStandart e isolamento com Lâ de Vidro (ST/70/ST)</v>
      </c>
      <c r="D869" s="1079" t="s">
        <v>1680</v>
      </c>
      <c r="E869" s="1080" t="str">
        <f>_xlfn.XLOOKUP(D869,Insumos!$B$1:$B$670,Insumos!$C$1:$C$670)</f>
        <v>KG</v>
      </c>
      <c r="F869" s="1083">
        <v>1.0978000000000001</v>
      </c>
      <c r="G869" s="1081">
        <f>IF(B869="insumo",_xlfn.XLOOKUP($D869,Insumos!$B$1:$B$670,Insumos!$D$1:$D$670),"")</f>
        <v>3.43</v>
      </c>
      <c r="H869" s="1081" cm="1">
        <f t="array" ref="H869">_xlfn.IFS(B869="Serviço",SUMIFS(H870:$H$2465,C870:$C$2465,$C869),B869="Insumo",F869*G869,B869="Etapa","")</f>
        <v>3.7654540000000005</v>
      </c>
      <c r="I869" s="1082"/>
    </row>
    <row r="870" spans="1:9" hidden="1" outlineLevel="2" x14ac:dyDescent="0.25">
      <c r="A870" s="1079">
        <f t="shared" si="34"/>
        <v>12</v>
      </c>
      <c r="B870" s="1079" t="s">
        <v>1362</v>
      </c>
      <c r="C870" s="1079" t="str">
        <f t="shared" si="35"/>
        <v>Enchimento de parede em Chapas De Gesso Para Drywall, Uso Interno, Montante 70mm, Com Uma Face SimplesStandart e isolamento com Lâ de Vidro (ST/70/ST)</v>
      </c>
      <c r="D870" s="1079" t="s">
        <v>1687</v>
      </c>
      <c r="E870" s="1080" t="str">
        <f>_xlfn.XLOOKUP(D870,Insumos!$B$1:$B$670,Insumos!$C$1:$C$670)</f>
        <v>M</v>
      </c>
      <c r="F870" s="1083">
        <v>2.5026999999999999</v>
      </c>
      <c r="G870" s="1081">
        <f>IF(B870="insumo",_xlfn.XLOOKUP($D870,Insumos!$B$1:$B$670,Insumos!$D$1:$D$670),"")</f>
        <v>0.31</v>
      </c>
      <c r="H870" s="1081" cm="1">
        <f t="array" ref="H870">_xlfn.IFS(B870="Serviço",SUMIFS(H871:$H$2465,C871:$C$2465,$C870),B870="Insumo",F870*G870,B870="Etapa","")</f>
        <v>0.775837</v>
      </c>
      <c r="I870" s="1082"/>
    </row>
    <row r="871" spans="1:9" hidden="1" outlineLevel="2" x14ac:dyDescent="0.25">
      <c r="A871" s="1079">
        <f t="shared" si="34"/>
        <v>12</v>
      </c>
      <c r="B871" s="1079" t="s">
        <v>1362</v>
      </c>
      <c r="C871" s="1079" t="str">
        <f t="shared" si="35"/>
        <v>Enchimento de parede em Chapas De Gesso Para Drywall, Uso Interno, Montante 70mm, Com Uma Face SimplesStandart e isolamento com Lâ de Vidro (ST/70/ST)</v>
      </c>
      <c r="D871" s="1079" t="s">
        <v>1688</v>
      </c>
      <c r="E871" s="1080" t="str">
        <f>_xlfn.XLOOKUP(D871,Insumos!$B$1:$B$670,Insumos!$C$1:$C$670)</f>
        <v>M</v>
      </c>
      <c r="F871" s="1083">
        <v>1.5851</v>
      </c>
      <c r="G871" s="1081">
        <f>IF(B871="insumo",_xlfn.XLOOKUP($D871,Insumos!$B$1:$B$670,Insumos!$D$1:$D$670),"")</f>
        <v>2.74</v>
      </c>
      <c r="H871" s="1081" cm="1">
        <f t="array" ref="H871">_xlfn.IFS(B871="Serviço",SUMIFS(H872:$H$2465,C872:$C$2465,$C871),B871="Insumo",F871*G871,B871="Etapa","")</f>
        <v>4.3431740000000003</v>
      </c>
      <c r="I871" s="1082"/>
    </row>
    <row r="872" spans="1:9" hidden="1" outlineLevel="2" x14ac:dyDescent="0.25">
      <c r="A872" s="1079">
        <f t="shared" si="34"/>
        <v>10</v>
      </c>
      <c r="B872" s="1079" t="s">
        <v>1362</v>
      </c>
      <c r="C872" s="1079" t="str">
        <f t="shared" si="35"/>
        <v>Enchimento de parede em Chapas De Gesso Para Drywall, Uso Interno, Montante 70mm, Com Uma Face SimplesStandart e isolamento com Lâ de Vidro (ST/70/ST)</v>
      </c>
      <c r="D872" s="1079" t="s">
        <v>1689</v>
      </c>
      <c r="E872" s="1080" t="str">
        <f>_xlfn.XLOOKUP(D872,Insumos!$B$1:$B$670,Insumos!$C$1:$C$670)</f>
        <v>UN</v>
      </c>
      <c r="F872" s="1083">
        <v>20.186800000000002</v>
      </c>
      <c r="G872" s="1081">
        <f>IF(B872="insumo",_xlfn.XLOOKUP($D872,Insumos!$B$1:$B$670,Insumos!$D$1:$D$670),"")</f>
        <v>0.09</v>
      </c>
      <c r="H872" s="1081" cm="1">
        <f t="array" ref="H872">_xlfn.IFS(B872="Serviço",SUMIFS(H873:$H$2465,C873:$C$2465,$C872),B872="Insumo",F872*G872,B872="Etapa","")</f>
        <v>1.8168120000000001</v>
      </c>
      <c r="I872" s="1082"/>
    </row>
    <row r="873" spans="1:9" hidden="1" outlineLevel="2" x14ac:dyDescent="0.25">
      <c r="A873" s="1079">
        <f t="shared" si="34"/>
        <v>10</v>
      </c>
      <c r="B873" s="1079" t="s">
        <v>1362</v>
      </c>
      <c r="C873" s="1079" t="str">
        <f t="shared" si="35"/>
        <v>Enchimento de parede em Chapas De Gesso Para Drywall, Uso Interno, Montante 70mm, Com Uma Face SimplesStandart e isolamento com Lâ de Vidro (ST/70/ST)</v>
      </c>
      <c r="D873" s="1079" t="s">
        <v>1690</v>
      </c>
      <c r="E873" s="1080" t="str">
        <f>_xlfn.XLOOKUP(D873,Insumos!$B$1:$B$670,Insumos!$C$1:$C$670)</f>
        <v>UN</v>
      </c>
      <c r="F873" s="1083">
        <v>0.54410000000000003</v>
      </c>
      <c r="G873" s="1081">
        <f>IF(B873="insumo",_xlfn.XLOOKUP($D873,Insumos!$B$1:$B$670,Insumos!$D$1:$D$670),"")</f>
        <v>0.2</v>
      </c>
      <c r="H873" s="1081" cm="1">
        <f t="array" ref="H873">_xlfn.IFS(B873="Serviço",SUMIFS(H874:$H$2465,C874:$C$2465,$C873),B873="Insumo",F873*G873,B873="Etapa","")</f>
        <v>0.10882000000000001</v>
      </c>
      <c r="I873" s="1082"/>
    </row>
    <row r="874" spans="1:9" hidden="1" outlineLevel="2" x14ac:dyDescent="0.25">
      <c r="A874" s="1079">
        <f t="shared" si="34"/>
        <v>8</v>
      </c>
      <c r="B874" s="1079" t="s">
        <v>1362</v>
      </c>
      <c r="C874" s="1079" t="str">
        <f t="shared" si="35"/>
        <v>Enchimento de parede em Chapas De Gesso Para Drywall, Uso Interno, Montante 70mm, Com Uma Face SimplesStandart e isolamento com Lâ de Vidro (ST/70/ST)</v>
      </c>
      <c r="D874" s="1079" t="s">
        <v>1691</v>
      </c>
      <c r="E874" s="1080" t="str">
        <f>_xlfn.XLOOKUP(D874,Insumos!$B$1:$B$670,Insumos!$C$1:$C$670)</f>
        <v>M2</v>
      </c>
      <c r="F874" s="1083">
        <v>1.1000000000000001</v>
      </c>
      <c r="G874" s="1081">
        <f>IF(B874="insumo",_xlfn.XLOOKUP($D874,Insumos!$B$1:$B$670,Insumos!$D$1:$D$670),"")</f>
        <v>12.828666666666667</v>
      </c>
      <c r="H874" s="1081" cm="1">
        <f t="array" ref="H874">_xlfn.IFS(B874="Serviço",SUMIFS(H875:$H$2465,C875:$C$2465,$C874),B874="Insumo",F874*G874,B874="Etapa","")</f>
        <v>14.111533333333334</v>
      </c>
      <c r="I874" s="1082"/>
    </row>
    <row r="875" spans="1:9" hidden="1" outlineLevel="1" collapsed="1" x14ac:dyDescent="0.25">
      <c r="A875" s="1079">
        <f t="shared" si="34"/>
        <v>1</v>
      </c>
      <c r="B875" s="1079" t="s">
        <v>471</v>
      </c>
      <c r="C875" s="1079" t="str">
        <f t="shared" si="35"/>
        <v>Isolamento de lã de vidro</v>
      </c>
      <c r="D875" s="1079" t="s">
        <v>1711</v>
      </c>
      <c r="E875" s="1080" t="s">
        <v>17</v>
      </c>
      <c r="F875" s="1079"/>
      <c r="G875" s="1081" t="str">
        <f>IF(B875="insumo",_xlfn.XLOOKUP($D875,Insumos!$B$1:$B$670,Insumos!$D$1:$D$670),"")</f>
        <v/>
      </c>
      <c r="H875" s="1081" cm="1">
        <f t="array" ref="H875">_xlfn.IFS(B875="Serviço",SUMIFS(H876:$H$2465,C876:$C$2465,$C875),B875="Insumo",F875*G875,B875="Etapa","")</f>
        <v>14.111533333333334</v>
      </c>
      <c r="I875" s="1082" t="s">
        <v>872</v>
      </c>
    </row>
    <row r="876" spans="1:9" hidden="1" outlineLevel="2" x14ac:dyDescent="0.25">
      <c r="A876" s="1079">
        <f t="shared" si="34"/>
        <v>8</v>
      </c>
      <c r="B876" s="1079" t="s">
        <v>1362</v>
      </c>
      <c r="C876" s="1079" t="str">
        <f t="shared" si="35"/>
        <v>Isolamento de lã de vidro</v>
      </c>
      <c r="D876" s="1079" t="s">
        <v>1691</v>
      </c>
      <c r="E876" s="1080" t="str">
        <f>_xlfn.XLOOKUP(D876,Insumos!$B$1:$B$670,Insumos!$C$1:$C$670)</f>
        <v>M2</v>
      </c>
      <c r="F876" s="1083">
        <v>1.1000000000000001</v>
      </c>
      <c r="G876" s="1081">
        <f>IF(B876="insumo",_xlfn.XLOOKUP($D876,Insumos!$B$1:$B$670,Insumos!$D$1:$D$670),"")</f>
        <v>12.828666666666667</v>
      </c>
      <c r="H876" s="1081" cm="1">
        <f t="array" ref="H876">_xlfn.IFS(B876="Serviço",SUMIFS(H877:$H$2465,C877:$C$2465,$C876),B876="Insumo",F876*G876,B876="Etapa","")</f>
        <v>14.111533333333334</v>
      </c>
      <c r="I876" s="1082"/>
    </row>
    <row r="877" spans="1:9" hidden="1" outlineLevel="1" collapsed="1" x14ac:dyDescent="0.25">
      <c r="A877" s="1079">
        <f t="shared" si="34"/>
        <v>1</v>
      </c>
      <c r="B877" s="1079" t="s">
        <v>471</v>
      </c>
      <c r="C877" s="1079" t="str">
        <f t="shared" si="35"/>
        <v>Placa de Zinco Metálico</v>
      </c>
      <c r="D877" s="1079" t="s">
        <v>1712</v>
      </c>
      <c r="E877" s="1080" t="s">
        <v>17</v>
      </c>
      <c r="F877" s="1079"/>
      <c r="G877" s="1081" t="str">
        <f>IF(B877="insumo",_xlfn.XLOOKUP($D877,Insumos!$B$1:$B$670,Insumos!$D$1:$D$670),"")</f>
        <v/>
      </c>
      <c r="H877" s="1081" cm="1">
        <f t="array" ref="H877">_xlfn.IFS(B877="Serviço",SUMIFS(H878:$H$2465,C878:$C$2465,$C877),B877="Insumo",F877*G877,B877="Etapa","")</f>
        <v>142.12333333333333</v>
      </c>
      <c r="I877" s="1082" t="s">
        <v>872</v>
      </c>
    </row>
    <row r="878" spans="1:9" hidden="1" outlineLevel="2" x14ac:dyDescent="0.25">
      <c r="A878" s="1079">
        <f t="shared" si="34"/>
        <v>1</v>
      </c>
      <c r="B878" s="1079" t="s">
        <v>1362</v>
      </c>
      <c r="C878" s="1079" t="str">
        <f t="shared" si="35"/>
        <v>Placa de Zinco Metálico</v>
      </c>
      <c r="D878" s="1079" t="s">
        <v>1713</v>
      </c>
      <c r="E878" s="1080" t="str">
        <f>_xlfn.XLOOKUP(D878,Insumos!$B$1:$B$670,Insumos!$C$1:$C$670)</f>
        <v>M2</v>
      </c>
      <c r="F878" s="1083">
        <v>1.05</v>
      </c>
      <c r="G878" s="1081">
        <f>IF(B878="insumo",_xlfn.XLOOKUP($D878,Insumos!$B$1:$B$670,Insumos!$D$1:$D$670),"")</f>
        <v>135.35555555555555</v>
      </c>
      <c r="H878" s="1081" cm="1">
        <f t="array" ref="H878">_xlfn.IFS(B878="Serviço",SUMIFS(H879:$H$2465,C879:$C$2465,$C878),B878="Insumo",F878*G878,B878="Etapa","")</f>
        <v>142.12333333333333</v>
      </c>
      <c r="I878" s="1082"/>
    </row>
    <row r="879" spans="1:9" hidden="1" outlineLevel="1" x14ac:dyDescent="0.25">
      <c r="A879" s="1079">
        <f t="shared" si="34"/>
        <v>1</v>
      </c>
      <c r="B879" s="1079" t="s">
        <v>471</v>
      </c>
      <c r="C879" s="1079" t="str">
        <f t="shared" si="35"/>
        <v>Parede drywall de 10,0 mm</v>
      </c>
      <c r="D879" s="1079" t="s">
        <v>1714</v>
      </c>
      <c r="E879" s="1080" t="s">
        <v>17</v>
      </c>
      <c r="F879" s="1079"/>
      <c r="G879" s="1081" t="str">
        <f>IF(B879="insumo",_xlfn.XLOOKUP($D879,Insumos!$B$1:$B$670,Insumos!$D$1:$D$670),"")</f>
        <v/>
      </c>
      <c r="H879" s="1081" cm="1">
        <f t="array" ref="H879">_xlfn.IFS(B879="Serviço",SUMIFS(H880:$H$2465,C880:$C$2465,$C879),B879="Insumo",F879*G879,B879="Etapa","")</f>
        <v>32.013462500000003</v>
      </c>
      <c r="I879" s="1082" t="s">
        <v>872</v>
      </c>
    </row>
    <row r="880" spans="1:9" hidden="1" outlineLevel="2" x14ac:dyDescent="0.25">
      <c r="A880" s="1079">
        <f t="shared" si="34"/>
        <v>1</v>
      </c>
      <c r="B880" s="1079" t="s">
        <v>1362</v>
      </c>
      <c r="C880" s="1079" t="str">
        <f t="shared" si="35"/>
        <v>Parede drywall de 10,0 mm</v>
      </c>
      <c r="D880" s="1079" t="s">
        <v>1715</v>
      </c>
      <c r="E880" s="1080" t="str">
        <f>_xlfn.XLOOKUP(D880,Insumos!$B$1:$B$670,Insumos!$C$1:$C$670)</f>
        <v>M2</v>
      </c>
      <c r="F880" s="1083">
        <v>1.0529999999999999</v>
      </c>
      <c r="G880" s="1081">
        <f>IF(B880="insumo",_xlfn.XLOOKUP($D880,Insumos!$B$1:$B$670,Insumos!$D$1:$D$670),"")</f>
        <v>23.35</v>
      </c>
      <c r="H880" s="1081" cm="1">
        <f t="array" ref="H880">_xlfn.IFS(B880="Serviço",SUMIFS(H881:$H$2465,C881:$C$2465,$C880),B880="Insumo",F880*G880,B880="Etapa","")</f>
        <v>24.58755</v>
      </c>
      <c r="I880" s="1082"/>
    </row>
    <row r="881" spans="1:9" hidden="1" outlineLevel="2" x14ac:dyDescent="0.25">
      <c r="A881" s="1079">
        <f t="shared" si="34"/>
        <v>12</v>
      </c>
      <c r="B881" s="1079" t="s">
        <v>1362</v>
      </c>
      <c r="C881" s="1079" t="str">
        <f t="shared" si="35"/>
        <v>Parede drywall de 10,0 mm</v>
      </c>
      <c r="D881" s="1079" t="s">
        <v>1684</v>
      </c>
      <c r="E881" s="1080" t="str">
        <f>_xlfn.XLOOKUP(D881,Insumos!$B$1:$B$670,Insumos!$C$1:$C$670)</f>
        <v>UN</v>
      </c>
      <c r="F881" s="1083">
        <v>5.92</v>
      </c>
      <c r="G881" s="1081">
        <f>IF(B881="insumo",_xlfn.XLOOKUP($D881,Insumos!$B$1:$B$670,Insumos!$D$1:$D$670),"")</f>
        <v>0.504</v>
      </c>
      <c r="H881" s="1081" cm="1">
        <f t="array" ref="H881">_xlfn.IFS(B881="Serviço",SUMIFS(H882:$H$2465,C882:$C$2465,$C881),B881="Insumo",F881*G881,B881="Etapa","")</f>
        <v>2.9836800000000001</v>
      </c>
      <c r="I881" s="1082"/>
    </row>
    <row r="882" spans="1:9" hidden="1" outlineLevel="2" x14ac:dyDescent="0.25">
      <c r="A882" s="1079">
        <f t="shared" si="34"/>
        <v>13</v>
      </c>
      <c r="B882" s="1079" t="s">
        <v>1362</v>
      </c>
      <c r="C882" s="1079" t="str">
        <f t="shared" si="35"/>
        <v>Parede drywall de 10,0 mm</v>
      </c>
      <c r="D882" s="1079" t="s">
        <v>1680</v>
      </c>
      <c r="E882" s="1080" t="str">
        <f>_xlfn.XLOOKUP(D882,Insumos!$B$1:$B$670,Insumos!$C$1:$C$670)</f>
        <v>KG</v>
      </c>
      <c r="F882" s="1083">
        <v>0.54890000000000005</v>
      </c>
      <c r="G882" s="1081">
        <f>IF(B882="insumo",_xlfn.XLOOKUP($D882,Insumos!$B$1:$B$670,Insumos!$D$1:$D$670),"")</f>
        <v>3.43</v>
      </c>
      <c r="H882" s="1081" cm="1">
        <f t="array" ref="H882">_xlfn.IFS(B882="Serviço",SUMIFS(H883:$H$2465,C883:$C$2465,$C882),B882="Insumo",F882*G882,B882="Etapa","")</f>
        <v>1.8827270000000003</v>
      </c>
      <c r="I882" s="1082"/>
    </row>
    <row r="883" spans="1:9" hidden="1" outlineLevel="2" x14ac:dyDescent="0.25">
      <c r="A883" s="1079">
        <f t="shared" si="34"/>
        <v>12</v>
      </c>
      <c r="B883" s="1079" t="s">
        <v>1362</v>
      </c>
      <c r="C883" s="1079" t="str">
        <f t="shared" si="35"/>
        <v>Parede drywall de 10,0 mm</v>
      </c>
      <c r="D883" s="1079" t="s">
        <v>1687</v>
      </c>
      <c r="E883" s="1080" t="str">
        <f>_xlfn.XLOOKUP(D883,Insumos!$B$1:$B$670,Insumos!$C$1:$C$670)</f>
        <v>M</v>
      </c>
      <c r="F883" s="1083">
        <v>1.25135</v>
      </c>
      <c r="G883" s="1081">
        <f>IF(B883="insumo",_xlfn.XLOOKUP($D883,Insumos!$B$1:$B$670,Insumos!$D$1:$D$670),"")</f>
        <v>0.31</v>
      </c>
      <c r="H883" s="1081" cm="1">
        <f t="array" ref="H883">_xlfn.IFS(B883="Serviço",SUMIFS(H884:$H$2465,C884:$C$2465,$C883),B883="Insumo",F883*G883,B883="Etapa","")</f>
        <v>0.3879185</v>
      </c>
      <c r="I883" s="1082"/>
    </row>
    <row r="884" spans="1:9" hidden="1" outlineLevel="2" x14ac:dyDescent="0.25">
      <c r="A884" s="1079">
        <f t="shared" si="34"/>
        <v>12</v>
      </c>
      <c r="B884" s="1079" t="s">
        <v>1362</v>
      </c>
      <c r="C884" s="1079" t="str">
        <f t="shared" si="35"/>
        <v>Parede drywall de 10,0 mm</v>
      </c>
      <c r="D884" s="1079" t="s">
        <v>1688</v>
      </c>
      <c r="E884" s="1080" t="str">
        <f>_xlfn.XLOOKUP(D884,Insumos!$B$1:$B$670,Insumos!$C$1:$C$670)</f>
        <v>M</v>
      </c>
      <c r="F884" s="1083">
        <v>0.79254999999999998</v>
      </c>
      <c r="G884" s="1081">
        <f>IF(B884="insumo",_xlfn.XLOOKUP($D884,Insumos!$B$1:$B$670,Insumos!$D$1:$D$670),"")</f>
        <v>2.74</v>
      </c>
      <c r="H884" s="1081" cm="1">
        <f t="array" ref="H884">_xlfn.IFS(B884="Serviço",SUMIFS(H885:$H$2465,C885:$C$2465,$C884),B884="Insumo",F884*G884,B884="Etapa","")</f>
        <v>2.1715870000000002</v>
      </c>
      <c r="I884" s="1082"/>
    </row>
    <row r="885" spans="1:9" hidden="1" outlineLevel="1" x14ac:dyDescent="0.25">
      <c r="A885" s="1079">
        <f t="shared" si="34"/>
        <v>1</v>
      </c>
      <c r="B885" s="1079" t="s">
        <v>471</v>
      </c>
      <c r="C885" s="1079" t="str">
        <f t="shared" si="35"/>
        <v>Parede drywall de 12,5 mm</v>
      </c>
      <c r="D885" s="1079" t="s">
        <v>1716</v>
      </c>
      <c r="E885" s="1080" t="s">
        <v>17</v>
      </c>
      <c r="F885" s="1079"/>
      <c r="G885" s="1081" t="str">
        <f>IF(B885="insumo",_xlfn.XLOOKUP($D885,Insumos!$B$1:$B$670,Insumos!$D$1:$D$670),"")</f>
        <v/>
      </c>
      <c r="H885" s="1081" cm="1">
        <f t="array" ref="H885">_xlfn.IFS(B885="Serviço",SUMIFS(H886:$H$2465,C886:$C$2465,$C885),B885="Insumo",F885*G885,B885="Etapa","")</f>
        <v>38.167662500000006</v>
      </c>
      <c r="I885" s="1082" t="s">
        <v>872</v>
      </c>
    </row>
    <row r="886" spans="1:9" hidden="1" outlineLevel="2" x14ac:dyDescent="0.25">
      <c r="A886" s="1079">
        <f t="shared" si="34"/>
        <v>7</v>
      </c>
      <c r="B886" s="1079" t="s">
        <v>1362</v>
      </c>
      <c r="C886" s="1079" t="str">
        <f t="shared" si="35"/>
        <v>Parede drywall de 12,5 mm</v>
      </c>
      <c r="D886" s="1079" t="s">
        <v>1693</v>
      </c>
      <c r="E886" s="1080" t="str">
        <f>_xlfn.XLOOKUP(D886,Insumos!$B$1:$B$670,Insumos!$C$1:$C$670)</f>
        <v>M2</v>
      </c>
      <c r="F886" s="1083">
        <v>1.0529999999999999</v>
      </c>
      <c r="G886" s="1081">
        <f>IF(B886="insumo",_xlfn.XLOOKUP($D886,Insumos!$B$1:$B$670,Insumos!$D$1:$D$670),"")</f>
        <v>29.194444444444446</v>
      </c>
      <c r="H886" s="1081" cm="1">
        <f t="array" ref="H886">_xlfn.IFS(B886="Serviço",SUMIFS(H887:$H$2465,C887:$C$2465,$C886),B886="Insumo",F886*G886,B886="Etapa","")</f>
        <v>30.74175</v>
      </c>
      <c r="I886" s="1082"/>
    </row>
    <row r="887" spans="1:9" hidden="1" outlineLevel="2" x14ac:dyDescent="0.25">
      <c r="A887" s="1079">
        <f t="shared" si="34"/>
        <v>12</v>
      </c>
      <c r="B887" s="1079" t="s">
        <v>1362</v>
      </c>
      <c r="C887" s="1079" t="str">
        <f t="shared" si="35"/>
        <v>Parede drywall de 12,5 mm</v>
      </c>
      <c r="D887" s="1079" t="s">
        <v>1684</v>
      </c>
      <c r="E887" s="1080" t="str">
        <f>_xlfn.XLOOKUP(D887,Insumos!$B$1:$B$670,Insumos!$C$1:$C$670)</f>
        <v>UN</v>
      </c>
      <c r="F887" s="1083">
        <v>5.92</v>
      </c>
      <c r="G887" s="1081">
        <f>IF(B887="insumo",_xlfn.XLOOKUP($D887,Insumos!$B$1:$B$670,Insumos!$D$1:$D$670),"")</f>
        <v>0.504</v>
      </c>
      <c r="H887" s="1081" cm="1">
        <f t="array" ref="H887">_xlfn.IFS(B887="Serviço",SUMIFS(H888:$H$2465,C888:$C$2465,$C887),B887="Insumo",F887*G887,B887="Etapa","")</f>
        <v>2.9836800000000001</v>
      </c>
      <c r="I887" s="1082"/>
    </row>
    <row r="888" spans="1:9" hidden="1" outlineLevel="2" x14ac:dyDescent="0.25">
      <c r="A888" s="1079">
        <f t="shared" si="34"/>
        <v>13</v>
      </c>
      <c r="B888" s="1079" t="s">
        <v>1362</v>
      </c>
      <c r="C888" s="1079" t="str">
        <f t="shared" si="35"/>
        <v>Parede drywall de 12,5 mm</v>
      </c>
      <c r="D888" s="1079" t="s">
        <v>1680</v>
      </c>
      <c r="E888" s="1080" t="str">
        <f>_xlfn.XLOOKUP(D888,Insumos!$B$1:$B$670,Insumos!$C$1:$C$670)</f>
        <v>KG</v>
      </c>
      <c r="F888" s="1083">
        <v>0.54890000000000005</v>
      </c>
      <c r="G888" s="1081">
        <f>IF(B888="insumo",_xlfn.XLOOKUP($D888,Insumos!$B$1:$B$670,Insumos!$D$1:$D$670),"")</f>
        <v>3.43</v>
      </c>
      <c r="H888" s="1081" cm="1">
        <f t="array" ref="H888">_xlfn.IFS(B888="Serviço",SUMIFS(H889:$H$2465,C889:$C$2465,$C888),B888="Insumo",F888*G888,B888="Etapa","")</f>
        <v>1.8827270000000003</v>
      </c>
      <c r="I888" s="1082"/>
    </row>
    <row r="889" spans="1:9" hidden="1" outlineLevel="2" x14ac:dyDescent="0.25">
      <c r="A889" s="1079">
        <f t="shared" si="34"/>
        <v>12</v>
      </c>
      <c r="B889" s="1079" t="s">
        <v>1362</v>
      </c>
      <c r="C889" s="1079" t="str">
        <f t="shared" si="35"/>
        <v>Parede drywall de 12,5 mm</v>
      </c>
      <c r="D889" s="1079" t="s">
        <v>1687</v>
      </c>
      <c r="E889" s="1080" t="str">
        <f>_xlfn.XLOOKUP(D889,Insumos!$B$1:$B$670,Insumos!$C$1:$C$670)</f>
        <v>M</v>
      </c>
      <c r="F889" s="1083">
        <v>1.25135</v>
      </c>
      <c r="G889" s="1081">
        <f>IF(B889="insumo",_xlfn.XLOOKUP($D889,Insumos!$B$1:$B$670,Insumos!$D$1:$D$670),"")</f>
        <v>0.31</v>
      </c>
      <c r="H889" s="1081" cm="1">
        <f t="array" ref="H889">_xlfn.IFS(B889="Serviço",SUMIFS(H890:$H$2465,C890:$C$2465,$C889),B889="Insumo",F889*G889,B889="Etapa","")</f>
        <v>0.3879185</v>
      </c>
      <c r="I889" s="1082"/>
    </row>
    <row r="890" spans="1:9" hidden="1" outlineLevel="2" x14ac:dyDescent="0.25">
      <c r="A890" s="1079">
        <f t="shared" si="34"/>
        <v>12</v>
      </c>
      <c r="B890" s="1079" t="s">
        <v>1362</v>
      </c>
      <c r="C890" s="1079" t="str">
        <f t="shared" si="35"/>
        <v>Parede drywall de 12,5 mm</v>
      </c>
      <c r="D890" s="1079" t="s">
        <v>1688</v>
      </c>
      <c r="E890" s="1080" t="str">
        <f>_xlfn.XLOOKUP(D890,Insumos!$B$1:$B$670,Insumos!$C$1:$C$670)</f>
        <v>M</v>
      </c>
      <c r="F890" s="1083">
        <v>0.79254999999999998</v>
      </c>
      <c r="G890" s="1081">
        <f>IF(B890="insumo",_xlfn.XLOOKUP($D890,Insumos!$B$1:$B$670,Insumos!$D$1:$D$670),"")</f>
        <v>2.74</v>
      </c>
      <c r="H890" s="1081" cm="1">
        <f t="array" ref="H890">_xlfn.IFS(B890="Serviço",SUMIFS(H891:$H$2465,C891:$C$2465,$C890),B890="Insumo",F890*G890,B890="Etapa","")</f>
        <v>2.1715870000000002</v>
      </c>
      <c r="I890" s="1082"/>
    </row>
    <row r="891" spans="1:9" hidden="1" outlineLevel="1" collapsed="1" x14ac:dyDescent="0.25">
      <c r="A891" s="1079">
        <f t="shared" si="34"/>
        <v>1</v>
      </c>
      <c r="B891" s="1079" t="s">
        <v>471</v>
      </c>
      <c r="C891" s="1079" t="str">
        <f t="shared" si="35"/>
        <v>Mão de obra de Tela soldada para ligacao alvenaria/estrutura</v>
      </c>
      <c r="D891" s="1079" t="s">
        <v>1717</v>
      </c>
      <c r="E891" s="1080" t="s">
        <v>491</v>
      </c>
      <c r="F891" s="1079"/>
      <c r="G891" s="1081" t="str">
        <f>IF(B891="insumo",_xlfn.XLOOKUP($D891,Insumos!$B$1:$B$670,Insumos!$D$1:$D$670),"")</f>
        <v/>
      </c>
      <c r="H891" s="1081" cm="1">
        <f t="array" ref="H891">_xlfn.IFS(B891="Serviço",SUMIFS(H892:$H$2465,C892:$C$2465,$C891),B891="Insumo",F891*G891,B891="Etapa","")</f>
        <v>10</v>
      </c>
      <c r="I891" s="1082" t="s">
        <v>872</v>
      </c>
    </row>
    <row r="892" spans="1:9" hidden="1" outlineLevel="2" x14ac:dyDescent="0.25">
      <c r="A892" s="1079">
        <f t="shared" si="34"/>
        <v>1</v>
      </c>
      <c r="B892" s="1079" t="s">
        <v>1362</v>
      </c>
      <c r="C892" s="1079" t="str">
        <f t="shared" si="35"/>
        <v>Mão de obra de Tela soldada para ligacao alvenaria/estrutura</v>
      </c>
      <c r="D892" s="1079" t="s">
        <v>1717</v>
      </c>
      <c r="E892" s="1080" t="str">
        <f>_xlfn.XLOOKUP(D892,Insumos!$B$1:$B$670,Insumos!$C$1:$C$670)</f>
        <v>UN</v>
      </c>
      <c r="F892" s="1083">
        <v>1</v>
      </c>
      <c r="G892" s="1081">
        <f>IF(B892="insumo",_xlfn.XLOOKUP($D892,Insumos!$B$1:$B$670,Insumos!$D$1:$D$670),"")</f>
        <v>10</v>
      </c>
      <c r="H892" s="1081" cm="1">
        <f t="array" ref="H892">_xlfn.IFS(B892="Serviço",SUMIFS(H893:$H$2465,C893:$C$2465,$C892),B892="Insumo",F892*G892,B892="Etapa","")</f>
        <v>10</v>
      </c>
      <c r="I892" s="1082"/>
    </row>
    <row r="893" spans="1:9" hidden="1" outlineLevel="1" collapsed="1" x14ac:dyDescent="0.25">
      <c r="A893" s="1079">
        <f t="shared" si="34"/>
        <v>1</v>
      </c>
      <c r="B893" s="1079" t="s">
        <v>471</v>
      </c>
      <c r="C893" s="1079" t="str">
        <f t="shared" si="35"/>
        <v>Mão de obra para assentamento de blocos cerâmicos</v>
      </c>
      <c r="D893" s="1079" t="s">
        <v>768</v>
      </c>
      <c r="E893" s="1080" t="s">
        <v>17</v>
      </c>
      <c r="F893" s="1079"/>
      <c r="G893" s="1081" t="str">
        <f>IF(B893="insumo",_xlfn.XLOOKUP($D893,Insumos!$B$1:$B$670,Insumos!$D$1:$D$670),"")</f>
        <v/>
      </c>
      <c r="H893" s="1081" cm="1">
        <f t="array" ref="H893">_xlfn.IFS(B893="Serviço",SUMIFS(H894:$H$2465,C894:$C$2465,$C893),B893="Insumo",F893*G893,B893="Etapa","")</f>
        <v>35</v>
      </c>
      <c r="I893" s="1082" t="s">
        <v>872</v>
      </c>
    </row>
    <row r="894" spans="1:9" hidden="1" outlineLevel="2" x14ac:dyDescent="0.25">
      <c r="A894" s="1079">
        <f t="shared" si="34"/>
        <v>1</v>
      </c>
      <c r="B894" s="1079" t="s">
        <v>1362</v>
      </c>
      <c r="C894" s="1079" t="str">
        <f t="shared" si="35"/>
        <v>Mão de obra para assentamento de blocos cerâmicos</v>
      </c>
      <c r="D894" s="1079" t="s">
        <v>768</v>
      </c>
      <c r="E894" s="1080" t="str">
        <f>_xlfn.XLOOKUP(D894,Insumos!$B$1:$B$670,Insumos!$C$1:$C$670)</f>
        <v>M2</v>
      </c>
      <c r="F894" s="1083">
        <v>1</v>
      </c>
      <c r="G894" s="1081">
        <f>IF(B894="insumo",_xlfn.XLOOKUP($D894,Insumos!$B$1:$B$670,Insumos!$D$1:$D$670),"")</f>
        <v>35</v>
      </c>
      <c r="H894" s="1081" cm="1">
        <f t="array" ref="H894">_xlfn.IFS(B894="Serviço",SUMIFS(H895:$H$2465,C895:$C$2465,$C894),B894="Insumo",F894*G894,B894="Etapa","")</f>
        <v>35</v>
      </c>
      <c r="I894" s="1082"/>
    </row>
    <row r="895" spans="1:9" hidden="1" outlineLevel="1" collapsed="1" x14ac:dyDescent="0.25">
      <c r="A895" s="1079">
        <f t="shared" si="34"/>
        <v>1</v>
      </c>
      <c r="B895" s="1079" t="s">
        <v>471</v>
      </c>
      <c r="C895" s="1079" t="str">
        <f t="shared" si="35"/>
        <v xml:space="preserve">Mão de obra para assentamento de blocos de Refratário </v>
      </c>
      <c r="D895" s="1079" t="s">
        <v>883</v>
      </c>
      <c r="E895" s="1080" t="s">
        <v>17</v>
      </c>
      <c r="F895" s="1083"/>
      <c r="G895" s="1081" t="str">
        <f>IF(B895="insumo",_xlfn.XLOOKUP($D895,Insumos!$B$1:$B$670,Insumos!$D$1:$D$670),"")</f>
        <v/>
      </c>
      <c r="H895" s="1081" cm="1">
        <f t="array" ref="H895">_xlfn.IFS(B895="Serviço",SUMIFS(H896:$H$2465,C896:$C$2465,$C895),B895="Insumo",F895*G895,B895="Etapa","")</f>
        <v>50</v>
      </c>
      <c r="I895" s="1082" t="s">
        <v>872</v>
      </c>
    </row>
    <row r="896" spans="1:9" hidden="1" outlineLevel="2" x14ac:dyDescent="0.25">
      <c r="A896" s="1079">
        <f t="shared" si="34"/>
        <v>1</v>
      </c>
      <c r="B896" s="1079" t="s">
        <v>1362</v>
      </c>
      <c r="C896" s="1079" t="str">
        <f t="shared" si="35"/>
        <v xml:space="preserve">Mão de obra para assentamento de blocos de Refratário </v>
      </c>
      <c r="D896" s="1079" t="s">
        <v>883</v>
      </c>
      <c r="E896" s="1080" t="str">
        <f>_xlfn.XLOOKUP(D896,Insumos!$B$1:$B$670,Insumos!$C$1:$C$670)</f>
        <v>UN</v>
      </c>
      <c r="F896" s="1083">
        <v>1</v>
      </c>
      <c r="G896" s="1081">
        <f>IF(B896="insumo",_xlfn.XLOOKUP($D896,Insumos!$B$1:$B$670,Insumos!$D$1:$D$670),"")</f>
        <v>50</v>
      </c>
      <c r="H896" s="1081" cm="1">
        <f t="array" ref="H896">_xlfn.IFS(B896="Serviço",SUMIFS(H897:$H$2465,C897:$C$2465,$C896),B896="Insumo",F896*G896,B896="Etapa","")</f>
        <v>50</v>
      </c>
      <c r="I896" s="1082"/>
    </row>
    <row r="897" spans="1:9" hidden="1" outlineLevel="1" collapsed="1" x14ac:dyDescent="0.25">
      <c r="A897" s="1079">
        <f t="shared" si="34"/>
        <v>1</v>
      </c>
      <c r="B897" s="1079" t="s">
        <v>471</v>
      </c>
      <c r="C897" s="1079" t="str">
        <f t="shared" si="35"/>
        <v>Mão de obra para assentamento de blocos de silico calcarios</v>
      </c>
      <c r="D897" s="1079" t="s">
        <v>1718</v>
      </c>
      <c r="E897" s="1080" t="s">
        <v>17</v>
      </c>
      <c r="F897" s="1083"/>
      <c r="G897" s="1081" t="str">
        <f>IF(B897="insumo",_xlfn.XLOOKUP($D897,Insumos!$B$1:$B$670,Insumos!$D$1:$D$670),"")</f>
        <v/>
      </c>
      <c r="H897" s="1081" cm="1">
        <f t="array" ref="H897">_xlfn.IFS(B897="Serviço",SUMIFS(H898:$H$2465,C898:$C$2465,$C897),B897="Insumo",F897*G897,B897="Etapa","")</f>
        <v>48</v>
      </c>
      <c r="I897" s="1082" t="s">
        <v>872</v>
      </c>
    </row>
    <row r="898" spans="1:9" hidden="1" outlineLevel="2" x14ac:dyDescent="0.25">
      <c r="A898" s="1079">
        <f t="shared" ref="A898:A961" si="36">COUNTIFS($D$2:$D$2465,D898,$B$2:$B$2465,B898)</f>
        <v>1</v>
      </c>
      <c r="B898" s="1079" t="s">
        <v>1362</v>
      </c>
      <c r="C898" s="1079" t="str">
        <f t="shared" si="35"/>
        <v>Mão de obra para assentamento de blocos de silico calcarios</v>
      </c>
      <c r="D898" s="1079" t="s">
        <v>1718</v>
      </c>
      <c r="E898" s="1080" t="str">
        <f>_xlfn.XLOOKUP(D898,Insumos!$B$1:$B$670,Insumos!$C$1:$C$670)</f>
        <v>UN</v>
      </c>
      <c r="F898" s="1083">
        <v>1</v>
      </c>
      <c r="G898" s="1081">
        <f>IF(B898="insumo",_xlfn.XLOOKUP($D898,Insumos!$B$1:$B$670,Insumos!$D$1:$D$670),"")</f>
        <v>48</v>
      </c>
      <c r="H898" s="1081" cm="1">
        <f t="array" ref="H898">_xlfn.IFS(B898="Serviço",SUMIFS(H899:$H$2465,C899:$C$2465,$C898),B898="Insumo",F898*G898,B898="Etapa","")</f>
        <v>48</v>
      </c>
      <c r="I898" s="1082"/>
    </row>
    <row r="899" spans="1:9" hidden="1" outlineLevel="1" collapsed="1" x14ac:dyDescent="0.25">
      <c r="A899" s="1079">
        <f t="shared" si="36"/>
        <v>1</v>
      </c>
      <c r="B899" s="1079" t="s">
        <v>471</v>
      </c>
      <c r="C899" s="1079" t="str">
        <f t="shared" si="35"/>
        <v>Mão de obra para assentamento de blocos concreto</v>
      </c>
      <c r="D899" s="1079" t="s">
        <v>1719</v>
      </c>
      <c r="E899" s="1080" t="s">
        <v>17</v>
      </c>
      <c r="F899" s="1083"/>
      <c r="G899" s="1081" t="str">
        <f>IF(B899="insumo",_xlfn.XLOOKUP($D899,Insumos!$B$1:$B$670,Insumos!$D$1:$D$670),"")</f>
        <v/>
      </c>
      <c r="H899" s="1081" cm="1">
        <f t="array" ref="H899">_xlfn.IFS(B899="Serviço",SUMIFS(H900:$H$2465,C900:$C$2465,$C899),B899="Insumo",F899*G899,B899="Etapa","")</f>
        <v>40</v>
      </c>
      <c r="I899" s="1082" t="s">
        <v>872</v>
      </c>
    </row>
    <row r="900" spans="1:9" hidden="1" outlineLevel="2" x14ac:dyDescent="0.25">
      <c r="A900" s="1079">
        <f t="shared" si="36"/>
        <v>1</v>
      </c>
      <c r="B900" s="1079" t="s">
        <v>1362</v>
      </c>
      <c r="C900" s="1079" t="str">
        <f t="shared" si="35"/>
        <v>Mão de obra para assentamento de blocos concreto</v>
      </c>
      <c r="D900" s="1079" t="s">
        <v>1719</v>
      </c>
      <c r="E900" s="1080" t="str">
        <f>_xlfn.XLOOKUP(D900,Insumos!$B$1:$B$670,Insumos!$C$1:$C$670)</f>
        <v>UN</v>
      </c>
      <c r="F900" s="1083">
        <v>1</v>
      </c>
      <c r="G900" s="1081">
        <f>IF(B900="insumo",_xlfn.XLOOKUP($D900,Insumos!$B$1:$B$670,Insumos!$D$1:$D$670),"")</f>
        <v>40</v>
      </c>
      <c r="H900" s="1081" cm="1">
        <f t="array" ref="H900">_xlfn.IFS(B900="Serviço",SUMIFS(H901:$H$2465,C901:$C$2465,$C900),B900="Insumo",F900*G900,B900="Etapa","")</f>
        <v>40</v>
      </c>
      <c r="I900" s="1082"/>
    </row>
    <row r="901" spans="1:9" hidden="1" outlineLevel="1" collapsed="1" x14ac:dyDescent="0.25">
      <c r="A901" s="1079">
        <f t="shared" si="36"/>
        <v>1</v>
      </c>
      <c r="B901" s="1079" t="s">
        <v>471</v>
      </c>
      <c r="C901" s="1079" t="str">
        <f t="shared" si="35"/>
        <v>Mão de obra para assentamento de blocos concreto Estrutural</v>
      </c>
      <c r="D901" s="1079" t="s">
        <v>1720</v>
      </c>
      <c r="E901" s="1080" t="s">
        <v>17</v>
      </c>
      <c r="F901" s="1083"/>
      <c r="G901" s="1081" t="str">
        <f>IF(B901="insumo",_xlfn.XLOOKUP($D901,Insumos!$B$1:$B$670,Insumos!$D$1:$D$670),"")</f>
        <v/>
      </c>
      <c r="H901" s="1081" cm="1">
        <f t="array" ref="H901">_xlfn.IFS(B901="Serviço",SUMIFS(H902:$H$2465,C902:$C$2465,$C901),B901="Insumo",F901*G901,B901="Etapa","")</f>
        <v>48</v>
      </c>
      <c r="I901" s="1082" t="s">
        <v>872</v>
      </c>
    </row>
    <row r="902" spans="1:9" hidden="1" outlineLevel="2" x14ac:dyDescent="0.25">
      <c r="A902" s="1079">
        <f t="shared" si="36"/>
        <v>1</v>
      </c>
      <c r="B902" s="1079" t="s">
        <v>1362</v>
      </c>
      <c r="C902" s="1079" t="str">
        <f t="shared" si="35"/>
        <v>Mão de obra para assentamento de blocos concreto Estrutural</v>
      </c>
      <c r="D902" s="1079" t="s">
        <v>1720</v>
      </c>
      <c r="E902" s="1080" t="str">
        <f>_xlfn.XLOOKUP(D902,Insumos!$B$1:$B$670,Insumos!$C$1:$C$670)</f>
        <v>UN</v>
      </c>
      <c r="F902" s="1083">
        <v>1</v>
      </c>
      <c r="G902" s="1081">
        <f>IF(B902="insumo",_xlfn.XLOOKUP($D902,Insumos!$B$1:$B$670,Insumos!$D$1:$D$670),"")</f>
        <v>48</v>
      </c>
      <c r="H902" s="1081" cm="1">
        <f t="array" ref="H902">_xlfn.IFS(B902="Serviço",SUMIFS(H903:$H$2465,C903:$C$2465,$C902),B902="Insumo",F902*G902,B902="Etapa","")</f>
        <v>48</v>
      </c>
      <c r="I902" s="1082"/>
    </row>
    <row r="903" spans="1:9" hidden="1" outlineLevel="1" collapsed="1" x14ac:dyDescent="0.25">
      <c r="A903" s="1079">
        <f t="shared" si="36"/>
        <v>1</v>
      </c>
      <c r="B903" s="1079" t="s">
        <v>471</v>
      </c>
      <c r="C903" s="1079" t="str">
        <f t="shared" si="35"/>
        <v>Mão de obra para mochetas</v>
      </c>
      <c r="D903" s="1079" t="s">
        <v>1721</v>
      </c>
      <c r="E903" s="1080" t="s">
        <v>17</v>
      </c>
      <c r="F903" s="1083"/>
      <c r="G903" s="1081" t="str">
        <f>IF(B903="insumo",_xlfn.XLOOKUP($D903,Insumos!$B$1:$B$670,Insumos!$D$1:$D$670),"")</f>
        <v/>
      </c>
      <c r="H903" s="1081" cm="1">
        <f t="array" ref="H903">_xlfn.IFS(B903="Serviço",SUMIFS(H904:$H$2465,C904:$C$2465,$C903),B903="Insumo",F903*G903,B903="Etapa","")</f>
        <v>40</v>
      </c>
      <c r="I903" s="1082" t="s">
        <v>872</v>
      </c>
    </row>
    <row r="904" spans="1:9" hidden="1" outlineLevel="2" x14ac:dyDescent="0.25">
      <c r="A904" s="1079">
        <f t="shared" si="36"/>
        <v>1</v>
      </c>
      <c r="B904" s="1079" t="s">
        <v>1362</v>
      </c>
      <c r="C904" s="1079" t="str">
        <f t="shared" si="35"/>
        <v>Mão de obra para mochetas</v>
      </c>
      <c r="D904" s="1079" t="s">
        <v>1721</v>
      </c>
      <c r="E904" s="1080" t="str">
        <f>_xlfn.XLOOKUP(D904,Insumos!$B$1:$B$670,Insumos!$C$1:$C$670)</f>
        <v>M2</v>
      </c>
      <c r="F904" s="1083">
        <v>1</v>
      </c>
      <c r="G904" s="1081">
        <f>IF(B904="insumo",_xlfn.XLOOKUP($D904,Insumos!$B$1:$B$670,Insumos!$D$1:$D$670),"")</f>
        <v>40</v>
      </c>
      <c r="H904" s="1081" cm="1">
        <f t="array" ref="H904">_xlfn.IFS(B904="Serviço",SUMIFS(H905:$H$2465,C905:$C$2465,$C904),B904="Insumo",F904*G904,B904="Etapa","")</f>
        <v>40</v>
      </c>
      <c r="I904" s="1082"/>
    </row>
    <row r="905" spans="1:9" x14ac:dyDescent="0.25">
      <c r="A905" s="1076">
        <f t="shared" si="36"/>
        <v>1</v>
      </c>
      <c r="B905" s="1076" t="s">
        <v>469</v>
      </c>
      <c r="C905" s="1076"/>
      <c r="D905" s="1076" t="s">
        <v>446</v>
      </c>
      <c r="E905" s="1077"/>
      <c r="F905" s="1078"/>
      <c r="G905" s="1084" t="str">
        <f>IF(B905="insumo",_xlfn.XLOOKUP($D905,Insumos!$B$1:$B$670,Insumos!$D$1:$D$670),"")</f>
        <v/>
      </c>
      <c r="H905" s="1084" t="str" cm="1">
        <f t="array" ref="H905">_xlfn.IFS(B905="Serviço",SUMIFS(H906:$H$2465,C906:$C$2465,$C905),B905="Insumo",F905*G905,B905="Etapa","")</f>
        <v/>
      </c>
      <c r="I905" s="1078"/>
    </row>
    <row r="906" spans="1:9" x14ac:dyDescent="0.25">
      <c r="A906" s="1076">
        <f t="shared" si="36"/>
        <v>1</v>
      </c>
      <c r="B906" s="1076" t="s">
        <v>469</v>
      </c>
      <c r="C906" s="1076"/>
      <c r="D906" s="1076" t="s">
        <v>442</v>
      </c>
      <c r="E906" s="1077"/>
      <c r="F906" s="1078"/>
      <c r="G906" s="1084" t="str">
        <f>IF(B906="insumo",_xlfn.XLOOKUP($D906,Insumos!$B$1:$B$670,Insumos!$D$1:$D$670),"")</f>
        <v/>
      </c>
      <c r="H906" s="1084" t="str" cm="1">
        <f t="array" ref="H906">_xlfn.IFS(B906="Serviço",SUMIFS(H907:$H$2465,C907:$C$2465,$C906),B906="Insumo",F906*G906,B906="Etapa","")</f>
        <v/>
      </c>
      <c r="I906" s="1078"/>
    </row>
    <row r="907" spans="1:9" x14ac:dyDescent="0.25">
      <c r="A907" s="1076">
        <f t="shared" si="36"/>
        <v>1</v>
      </c>
      <c r="B907" s="1076" t="s">
        <v>469</v>
      </c>
      <c r="C907" s="1076"/>
      <c r="D907" s="1076" t="s">
        <v>1722</v>
      </c>
      <c r="E907" s="1077"/>
      <c r="F907" s="1078"/>
      <c r="G907" s="1084" t="str">
        <f>IF(B907="insumo",_xlfn.XLOOKUP($D907,Insumos!$B$1:$B$670,Insumos!$D$1:$D$670),"")</f>
        <v/>
      </c>
      <c r="H907" s="1084" t="str" cm="1">
        <f t="array" ref="H907">_xlfn.IFS(B907="Serviço",SUMIFS(H908:$H$2465,C908:$C$2465,$C907),B907="Insumo",F907*G907,B907="Etapa","")</f>
        <v/>
      </c>
      <c r="I907" s="1078"/>
    </row>
    <row r="908" spans="1:9" collapsed="1" x14ac:dyDescent="0.25">
      <c r="A908" s="1076">
        <f t="shared" si="36"/>
        <v>1</v>
      </c>
      <c r="B908" s="1076" t="s">
        <v>469</v>
      </c>
      <c r="C908" s="1076"/>
      <c r="D908" s="1076" t="s">
        <v>450</v>
      </c>
      <c r="E908" s="1077"/>
      <c r="F908" s="1078"/>
      <c r="G908" s="1084" t="str">
        <f>IF(B908="insumo",_xlfn.XLOOKUP($D908,Insumos!$B$1:$B$670,Insumos!$D$1:$D$670),"")</f>
        <v/>
      </c>
      <c r="H908" s="1084" t="str" cm="1">
        <f t="array" ref="H908">_xlfn.IFS(B908="Serviço",SUMIFS(H909:$H$2465,C909:$C$2465,$C908),B908="Insumo",F908*G908,B908="Etapa","")</f>
        <v/>
      </c>
      <c r="I908" s="1078"/>
    </row>
    <row r="909" spans="1:9" hidden="1" outlineLevel="1" collapsed="1" x14ac:dyDescent="0.25">
      <c r="A909" s="1079">
        <f t="shared" si="36"/>
        <v>1</v>
      </c>
      <c r="B909" s="1079" t="s">
        <v>471</v>
      </c>
      <c r="C909" s="1079" t="str">
        <f t="shared" ref="C909:C914" si="37">IF(B909="serviço",D909,C908)</f>
        <v>Churrasqueiras kit Gourmet Médio Inox 304</v>
      </c>
      <c r="D909" s="1079" t="s">
        <v>1723</v>
      </c>
      <c r="E909" s="1080" t="s">
        <v>491</v>
      </c>
      <c r="F909" s="1079"/>
      <c r="G909" s="1081" t="str">
        <f>IF(B909="insumo",_xlfn.XLOOKUP($D909,Insumos!$B$1:$B$670,Insumos!$D$1:$D$670),"")</f>
        <v/>
      </c>
      <c r="H909" s="1081" cm="1">
        <f t="array" ref="H909">_xlfn.IFS(B909="Serviço",SUMIFS(H910:$H$2465,C910:$C$2465,$C909),B909="Insumo",F909*G909,B909="Etapa","")</f>
        <v>6600</v>
      </c>
      <c r="I909" s="1082"/>
    </row>
    <row r="910" spans="1:9" hidden="1" outlineLevel="2" x14ac:dyDescent="0.25">
      <c r="A910" s="1079">
        <f t="shared" si="36"/>
        <v>2</v>
      </c>
      <c r="B910" s="1079" t="s">
        <v>1362</v>
      </c>
      <c r="C910" s="1079" t="str">
        <f t="shared" si="37"/>
        <v>Churrasqueiras kit Gourmet Médio Inox 304</v>
      </c>
      <c r="D910" s="1079" t="s">
        <v>1724</v>
      </c>
      <c r="E910" s="1080" t="str">
        <f>_xlfn.XLOOKUP(D910,Insumos!$B$1:$B$670,Insumos!$C$1:$C$670)</f>
        <v>UN</v>
      </c>
      <c r="F910" s="1083">
        <v>1</v>
      </c>
      <c r="G910" s="1081">
        <f>IF(B910="insumo",_xlfn.XLOOKUP($D910,Insumos!$B$1:$B$670,Insumos!$D$1:$D$670),"")</f>
        <v>400</v>
      </c>
      <c r="H910" s="1081" cm="1">
        <f t="array" ref="H910">_xlfn.IFS(B910="Serviço",SUMIFS(H911:$H$2465,C911:$C$2465,$C910),B910="Insumo",F910*G910,B910="Etapa","")</f>
        <v>400</v>
      </c>
      <c r="I910" s="1082"/>
    </row>
    <row r="911" spans="1:9" hidden="1" outlineLevel="2" x14ac:dyDescent="0.25">
      <c r="A911" s="1079">
        <f t="shared" si="36"/>
        <v>1</v>
      </c>
      <c r="B911" s="1079" t="s">
        <v>1362</v>
      </c>
      <c r="C911" s="1079" t="str">
        <f t="shared" si="37"/>
        <v>Churrasqueiras kit Gourmet Médio Inox 304</v>
      </c>
      <c r="D911" s="1079" t="s">
        <v>1723</v>
      </c>
      <c r="E911" s="1080" t="str">
        <f>_xlfn.XLOOKUP(D911,Insumos!$B$1:$B$670,Insumos!$C$1:$C$670)</f>
        <v>UN</v>
      </c>
      <c r="F911" s="1083">
        <v>1</v>
      </c>
      <c r="G911" s="1081">
        <f>IF(B911="insumo",_xlfn.XLOOKUP($D911,Insumos!$B$1:$B$670,Insumos!$D$1:$D$670),"")</f>
        <v>6200</v>
      </c>
      <c r="H911" s="1081" cm="1">
        <f t="array" ref="H911">_xlfn.IFS(B911="Serviço",SUMIFS(H912:$H$2465,C912:$C$2465,$C911),B911="Insumo",F911*G911,B911="Etapa","")</f>
        <v>6200</v>
      </c>
      <c r="I911" s="1082"/>
    </row>
    <row r="912" spans="1:9" hidden="1" outlineLevel="1" collapsed="1" x14ac:dyDescent="0.25">
      <c r="A912" s="1079">
        <f t="shared" si="36"/>
        <v>1</v>
      </c>
      <c r="B912" s="1079" t="s">
        <v>471</v>
      </c>
      <c r="C912" s="1079" t="str">
        <f t="shared" si="37"/>
        <v>Churrasqueiras Pré-Moldadas</v>
      </c>
      <c r="D912" s="1079" t="s">
        <v>1725</v>
      </c>
      <c r="E912" s="1080" t="s">
        <v>491</v>
      </c>
      <c r="F912" s="1079"/>
      <c r="G912" s="1081" t="str">
        <f>IF(B912="insumo",_xlfn.XLOOKUP($D912,Insumos!$B$1:$B$670,Insumos!$D$1:$D$670),"")</f>
        <v/>
      </c>
      <c r="H912" s="1081" cm="1">
        <f t="array" ref="H912">_xlfn.IFS(B912="Serviço",SUMIFS(H913:$H$2465,C913:$C$2465,$C912),B912="Insumo",F912*G912,B912="Etapa","")</f>
        <v>1800</v>
      </c>
      <c r="I912" s="1082"/>
    </row>
    <row r="913" spans="1:9" hidden="1" outlineLevel="2" x14ac:dyDescent="0.25">
      <c r="A913" s="1079">
        <f t="shared" si="36"/>
        <v>2</v>
      </c>
      <c r="B913" s="1079" t="s">
        <v>1362</v>
      </c>
      <c r="C913" s="1079" t="str">
        <f t="shared" si="37"/>
        <v>Churrasqueiras Pré-Moldadas</v>
      </c>
      <c r="D913" s="1079" t="s">
        <v>1724</v>
      </c>
      <c r="E913" s="1080" t="str">
        <f>_xlfn.XLOOKUP(D913,Insumos!$B$1:$B$670,Insumos!$C$1:$C$670)</f>
        <v>UN</v>
      </c>
      <c r="F913" s="1083">
        <v>1</v>
      </c>
      <c r="G913" s="1081">
        <f>IF(B913="insumo",_xlfn.XLOOKUP($D913,Insumos!$B$1:$B$670,Insumos!$D$1:$D$670),"")</f>
        <v>400</v>
      </c>
      <c r="H913" s="1081" cm="1">
        <f t="array" ref="H913">_xlfn.IFS(B913="Serviço",SUMIFS(H914:$H$2465,C914:$C$2465,$C913),B913="Insumo",F913*G913,B913="Etapa","")</f>
        <v>400</v>
      </c>
      <c r="I913" s="1082"/>
    </row>
    <row r="914" spans="1:9" hidden="1" outlineLevel="2" x14ac:dyDescent="0.25">
      <c r="A914" s="1079">
        <f t="shared" si="36"/>
        <v>1</v>
      </c>
      <c r="B914" s="1079" t="s">
        <v>1362</v>
      </c>
      <c r="C914" s="1079" t="str">
        <f t="shared" si="37"/>
        <v>Churrasqueiras Pré-Moldadas</v>
      </c>
      <c r="D914" s="1079" t="s">
        <v>1725</v>
      </c>
      <c r="E914" s="1080" t="str">
        <f>_xlfn.XLOOKUP(D914,Insumos!$B$1:$B$670,Insumos!$C$1:$C$670)</f>
        <v>UN</v>
      </c>
      <c r="F914" s="1083">
        <v>1</v>
      </c>
      <c r="G914" s="1081">
        <f>IF(B914="insumo",_xlfn.XLOOKUP($D914,Insumos!$B$1:$B$670,Insumos!$D$1:$D$670),"")</f>
        <v>1400</v>
      </c>
      <c r="H914" s="1081" cm="1">
        <f t="array" ref="H914">_xlfn.IFS(B914="Serviço",SUMIFS(H915:$H$2465,C915:$C$2465,$C914),B914="Insumo",F914*G914,B914="Etapa","")</f>
        <v>1400</v>
      </c>
      <c r="I914" s="1082"/>
    </row>
    <row r="915" spans="1:9" collapsed="1" x14ac:dyDescent="0.25">
      <c r="A915" s="1076">
        <f t="shared" si="36"/>
        <v>1</v>
      </c>
      <c r="B915" s="1076" t="s">
        <v>469</v>
      </c>
      <c r="C915" s="1076"/>
      <c r="D915" s="1076" t="s">
        <v>479</v>
      </c>
      <c r="E915" s="1077"/>
      <c r="F915" s="1078"/>
      <c r="G915" s="1084" t="str">
        <f>IF(B915="insumo",_xlfn.XLOOKUP($D915,Insumos!$B$1:$B$670,Insumos!$D$1:$D$670),"")</f>
        <v/>
      </c>
      <c r="H915" s="1084" t="str" cm="1">
        <f t="array" ref="H915">_xlfn.IFS(B915="Serviço",SUMIFS(H916:$H$2465,C916:$C$2465,$C915),B915="Insumo",F915*G915,B915="Etapa","")</f>
        <v/>
      </c>
      <c r="I915" s="1078"/>
    </row>
    <row r="916" spans="1:9" hidden="1" outlineLevel="1" x14ac:dyDescent="0.25">
      <c r="A916" s="1079">
        <f t="shared" si="36"/>
        <v>1</v>
      </c>
      <c r="B916" s="1079" t="s">
        <v>471</v>
      </c>
      <c r="C916" s="1079" t="str">
        <f t="shared" ref="C916:C974" si="38">IF(B916="serviço",D916,C915)</f>
        <v xml:space="preserve">Regularização de superfície para impermeabilização </v>
      </c>
      <c r="D916" s="1079" t="s">
        <v>1281</v>
      </c>
      <c r="E916" s="1080" t="s">
        <v>17</v>
      </c>
      <c r="F916" s="1079"/>
      <c r="G916" s="1081" t="str">
        <f>IF(B916="insumo",_xlfn.XLOOKUP($D916,Insumos!$B$1:$B$670,Insumos!$D$1:$D$670),"")</f>
        <v/>
      </c>
      <c r="H916" s="1081" cm="1">
        <f t="array" ref="H916">_xlfn.IFS(B916="Serviço",SUMIFS(H917:$H$2465,C917:$C$2465,$C916),B916="Insumo",F916*G916,B916="Etapa","")</f>
        <v>7.0658999999999992</v>
      </c>
      <c r="I916" s="1082" t="s">
        <v>872</v>
      </c>
    </row>
    <row r="917" spans="1:9" hidden="1" outlineLevel="2" x14ac:dyDescent="0.25">
      <c r="A917" s="1079">
        <f t="shared" si="36"/>
        <v>7</v>
      </c>
      <c r="B917" s="1079" t="s">
        <v>1362</v>
      </c>
      <c r="C917" s="1079" t="str">
        <f t="shared" si="38"/>
        <v xml:space="preserve">Regularização de superfície para impermeabilização </v>
      </c>
      <c r="D917" s="1079" t="s">
        <v>1726</v>
      </c>
      <c r="E917" s="1080" t="str">
        <f>_xlfn.XLOOKUP(D917,Insumos!$B$1:$B$670,Insumos!$C$1:$C$670)</f>
        <v>M3</v>
      </c>
      <c r="F917" s="1083">
        <v>1.55E-2</v>
      </c>
      <c r="G917" s="1081">
        <f>IF(B917="insumo",_xlfn.XLOOKUP($D917,Insumos!$B$1:$B$670,Insumos!$D$1:$D$670),"")</f>
        <v>145</v>
      </c>
      <c r="H917" s="1081" cm="1">
        <f t="array" ref="H917">_xlfn.IFS(B917="Serviço",SUMIFS(H918:$H$2465,C918:$C$2465,$C917),B917="Insumo",F917*G917,B917="Etapa","")</f>
        <v>2.2475000000000001</v>
      </c>
      <c r="I917" s="1082"/>
    </row>
    <row r="918" spans="1:9" hidden="1" outlineLevel="2" x14ac:dyDescent="0.25">
      <c r="A918" s="1079">
        <f t="shared" si="36"/>
        <v>38</v>
      </c>
      <c r="B918" s="1079" t="s">
        <v>1362</v>
      </c>
      <c r="C918" s="1079" t="str">
        <f t="shared" si="38"/>
        <v xml:space="preserve">Regularização de superfície para impermeabilização </v>
      </c>
      <c r="D918" s="1079" t="s">
        <v>1434</v>
      </c>
      <c r="E918" s="1080" t="str">
        <f>_xlfn.XLOOKUP(D918,Insumos!$B$1:$B$670,Insumos!$C$1:$C$670)</f>
        <v>KG</v>
      </c>
      <c r="F918" s="1083">
        <v>6.34</v>
      </c>
      <c r="G918" s="1081">
        <f>IF(B918="insumo",_xlfn.XLOOKUP($D918,Insumos!$B$1:$B$670,Insumos!$D$1:$D$670),"")</f>
        <v>0.76</v>
      </c>
      <c r="H918" s="1081" cm="1">
        <f t="array" ref="H918">_xlfn.IFS(B918="Serviço",SUMIFS(H919:$H$2465,C919:$C$2465,$C918),B918="Insumo",F918*G918,B918="Etapa","")</f>
        <v>4.8183999999999996</v>
      </c>
      <c r="I918" s="1082"/>
    </row>
    <row r="919" spans="1:9" hidden="1" outlineLevel="1" x14ac:dyDescent="0.25">
      <c r="A919" s="1079">
        <f t="shared" si="36"/>
        <v>1</v>
      </c>
      <c r="B919" s="1079" t="s">
        <v>471</v>
      </c>
      <c r="C919" s="1079" t="str">
        <f t="shared" si="38"/>
        <v>Proteção mecânica de superfície com argamassa de cimento e areia, traço 1:3 E=5cm</v>
      </c>
      <c r="D919" s="1079" t="s">
        <v>1287</v>
      </c>
      <c r="E919" s="1080" t="s">
        <v>17</v>
      </c>
      <c r="F919" s="1079"/>
      <c r="G919" s="1081" t="str">
        <f>IF(B919="insumo",_xlfn.XLOOKUP($D919,Insumos!$B$1:$B$670,Insumos!$D$1:$D$670),"")</f>
        <v/>
      </c>
      <c r="H919" s="1081" cm="1">
        <f t="array" ref="H919">_xlfn.IFS(B919="Serviço",SUMIFS(H920:$H$2465,C920:$C$2465,$C919),B919="Insumo",F919*G919,B919="Etapa","")</f>
        <v>49.358499999999999</v>
      </c>
      <c r="I919" s="1082" t="s">
        <v>872</v>
      </c>
    </row>
    <row r="920" spans="1:9" hidden="1" outlineLevel="2" x14ac:dyDescent="0.25">
      <c r="A920" s="1079">
        <f t="shared" si="36"/>
        <v>32</v>
      </c>
      <c r="B920" s="1079" t="s">
        <v>1362</v>
      </c>
      <c r="C920" s="1079" t="str">
        <f t="shared" si="38"/>
        <v>Proteção mecânica de superfície com argamassa de cimento e areia, traço 1:3 E=5cm</v>
      </c>
      <c r="D920" s="1079" t="s">
        <v>1727</v>
      </c>
      <c r="E920" s="1080" t="str">
        <f>_xlfn.XLOOKUP(D920,Insumos!$B$1:$B$670,Insumos!$C$1:$C$670)</f>
        <v>M3</v>
      </c>
      <c r="F920" s="1083">
        <v>6.25E-2</v>
      </c>
      <c r="G920" s="1081">
        <f>IF(B920="insumo",_xlfn.XLOOKUP($D920,Insumos!$B$1:$B$670,Insumos!$D$1:$D$670),"")</f>
        <v>550</v>
      </c>
      <c r="H920" s="1081" cm="1">
        <f t="array" ref="H920">_xlfn.IFS(B920="Serviço",SUMIFS(H921:$H$2465,C921:$C$2465,$C920),B920="Insumo",F920*G920,B920="Etapa","")</f>
        <v>34.375</v>
      </c>
      <c r="I920" s="1082"/>
    </row>
    <row r="921" spans="1:9" hidden="1" outlineLevel="2" x14ac:dyDescent="0.25">
      <c r="A921" s="1079">
        <f t="shared" si="36"/>
        <v>3</v>
      </c>
      <c r="B921" s="1079" t="s">
        <v>1362</v>
      </c>
      <c r="C921" s="1079" t="str">
        <f t="shared" si="38"/>
        <v>Proteção mecânica de superfície com argamassa de cimento e areia, traço 1:3 E=5cm</v>
      </c>
      <c r="D921" s="1079" t="s">
        <v>1728</v>
      </c>
      <c r="E921" s="1080" t="str">
        <f>_xlfn.XLOOKUP(D921,Insumos!$B$1:$B$670,Insumos!$C$1:$C$670)</f>
        <v>M2</v>
      </c>
      <c r="F921" s="1083">
        <v>1.05</v>
      </c>
      <c r="G921" s="1081">
        <f>IF(B921="insumo",_xlfn.XLOOKUP($D921,Insumos!$B$1:$B$670,Insumos!$D$1:$D$670),"")</f>
        <v>14.27</v>
      </c>
      <c r="H921" s="1081" cm="1">
        <f t="array" ref="H921">_xlfn.IFS(B921="Serviço",SUMIFS(H922:$H$2465,C922:$C$2465,$C921),B921="Insumo",F921*G921,B921="Etapa","")</f>
        <v>14.983499999999999</v>
      </c>
      <c r="I921" s="1082"/>
    </row>
    <row r="922" spans="1:9" hidden="1" outlineLevel="1" x14ac:dyDescent="0.25">
      <c r="A922" s="1079">
        <f t="shared" si="36"/>
        <v>1</v>
      </c>
      <c r="B922" s="1079" t="s">
        <v>471</v>
      </c>
      <c r="C922" s="1079" t="str">
        <f t="shared" si="38"/>
        <v>Impermeabilização de Baldrames com Tinta Asfáltica (Neutrol)</v>
      </c>
      <c r="D922" s="1079" t="s">
        <v>884</v>
      </c>
      <c r="E922" s="1080" t="s">
        <v>17</v>
      </c>
      <c r="F922" s="1079"/>
      <c r="G922" s="1081" t="str">
        <f>IF(B922="insumo",_xlfn.XLOOKUP($D922,Insumos!$B$1:$B$670,Insumos!$D$1:$D$670),"")</f>
        <v/>
      </c>
      <c r="H922" s="1081" cm="1">
        <f t="array" ref="H922">_xlfn.IFS(B922="Serviço",SUMIFS(H923:$H$2465,C923:$C$2465,$C922),B922="Insumo",F922*G922,B922="Etapa","")</f>
        <v>12.636000000000001</v>
      </c>
      <c r="I922" s="1082" t="s">
        <v>872</v>
      </c>
    </row>
    <row r="923" spans="1:9" hidden="1" outlineLevel="2" x14ac:dyDescent="0.25">
      <c r="A923" s="1079">
        <f t="shared" si="36"/>
        <v>2</v>
      </c>
      <c r="B923" s="1079" t="s">
        <v>1362</v>
      </c>
      <c r="C923" s="1079" t="str">
        <f t="shared" si="38"/>
        <v>Impermeabilização de Baldrames com Tinta Asfáltica (Neutrol)</v>
      </c>
      <c r="D923" s="1079" t="s">
        <v>1729</v>
      </c>
      <c r="E923" s="1080" t="str">
        <f>_xlfn.XLOOKUP(D923,Insumos!$B$1:$B$670,Insumos!$C$1:$C$670)</f>
        <v>L</v>
      </c>
      <c r="F923" s="1083">
        <v>0.65</v>
      </c>
      <c r="G923" s="1081">
        <f>IF(B923="insumo",_xlfn.XLOOKUP($D923,Insumos!$B$1:$B$670,Insumos!$D$1:$D$670),"")</f>
        <v>19.440000000000001</v>
      </c>
      <c r="H923" s="1081" cm="1">
        <f t="array" ref="H923">_xlfn.IFS(B923="Serviço",SUMIFS(H924:$H$2465,C924:$C$2465,$C923),B923="Insumo",F923*G923,B923="Etapa","")</f>
        <v>12.636000000000001</v>
      </c>
      <c r="I923" s="1082" t="s">
        <v>1730</v>
      </c>
    </row>
    <row r="924" spans="1:9" hidden="1" outlineLevel="1" collapsed="1" x14ac:dyDescent="0.25">
      <c r="A924" s="1079">
        <f t="shared" si="36"/>
        <v>1</v>
      </c>
      <c r="B924" s="1079" t="s">
        <v>471</v>
      </c>
      <c r="C924" s="1079" t="str">
        <f t="shared" si="38"/>
        <v>Impermeabilização de Laje Sob Solo com Tinta Asfáltica (Neutrol) Com Adtivo</v>
      </c>
      <c r="D924" s="1079" t="s">
        <v>1731</v>
      </c>
      <c r="E924" s="1080" t="s">
        <v>17</v>
      </c>
      <c r="F924" s="1079"/>
      <c r="G924" s="1081"/>
      <c r="H924" s="1081" cm="1">
        <f t="array" ref="H924">_xlfn.IFS(B924="Serviço",SUMIFS(H925:$H$2465,C925:$C$2465,$C924),B924="Insumo",F924*G924,B924="Etapa","")</f>
        <v>82.493333333333339</v>
      </c>
      <c r="I924" s="1082" t="s">
        <v>872</v>
      </c>
    </row>
    <row r="925" spans="1:9" hidden="1" outlineLevel="2" x14ac:dyDescent="0.25">
      <c r="A925" s="1079">
        <f t="shared" si="36"/>
        <v>2</v>
      </c>
      <c r="B925" s="1079" t="s">
        <v>1362</v>
      </c>
      <c r="C925" s="1079" t="str">
        <f t="shared" si="38"/>
        <v>Impermeabilização de Laje Sob Solo com Tinta Asfáltica (Neutrol) Com Adtivo</v>
      </c>
      <c r="D925" s="1079" t="s">
        <v>1729</v>
      </c>
      <c r="E925" s="1080" t="str">
        <f>_xlfn.XLOOKUP(D925,Insumos!$B$1:$B$670,Insumos!$C$1:$C$670)</f>
        <v>L</v>
      </c>
      <c r="F925" s="1083">
        <v>1.5</v>
      </c>
      <c r="G925" s="1081">
        <f>IF(B925="insumo",_xlfn.XLOOKUP($D925,Insumos!$B$1:$B$670,Insumos!$D$1:$D$670),"")</f>
        <v>19.440000000000001</v>
      </c>
      <c r="H925" s="1081" cm="1">
        <f t="array" ref="H925">_xlfn.IFS(B925="Serviço",SUMIFS(H926:$H$2465,C926:$C$2465,$C925),B925="Insumo",F925*G925,B925="Etapa","")</f>
        <v>29.160000000000004</v>
      </c>
      <c r="I925" s="1082"/>
    </row>
    <row r="926" spans="1:9" hidden="1" outlineLevel="2" x14ac:dyDescent="0.25">
      <c r="A926" s="1079">
        <f t="shared" si="36"/>
        <v>2</v>
      </c>
      <c r="B926" s="1079" t="s">
        <v>1362</v>
      </c>
      <c r="C926" s="1079" t="str">
        <f t="shared" si="38"/>
        <v>Impermeabilização de Laje Sob Solo com Tinta Asfáltica (Neutrol) Com Adtivo</v>
      </c>
      <c r="D926" s="1079" t="s">
        <v>1732</v>
      </c>
      <c r="E926" s="1080" t="str">
        <f>_xlfn.XLOOKUP(D926,Insumos!$B$1:$B$670,Insumos!$C$1:$C$670)</f>
        <v>L</v>
      </c>
      <c r="F926" s="1083">
        <v>0.8</v>
      </c>
      <c r="G926" s="1081">
        <f>IF(B926="insumo",_xlfn.XLOOKUP($D926,Insumos!$B$1:$B$670,Insumos!$D$1:$D$670),"")</f>
        <v>66.666666666666671</v>
      </c>
      <c r="H926" s="1081" cm="1">
        <f t="array" ref="H926">_xlfn.IFS(B926="Serviço",SUMIFS(H927:$H$2465,C927:$C$2465,$C926),B926="Insumo",F926*G926,B926="Etapa","")</f>
        <v>53.333333333333343</v>
      </c>
      <c r="I926" s="1082"/>
    </row>
    <row r="927" spans="1:9" hidden="1" outlineLevel="1" collapsed="1" x14ac:dyDescent="0.25">
      <c r="A927" s="1079">
        <f t="shared" si="36"/>
        <v>1</v>
      </c>
      <c r="B927" s="1079" t="s">
        <v>471</v>
      </c>
      <c r="C927" s="1079" t="str">
        <f t="shared" si="38"/>
        <v>Impermeabilização De Superfície Com Mebrana Impermeável, Uma Camada, Inclusive Aplicação De Primer Asfáltico</v>
      </c>
      <c r="D927" s="1079" t="s">
        <v>1733</v>
      </c>
      <c r="E927" s="1080" t="s">
        <v>17</v>
      </c>
      <c r="F927" s="1079"/>
      <c r="G927" s="1081" t="str">
        <f>IF(B927="insumo",_xlfn.XLOOKUP($D927,Insumos!$B$1:$B$670,Insumos!$D$1:$D$670),"")</f>
        <v/>
      </c>
      <c r="H927" s="1081" cm="1">
        <f t="array" ref="H927">_xlfn.IFS(B927="Serviço",SUMIFS(H928:$H$2465,C928:$C$2465,$C927),B927="Insumo",F927*G927,B927="Etapa","")</f>
        <v>26.941915384615385</v>
      </c>
      <c r="I927" s="1082" t="s">
        <v>872</v>
      </c>
    </row>
    <row r="928" spans="1:9" hidden="1" outlineLevel="2" x14ac:dyDescent="0.25">
      <c r="A928" s="1079">
        <f t="shared" si="36"/>
        <v>5</v>
      </c>
      <c r="B928" s="1079" t="s">
        <v>1362</v>
      </c>
      <c r="C928" s="1079" t="str">
        <f t="shared" si="38"/>
        <v>Impermeabilização De Superfície Com Mebrana Impermeável, Uma Camada, Inclusive Aplicação De Primer Asfáltico</v>
      </c>
      <c r="D928" s="1079" t="s">
        <v>1734</v>
      </c>
      <c r="E928" s="1080" t="str">
        <f>_xlfn.XLOOKUP(D928,Insumos!$B$1:$B$670,Insumos!$C$1:$C$670)</f>
        <v>L</v>
      </c>
      <c r="F928" s="1083">
        <v>0.61499999999999999</v>
      </c>
      <c r="G928" s="1081">
        <f>IF(B928="insumo",_xlfn.XLOOKUP($D928,Insumos!$B$1:$B$670,Insumos!$D$1:$D$670),"")</f>
        <v>23.52</v>
      </c>
      <c r="H928" s="1081" cm="1">
        <f t="array" ref="H928">_xlfn.IFS(B928="Serviço",SUMIFS(H929:$H$2465,C929:$C$2465,$C928),B928="Insumo",F928*G928,B928="Etapa","")</f>
        <v>14.4648</v>
      </c>
      <c r="I928" s="1082"/>
    </row>
    <row r="929" spans="1:9" hidden="1" outlineLevel="2" x14ac:dyDescent="0.25">
      <c r="A929" s="1079">
        <f t="shared" si="36"/>
        <v>1</v>
      </c>
      <c r="B929" s="1079" t="s">
        <v>1362</v>
      </c>
      <c r="C929" s="1079" t="str">
        <f t="shared" si="38"/>
        <v>Impermeabilização De Superfície Com Mebrana Impermeável, Uma Camada, Inclusive Aplicação De Primer Asfáltico</v>
      </c>
      <c r="D929" s="1079" t="s">
        <v>1735</v>
      </c>
      <c r="E929" s="1080" t="str">
        <f>_xlfn.XLOOKUP(D929,Insumos!$B$1:$B$670,Insumos!$C$1:$C$670)</f>
        <v>M2</v>
      </c>
      <c r="F929" s="1083">
        <v>1.125</v>
      </c>
      <c r="G929" s="1081">
        <f>IF(B929="insumo",_xlfn.XLOOKUP($D929,Insumos!$B$1:$B$670,Insumos!$D$1:$D$670),"")</f>
        <v>11.090769230769231</v>
      </c>
      <c r="H929" s="1081" cm="1">
        <f t="array" ref="H929">_xlfn.IFS(B929="Serviço",SUMIFS(H930:$H$2465,C930:$C$2465,$C929),B929="Insumo",F929*G929,B929="Etapa","")</f>
        <v>12.477115384615384</v>
      </c>
      <c r="I929" s="1082"/>
    </row>
    <row r="930" spans="1:9" hidden="1" outlineLevel="1" x14ac:dyDescent="0.25">
      <c r="A930" s="1079">
        <f t="shared" si="36"/>
        <v>1</v>
      </c>
      <c r="B930" s="1079" t="s">
        <v>471</v>
      </c>
      <c r="C930" s="1079" t="str">
        <f t="shared" si="38"/>
        <v>Impermeabilização De Superfície Com Manta Asfáltica, Uma Camada, Inclusive Aplicação De Primer Asfáltico</v>
      </c>
      <c r="D930" s="1079" t="s">
        <v>1736</v>
      </c>
      <c r="E930" s="1080" t="s">
        <v>17</v>
      </c>
      <c r="F930" s="1079"/>
      <c r="G930" s="1081" t="str">
        <f>IF(B930="insumo",_xlfn.XLOOKUP($D930,Insumos!$B$1:$B$670,Insumos!$D$1:$D$670),"")</f>
        <v/>
      </c>
      <c r="H930" s="1081" cm="1">
        <f t="array" ref="H930">_xlfn.IFS(B930="Serviço",SUMIFS(H931:$H$2465,C931:$C$2465,$C930),B930="Insumo",F930*G930,B930="Etapa","")</f>
        <v>93.237299999999991</v>
      </c>
      <c r="I930" s="1082" t="s">
        <v>872</v>
      </c>
    </row>
    <row r="931" spans="1:9" hidden="1" outlineLevel="2" x14ac:dyDescent="0.25">
      <c r="A931" s="1079">
        <f t="shared" si="36"/>
        <v>5</v>
      </c>
      <c r="B931" s="1079" t="s">
        <v>1362</v>
      </c>
      <c r="C931" s="1079" t="str">
        <f t="shared" si="38"/>
        <v>Impermeabilização De Superfície Com Manta Asfáltica, Uma Camada, Inclusive Aplicação De Primer Asfáltico</v>
      </c>
      <c r="D931" s="1079" t="s">
        <v>1734</v>
      </c>
      <c r="E931" s="1080" t="str">
        <f>_xlfn.XLOOKUP(D931,Insumos!$B$1:$B$670,Insumos!$C$1:$C$670)</f>
        <v>L</v>
      </c>
      <c r="F931" s="1083">
        <v>0.61499999999999999</v>
      </c>
      <c r="G931" s="1081">
        <f>IF(B931="insumo",_xlfn.XLOOKUP($D931,Insumos!$B$1:$B$670,Insumos!$D$1:$D$670),"")</f>
        <v>23.52</v>
      </c>
      <c r="H931" s="1081" cm="1">
        <f t="array" ref="H931">_xlfn.IFS(B931="Serviço",SUMIFS(H932:$H$2465,C932:$C$2465,$C931),B931="Insumo",F931*G931,B931="Etapa","")</f>
        <v>14.4648</v>
      </c>
      <c r="I931" s="1082"/>
    </row>
    <row r="932" spans="1:9" hidden="1" outlineLevel="2" x14ac:dyDescent="0.25">
      <c r="A932" s="1079">
        <f t="shared" si="36"/>
        <v>2</v>
      </c>
      <c r="B932" s="1079" t="s">
        <v>1362</v>
      </c>
      <c r="C932" s="1079" t="str">
        <f t="shared" si="38"/>
        <v>Impermeabilização De Superfície Com Manta Asfáltica, Uma Camada, Inclusive Aplicação De Primer Asfáltico</v>
      </c>
      <c r="D932" s="1079" t="s">
        <v>1737</v>
      </c>
      <c r="E932" s="1080" t="str">
        <f>_xlfn.XLOOKUP(D932,Insumos!$B$1:$B$670,Insumos!$C$1:$C$670)</f>
        <v>M2</v>
      </c>
      <c r="F932" s="1083">
        <v>1.125</v>
      </c>
      <c r="G932" s="1081">
        <f>IF(B932="insumo",_xlfn.XLOOKUP($D932,Insumos!$B$1:$B$670,Insumos!$D$1:$D$670),"")</f>
        <v>70.02</v>
      </c>
      <c r="H932" s="1081" cm="1">
        <f t="array" ref="H932">_xlfn.IFS(B932="Serviço",SUMIFS(H933:$H$2465,C933:$C$2465,$C932),B932="Insumo",F932*G932,B932="Etapa","")</f>
        <v>78.772499999999994</v>
      </c>
      <c r="I932" s="1082"/>
    </row>
    <row r="933" spans="1:9" hidden="1" outlineLevel="1" collapsed="1" x14ac:dyDescent="0.25">
      <c r="A933" s="1079">
        <f t="shared" si="36"/>
        <v>1</v>
      </c>
      <c r="B933" s="1079" t="s">
        <v>471</v>
      </c>
      <c r="C933" s="1079" t="str">
        <f t="shared" si="38"/>
        <v>Impermeabilização De Superfície Com Manta Asfáltica, Duas Camada, Inclusive Aplicação De Primer Asfáltico</v>
      </c>
      <c r="D933" s="1079" t="s">
        <v>1738</v>
      </c>
      <c r="E933" s="1080" t="s">
        <v>17</v>
      </c>
      <c r="F933" s="1079"/>
      <c r="G933" s="1081" t="str">
        <f>IF(B933="insumo",_xlfn.XLOOKUP($D933,Insumos!$B$1:$B$670,Insumos!$D$1:$D$670),"")</f>
        <v/>
      </c>
      <c r="H933" s="1081" cm="1">
        <f t="array" ref="H933">_xlfn.IFS(B933="Serviço",SUMIFS(H934:$H$2465,C934:$C$2465,$C933),B933="Insumo",F933*G933,B933="Etapa","")</f>
        <v>157.38479999999998</v>
      </c>
      <c r="I933" s="1082" t="s">
        <v>872</v>
      </c>
    </row>
    <row r="934" spans="1:9" hidden="1" outlineLevel="2" x14ac:dyDescent="0.25">
      <c r="A934" s="1079">
        <f t="shared" si="36"/>
        <v>5</v>
      </c>
      <c r="B934" s="1079" t="s">
        <v>1362</v>
      </c>
      <c r="C934" s="1079" t="str">
        <f t="shared" si="38"/>
        <v>Impermeabilização De Superfície Com Manta Asfáltica, Duas Camada, Inclusive Aplicação De Primer Asfáltico</v>
      </c>
      <c r="D934" s="1079" t="s">
        <v>1734</v>
      </c>
      <c r="E934" s="1080" t="str">
        <f>_xlfn.XLOOKUP(D934,Insumos!$B$1:$B$670,Insumos!$C$1:$C$670)</f>
        <v>L</v>
      </c>
      <c r="F934" s="1083">
        <v>0.61499999999999999</v>
      </c>
      <c r="G934" s="1081">
        <f>IF(B934="insumo",_xlfn.XLOOKUP($D934,Insumos!$B$1:$B$670,Insumos!$D$1:$D$670),"")</f>
        <v>23.52</v>
      </c>
      <c r="H934" s="1081" cm="1">
        <f t="array" ref="H934">_xlfn.IFS(B934="Serviço",SUMIFS(H935:$H$2465,C935:$C$2465,$C934),B934="Insumo",F934*G934,B934="Etapa","")</f>
        <v>14.4648</v>
      </c>
      <c r="I934" s="1082"/>
    </row>
    <row r="935" spans="1:9" hidden="1" outlineLevel="2" x14ac:dyDescent="0.25">
      <c r="A935" s="1079">
        <f t="shared" si="36"/>
        <v>1</v>
      </c>
      <c r="B935" s="1079" t="s">
        <v>1362</v>
      </c>
      <c r="C935" s="1079" t="str">
        <f t="shared" si="38"/>
        <v>Impermeabilização De Superfície Com Manta Asfáltica, Duas Camada, Inclusive Aplicação De Primer Asfáltico</v>
      </c>
      <c r="D935" s="1079" t="s">
        <v>1739</v>
      </c>
      <c r="E935" s="1080" t="str">
        <f>_xlfn.XLOOKUP(D935,Insumos!$B$1:$B$670,Insumos!$C$1:$C$670)</f>
        <v>M2</v>
      </c>
      <c r="F935" s="1083">
        <v>1.125</v>
      </c>
      <c r="G935" s="1081">
        <f>IF(B935="insumo",_xlfn.XLOOKUP($D935,Insumos!$B$1:$B$670,Insumos!$D$1:$D$670),"")</f>
        <v>57.02</v>
      </c>
      <c r="H935" s="1081" cm="1">
        <f t="array" ref="H935">_xlfn.IFS(B935="Serviço",SUMIFS(H936:$H$2465,C936:$C$2465,$C935),B935="Insumo",F935*G935,B935="Etapa","")</f>
        <v>64.147500000000008</v>
      </c>
      <c r="I935" s="1082"/>
    </row>
    <row r="936" spans="1:9" hidden="1" outlineLevel="2" x14ac:dyDescent="0.25">
      <c r="A936" s="1079">
        <f t="shared" si="36"/>
        <v>2</v>
      </c>
      <c r="B936" s="1079" t="s">
        <v>1362</v>
      </c>
      <c r="C936" s="1079" t="str">
        <f t="shared" si="38"/>
        <v>Impermeabilização De Superfície Com Manta Asfáltica, Duas Camada, Inclusive Aplicação De Primer Asfáltico</v>
      </c>
      <c r="D936" s="1079" t="s">
        <v>1737</v>
      </c>
      <c r="E936" s="1080" t="str">
        <f>_xlfn.XLOOKUP(D936,Insumos!$B$1:$B$670,Insumos!$C$1:$C$670)</f>
        <v>M2</v>
      </c>
      <c r="F936" s="1083">
        <v>1.125</v>
      </c>
      <c r="G936" s="1081">
        <f>IF(B936="insumo",_xlfn.XLOOKUP($D936,Insumos!$B$1:$B$670,Insumos!$D$1:$D$670),"")</f>
        <v>70.02</v>
      </c>
      <c r="H936" s="1081" cm="1">
        <f t="array" ref="H936">_xlfn.IFS(B936="Serviço",SUMIFS(H937:$H$2465,C937:$C$2465,$C936),B936="Insumo",F936*G936,B936="Etapa","")</f>
        <v>78.772499999999994</v>
      </c>
      <c r="I936" s="1082"/>
    </row>
    <row r="937" spans="1:9" hidden="1" outlineLevel="1" collapsed="1" x14ac:dyDescent="0.25">
      <c r="A937" s="1079">
        <f t="shared" si="36"/>
        <v>1</v>
      </c>
      <c r="B937" s="1079" t="s">
        <v>471</v>
      </c>
      <c r="C937" s="1079" t="str">
        <f t="shared" si="38"/>
        <v>Impermeabilização com manta aluminio</v>
      </c>
      <c r="D937" s="1079" t="s">
        <v>1740</v>
      </c>
      <c r="E937" s="1080" t="s">
        <v>17</v>
      </c>
      <c r="F937" s="1079"/>
      <c r="G937" s="1081" t="str">
        <f>IF(B937="insumo",_xlfn.XLOOKUP($D937,Insumos!$B$1:$B$670,Insumos!$D$1:$D$670),"")</f>
        <v/>
      </c>
      <c r="H937" s="1081" cm="1">
        <f t="array" ref="H937">_xlfn.IFS(B937="Serviço",SUMIFS(H938:$H$2465,C938:$C$2465,$C937),B937="Insumo",F937*G937,B937="Etapa","")</f>
        <v>57.203550000000007</v>
      </c>
      <c r="I937" s="1082" t="s">
        <v>872</v>
      </c>
    </row>
    <row r="938" spans="1:9" hidden="1" outlineLevel="2" x14ac:dyDescent="0.25">
      <c r="A938" s="1079">
        <f t="shared" si="36"/>
        <v>5</v>
      </c>
      <c r="B938" s="1079" t="s">
        <v>1362</v>
      </c>
      <c r="C938" s="1079" t="str">
        <f t="shared" si="38"/>
        <v>Impermeabilização com manta aluminio</v>
      </c>
      <c r="D938" s="1079" t="s">
        <v>1734</v>
      </c>
      <c r="E938" s="1080" t="str">
        <f>_xlfn.XLOOKUP(D938,Insumos!$B$1:$B$670,Insumos!$C$1:$C$670)</f>
        <v>L</v>
      </c>
      <c r="F938" s="1083">
        <v>0.61499999999999999</v>
      </c>
      <c r="G938" s="1081">
        <f>IF(B938="insumo",_xlfn.XLOOKUP($D938,Insumos!$B$1:$B$670,Insumos!$D$1:$D$670),"")</f>
        <v>23.52</v>
      </c>
      <c r="H938" s="1081" cm="1">
        <f t="array" ref="H938">_xlfn.IFS(B938="Serviço",SUMIFS(H939:$H$2465,C939:$C$2465,$C938),B938="Insumo",F938*G938,B938="Etapa","")</f>
        <v>14.4648</v>
      </c>
      <c r="I938" s="1082"/>
    </row>
    <row r="939" spans="1:9" hidden="1" outlineLevel="2" x14ac:dyDescent="0.25">
      <c r="A939" s="1079">
        <f t="shared" si="36"/>
        <v>2</v>
      </c>
      <c r="B939" s="1079" t="s">
        <v>1362</v>
      </c>
      <c r="C939" s="1079" t="str">
        <f t="shared" si="38"/>
        <v>Impermeabilização com manta aluminio</v>
      </c>
      <c r="D939" s="1079" t="s">
        <v>1741</v>
      </c>
      <c r="E939" s="1080" t="str">
        <f>_xlfn.XLOOKUP(D939,Insumos!$B$1:$B$670,Insumos!$C$1:$C$670)</f>
        <v>M2</v>
      </c>
      <c r="F939" s="1083">
        <v>1.125</v>
      </c>
      <c r="G939" s="1081">
        <f>IF(B939="insumo",_xlfn.XLOOKUP($D939,Insumos!$B$1:$B$670,Insumos!$D$1:$D$670),"")</f>
        <v>37.99</v>
      </c>
      <c r="H939" s="1081" cm="1">
        <f t="array" ref="H939">_xlfn.IFS(B939="Serviço",SUMIFS(H940:$H$2465,C940:$C$2465,$C939),B939="Insumo",F939*G939,B939="Etapa","")</f>
        <v>42.738750000000003</v>
      </c>
      <c r="I939" s="1082"/>
    </row>
    <row r="940" spans="1:9" hidden="1" outlineLevel="1" x14ac:dyDescent="0.25">
      <c r="A940" s="1079">
        <f t="shared" si="36"/>
        <v>1</v>
      </c>
      <c r="B940" s="1079" t="s">
        <v>471</v>
      </c>
      <c r="C940" s="1079" t="str">
        <f t="shared" si="38"/>
        <v>Impermeabilização com manta aluminio em telhados</v>
      </c>
      <c r="D940" s="1079" t="s">
        <v>1742</v>
      </c>
      <c r="E940" s="1080" t="s">
        <v>17</v>
      </c>
      <c r="F940" s="1079"/>
      <c r="G940" s="1081" t="str">
        <f>IF(B940="insumo",_xlfn.XLOOKUP($D940,Insumos!$B$1:$B$670,Insumos!$D$1:$D$670),"")</f>
        <v/>
      </c>
      <c r="H940" s="1081" cm="1">
        <f t="array" ref="H940">_xlfn.IFS(B940="Serviço",SUMIFS(H941:$H$2465,C941:$C$2465,$C940),B940="Insumo",F940*G940,B940="Etapa","")</f>
        <v>57.203550000000007</v>
      </c>
      <c r="I940" s="1082" t="s">
        <v>872</v>
      </c>
    </row>
    <row r="941" spans="1:9" hidden="1" outlineLevel="2" x14ac:dyDescent="0.25">
      <c r="A941" s="1079">
        <f t="shared" si="36"/>
        <v>5</v>
      </c>
      <c r="B941" s="1079" t="s">
        <v>1362</v>
      </c>
      <c r="C941" s="1079" t="str">
        <f t="shared" si="38"/>
        <v>Impermeabilização com manta aluminio em telhados</v>
      </c>
      <c r="D941" s="1079" t="s">
        <v>1734</v>
      </c>
      <c r="E941" s="1080" t="str">
        <f>_xlfn.XLOOKUP(D941,Insumos!$B$1:$B$670,Insumos!$C$1:$C$670)</f>
        <v>L</v>
      </c>
      <c r="F941" s="1083">
        <v>0.61499999999999999</v>
      </c>
      <c r="G941" s="1081">
        <f>IF(B941="insumo",_xlfn.XLOOKUP($D941,Insumos!$B$1:$B$670,Insumos!$D$1:$D$670),"")</f>
        <v>23.52</v>
      </c>
      <c r="H941" s="1081" cm="1">
        <f t="array" ref="H941">_xlfn.IFS(B941="Serviço",SUMIFS(H942:$H$2465,C942:$C$2465,$C941),B941="Insumo",F941*G941,B941="Etapa","")</f>
        <v>14.4648</v>
      </c>
      <c r="I941" s="1082"/>
    </row>
    <row r="942" spans="1:9" hidden="1" outlineLevel="2" x14ac:dyDescent="0.25">
      <c r="A942" s="1079">
        <f t="shared" si="36"/>
        <v>2</v>
      </c>
      <c r="B942" s="1079" t="s">
        <v>1362</v>
      </c>
      <c r="C942" s="1079" t="str">
        <f t="shared" si="38"/>
        <v>Impermeabilização com manta aluminio em telhados</v>
      </c>
      <c r="D942" s="1079" t="s">
        <v>1741</v>
      </c>
      <c r="E942" s="1080" t="str">
        <f>_xlfn.XLOOKUP(D942,Insumos!$B$1:$B$670,Insumos!$C$1:$C$670)</f>
        <v>M2</v>
      </c>
      <c r="F942" s="1083">
        <v>1.125</v>
      </c>
      <c r="G942" s="1081">
        <f>IF(B942="insumo",_xlfn.XLOOKUP($D942,Insumos!$B$1:$B$670,Insumos!$D$1:$D$670),"")</f>
        <v>37.99</v>
      </c>
      <c r="H942" s="1081" cm="1">
        <f t="array" ref="H942">_xlfn.IFS(B942="Serviço",SUMIFS(H943:$H$2465,C943:$C$2465,$C942),B942="Insumo",F942*G942,B942="Etapa","")</f>
        <v>42.738750000000003</v>
      </c>
      <c r="I942" s="1082"/>
    </row>
    <row r="943" spans="1:9" hidden="1" outlineLevel="1" collapsed="1" x14ac:dyDescent="0.25">
      <c r="A943" s="1079">
        <f t="shared" si="36"/>
        <v>1</v>
      </c>
      <c r="B943" s="1079" t="s">
        <v>471</v>
      </c>
      <c r="C943" s="1079" t="str">
        <f t="shared" si="38"/>
        <v>Impermeabilização De Superfície Com Membrana de Polímero</v>
      </c>
      <c r="D943" s="1079" t="s">
        <v>1743</v>
      </c>
      <c r="E943" s="1080" t="s">
        <v>17</v>
      </c>
      <c r="F943" s="1079"/>
      <c r="G943" s="1081" t="str">
        <f>IF(B943="insumo",_xlfn.XLOOKUP($D943,Insumos!$B$1:$B$670,Insumos!$D$1:$D$670),"")</f>
        <v/>
      </c>
      <c r="H943" s="1081" cm="1">
        <f t="array" ref="H943">_xlfn.IFS(B943="Serviço",SUMIFS(H944:$H$2465,C944:$C$2465,$C943),B943="Insumo",F943*G943,B943="Etapa","")</f>
        <v>34.825000000000003</v>
      </c>
      <c r="I943" s="1082" t="s">
        <v>872</v>
      </c>
    </row>
    <row r="944" spans="1:9" hidden="1" outlineLevel="2" x14ac:dyDescent="0.25">
      <c r="A944" s="1079">
        <f t="shared" si="36"/>
        <v>1</v>
      </c>
      <c r="B944" s="1079" t="s">
        <v>1362</v>
      </c>
      <c r="C944" s="1079" t="str">
        <f t="shared" si="38"/>
        <v>Impermeabilização De Superfície Com Membrana de Polímero</v>
      </c>
      <c r="D944" s="1079" t="s">
        <v>1744</v>
      </c>
      <c r="E944" s="1080" t="str">
        <f>_xlfn.XLOOKUP(D944,Insumos!$B$1:$B$670,Insumos!$C$1:$C$670)</f>
        <v>KG</v>
      </c>
      <c r="F944" s="1083">
        <f>3*1.05</f>
        <v>3.1500000000000004</v>
      </c>
      <c r="G944" s="1081">
        <f>IF(B944="insumo",_xlfn.XLOOKUP($D944,Insumos!$B$1:$B$670,Insumos!$D$1:$D$670),"")</f>
        <v>11.055555555555555</v>
      </c>
      <c r="H944" s="1081" cm="1">
        <f t="array" ref="H944">_xlfn.IFS(B944="Serviço",SUMIFS(H945:$H$2465,C945:$C$2465,$C944),B944="Insumo",F944*G944,B944="Etapa","")</f>
        <v>34.825000000000003</v>
      </c>
      <c r="I944" s="1082"/>
    </row>
    <row r="945" spans="1:9" hidden="1" outlineLevel="1" x14ac:dyDescent="0.25">
      <c r="A945" s="1079">
        <f t="shared" si="36"/>
        <v>1</v>
      </c>
      <c r="B945" s="1079" t="s">
        <v>471</v>
      </c>
      <c r="C945" s="1079" t="str">
        <f t="shared" si="38"/>
        <v>Impermeabilização De Superfície Com Argamassa Polimérica / Membrana Acrílica, 3 Demãos</v>
      </c>
      <c r="D945" s="1079" t="s">
        <v>1745</v>
      </c>
      <c r="E945" s="1080" t="s">
        <v>17</v>
      </c>
      <c r="F945" s="1079"/>
      <c r="G945" s="1081" t="str">
        <f>IF(B945="insumo",_xlfn.XLOOKUP($D945,Insumos!$B$1:$B$670,Insumos!$D$1:$D$670),"")</f>
        <v/>
      </c>
      <c r="H945" s="1081" cm="1">
        <f t="array" ref="H945">_xlfn.IFS(B945="Serviço",SUMIFS(H946:$H$2465,C946:$C$2465,$C945),B945="Insumo",F945*G945,B945="Etapa","")</f>
        <v>36.256</v>
      </c>
      <c r="I945" s="1082" t="s">
        <v>872</v>
      </c>
    </row>
    <row r="946" spans="1:9" hidden="1" outlineLevel="2" x14ac:dyDescent="0.25">
      <c r="A946" s="1079">
        <f t="shared" si="36"/>
        <v>3</v>
      </c>
      <c r="B946" s="1079" t="s">
        <v>1362</v>
      </c>
      <c r="C946" s="1079" t="str">
        <f t="shared" si="38"/>
        <v>Impermeabilização De Superfície Com Argamassa Polimérica / Membrana Acrílica, 3 Demãos</v>
      </c>
      <c r="D946" s="1079" t="s">
        <v>1746</v>
      </c>
      <c r="E946" s="1080" t="str">
        <f>_xlfn.XLOOKUP(D946,Insumos!$B$1:$B$670,Insumos!$C$1:$C$670)</f>
        <v>KG</v>
      </c>
      <c r="F946" s="1083">
        <v>3.2</v>
      </c>
      <c r="G946" s="1081">
        <f>IF(B946="insumo",_xlfn.XLOOKUP($D946,Insumos!$B$1:$B$670,Insumos!$D$1:$D$670),"")</f>
        <v>11.33</v>
      </c>
      <c r="H946" s="1081" cm="1">
        <f t="array" ref="H946">_xlfn.IFS(B946="Serviço",SUMIFS(H947:$H$2465,C947:$C$2465,$C946),B946="Insumo",F946*G946,B946="Etapa","")</f>
        <v>36.256</v>
      </c>
      <c r="I946" s="1082"/>
    </row>
    <row r="947" spans="1:9" hidden="1" outlineLevel="1" collapsed="1" x14ac:dyDescent="0.25">
      <c r="A947" s="1079">
        <f t="shared" si="36"/>
        <v>1</v>
      </c>
      <c r="B947" s="1079" t="s">
        <v>471</v>
      </c>
      <c r="C947" s="1079" t="str">
        <f t="shared" si="38"/>
        <v>Impermeabilização De Superfície Com Argamassa Polimérica / Membrana Acrílica, 3 Demãos Com Aditivos</v>
      </c>
      <c r="D947" s="1079" t="s">
        <v>1747</v>
      </c>
      <c r="E947" s="1080" t="s">
        <v>17</v>
      </c>
      <c r="F947" s="1079"/>
      <c r="G947" s="1081" t="str">
        <f>IF(B947="insumo",_xlfn.XLOOKUP($D947,Insumos!$B$1:$B$670,Insumos!$D$1:$D$670),"")</f>
        <v/>
      </c>
      <c r="H947" s="1081" cm="1">
        <f t="array" ref="H947">_xlfn.IFS(B947="Serviço",SUMIFS(H948:$H$2465,C948:$C$2465,$C947),B947="Insumo",F947*G947,B947="Etapa","")</f>
        <v>62.922666666666672</v>
      </c>
      <c r="I947" s="1082" t="s">
        <v>872</v>
      </c>
    </row>
    <row r="948" spans="1:9" hidden="1" outlineLevel="2" x14ac:dyDescent="0.25">
      <c r="A948" s="1079">
        <f t="shared" si="36"/>
        <v>3</v>
      </c>
      <c r="B948" s="1079" t="s">
        <v>1362</v>
      </c>
      <c r="C948" s="1079" t="str">
        <f t="shared" si="38"/>
        <v>Impermeabilização De Superfície Com Argamassa Polimérica / Membrana Acrílica, 3 Demãos Com Aditivos</v>
      </c>
      <c r="D948" s="1079" t="s">
        <v>1746</v>
      </c>
      <c r="E948" s="1080" t="str">
        <f>_xlfn.XLOOKUP(D948,Insumos!$B$1:$B$670,Insumos!$C$1:$C$670)</f>
        <v>KG</v>
      </c>
      <c r="F948" s="1083">
        <v>3.2</v>
      </c>
      <c r="G948" s="1081">
        <f>IF(B948="insumo",_xlfn.XLOOKUP($D948,Insumos!$B$1:$B$670,Insumos!$D$1:$D$670),"")</f>
        <v>11.33</v>
      </c>
      <c r="H948" s="1081" cm="1">
        <f t="array" ref="H948">_xlfn.IFS(B948="Serviço",SUMIFS(H949:$H$2465,C949:$C$2465,$C948),B948="Insumo",F948*G948,B948="Etapa","")</f>
        <v>36.256</v>
      </c>
      <c r="I948" s="1082"/>
    </row>
    <row r="949" spans="1:9" hidden="1" outlineLevel="2" x14ac:dyDescent="0.25">
      <c r="A949" s="1079">
        <f t="shared" si="36"/>
        <v>2</v>
      </c>
      <c r="B949" s="1079" t="s">
        <v>1362</v>
      </c>
      <c r="C949" s="1079" t="str">
        <f t="shared" si="38"/>
        <v>Impermeabilização De Superfície Com Argamassa Polimérica / Membrana Acrílica, 3 Demãos Com Aditivos</v>
      </c>
      <c r="D949" s="1079" t="s">
        <v>1732</v>
      </c>
      <c r="E949" s="1080" t="str">
        <f>_xlfn.XLOOKUP(D949,Insumos!$B$1:$B$670,Insumos!$C$1:$C$670)</f>
        <v>L</v>
      </c>
      <c r="F949" s="1083">
        <v>0.4</v>
      </c>
      <c r="G949" s="1081">
        <f>IF(B949="insumo",_xlfn.XLOOKUP($D949,Insumos!$B$1:$B$670,Insumos!$D$1:$D$670),"")</f>
        <v>66.666666666666671</v>
      </c>
      <c r="H949" s="1081" cm="1">
        <f t="array" ref="H949">_xlfn.IFS(B949="Serviço",SUMIFS(H950:$H$2465,C950:$C$2465,$C949),B949="Insumo",F949*G949,B949="Etapa","")</f>
        <v>26.666666666666671</v>
      </c>
      <c r="I949" s="1082"/>
    </row>
    <row r="950" spans="1:9" hidden="1" outlineLevel="1" collapsed="1" x14ac:dyDescent="0.25">
      <c r="A950" s="1079">
        <f t="shared" si="36"/>
        <v>1</v>
      </c>
      <c r="B950" s="1079" t="s">
        <v>471</v>
      </c>
      <c r="C950" s="1079" t="str">
        <f t="shared" si="38"/>
        <v>Impermeabilização com manta liquida poliuretano, 3 demãos sem tela estruturante.</v>
      </c>
      <c r="D950" s="1079" t="s">
        <v>1748</v>
      </c>
      <c r="E950" s="1080" t="s">
        <v>17</v>
      </c>
      <c r="F950" s="1079"/>
      <c r="G950" s="1081" t="str">
        <f>IF(B950="insumo",_xlfn.XLOOKUP($D950,Insumos!$B$1:$B$670,Insumos!$D$1:$D$670),"")</f>
        <v/>
      </c>
      <c r="H950" s="1081" cm="1">
        <f t="array" ref="H950">_xlfn.IFS(B950="Serviço",SUMIFS(H951:$H$2465,C951:$C$2465,$C950),B950="Insumo",F950*G950,B950="Etapa","")</f>
        <v>35.133333333333333</v>
      </c>
      <c r="I950" s="1082" t="s">
        <v>872</v>
      </c>
    </row>
    <row r="951" spans="1:9" hidden="1" outlineLevel="2" x14ac:dyDescent="0.25">
      <c r="A951" s="1079">
        <f t="shared" si="36"/>
        <v>1</v>
      </c>
      <c r="B951" s="1079" t="s">
        <v>1362</v>
      </c>
      <c r="C951" s="1079" t="str">
        <f t="shared" si="38"/>
        <v>Impermeabilização com manta liquida poliuretano, 3 demãos sem tela estruturante.</v>
      </c>
      <c r="D951" s="1079" t="s">
        <v>1749</v>
      </c>
      <c r="E951" s="1080" t="str">
        <f>_xlfn.XLOOKUP(D951,Insumos!$B$1:$B$670,Insumos!$C$1:$C$670)</f>
        <v>KG</v>
      </c>
      <c r="F951" s="1083">
        <v>1.2</v>
      </c>
      <c r="G951" s="1081">
        <f>IF(B951="insumo",_xlfn.XLOOKUP($D951,Insumos!$B$1:$B$670,Insumos!$D$1:$D$670),"")</f>
        <v>29.277777777777779</v>
      </c>
      <c r="H951" s="1081" cm="1">
        <f t="array" ref="H951">_xlfn.IFS(B951="Serviço",SUMIFS(H952:$H$2465,C952:$C$2465,$C951),B951="Insumo",F951*G951,B951="Etapa","")</f>
        <v>35.133333333333333</v>
      </c>
      <c r="I951" s="1082"/>
    </row>
    <row r="952" spans="1:9" hidden="1" outlineLevel="1" x14ac:dyDescent="0.25">
      <c r="A952" s="1079">
        <f t="shared" si="36"/>
        <v>1</v>
      </c>
      <c r="B952" s="1079" t="s">
        <v>471</v>
      </c>
      <c r="C952" s="1079" t="str">
        <f t="shared" si="38"/>
        <v>Impermeabilização com manta liquida em peitoris</v>
      </c>
      <c r="D952" s="1079" t="s">
        <v>1750</v>
      </c>
      <c r="E952" s="1080" t="s">
        <v>17</v>
      </c>
      <c r="F952" s="1079"/>
      <c r="G952" s="1081" t="str">
        <f>IF(B952="insumo",_xlfn.XLOOKUP($D952,Insumos!$B$1:$B$670,Insumos!$D$1:$D$670),"")</f>
        <v/>
      </c>
      <c r="H952" s="1081" cm="1">
        <f t="array" ref="H952">_xlfn.IFS(B952="Serviço",SUMIFS(H953:$H$2465,C953:$C$2465,$C952),B952="Insumo",F952*G952,B952="Etapa","")</f>
        <v>40.17</v>
      </c>
      <c r="I952" s="1082" t="s">
        <v>872</v>
      </c>
    </row>
    <row r="953" spans="1:9" hidden="1" outlineLevel="2" x14ac:dyDescent="0.25">
      <c r="A953" s="1079">
        <f t="shared" si="36"/>
        <v>1</v>
      </c>
      <c r="B953" s="1079" t="s">
        <v>1362</v>
      </c>
      <c r="C953" s="1079" t="str">
        <f t="shared" si="38"/>
        <v>Impermeabilização com manta liquida em peitoris</v>
      </c>
      <c r="D953" s="1079" t="s">
        <v>1751</v>
      </c>
      <c r="E953" s="1080" t="str">
        <f>_xlfn.XLOOKUP(D953,Insumos!$B$1:$B$670,Insumos!$C$1:$C$670)</f>
        <v>KG</v>
      </c>
      <c r="F953" s="1083">
        <v>1.56</v>
      </c>
      <c r="G953" s="1081">
        <f>IF(B953="insumo",_xlfn.XLOOKUP($D953,Insumos!$B$1:$B$670,Insumos!$D$1:$D$670),"")</f>
        <v>25.75</v>
      </c>
      <c r="H953" s="1081" cm="1">
        <f t="array" ref="H953">_xlfn.IFS(B953="Serviço",SUMIFS(H954:$H$2465,C954:$C$2465,$C953),B953="Insumo",F953*G953,B953="Etapa","")</f>
        <v>40.17</v>
      </c>
      <c r="I953" s="1082"/>
    </row>
    <row r="954" spans="1:9" hidden="1" outlineLevel="1" x14ac:dyDescent="0.25">
      <c r="A954" s="1079">
        <f t="shared" si="36"/>
        <v>1</v>
      </c>
      <c r="B954" s="1079" t="s">
        <v>471</v>
      </c>
      <c r="C954" s="1079" t="str">
        <f t="shared" si="38"/>
        <v>Tratamento de ralo com manta de poliéster</v>
      </c>
      <c r="D954" s="1079" t="s">
        <v>1752</v>
      </c>
      <c r="E954" s="1080" t="s">
        <v>491</v>
      </c>
      <c r="F954" s="1079"/>
      <c r="G954" s="1081" t="str">
        <f>IF(B954="insumo",_xlfn.XLOOKUP($D954,Insumos!$B$1:$B$670,Insumos!$D$1:$D$670),"")</f>
        <v/>
      </c>
      <c r="H954" s="1081" cm="1">
        <f t="array" ref="H954">_xlfn.IFS(B954="Serviço",SUMIFS(H955:$H$2465,C955:$C$2465,$C954),B954="Insumo",F954*G954,B954="Etapa","")</f>
        <v>8.760015000000001</v>
      </c>
      <c r="I954" s="1082" t="s">
        <v>872</v>
      </c>
    </row>
    <row r="955" spans="1:9" hidden="1" outlineLevel="2" x14ac:dyDescent="0.25">
      <c r="A955" s="1079">
        <f t="shared" si="36"/>
        <v>3</v>
      </c>
      <c r="B955" s="1079" t="s">
        <v>1362</v>
      </c>
      <c r="C955" s="1079" t="str">
        <f t="shared" si="38"/>
        <v>Tratamento de ralo com manta de poliéster</v>
      </c>
      <c r="D955" s="1079" t="s">
        <v>1746</v>
      </c>
      <c r="E955" s="1080" t="str">
        <f>_xlfn.XLOOKUP(D955,Insumos!$B$1:$B$670,Insumos!$C$1:$C$670)</f>
        <v>KG</v>
      </c>
      <c r="F955" s="1083">
        <v>0.73850000000000005</v>
      </c>
      <c r="G955" s="1081">
        <f>IF(B955="insumo",_xlfn.XLOOKUP($D955,Insumos!$B$1:$B$670,Insumos!$D$1:$D$670),"")</f>
        <v>11.33</v>
      </c>
      <c r="H955" s="1081" cm="1">
        <f t="array" ref="H955">_xlfn.IFS(B955="Serviço",SUMIFS(H956:$H$2465,C956:$C$2465,$C955),B955="Insumo",F955*G955,B955="Etapa","")</f>
        <v>8.3672050000000002</v>
      </c>
      <c r="I955" s="1082"/>
    </row>
    <row r="956" spans="1:9" hidden="1" outlineLevel="2" x14ac:dyDescent="0.25">
      <c r="A956" s="1079">
        <f t="shared" si="36"/>
        <v>1</v>
      </c>
      <c r="B956" s="1079" t="s">
        <v>1362</v>
      </c>
      <c r="C956" s="1079" t="str">
        <f t="shared" si="38"/>
        <v>Tratamento de ralo com manta de poliéster</v>
      </c>
      <c r="D956" s="1079" t="s">
        <v>1753</v>
      </c>
      <c r="E956" s="1080" t="str">
        <f>_xlfn.XLOOKUP(D956,Insumos!$B$1:$B$670,Insumos!$C$1:$C$670)</f>
        <v>M2</v>
      </c>
      <c r="F956" s="1083">
        <v>0.35709999999999997</v>
      </c>
      <c r="G956" s="1081">
        <f>IF(B956="insumo",_xlfn.XLOOKUP($D956,Insumos!$B$1:$B$670,Insumos!$D$1:$D$670),"")</f>
        <v>1.1000000000000001</v>
      </c>
      <c r="H956" s="1081" cm="1">
        <f t="array" ref="H956">_xlfn.IFS(B956="Serviço",SUMIFS(H957:$H$2465,C957:$C$2465,$C956),B956="Insumo",F956*G956,B956="Etapa","")</f>
        <v>0.39280999999999999</v>
      </c>
      <c r="I956" s="1082"/>
    </row>
    <row r="957" spans="1:9" hidden="1" outlineLevel="1" collapsed="1" x14ac:dyDescent="0.25">
      <c r="A957" s="1079">
        <f t="shared" si="36"/>
        <v>1</v>
      </c>
      <c r="B957" s="1079" t="s">
        <v>471</v>
      </c>
      <c r="C957" s="1079" t="str">
        <f t="shared" si="38"/>
        <v xml:space="preserve">Mão de obra para regularização de superfície </v>
      </c>
      <c r="D957" s="1079" t="s">
        <v>1754</v>
      </c>
      <c r="E957" s="1080" t="s">
        <v>17</v>
      </c>
      <c r="F957" s="1079"/>
      <c r="G957" s="1081" t="str">
        <f>IF(B957="insumo",_xlfn.XLOOKUP($D957,Insumos!$B$1:$B$670,Insumos!$D$1:$D$670),"")</f>
        <v/>
      </c>
      <c r="H957" s="1081" cm="1">
        <f t="array" ref="H957">_xlfn.IFS(B957="Serviço",SUMIFS(H958:$H$2465,C958:$C$2465,$C957),B957="Insumo",F957*G957,B957="Etapa","")</f>
        <v>20</v>
      </c>
      <c r="I957" s="1082" t="s">
        <v>872</v>
      </c>
    </row>
    <row r="958" spans="1:9" hidden="1" outlineLevel="2" x14ac:dyDescent="0.25">
      <c r="A958" s="1079">
        <f t="shared" si="36"/>
        <v>1</v>
      </c>
      <c r="B958" s="1079" t="s">
        <v>1362</v>
      </c>
      <c r="C958" s="1079" t="str">
        <f t="shared" si="38"/>
        <v xml:space="preserve">Mão de obra para regularização de superfície </v>
      </c>
      <c r="D958" s="1079" t="s">
        <v>1754</v>
      </c>
      <c r="E958" s="1080" t="str">
        <f>_xlfn.XLOOKUP(D958,Insumos!$B$1:$B$670,Insumos!$C$1:$C$670)</f>
        <v>M2</v>
      </c>
      <c r="F958" s="1083">
        <v>1</v>
      </c>
      <c r="G958" s="1081">
        <f>IF(B958="insumo",_xlfn.XLOOKUP($D958,Insumos!$B$1:$B$670,Insumos!$D$1:$D$670),"")</f>
        <v>20</v>
      </c>
      <c r="H958" s="1081" cm="1">
        <f t="array" ref="H958">_xlfn.IFS(B958="Serviço",SUMIFS(H959:$H$2465,C959:$C$2465,$C958),B958="Insumo",F958*G958,B958="Etapa","")</f>
        <v>20</v>
      </c>
      <c r="I958" s="1082"/>
    </row>
    <row r="959" spans="1:9" hidden="1" outlineLevel="1" collapsed="1" x14ac:dyDescent="0.25">
      <c r="A959" s="1079">
        <f t="shared" si="36"/>
        <v>1</v>
      </c>
      <c r="B959" s="1079" t="s">
        <v>471</v>
      </c>
      <c r="C959" s="1079" t="str">
        <f t="shared" si="38"/>
        <v>Mão de obra para proteção mecânica</v>
      </c>
      <c r="D959" s="1079" t="s">
        <v>1755</v>
      </c>
      <c r="E959" s="1080" t="s">
        <v>17</v>
      </c>
      <c r="F959" s="1083"/>
      <c r="G959" s="1081" t="str">
        <f>IF(B959="insumo",_xlfn.XLOOKUP($D959,Insumos!$B$1:$B$670,Insumos!$D$1:$D$670),"")</f>
        <v/>
      </c>
      <c r="H959" s="1081" cm="1">
        <f t="array" ref="H959">_xlfn.IFS(B959="Serviço",SUMIFS(H960:$H$2465,C960:$C$2465,$C959),B959="Insumo",F959*G959,B959="Etapa","")</f>
        <v>35</v>
      </c>
      <c r="I959" s="1082" t="s">
        <v>872</v>
      </c>
    </row>
    <row r="960" spans="1:9" hidden="1" outlineLevel="2" x14ac:dyDescent="0.25">
      <c r="A960" s="1079">
        <f t="shared" si="36"/>
        <v>1</v>
      </c>
      <c r="B960" s="1079" t="s">
        <v>1362</v>
      </c>
      <c r="C960" s="1079" t="str">
        <f t="shared" si="38"/>
        <v>Mão de obra para proteção mecânica</v>
      </c>
      <c r="D960" s="1079" t="s">
        <v>1755</v>
      </c>
      <c r="E960" s="1080" t="str">
        <f>_xlfn.XLOOKUP(D960,Insumos!$B$1:$B$670,Insumos!$C$1:$C$670)</f>
        <v>UN</v>
      </c>
      <c r="F960" s="1083">
        <v>1</v>
      </c>
      <c r="G960" s="1081">
        <f>IF(B960="insumo",_xlfn.XLOOKUP($D960,Insumos!$B$1:$B$670,Insumos!$D$1:$D$670),"")</f>
        <v>35</v>
      </c>
      <c r="H960" s="1081" cm="1">
        <f t="array" ref="H960">_xlfn.IFS(B960="Serviço",SUMIFS(H961:$H$2465,C961:$C$2465,$C960),B960="Insumo",F960*G960,B960="Etapa","")</f>
        <v>35</v>
      </c>
      <c r="I960" s="1082"/>
    </row>
    <row r="961" spans="1:9" hidden="1" outlineLevel="1" collapsed="1" x14ac:dyDescent="0.25">
      <c r="A961" s="1079">
        <f t="shared" si="36"/>
        <v>1</v>
      </c>
      <c r="B961" s="1079" t="s">
        <v>471</v>
      </c>
      <c r="C961" s="1079" t="str">
        <f t="shared" si="38"/>
        <v>Mão de obra impermeabilização de superfície com manta líquida</v>
      </c>
      <c r="D961" s="1079" t="s">
        <v>1756</v>
      </c>
      <c r="E961" s="1080" t="s">
        <v>17</v>
      </c>
      <c r="F961" s="1083"/>
      <c r="G961" s="1081" t="str">
        <f>IF(B961="insumo",_xlfn.XLOOKUP($D961,Insumos!$B$1:$B$670,Insumos!$D$1:$D$670),"")</f>
        <v/>
      </c>
      <c r="H961" s="1081" cm="1">
        <f t="array" ref="H961">_xlfn.IFS(B961="Serviço",SUMIFS(H962:$H$2465,C962:$C$2465,$C961),B961="Insumo",F961*G961,B961="Etapa","")</f>
        <v>30</v>
      </c>
      <c r="I961" s="1082" t="s">
        <v>872</v>
      </c>
    </row>
    <row r="962" spans="1:9" hidden="1" outlineLevel="2" x14ac:dyDescent="0.25">
      <c r="A962" s="1079">
        <f t="shared" ref="A962:A1025" si="39">COUNTIFS($D$2:$D$2465,D962,$B$2:$B$2465,B962)</f>
        <v>1</v>
      </c>
      <c r="B962" s="1079" t="s">
        <v>1362</v>
      </c>
      <c r="C962" s="1079" t="str">
        <f t="shared" si="38"/>
        <v>Mão de obra impermeabilização de superfície com manta líquida</v>
      </c>
      <c r="D962" s="1079" t="s">
        <v>1756</v>
      </c>
      <c r="E962" s="1080" t="str">
        <f>_xlfn.XLOOKUP(D962,Insumos!$B$1:$B$670,Insumos!$C$1:$C$670)</f>
        <v>UN</v>
      </c>
      <c r="F962" s="1083">
        <v>1</v>
      </c>
      <c r="G962" s="1081">
        <f>IF(B962="insumo",_xlfn.XLOOKUP($D962,Insumos!$B$1:$B$670,Insumos!$D$1:$D$670),"")</f>
        <v>30</v>
      </c>
      <c r="H962" s="1081" cm="1">
        <f t="array" ref="H962">_xlfn.IFS(B962="Serviço",SUMIFS(H963:$H$2465,C963:$C$2465,$C962),B962="Insumo",F962*G962,B962="Etapa","")</f>
        <v>30</v>
      </c>
      <c r="I962" s="1082"/>
    </row>
    <row r="963" spans="1:9" hidden="1" outlineLevel="1" collapsed="1" x14ac:dyDescent="0.25">
      <c r="A963" s="1079">
        <f t="shared" si="39"/>
        <v>1</v>
      </c>
      <c r="B963" s="1079" t="s">
        <v>471</v>
      </c>
      <c r="C963" s="1079" t="str">
        <f t="shared" si="38"/>
        <v>Mão de obra impermeabilização de superfície com manta asfáltica</v>
      </c>
      <c r="D963" s="1079" t="s">
        <v>403</v>
      </c>
      <c r="E963" s="1080" t="s">
        <v>17</v>
      </c>
      <c r="F963" s="1083"/>
      <c r="G963" s="1081" t="str">
        <f>IF(B963="insumo",_xlfn.XLOOKUP($D963,Insumos!$B$1:$B$670,Insumos!$D$1:$D$670),"")</f>
        <v/>
      </c>
      <c r="H963" s="1081" cm="1">
        <f t="array" ref="H963">_xlfn.IFS(B963="Serviço",SUMIFS(H964:$H$2465,C964:$C$2465,$C963),B963="Insumo",F963*G963,B963="Etapa","")</f>
        <v>45</v>
      </c>
      <c r="I963" s="1082" t="s">
        <v>872</v>
      </c>
    </row>
    <row r="964" spans="1:9" hidden="1" outlineLevel="2" x14ac:dyDescent="0.25">
      <c r="A964" s="1079">
        <f t="shared" si="39"/>
        <v>1</v>
      </c>
      <c r="B964" s="1079" t="s">
        <v>1362</v>
      </c>
      <c r="C964" s="1079" t="str">
        <f t="shared" si="38"/>
        <v>Mão de obra impermeabilização de superfície com manta asfáltica</v>
      </c>
      <c r="D964" s="1079" t="s">
        <v>403</v>
      </c>
      <c r="E964" s="1080" t="str">
        <f>_xlfn.XLOOKUP(D964,Insumos!$B$1:$B$670,Insumos!$C$1:$C$670)</f>
        <v>UN</v>
      </c>
      <c r="F964" s="1083">
        <v>1</v>
      </c>
      <c r="G964" s="1081">
        <f>IF(B964="insumo",_xlfn.XLOOKUP($D964,Insumos!$B$1:$B$670,Insumos!$D$1:$D$670),"")</f>
        <v>45</v>
      </c>
      <c r="H964" s="1081" cm="1">
        <f t="array" ref="H964">_xlfn.IFS(B964="Serviço",SUMIFS(H965:$H$2465,C965:$C$2465,$C964),B964="Insumo",F964*G964,B964="Etapa","")</f>
        <v>45</v>
      </c>
      <c r="I964" s="1082"/>
    </row>
    <row r="965" spans="1:9" hidden="1" outlineLevel="1" collapsed="1" x14ac:dyDescent="0.25">
      <c r="A965" s="1079">
        <f t="shared" si="39"/>
        <v>1</v>
      </c>
      <c r="B965" s="1079" t="s">
        <v>471</v>
      </c>
      <c r="C965" s="1079" t="str">
        <f t="shared" si="38"/>
        <v>Mão de obra impermeabilização de argamassa polimérica</v>
      </c>
      <c r="D965" s="1079" t="s">
        <v>1757</v>
      </c>
      <c r="E965" s="1080" t="s">
        <v>17</v>
      </c>
      <c r="F965" s="1083"/>
      <c r="G965" s="1081" t="str">
        <f>IF(B965="insumo",_xlfn.XLOOKUP($D965,Insumos!$B$1:$B$670,Insumos!$D$1:$D$670),"")</f>
        <v/>
      </c>
      <c r="H965" s="1081" cm="1">
        <f t="array" ref="H965">_xlfn.IFS(B965="Serviço",SUMIFS(H966:$H$2465,C966:$C$2465,$C965),B965="Insumo",F965*G965,B965="Etapa","")</f>
        <v>30</v>
      </c>
      <c r="I965" s="1082" t="s">
        <v>872</v>
      </c>
    </row>
    <row r="966" spans="1:9" hidden="1" outlineLevel="2" x14ac:dyDescent="0.25">
      <c r="A966" s="1079">
        <f t="shared" si="39"/>
        <v>2</v>
      </c>
      <c r="B966" s="1079" t="s">
        <v>1362</v>
      </c>
      <c r="C966" s="1079" t="str">
        <f t="shared" si="38"/>
        <v>Mão de obra impermeabilização de argamassa polimérica</v>
      </c>
      <c r="D966" s="1079" t="s">
        <v>1757</v>
      </c>
      <c r="E966" s="1080" t="str">
        <f>_xlfn.XLOOKUP(D966,Insumos!$B$1:$B$670,Insumos!$C$1:$C$670)</f>
        <v>UN</v>
      </c>
      <c r="F966" s="1083">
        <v>1</v>
      </c>
      <c r="G966" s="1081">
        <f>IF(B966="insumo",_xlfn.XLOOKUP($D966,Insumos!$B$1:$B$670,Insumos!$D$1:$D$670),"")</f>
        <v>30</v>
      </c>
      <c r="H966" s="1081" cm="1">
        <f t="array" ref="H966">_xlfn.IFS(B966="Serviço",SUMIFS(H967:$H$2465,C967:$C$2465,$C966),B966="Insumo",F966*G966,B966="Etapa","")</f>
        <v>30</v>
      </c>
      <c r="I966" s="1082"/>
    </row>
    <row r="967" spans="1:9" hidden="1" outlineLevel="1" collapsed="1" x14ac:dyDescent="0.25">
      <c r="A967" s="1079">
        <f t="shared" si="39"/>
        <v>1</v>
      </c>
      <c r="B967" s="1079" t="s">
        <v>471</v>
      </c>
      <c r="C967" s="1079" t="str">
        <f t="shared" si="38"/>
        <v>Mão de obra impermeabilização com membrana de polimero</v>
      </c>
      <c r="D967" s="1079" t="s">
        <v>1319</v>
      </c>
      <c r="E967" s="1080" t="s">
        <v>17</v>
      </c>
      <c r="F967" s="1083"/>
      <c r="G967" s="1081" t="str">
        <f>IF(B967="insumo",_xlfn.XLOOKUP($D967,Insumos!$B$1:$B$670,Insumos!$D$1:$D$670),"")</f>
        <v/>
      </c>
      <c r="H967" s="1081" cm="1">
        <f t="array" ref="H967">_xlfn.IFS(B967="Serviço",SUMIFS(H968:$H$2465,C968:$C$2465,$C967),B967="Insumo",F967*G967,B967="Etapa","")</f>
        <v>30</v>
      </c>
      <c r="I967" s="1082" t="s">
        <v>872</v>
      </c>
    </row>
    <row r="968" spans="1:9" hidden="1" outlineLevel="2" x14ac:dyDescent="0.25">
      <c r="A968" s="1079">
        <f t="shared" si="39"/>
        <v>2</v>
      </c>
      <c r="B968" s="1079" t="s">
        <v>1362</v>
      </c>
      <c r="C968" s="1079" t="str">
        <f t="shared" si="38"/>
        <v>Mão de obra impermeabilização com membrana de polimero</v>
      </c>
      <c r="D968" s="1079" t="s">
        <v>1757</v>
      </c>
      <c r="E968" s="1080" t="str">
        <f>_xlfn.XLOOKUP(D968,Insumos!$B$1:$B$670,Insumos!$C$1:$C$670)</f>
        <v>UN</v>
      </c>
      <c r="F968" s="1083">
        <v>1</v>
      </c>
      <c r="G968" s="1081">
        <f>IF(B968="insumo",_xlfn.XLOOKUP($D968,Insumos!$B$1:$B$670,Insumos!$D$1:$D$670),"")</f>
        <v>30</v>
      </c>
      <c r="H968" s="1081" cm="1">
        <f t="array" ref="H968">_xlfn.IFS(B968="Serviço",SUMIFS(H969:$H$2465,C969:$C$2465,$C968),B968="Insumo",F968*G968,B968="Etapa","")</f>
        <v>30</v>
      </c>
      <c r="I968" s="1082"/>
    </row>
    <row r="969" spans="1:9" hidden="1" outlineLevel="1" collapsed="1" x14ac:dyDescent="0.25">
      <c r="A969" s="1079">
        <f t="shared" si="39"/>
        <v>1</v>
      </c>
      <c r="B969" s="1079" t="s">
        <v>471</v>
      </c>
      <c r="C969" s="1079" t="str">
        <f t="shared" si="38"/>
        <v>Mão de obra impermeabilização com emulsão Asfaltica</v>
      </c>
      <c r="D969" s="1079" t="s">
        <v>1758</v>
      </c>
      <c r="E969" s="1080" t="s">
        <v>17</v>
      </c>
      <c r="F969" s="1079"/>
      <c r="G969" s="1081" t="str">
        <f>IF(B969="insumo",_xlfn.XLOOKUP($D969,Insumos!$B$1:$B$670,Insumos!$D$1:$D$670),"")</f>
        <v/>
      </c>
      <c r="H969" s="1081" cm="1">
        <f t="array" ref="H969">_xlfn.IFS(B969="Serviço",SUMIFS(H970:$H$2465,C970:$C$2465,$C969),B969="Insumo",F969*G969,B969="Etapa","")</f>
        <v>28</v>
      </c>
      <c r="I969" s="1082" t="s">
        <v>872</v>
      </c>
    </row>
    <row r="970" spans="1:9" hidden="1" outlineLevel="2" x14ac:dyDescent="0.25">
      <c r="A970" s="1079">
        <f t="shared" si="39"/>
        <v>1</v>
      </c>
      <c r="B970" s="1079" t="s">
        <v>1362</v>
      </c>
      <c r="C970" s="1079" t="str">
        <f t="shared" si="38"/>
        <v>Mão de obra impermeabilização com emulsão Asfaltica</v>
      </c>
      <c r="D970" s="1079" t="s">
        <v>1758</v>
      </c>
      <c r="E970" s="1080" t="str">
        <f>_xlfn.XLOOKUP(D970,Insumos!$B$1:$B$670,Insumos!$C$1:$C$670)</f>
        <v>M2</v>
      </c>
      <c r="F970" s="1083">
        <v>1</v>
      </c>
      <c r="G970" s="1081">
        <f>IF(B970="insumo",_xlfn.XLOOKUP($D970,Insumos!$B$1:$B$670,Insumos!$D$1:$D$670),"")</f>
        <v>28</v>
      </c>
      <c r="H970" s="1081" cm="1">
        <f t="array" ref="H970">_xlfn.IFS(B970="Serviço",SUMIFS(H971:$H$2465,C971:$C$2465,$C970),B970="Insumo",F970*G970,B970="Etapa","")</f>
        <v>28</v>
      </c>
      <c r="I970" s="1082"/>
    </row>
    <row r="971" spans="1:9" hidden="1" outlineLevel="1" collapsed="1" x14ac:dyDescent="0.25">
      <c r="A971" s="1079">
        <f t="shared" si="39"/>
        <v>1</v>
      </c>
      <c r="B971" s="1079" t="s">
        <v>471</v>
      </c>
      <c r="C971" s="1079" t="str">
        <f t="shared" si="38"/>
        <v>Mão de obra impermeabilização com manta liquida em peitoris</v>
      </c>
      <c r="D971" s="1079" t="s">
        <v>1759</v>
      </c>
      <c r="E971" s="1080" t="s">
        <v>17</v>
      </c>
      <c r="F971" s="1083"/>
      <c r="G971" s="1081" t="str">
        <f>IF(B971="insumo",_xlfn.XLOOKUP($D971,Insumos!$B$1:$B$670,Insumos!$D$1:$D$670),"")</f>
        <v/>
      </c>
      <c r="H971" s="1081" cm="1">
        <f t="array" ref="H971">_xlfn.IFS(B971="Serviço",SUMIFS(H972:$H$2465,C972:$C$2465,$C971),B971="Insumo",F971*G971,B971="Etapa","")</f>
        <v>30</v>
      </c>
      <c r="I971" s="1082" t="s">
        <v>872</v>
      </c>
    </row>
    <row r="972" spans="1:9" hidden="1" outlineLevel="2" x14ac:dyDescent="0.25">
      <c r="A972" s="1079">
        <f t="shared" si="39"/>
        <v>1</v>
      </c>
      <c r="B972" s="1079" t="s">
        <v>1362</v>
      </c>
      <c r="C972" s="1079" t="str">
        <f t="shared" si="38"/>
        <v>Mão de obra impermeabilização com manta liquida em peitoris</v>
      </c>
      <c r="D972" s="1079" t="s">
        <v>1759</v>
      </c>
      <c r="E972" s="1080" t="str">
        <f>_xlfn.XLOOKUP(D972,Insumos!$B$1:$B$670,Insumos!$C$1:$C$670)</f>
        <v>UN</v>
      </c>
      <c r="F972" s="1083">
        <v>1</v>
      </c>
      <c r="G972" s="1081">
        <f>IF(B972="insumo",_xlfn.XLOOKUP($D972,Insumos!$B$1:$B$670,Insumos!$D$1:$D$670),"")</f>
        <v>30</v>
      </c>
      <c r="H972" s="1081" cm="1">
        <f t="array" ref="H972">_xlfn.IFS(B972="Serviço",SUMIFS(H973:$H$2465,C973:$C$2465,$C972),B972="Insumo",F972*G972,B972="Etapa","")</f>
        <v>30</v>
      </c>
      <c r="I972" s="1082"/>
    </row>
    <row r="973" spans="1:9" hidden="1" outlineLevel="1" collapsed="1" x14ac:dyDescent="0.25">
      <c r="A973" s="1079">
        <f t="shared" si="39"/>
        <v>1</v>
      </c>
      <c r="B973" s="1079" t="s">
        <v>471</v>
      </c>
      <c r="C973" s="1079" t="str">
        <f t="shared" si="38"/>
        <v>Mão de obra tratamento de ralo com manta de poliéster</v>
      </c>
      <c r="D973" s="1079" t="s">
        <v>1760</v>
      </c>
      <c r="E973" s="1080" t="s">
        <v>17</v>
      </c>
      <c r="F973" s="1083"/>
      <c r="G973" s="1081" t="str">
        <f>IF(B973="insumo",_xlfn.XLOOKUP($D973,Insumos!$B$1:$B$670,Insumos!$D$1:$D$670),"")</f>
        <v/>
      </c>
      <c r="H973" s="1081" cm="1">
        <f t="array" ref="H973">_xlfn.IFS(B973="Serviço",SUMIFS(H974:$H$2465,C974:$C$2465,$C973),B973="Insumo",F973*G973,B973="Etapa","")</f>
        <v>50</v>
      </c>
      <c r="I973" s="1082" t="s">
        <v>872</v>
      </c>
    </row>
    <row r="974" spans="1:9" hidden="1" outlineLevel="2" x14ac:dyDescent="0.25">
      <c r="A974" s="1079">
        <f t="shared" si="39"/>
        <v>1</v>
      </c>
      <c r="B974" s="1079" t="s">
        <v>1362</v>
      </c>
      <c r="C974" s="1079" t="str">
        <f t="shared" si="38"/>
        <v>Mão de obra tratamento de ralo com manta de poliéster</v>
      </c>
      <c r="D974" s="1079" t="s">
        <v>1760</v>
      </c>
      <c r="E974" s="1080" t="str">
        <f>_xlfn.XLOOKUP(D974,Insumos!$B$1:$B$670,Insumos!$C$1:$C$670)</f>
        <v>UN</v>
      </c>
      <c r="F974" s="1083">
        <v>1</v>
      </c>
      <c r="G974" s="1081">
        <f>IF(B974="insumo",_xlfn.XLOOKUP($D974,Insumos!$B$1:$B$670,Insumos!$D$1:$D$670),"")</f>
        <v>50</v>
      </c>
      <c r="H974" s="1081" cm="1">
        <f t="array" ref="H974">_xlfn.IFS(B974="Serviço",SUMIFS(H975:$H$2465,C975:$C$2465,$C974),B974="Insumo",F974*G974,B974="Etapa","")</f>
        <v>50</v>
      </c>
      <c r="I974" s="1082"/>
    </row>
    <row r="975" spans="1:9" collapsed="1" x14ac:dyDescent="0.25">
      <c r="A975" s="1076">
        <f t="shared" si="39"/>
        <v>1</v>
      </c>
      <c r="B975" s="1076" t="s">
        <v>469</v>
      </c>
      <c r="C975" s="1076"/>
      <c r="D975" s="1076" t="s">
        <v>1761</v>
      </c>
      <c r="E975" s="1077"/>
      <c r="F975" s="1078"/>
      <c r="G975" s="1084" t="str">
        <f>IF(B975="insumo",_xlfn.XLOOKUP($D975,Insumos!$B$1:$B$670,Insumos!$D$1:$D$670),"")</f>
        <v/>
      </c>
      <c r="H975" s="1084" t="str" cm="1">
        <f t="array" ref="H975">_xlfn.IFS(B975="Serviço",SUMIFS(H976:$H$2465,C976:$C$2465,$C975),B975="Insumo",F975*G975,B975="Etapa","")</f>
        <v/>
      </c>
      <c r="I975" s="1078"/>
    </row>
    <row r="976" spans="1:9" hidden="1" outlineLevel="1" collapsed="1" x14ac:dyDescent="0.25">
      <c r="A976" s="1079">
        <f t="shared" si="39"/>
        <v>1</v>
      </c>
      <c r="B976" s="1079" t="s">
        <v>471</v>
      </c>
      <c r="C976" s="1079" t="str">
        <f t="shared" ref="C976:C1039" si="40">IF(B976="serviço",D976,C975)</f>
        <v>Chapisco aplicado em estruturas de concreto, de argamassa ACIII, com desempenadeira dentada</v>
      </c>
      <c r="D976" s="1079" t="s">
        <v>888</v>
      </c>
      <c r="E976" s="1080" t="s">
        <v>17</v>
      </c>
      <c r="F976" s="1079"/>
      <c r="G976" s="1081" t="str">
        <f>IF(B976="insumo",_xlfn.XLOOKUP($D976,Insumos!$B$1:$B$670,Insumos!$D$1:$D$670),"")</f>
        <v/>
      </c>
      <c r="H976" s="1081" cm="1">
        <f t="array" ref="H976">_xlfn.IFS(B976="Serviço",SUMIFS(H977:$H$2465,C977:$C$2465,$C976),B976="Insumo",F976*G976,B976="Etapa","")</f>
        <v>12.75</v>
      </c>
      <c r="I976" s="1082" t="s">
        <v>872</v>
      </c>
    </row>
    <row r="977" spans="1:9" hidden="1" outlineLevel="2" x14ac:dyDescent="0.25">
      <c r="A977" s="1079">
        <f t="shared" si="39"/>
        <v>87</v>
      </c>
      <c r="B977" s="1079" t="s">
        <v>1362</v>
      </c>
      <c r="C977" s="1079" t="str">
        <f t="shared" si="40"/>
        <v>Chapisco aplicado em estruturas de concreto, de argamassa ACIII, com desempenadeira dentada</v>
      </c>
      <c r="D977" s="1079" t="s">
        <v>1762</v>
      </c>
      <c r="E977" s="1080" t="str">
        <f>_xlfn.XLOOKUP(D977,Insumos!$B$1:$B$670,Insumos!$C$1:$C$670)</f>
        <v>KG</v>
      </c>
      <c r="F977" s="1083">
        <v>5</v>
      </c>
      <c r="G977" s="1081">
        <f>IF(B977="insumo",_xlfn.XLOOKUP($D977,Insumos!$B$1:$B$670,Insumos!$D$1:$D$670),"")</f>
        <v>2.5499999999999998</v>
      </c>
      <c r="H977" s="1081" cm="1">
        <f t="array" ref="H977">_xlfn.IFS(B977="Serviço",SUMIFS(H978:$H$2465,C978:$C$2465,$C977),B977="Insumo",F977*G977,B977="Etapa","")</f>
        <v>12.75</v>
      </c>
      <c r="I977" s="1082"/>
    </row>
    <row r="978" spans="1:9" hidden="1" outlineLevel="1" x14ac:dyDescent="0.25">
      <c r="A978" s="1079">
        <f t="shared" si="39"/>
        <v>1</v>
      </c>
      <c r="B978" s="1079" t="s">
        <v>471</v>
      </c>
      <c r="C978" s="1079" t="str">
        <f t="shared" si="40"/>
        <v>Chapisco aplicado em estruturas de concreto, com argamassa pré-fabricada adesiva de cimento colante, aplicação convencional</v>
      </c>
      <c r="D978" s="1079" t="s">
        <v>1763</v>
      </c>
      <c r="E978" s="1080" t="s">
        <v>17</v>
      </c>
      <c r="F978" s="1079"/>
      <c r="G978" s="1081" t="str">
        <f>IF(B978="insumo",_xlfn.XLOOKUP($D978,Insumos!$B$1:$B$670,Insumos!$D$1:$D$670),"")</f>
        <v/>
      </c>
      <c r="H978" s="1081" cm="1">
        <f t="array" ref="H978">_xlfn.IFS(B978="Serviço",SUMIFS(H979:$H$2465,C979:$C$2465,$C978),B978="Insumo",F978*G978,B978="Etapa","")</f>
        <v>19.535849999999996</v>
      </c>
      <c r="I978" s="1082" t="s">
        <v>872</v>
      </c>
    </row>
    <row r="979" spans="1:9" hidden="1" outlineLevel="2" x14ac:dyDescent="0.25">
      <c r="A979" s="1079">
        <f t="shared" si="39"/>
        <v>87</v>
      </c>
      <c r="B979" s="1079" t="s">
        <v>1362</v>
      </c>
      <c r="C979" s="1079" t="str">
        <f t="shared" si="40"/>
        <v>Chapisco aplicado em estruturas de concreto, com argamassa pré-fabricada adesiva de cimento colante, aplicação convencional</v>
      </c>
      <c r="D979" s="1079" t="s">
        <v>1762</v>
      </c>
      <c r="E979" s="1080" t="str">
        <f>_xlfn.XLOOKUP(D979,Insumos!$B$1:$B$670,Insumos!$C$1:$C$670)</f>
        <v>KG</v>
      </c>
      <c r="F979" s="1083">
        <v>6.34</v>
      </c>
      <c r="G979" s="1081">
        <f>IF(B979="insumo",_xlfn.XLOOKUP($D979,Insumos!$B$1:$B$670,Insumos!$D$1:$D$670),"")</f>
        <v>2.5499999999999998</v>
      </c>
      <c r="H979" s="1081" cm="1">
        <f t="array" ref="H979">_xlfn.IFS(B979="Serviço",SUMIFS(H980:$H$2465,C980:$C$2465,$C979),B979="Insumo",F979*G979,B979="Etapa","")</f>
        <v>16.166999999999998</v>
      </c>
      <c r="I979" s="1082"/>
    </row>
    <row r="980" spans="1:9" hidden="1" outlineLevel="2" x14ac:dyDescent="0.25">
      <c r="A980" s="1079">
        <f t="shared" si="39"/>
        <v>4</v>
      </c>
      <c r="B980" s="1079" t="s">
        <v>1362</v>
      </c>
      <c r="C980" s="1079" t="str">
        <f t="shared" si="40"/>
        <v>Chapisco aplicado em estruturas de concreto, com argamassa pré-fabricada adesiva de cimento colante, aplicação convencional</v>
      </c>
      <c r="D980" s="1079" t="s">
        <v>1764</v>
      </c>
      <c r="E980" s="1080" t="str">
        <f>_xlfn.XLOOKUP(D980,Insumos!$B$1:$B$670,Insumos!$C$1:$C$670)</f>
        <v>KG</v>
      </c>
      <c r="F980" s="1083">
        <v>0.3</v>
      </c>
      <c r="G980" s="1081">
        <f>IF(B980="insumo",_xlfn.XLOOKUP($D980,Insumos!$B$1:$B$670,Insumos!$D$1:$D$670),"")</f>
        <v>11.2295</v>
      </c>
      <c r="H980" s="1081" cm="1">
        <f t="array" ref="H980">_xlfn.IFS(B980="Serviço",SUMIFS(H981:$H$2465,C981:$C$2465,$C980),B980="Insumo",F980*G980,B980="Etapa","")</f>
        <v>3.3688499999999997</v>
      </c>
      <c r="I980" s="1082"/>
    </row>
    <row r="981" spans="1:9" hidden="1" outlineLevel="1" x14ac:dyDescent="0.25">
      <c r="A981" s="1079">
        <f t="shared" si="39"/>
        <v>1</v>
      </c>
      <c r="B981" s="1079" t="s">
        <v>471</v>
      </c>
      <c r="C981" s="1079" t="str">
        <f t="shared" si="40"/>
        <v>Chapisco aplicados em alvenaria, com argamassa usinadaa, aplicação convencional.</v>
      </c>
      <c r="D981" s="1079" t="s">
        <v>2568</v>
      </c>
      <c r="E981" s="1080" t="s">
        <v>17</v>
      </c>
      <c r="F981" s="1079"/>
      <c r="G981" s="1081" t="str">
        <f>IF(B981="insumo",_xlfn.XLOOKUP($D981,Insumos!$B$1:$B$670,Insumos!$D$1:$D$670),"")</f>
        <v/>
      </c>
      <c r="H981" s="1081" cm="1">
        <f t="array" ref="H981">_xlfn.IFS(B981="Serviço",SUMIFS(H982:$H$2465,C982:$C$2465,$C981),B981="Insumo",F981*G981,B981="Etapa","")</f>
        <v>2.6597339999999998</v>
      </c>
      <c r="I981" s="1082" t="s">
        <v>872</v>
      </c>
    </row>
    <row r="982" spans="1:9" ht="18" hidden="1" outlineLevel="2" x14ac:dyDescent="0.25">
      <c r="A982" s="1079">
        <f t="shared" si="39"/>
        <v>2</v>
      </c>
      <c r="B982" s="1079" t="s">
        <v>1362</v>
      </c>
      <c r="C982" s="1079" t="str">
        <f t="shared" si="40"/>
        <v>Chapisco aplicados em alvenaria, com argamassa usinadaa, aplicação convencional.</v>
      </c>
      <c r="D982" s="1094" t="s">
        <v>1766</v>
      </c>
      <c r="E982" s="1080" t="str">
        <f>_xlfn.XLOOKUP(D982,Insumos!$B$1:$B$670,Insumos!$C$1:$C$670)</f>
        <v>M3</v>
      </c>
      <c r="F982" s="1083">
        <v>4.1999999999999997E-3</v>
      </c>
      <c r="G982" s="1081">
        <f>IF(B982="insumo",_xlfn.XLOOKUP($D982,Insumos!$B$1:$B$670,Insumos!$D$1:$D$670),"")</f>
        <v>633.27</v>
      </c>
      <c r="H982" s="1081" cm="1">
        <f t="array" ref="H982">_xlfn.IFS(B982="Serviço",SUMIFS(H983:$H$2465,C983:$C$2465,$C982),B982="Insumo",F982*G982,B982="Etapa","")</f>
        <v>2.6597339999999998</v>
      </c>
      <c r="I982" s="1082"/>
    </row>
    <row r="983" spans="1:9" hidden="1" outlineLevel="1" x14ac:dyDescent="0.25">
      <c r="A983" s="1079">
        <f t="shared" si="39"/>
        <v>1</v>
      </c>
      <c r="B983" s="1079" t="s">
        <v>471</v>
      </c>
      <c r="C983" s="1079" t="str">
        <f t="shared" si="40"/>
        <v>Chapisco aplicados em alvenaria, com argamassa estabilizada, aplicação convencional.</v>
      </c>
      <c r="D983" s="1079" t="s">
        <v>1765</v>
      </c>
      <c r="E983" s="1080" t="s">
        <v>17</v>
      </c>
      <c r="F983" s="1079"/>
      <c r="G983" s="1081" t="str">
        <f>IF(B983="insumo",_xlfn.XLOOKUP($D983,Insumos!$B$1:$B$670,Insumos!$D$1:$D$670),"")</f>
        <v/>
      </c>
      <c r="H983" s="1081" cm="1">
        <f t="array" ref="H983">_xlfn.IFS(B983="Serviço",SUMIFS(H984:$H$2465,C984:$C$2465,$C983),B983="Insumo",F983*G983,B983="Etapa","")</f>
        <v>2.016</v>
      </c>
      <c r="I983" s="1082" t="s">
        <v>872</v>
      </c>
    </row>
    <row r="984" spans="1:9" hidden="1" outlineLevel="2" x14ac:dyDescent="0.25">
      <c r="A984" s="1079">
        <f t="shared" si="39"/>
        <v>2</v>
      </c>
      <c r="B984" s="1079" t="s">
        <v>1362</v>
      </c>
      <c r="C984" s="1079" t="str">
        <f t="shared" si="40"/>
        <v>Chapisco aplicados em alvenaria, com argamassa estabilizada, aplicação convencional.</v>
      </c>
      <c r="D984" s="1079" t="s">
        <v>1767</v>
      </c>
      <c r="E984" s="1080" t="str">
        <f>_xlfn.XLOOKUP(D984,Insumos!$B$1:$B$670,Insumos!$C$1:$C$670)</f>
        <v>M3</v>
      </c>
      <c r="F984" s="1083">
        <v>4.1999999999999997E-3</v>
      </c>
      <c r="G984" s="1081">
        <f>IF(B984="insumo",_xlfn.XLOOKUP($D984,Insumos!$B$1:$B$670,Insumos!$D$1:$D$670),"")</f>
        <v>480</v>
      </c>
      <c r="H984" s="1081" cm="1">
        <f t="array" ref="H984">_xlfn.IFS(B984="Serviço",SUMIFS(H985:$H$2465,C985:$C$2465,$C984),B984="Insumo",F984*G984,B984="Etapa","")</f>
        <v>2.016</v>
      </c>
      <c r="I984" s="1082"/>
    </row>
    <row r="985" spans="1:9" hidden="1" outlineLevel="1" collapsed="1" x14ac:dyDescent="0.25">
      <c r="A985" s="1079">
        <f t="shared" si="39"/>
        <v>1</v>
      </c>
      <c r="B985" s="1079" t="s">
        <v>471</v>
      </c>
      <c r="C985" s="1079" t="str">
        <f t="shared" si="40"/>
        <v xml:space="preserve">Chapisco externo de argamassa estabilizada, aplicados em alvenaria, aplicação convencional em paredes externas </v>
      </c>
      <c r="D985" s="1079" t="s">
        <v>1768</v>
      </c>
      <c r="E985" s="1080" t="s">
        <v>17</v>
      </c>
      <c r="F985" s="1079"/>
      <c r="G985" s="1081" t="str">
        <f>IF(B985="insumo",_xlfn.XLOOKUP($D985,Insumos!$B$1:$B$670,Insumos!$D$1:$D$670),"")</f>
        <v/>
      </c>
      <c r="H985" s="1081" cm="1">
        <f t="array" ref="H985">_xlfn.IFS(B985="Serviço",SUMIFS(H986:$H$2465,C986:$C$2465,$C985),B985="Insumo",F985*G985,B985="Etapa","")</f>
        <v>2.016</v>
      </c>
      <c r="I985" s="1082" t="s">
        <v>872</v>
      </c>
    </row>
    <row r="986" spans="1:9" hidden="1" outlineLevel="2" x14ac:dyDescent="0.25">
      <c r="A986" s="1079">
        <f t="shared" si="39"/>
        <v>2</v>
      </c>
      <c r="B986" s="1079" t="s">
        <v>1362</v>
      </c>
      <c r="C986" s="1079" t="str">
        <f t="shared" si="40"/>
        <v xml:space="preserve">Chapisco externo de argamassa estabilizada, aplicados em alvenaria, aplicação convencional em paredes externas </v>
      </c>
      <c r="D986" s="1079" t="s">
        <v>1767</v>
      </c>
      <c r="E986" s="1080" t="str">
        <f>_xlfn.XLOOKUP(D986,Insumos!$B$1:$B$670,Insumos!$C$1:$C$670)</f>
        <v>M3</v>
      </c>
      <c r="F986" s="1083">
        <v>4.1999999999999997E-3</v>
      </c>
      <c r="G986" s="1081">
        <f>IF(B986="insumo",_xlfn.XLOOKUP($D986,Insumos!$B$1:$B$670,Insumos!$D$1:$D$670),"")</f>
        <v>480</v>
      </c>
      <c r="H986" s="1081" cm="1">
        <f t="array" ref="H986">_xlfn.IFS(B986="Serviço",SUMIFS(H987:$H$2465,C987:$C$2465,$C986),B986="Insumo",F986*G986,B986="Etapa","")</f>
        <v>2.016</v>
      </c>
      <c r="I986" s="1082"/>
    </row>
    <row r="987" spans="1:9" hidden="1" outlineLevel="1" collapsed="1" x14ac:dyDescent="0.25">
      <c r="A987" s="1079">
        <f t="shared" si="39"/>
        <v>1</v>
      </c>
      <c r="B987" s="1079" t="s">
        <v>471</v>
      </c>
      <c r="C987" s="1079" t="str">
        <f t="shared" si="40"/>
        <v>Chapisco convencional com adesivo sintético de alto desempenho aplicados em alvenaria, aplicação convencional.</v>
      </c>
      <c r="D987" s="1079" t="s">
        <v>889</v>
      </c>
      <c r="E987" s="1080" t="s">
        <v>17</v>
      </c>
      <c r="F987" s="1079"/>
      <c r="G987" s="1081" t="str">
        <f>IF(B987="insumo",_xlfn.XLOOKUP($D987,Insumos!$B$1:$B$670,Insumos!$D$1:$D$670),"")</f>
        <v/>
      </c>
      <c r="H987" s="1081" cm="1">
        <f t="array" ref="H987">_xlfn.IFS(B987="Serviço",SUMIFS(H988:$H$2465,C988:$C$2465,$C987),B987="Insumo",F987*G987,B987="Etapa","")</f>
        <v>7.4998500000000003</v>
      </c>
      <c r="I987" s="1082" t="s">
        <v>872</v>
      </c>
    </row>
    <row r="988" spans="1:9" hidden="1" outlineLevel="2" x14ac:dyDescent="0.25">
      <c r="A988" s="1079">
        <f t="shared" si="39"/>
        <v>1</v>
      </c>
      <c r="B988" s="1079" t="s">
        <v>1362</v>
      </c>
      <c r="C988" s="1079" t="str">
        <f t="shared" si="40"/>
        <v>Chapisco convencional com adesivo sintético de alto desempenho aplicados em alvenaria, aplicação convencional.</v>
      </c>
      <c r="D988" s="1079" t="s">
        <v>1769</v>
      </c>
      <c r="E988" s="1080" t="str">
        <f>_xlfn.XLOOKUP(D988,Insumos!$B$1:$B$670,Insumos!$C$1:$C$670)</f>
        <v>KG</v>
      </c>
      <c r="F988" s="1083">
        <v>1.8</v>
      </c>
      <c r="G988" s="1081">
        <f>IF(B988="insumo",_xlfn.XLOOKUP($D988,Insumos!$B$1:$B$670,Insumos!$D$1:$D$670),"")</f>
        <v>2.2949999999999999</v>
      </c>
      <c r="H988" s="1081" cm="1">
        <f t="array" ref="H988">_xlfn.IFS(B988="Serviço",SUMIFS(H989:$H$2465,C989:$C$2465,$C988),B988="Insumo",F988*G988,B988="Etapa","")</f>
        <v>4.1310000000000002</v>
      </c>
      <c r="I988" s="1082"/>
    </row>
    <row r="989" spans="1:9" hidden="1" outlineLevel="2" x14ac:dyDescent="0.25">
      <c r="A989" s="1079">
        <f t="shared" si="39"/>
        <v>4</v>
      </c>
      <c r="B989" s="1079" t="s">
        <v>1362</v>
      </c>
      <c r="C989" s="1079" t="str">
        <f t="shared" si="40"/>
        <v>Chapisco convencional com adesivo sintético de alto desempenho aplicados em alvenaria, aplicação convencional.</v>
      </c>
      <c r="D989" s="1079" t="s">
        <v>1764</v>
      </c>
      <c r="E989" s="1080" t="str">
        <f>_xlfn.XLOOKUP(D989,Insumos!$B$1:$B$670,Insumos!$C$1:$C$670)</f>
        <v>KG</v>
      </c>
      <c r="F989" s="1083">
        <v>0.3</v>
      </c>
      <c r="G989" s="1081">
        <f>IF(B989="insumo",_xlfn.XLOOKUP($D989,Insumos!$B$1:$B$670,Insumos!$D$1:$D$670),"")</f>
        <v>11.2295</v>
      </c>
      <c r="H989" s="1081" cm="1">
        <f t="array" ref="H989">_xlfn.IFS(B989="Serviço",SUMIFS(H990:$H$2465,C990:$C$2465,$C989),B989="Insumo",F989*G989,B989="Etapa","")</f>
        <v>3.3688499999999997</v>
      </c>
      <c r="I989" s="1082"/>
    </row>
    <row r="990" spans="1:9" hidden="1" outlineLevel="1" collapsed="1" x14ac:dyDescent="0.25">
      <c r="A990" s="1079">
        <f t="shared" si="39"/>
        <v>1</v>
      </c>
      <c r="B990" s="1079" t="s">
        <v>471</v>
      </c>
      <c r="C990" s="1079" t="str">
        <f t="shared" si="40"/>
        <v>Aplicação manual de gesso sarrafeado em paredes, espessura de 1,5cm, com execução de taliscas</v>
      </c>
      <c r="D990" s="1079" t="s">
        <v>1770</v>
      </c>
      <c r="E990" s="1080" t="s">
        <v>17</v>
      </c>
      <c r="F990" s="1079"/>
      <c r="G990" s="1081" t="str">
        <f>IF(B990="insumo",_xlfn.XLOOKUP($D990,Insumos!$B$1:$B$670,Insumos!$D$1:$D$670),"")</f>
        <v/>
      </c>
      <c r="H990" s="1081" cm="1">
        <f t="array" ref="H990">_xlfn.IFS(B990="Serviço",SUMIFS(H991:$H$2465,C991:$C$2465,$C990),B990="Insumo",F990*G990,B990="Etapa","")</f>
        <v>10.093500000000001</v>
      </c>
      <c r="I990" s="1082" t="s">
        <v>872</v>
      </c>
    </row>
    <row r="991" spans="1:9" hidden="1" outlineLevel="2" x14ac:dyDescent="0.25">
      <c r="A991" s="1079">
        <f t="shared" si="39"/>
        <v>1</v>
      </c>
      <c r="B991" s="1079" t="s">
        <v>1362</v>
      </c>
      <c r="C991" s="1079" t="str">
        <f t="shared" si="40"/>
        <v>Aplicação manual de gesso sarrafeado em paredes, espessura de 1,5cm, com execução de taliscas</v>
      </c>
      <c r="D991" s="1079" t="s">
        <v>1771</v>
      </c>
      <c r="E991" s="1080" t="str">
        <f>_xlfn.XLOOKUP(D991,Insumos!$B$1:$B$670,Insumos!$C$1:$C$670)</f>
        <v>KG</v>
      </c>
      <c r="F991" s="1083">
        <v>22.43</v>
      </c>
      <c r="G991" s="1081">
        <f>IF(B991="insumo",_xlfn.XLOOKUP($D991,Insumos!$B$1:$B$670,Insumos!$D$1:$D$670),"")</f>
        <v>0.45</v>
      </c>
      <c r="H991" s="1081" cm="1">
        <f t="array" ref="H991">_xlfn.IFS(B991="Serviço",SUMIFS(H992:$H$2465,C992:$C$2465,$C991),B991="Insumo",F991*G991,B991="Etapa","")</f>
        <v>10.093500000000001</v>
      </c>
      <c r="I991" s="1082"/>
    </row>
    <row r="992" spans="1:9" hidden="1" outlineLevel="1" x14ac:dyDescent="0.25">
      <c r="A992" s="1079">
        <f t="shared" si="39"/>
        <v>1</v>
      </c>
      <c r="B992" s="1079" t="s">
        <v>471</v>
      </c>
      <c r="C992" s="1079" t="str">
        <f t="shared" si="40"/>
        <v>Chapisco interno de argamassa preparada em obra de cimento e areia - traço 1:4 - aplicação em paredes internas</v>
      </c>
      <c r="D992" s="1079" t="s">
        <v>1772</v>
      </c>
      <c r="E992" s="1080" t="s">
        <v>17</v>
      </c>
      <c r="F992" s="1079"/>
      <c r="G992" s="1081" t="str">
        <f>IF(B992="insumo",_xlfn.XLOOKUP($D992,Insumos!$B$1:$B$670,Insumos!$D$1:$D$670),"")</f>
        <v/>
      </c>
      <c r="H992" s="1081" cm="1">
        <f t="array" ref="H992">_xlfn.IFS(B992="Serviço",SUMIFS(H993:$H$2465,C993:$C$2465,$C992),B992="Insumo",F992*G992,B992="Etapa","")</f>
        <v>3.28945</v>
      </c>
      <c r="I992" s="1082" t="s">
        <v>872</v>
      </c>
    </row>
    <row r="993" spans="1:9" ht="18" hidden="1" outlineLevel="2" x14ac:dyDescent="0.25">
      <c r="A993" s="1079">
        <f t="shared" si="39"/>
        <v>2</v>
      </c>
      <c r="B993" s="1079" t="s">
        <v>1362</v>
      </c>
      <c r="C993" s="1079" t="str">
        <f t="shared" si="40"/>
        <v>Chapisco interno de argamassa preparada em obra de cimento e areia - traço 1:4 - aplicação em paredes internas</v>
      </c>
      <c r="D993" s="1094" t="s">
        <v>1773</v>
      </c>
      <c r="E993" s="1080" t="s">
        <v>1426</v>
      </c>
      <c r="F993" s="1083">
        <v>5.0000000000000001E-3</v>
      </c>
      <c r="G993" s="1081">
        <f>IF(B993="insumo",_xlfn.XLOOKUP($D993,Insumos!$B$1:$B$670,Insumos!$D$1:$D$670),"")</f>
        <v>657.89</v>
      </c>
      <c r="H993" s="1081" cm="1">
        <f t="array" ref="H993">_xlfn.IFS(B993="Serviço",SUMIFS(H994:$H$2465,C994:$C$2465,$C993),B993="Insumo",F993*G993,B993="Etapa","")</f>
        <v>3.28945</v>
      </c>
      <c r="I993" s="1082"/>
    </row>
    <row r="994" spans="1:9" hidden="1" outlineLevel="1" collapsed="1" x14ac:dyDescent="0.25">
      <c r="A994" s="1079">
        <f t="shared" si="39"/>
        <v>1</v>
      </c>
      <c r="B994" s="1079" t="s">
        <v>471</v>
      </c>
      <c r="C994" s="1079" t="str">
        <f t="shared" si="40"/>
        <v>Aplicação manual de massa para Drywall em paredes, com execução de taliscas</v>
      </c>
      <c r="D994" s="1079" t="s">
        <v>1774</v>
      </c>
      <c r="E994" s="1080" t="s">
        <v>17</v>
      </c>
      <c r="F994" s="1079"/>
      <c r="G994" s="1081" t="str">
        <f>IF(B994="insumo",_xlfn.XLOOKUP($D994,Insumos!$B$1:$B$670,Insumos!$D$1:$D$670),"")</f>
        <v/>
      </c>
      <c r="H994" s="1081" cm="1">
        <f t="array" ref="H994">_xlfn.IFS(B994="Serviço",SUMIFS(H995:$H$2465,C995:$C$2465,$C994),B994="Insumo",F994*G994,B994="Etapa","")</f>
        <v>5.20784</v>
      </c>
      <c r="I994" s="1082" t="s">
        <v>872</v>
      </c>
    </row>
    <row r="995" spans="1:9" hidden="1" outlineLevel="2" x14ac:dyDescent="0.25">
      <c r="A995" s="1079">
        <f t="shared" si="39"/>
        <v>1</v>
      </c>
      <c r="B995" s="1079" t="s">
        <v>1362</v>
      </c>
      <c r="C995" s="1079" t="str">
        <f t="shared" si="40"/>
        <v>Aplicação manual de massa para Drywall em paredes, com execução de taliscas</v>
      </c>
      <c r="D995" s="1079" t="s">
        <v>1775</v>
      </c>
      <c r="E995" s="1080" t="str">
        <f>_xlfn.XLOOKUP(D995,Insumos!$B$1:$B$670,Insumos!$C$1:$C$670)</f>
        <v>KG</v>
      </c>
      <c r="F995" s="1083">
        <v>0.88</v>
      </c>
      <c r="G995" s="1081">
        <f>IF(B995="insumo",_xlfn.XLOOKUP($D995,Insumos!$B$1:$B$670,Insumos!$D$1:$D$670),"")</f>
        <v>5.9180000000000001</v>
      </c>
      <c r="H995" s="1081" cm="1">
        <f t="array" ref="H995">_xlfn.IFS(B995="Serviço",SUMIFS(H996:$H$2465,C996:$C$2465,$C995),B995="Insumo",F995*G995,B995="Etapa","")</f>
        <v>5.20784</v>
      </c>
      <c r="I995" s="1082"/>
    </row>
    <row r="996" spans="1:9" hidden="1" outlineLevel="1" x14ac:dyDescent="0.25">
      <c r="A996" s="1079">
        <f t="shared" si="39"/>
        <v>1</v>
      </c>
      <c r="B996" s="1079" t="s">
        <v>471</v>
      </c>
      <c r="C996" s="1079" t="str">
        <f t="shared" si="40"/>
        <v>Massa unica para reboco interno em argamassa estabilizada, espessura de 2,5cm, com execução de taliscas</v>
      </c>
      <c r="D996" s="1079" t="s">
        <v>890</v>
      </c>
      <c r="E996" s="1080" t="s">
        <v>17</v>
      </c>
      <c r="F996" s="1079"/>
      <c r="G996" s="1081" t="str">
        <f>IF(B996="insumo",_xlfn.XLOOKUP($D996,Insumos!$B$1:$B$670,Insumos!$D$1:$D$670),"")</f>
        <v/>
      </c>
      <c r="H996" s="1081" cm="1">
        <f t="array" ref="H996">_xlfn.IFS(B996="Serviço",SUMIFS(H997:$H$2465,C997:$C$2465,$C996),B996="Insumo",F996*G996,B996="Etapa","")</f>
        <v>15.898575000000001</v>
      </c>
      <c r="I996" s="1082" t="s">
        <v>872</v>
      </c>
    </row>
    <row r="997" spans="1:9" hidden="1" outlineLevel="2" x14ac:dyDescent="0.25">
      <c r="A997" s="1079">
        <f t="shared" si="39"/>
        <v>4</v>
      </c>
      <c r="B997" s="1079" t="s">
        <v>1362</v>
      </c>
      <c r="C997" s="1079" t="str">
        <f t="shared" si="40"/>
        <v>Massa unica para reboco interno em argamassa estabilizada, espessura de 2,5cm, com execução de taliscas</v>
      </c>
      <c r="D997" s="1079" t="s">
        <v>1776</v>
      </c>
      <c r="E997" s="1080" t="str">
        <f>_xlfn.XLOOKUP(D997,Insumos!$B$1:$B$670,Insumos!$C$1:$C$670)</f>
        <v>M3</v>
      </c>
      <c r="F997" s="1083">
        <v>2.6250000000000002E-2</v>
      </c>
      <c r="G997" s="1081">
        <f>IF(B997="insumo",_xlfn.XLOOKUP($D997,Insumos!$B$1:$B$670,Insumos!$D$1:$D$670),"")</f>
        <v>605.66</v>
      </c>
      <c r="H997" s="1081" cm="1">
        <f t="array" ref="H997">_xlfn.IFS(B997="Serviço",SUMIFS(H998:$H$2465,C998:$C$2465,$C997),B997="Insumo",F997*G997,B997="Etapa","")</f>
        <v>15.898575000000001</v>
      </c>
      <c r="I997" s="1082"/>
    </row>
    <row r="998" spans="1:9" hidden="1" outlineLevel="1" collapsed="1" x14ac:dyDescent="0.25">
      <c r="A998" s="1079">
        <f t="shared" si="39"/>
        <v>1</v>
      </c>
      <c r="B998" s="1079" t="s">
        <v>471</v>
      </c>
      <c r="C998" s="1079" t="str">
        <f t="shared" si="40"/>
        <v>Massa unica para reboco interno em argamassa estabilizada, espessura de 2,5cm, com execução desempenado fino</v>
      </c>
      <c r="D998" s="1079" t="s">
        <v>1777</v>
      </c>
      <c r="E998" s="1080" t="s">
        <v>17</v>
      </c>
      <c r="F998" s="1079"/>
      <c r="G998" s="1081" t="str">
        <f>IF(B998="insumo",_xlfn.XLOOKUP($D998,Insumos!$B$1:$B$670,Insumos!$D$1:$D$670),"")</f>
        <v/>
      </c>
      <c r="H998" s="1081" cm="1">
        <f t="array" ref="H998">_xlfn.IFS(B998="Serviço",SUMIFS(H999:$H$2465,C999:$C$2465,$C998),B998="Insumo",F998*G998,B998="Etapa","")</f>
        <v>15.898575000000001</v>
      </c>
      <c r="I998" s="1082" t="s">
        <v>872</v>
      </c>
    </row>
    <row r="999" spans="1:9" hidden="1" outlineLevel="2" x14ac:dyDescent="0.25">
      <c r="A999" s="1079">
        <f t="shared" si="39"/>
        <v>4</v>
      </c>
      <c r="B999" s="1079" t="s">
        <v>1362</v>
      </c>
      <c r="C999" s="1079" t="str">
        <f t="shared" si="40"/>
        <v>Massa unica para reboco interno em argamassa estabilizada, espessura de 2,5cm, com execução desempenado fino</v>
      </c>
      <c r="D999" s="1079" t="s">
        <v>1776</v>
      </c>
      <c r="E999" s="1080" t="str">
        <f>_xlfn.XLOOKUP(D999,Insumos!$B$1:$B$670,Insumos!$C$1:$C$670)</f>
        <v>M3</v>
      </c>
      <c r="F999" s="1083">
        <v>2.6250000000000002E-2</v>
      </c>
      <c r="G999" s="1081">
        <f>IF(B999="insumo",_xlfn.XLOOKUP($D999,Insumos!$B$1:$B$670,Insumos!$D$1:$D$670),"")</f>
        <v>605.66</v>
      </c>
      <c r="H999" s="1081" cm="1">
        <f t="array" ref="H999">_xlfn.IFS(B999="Serviço",SUMIFS(H1000:$H$2465,C1000:$C$2465,$C999),B999="Insumo",F999*G999,B999="Etapa","")</f>
        <v>15.898575000000001</v>
      </c>
      <c r="I999" s="1082"/>
    </row>
    <row r="1000" spans="1:9" hidden="1" outlineLevel="1" x14ac:dyDescent="0.25">
      <c r="A1000" s="1079">
        <f t="shared" si="39"/>
        <v>1</v>
      </c>
      <c r="B1000" s="1079" t="s">
        <v>471</v>
      </c>
      <c r="C1000" s="1079" t="str">
        <f t="shared" si="40"/>
        <v>Estucamento de estrutura de concreto em pilares e vigas</v>
      </c>
      <c r="D1000" s="1079" t="s">
        <v>1778</v>
      </c>
      <c r="E1000" s="1080" t="s">
        <v>17</v>
      </c>
      <c r="F1000" s="1079"/>
      <c r="G1000" s="1081" t="str">
        <f>IF(B1000="insumo",_xlfn.XLOOKUP($D1000,Insumos!$B$1:$B$670,Insumos!$D$1:$D$670),"")</f>
        <v/>
      </c>
      <c r="H1000" s="1081" cm="1">
        <f t="array" ref="H1000">_xlfn.IFS(B1000="Serviço",SUMIFS(H1001:$H$2465,C1001:$C$2465,$C1000),B1000="Insumo",F1000*G1000,B1000="Etapa","")</f>
        <v>5.1029166666666663</v>
      </c>
      <c r="I1000" s="1082" t="s">
        <v>872</v>
      </c>
    </row>
    <row r="1001" spans="1:9" hidden="1" outlineLevel="2" x14ac:dyDescent="0.25">
      <c r="A1001" s="1079">
        <f t="shared" si="39"/>
        <v>38</v>
      </c>
      <c r="B1001" s="1079" t="s">
        <v>1362</v>
      </c>
      <c r="C1001" s="1079" t="str">
        <f t="shared" si="40"/>
        <v>Estucamento de estrutura de concreto em pilares e vigas</v>
      </c>
      <c r="D1001" s="1079" t="s">
        <v>1434</v>
      </c>
      <c r="E1001" s="1080" t="str">
        <f>_xlfn.XLOOKUP(D1001,Insumos!$B$1:$B$670,Insumos!$C$1:$C$670)</f>
        <v>KG</v>
      </c>
      <c r="F1001" s="1083">
        <v>0.6</v>
      </c>
      <c r="G1001" s="1081">
        <f>IF(B1001="insumo",_xlfn.XLOOKUP($D1001,Insumos!$B$1:$B$670,Insumos!$D$1:$D$670),"")</f>
        <v>0.76</v>
      </c>
      <c r="H1001" s="1081" cm="1">
        <f t="array" ref="H1001">_xlfn.IFS(B1001="Serviço",SUMIFS(H1002:$H$2465,C1002:$C$2465,$C1001),B1001="Insumo",F1001*G1001,B1001="Etapa","")</f>
        <v>0.45599999999999996</v>
      </c>
      <c r="I1001" s="1082"/>
    </row>
    <row r="1002" spans="1:9" hidden="1" outlineLevel="2" x14ac:dyDescent="0.25">
      <c r="A1002" s="1079">
        <f t="shared" si="39"/>
        <v>2</v>
      </c>
      <c r="B1002" s="1079" t="s">
        <v>1362</v>
      </c>
      <c r="C1002" s="1079" t="str">
        <f t="shared" si="40"/>
        <v>Estucamento de estrutura de concreto em pilares e vigas</v>
      </c>
      <c r="D1002" s="1079" t="s">
        <v>1779</v>
      </c>
      <c r="E1002" s="1080" t="str">
        <f>_xlfn.XLOOKUP(D1002,Insumos!$B$1:$B$670,Insumos!$C$1:$C$670)</f>
        <v>UN</v>
      </c>
      <c r="F1002" s="1083">
        <v>0.05</v>
      </c>
      <c r="G1002" s="1081">
        <f>IF(B1002="insumo",_xlfn.XLOOKUP($D1002,Insumos!$B$1:$B$670,Insumos!$D$1:$D$670),"")</f>
        <v>3.13</v>
      </c>
      <c r="H1002" s="1081" cm="1">
        <f t="array" ref="H1002">_xlfn.IFS(B1002="Serviço",SUMIFS(H1003:$H$2465,C1003:$C$2465,$C1002),B1002="Insumo",F1002*G1002,B1002="Etapa","")</f>
        <v>0.1565</v>
      </c>
      <c r="I1002" s="1082"/>
    </row>
    <row r="1003" spans="1:9" hidden="1" outlineLevel="2" x14ac:dyDescent="0.25">
      <c r="A1003" s="1079">
        <f t="shared" si="39"/>
        <v>2</v>
      </c>
      <c r="B1003" s="1079" t="s">
        <v>1362</v>
      </c>
      <c r="C1003" s="1079" t="str">
        <f t="shared" si="40"/>
        <v>Estucamento de estrutura de concreto em pilares e vigas</v>
      </c>
      <c r="D1003" s="1079" t="s">
        <v>1780</v>
      </c>
      <c r="E1003" s="1080" t="str">
        <f>_xlfn.XLOOKUP(D1003,Insumos!$B$1:$B$670,Insumos!$C$1:$C$670)</f>
        <v>KG</v>
      </c>
      <c r="F1003" s="1083">
        <v>0.3</v>
      </c>
      <c r="G1003" s="1081">
        <f>IF(B1003="insumo",_xlfn.XLOOKUP($D1003,Insumos!$B$1:$B$670,Insumos!$D$1:$D$670),"")</f>
        <v>3.49</v>
      </c>
      <c r="H1003" s="1081" cm="1">
        <f t="array" ref="H1003">_xlfn.IFS(B1003="Serviço",SUMIFS(H1004:$H$2465,C1004:$C$2465,$C1003),B1003="Insumo",F1003*G1003,B1003="Etapa","")</f>
        <v>1.0469999999999999</v>
      </c>
      <c r="I1003" s="1082"/>
    </row>
    <row r="1004" spans="1:9" hidden="1" outlineLevel="2" x14ac:dyDescent="0.25">
      <c r="A1004" s="1079">
        <f t="shared" si="39"/>
        <v>2</v>
      </c>
      <c r="B1004" s="1079" t="s">
        <v>1362</v>
      </c>
      <c r="C1004" s="1079" t="str">
        <f t="shared" si="40"/>
        <v>Estucamento de estrutura de concreto em pilares e vigas</v>
      </c>
      <c r="D1004" s="1079" t="s">
        <v>1781</v>
      </c>
      <c r="E1004" s="1080" t="str">
        <f>_xlfn.XLOOKUP(D1004,Insumos!$B$1:$B$670,Insumos!$C$1:$C$670)</f>
        <v>KG</v>
      </c>
      <c r="F1004" s="1083">
        <v>0.15</v>
      </c>
      <c r="G1004" s="1081">
        <f>IF(B1004="insumo",_xlfn.XLOOKUP($D1004,Insumos!$B$1:$B$670,Insumos!$D$1:$D$670),"")</f>
        <v>22.95611111111111</v>
      </c>
      <c r="H1004" s="1081" cm="1">
        <f t="array" ref="H1004">_xlfn.IFS(B1004="Serviço",SUMIFS(H1005:$H$2465,C1005:$C$2465,$C1004),B1004="Insumo",F1004*G1004,B1004="Etapa","")</f>
        <v>3.4434166666666663</v>
      </c>
      <c r="I1004" s="1082"/>
    </row>
    <row r="1005" spans="1:9" hidden="1" outlineLevel="1" collapsed="1" x14ac:dyDescent="0.25">
      <c r="A1005" s="1079">
        <f t="shared" si="39"/>
        <v>1</v>
      </c>
      <c r="B1005" s="1079" t="s">
        <v>471</v>
      </c>
      <c r="C1005" s="1079" t="str">
        <f t="shared" si="40"/>
        <v xml:space="preserve">Regularização de Parede 0,50 cm </v>
      </c>
      <c r="D1005" s="1079" t="s">
        <v>1782</v>
      </c>
      <c r="E1005" s="1080" t="s">
        <v>17</v>
      </c>
      <c r="F1005" s="1079"/>
      <c r="G1005" s="1081" t="str">
        <f>IF(B1005="insumo",_xlfn.XLOOKUP($D1005,Insumos!$B$1:$B$670,Insumos!$D$1:$D$670),"")</f>
        <v/>
      </c>
      <c r="H1005" s="1081" cm="1">
        <f t="array" ref="H1005">_xlfn.IFS(B1005="Serviço",SUMIFS(H1006:$H$2465,C1006:$C$2465,$C1005),B1005="Insumo",F1005*G1005,B1005="Etapa","")</f>
        <v>3.1560233333333336</v>
      </c>
      <c r="I1005" s="1082" t="s">
        <v>872</v>
      </c>
    </row>
    <row r="1006" spans="1:9" hidden="1" outlineLevel="2" x14ac:dyDescent="0.25">
      <c r="A1006" s="1079">
        <f t="shared" si="39"/>
        <v>32</v>
      </c>
      <c r="B1006" s="1079" t="s">
        <v>1362</v>
      </c>
      <c r="C1006" s="1079" t="str">
        <f t="shared" si="40"/>
        <v xml:space="preserve">Regularização de Parede 0,50 cm </v>
      </c>
      <c r="D1006" s="1079" t="s">
        <v>1727</v>
      </c>
      <c r="E1006" s="1080" t="str">
        <f>_xlfn.XLOOKUP(D1006,Insumos!$B$1:$B$670,Insumos!$C$1:$C$670)</f>
        <v>M3</v>
      </c>
      <c r="F1006" s="1083">
        <v>5.5000000000000005E-3</v>
      </c>
      <c r="G1006" s="1081">
        <f>IF(B1006="insumo",_xlfn.XLOOKUP($D1006,Insumos!$B$1:$B$670,Insumos!$D$1:$D$670),"")</f>
        <v>550</v>
      </c>
      <c r="H1006" s="1081" cm="1">
        <f t="array" ref="H1006">_xlfn.IFS(B1006="Serviço",SUMIFS(H1007:$H$2465,C1007:$C$2465,$C1006),B1006="Insumo",F1006*G1006,B1006="Etapa","")</f>
        <v>3.0250000000000004</v>
      </c>
      <c r="I1006" s="1082"/>
    </row>
    <row r="1007" spans="1:9" hidden="1" outlineLevel="2" x14ac:dyDescent="0.25">
      <c r="A1007" s="1079">
        <f t="shared" si="39"/>
        <v>35</v>
      </c>
      <c r="B1007" s="1079" t="s">
        <v>1362</v>
      </c>
      <c r="C1007" s="1079" t="str">
        <f t="shared" si="40"/>
        <v xml:space="preserve">Regularização de Parede 0,50 cm </v>
      </c>
      <c r="D1007" s="1079" t="s">
        <v>1783</v>
      </c>
      <c r="E1007" s="1080" t="str">
        <f>_xlfn.XLOOKUP(D1007,Insumos!$B$1:$B$670,Insumos!$C$1:$C$670)</f>
        <v>L</v>
      </c>
      <c r="F1007" s="1083">
        <v>3.5000000000000005E-3</v>
      </c>
      <c r="G1007" s="1081">
        <f>IF(B1007="insumo",_xlfn.XLOOKUP($D1007,Insumos!$B$1:$B$670,Insumos!$D$1:$D$670),"")</f>
        <v>19.34</v>
      </c>
      <c r="H1007" s="1081" cm="1">
        <f t="array" ref="H1007">_xlfn.IFS(B1007="Serviço",SUMIFS(H1008:$H$2465,C1008:$C$2465,$C1007),B1007="Insumo",F1007*G1007,B1007="Etapa","")</f>
        <v>6.7690000000000014E-2</v>
      </c>
      <c r="I1007" s="1082"/>
    </row>
    <row r="1008" spans="1:9" hidden="1" outlineLevel="2" x14ac:dyDescent="0.25">
      <c r="A1008" s="1079">
        <f t="shared" si="39"/>
        <v>38</v>
      </c>
      <c r="B1008" s="1079" t="s">
        <v>1362</v>
      </c>
      <c r="C1008" s="1079" t="str">
        <f t="shared" si="40"/>
        <v xml:space="preserve">Regularização de Parede 0,50 cm </v>
      </c>
      <c r="D1008" s="1079" t="s">
        <v>1434</v>
      </c>
      <c r="E1008" s="1080" t="str">
        <f>_xlfn.XLOOKUP(D1008,Insumos!$B$1:$B$670,Insumos!$C$1:$C$670)</f>
        <v>KG</v>
      </c>
      <c r="F1008" s="1083">
        <v>8.3333333333333343E-2</v>
      </c>
      <c r="G1008" s="1081">
        <f>IF(B1008="insumo",_xlfn.XLOOKUP($D1008,Insumos!$B$1:$B$670,Insumos!$D$1:$D$670),"")</f>
        <v>0.76</v>
      </c>
      <c r="H1008" s="1081" cm="1">
        <f t="array" ref="H1008">_xlfn.IFS(B1008="Serviço",SUMIFS(H1009:$H$2465,C1009:$C$2465,$C1008),B1008="Insumo",F1008*G1008,B1008="Etapa","")</f>
        <v>6.3333333333333339E-2</v>
      </c>
      <c r="I1008" s="1082"/>
    </row>
    <row r="1009" spans="1:9" hidden="1" outlineLevel="1" collapsed="1" x14ac:dyDescent="0.25">
      <c r="A1009" s="1079">
        <f t="shared" si="39"/>
        <v>1</v>
      </c>
      <c r="B1009" s="1079" t="s">
        <v>471</v>
      </c>
      <c r="C1009" s="1079" t="str">
        <f t="shared" si="40"/>
        <v>Revestimento de cerâmico retificado em Paredes, Placa 60,5 x 60,5cm com Junta de 2mm</v>
      </c>
      <c r="D1009" s="1079" t="s">
        <v>1784</v>
      </c>
      <c r="E1009" s="1080" t="s">
        <v>17</v>
      </c>
      <c r="F1009" s="1079"/>
      <c r="G1009" s="1081" t="str">
        <f>IF(B1009="insumo",_xlfn.XLOOKUP($D1009,Insumos!$B$1:$B$670,Insumos!$D$1:$D$670),"")</f>
        <v/>
      </c>
      <c r="H1009" s="1081" cm="1">
        <f t="array" ref="H1009">_xlfn.IFS(B1009="Serviço",SUMIFS(H1010:$H$2465,C1010:$C$2465,$C1009),B1009="Insumo",F1009*G1009,B1009="Etapa","")</f>
        <v>74.584500000000006</v>
      </c>
      <c r="I1009" s="1082" t="s">
        <v>872</v>
      </c>
    </row>
    <row r="1010" spans="1:9" hidden="1" outlineLevel="2" x14ac:dyDescent="0.25">
      <c r="A1010" s="1079">
        <f t="shared" si="39"/>
        <v>2</v>
      </c>
      <c r="B1010" s="1079" t="s">
        <v>1362</v>
      </c>
      <c r="C1010" s="1079" t="str">
        <f t="shared" si="40"/>
        <v>Revestimento de cerâmico retificado em Paredes, Placa 60,5 x 60,5cm com Junta de 2mm</v>
      </c>
      <c r="D1010" s="1079" t="s">
        <v>1785</v>
      </c>
      <c r="E1010" s="1080" t="str">
        <f>_xlfn.XLOOKUP(D1010,Insumos!$B$1:$B$670,Insumos!$C$1:$C$670)</f>
        <v>M2</v>
      </c>
      <c r="F1010" s="1083">
        <v>1.1000000000000001</v>
      </c>
      <c r="G1010" s="1081">
        <f>IF(B1010="insumo",_xlfn.XLOOKUP($D1010,Insumos!$B$1:$B$670,Insumos!$D$1:$D$670),"")</f>
        <v>47.23</v>
      </c>
      <c r="H1010" s="1081" cm="1">
        <f t="array" ref="H1010">_xlfn.IFS(B1010="Serviço",SUMIFS(H1011:$H$2465,C1011:$C$2465,$C1010),B1010="Insumo",F1010*G1010,B1010="Etapa","")</f>
        <v>51.953000000000003</v>
      </c>
      <c r="I1010" s="1082"/>
    </row>
    <row r="1011" spans="1:9" hidden="1" outlineLevel="2" x14ac:dyDescent="0.25">
      <c r="A1011" s="1079">
        <f t="shared" si="39"/>
        <v>87</v>
      </c>
      <c r="B1011" s="1079" t="s">
        <v>1362</v>
      </c>
      <c r="C1011" s="1079" t="str">
        <f t="shared" si="40"/>
        <v>Revestimento de cerâmico retificado em Paredes, Placa 60,5 x 60,5cm com Junta de 2mm</v>
      </c>
      <c r="D1011" s="1079" t="s">
        <v>1762</v>
      </c>
      <c r="E1011" s="1080" t="str">
        <f>_xlfn.XLOOKUP(D1011,Insumos!$B$1:$B$670,Insumos!$C$1:$C$670)</f>
        <v>KG</v>
      </c>
      <c r="F1011" s="1083">
        <v>8.8000000000000007</v>
      </c>
      <c r="G1011" s="1081">
        <f>IF(B1011="insumo",_xlfn.XLOOKUP($D1011,Insumos!$B$1:$B$670,Insumos!$D$1:$D$670),"")</f>
        <v>2.5499999999999998</v>
      </c>
      <c r="H1011" s="1081" cm="1">
        <f t="array" ref="H1011">_xlfn.IFS(B1011="Serviço",SUMIFS(H1012:$H$2465,C1012:$C$2465,$C1011),B1011="Insumo",F1011*G1011,B1011="Etapa","")</f>
        <v>22.44</v>
      </c>
      <c r="I1011" s="1082"/>
    </row>
    <row r="1012" spans="1:9" hidden="1" outlineLevel="2" x14ac:dyDescent="0.25">
      <c r="A1012" s="1079">
        <f t="shared" si="39"/>
        <v>56</v>
      </c>
      <c r="B1012" s="1079" t="s">
        <v>1362</v>
      </c>
      <c r="C1012" s="1079" t="str">
        <f t="shared" si="40"/>
        <v>Revestimento de cerâmico retificado em Paredes, Placa 60,5 x 60,5cm com Junta de 2mm</v>
      </c>
      <c r="D1012" s="1079" t="s">
        <v>1786</v>
      </c>
      <c r="E1012" s="1080" t="str">
        <f>_xlfn.XLOOKUP(D1012,Insumos!$B$1:$B$670,Insumos!$C$1:$C$670)</f>
        <v>UN</v>
      </c>
      <c r="F1012" s="1083">
        <v>1</v>
      </c>
      <c r="G1012" s="1081">
        <f>IF(B1012="insumo",_xlfn.XLOOKUP($D1012,Insumos!$B$1:$B$670,Insumos!$D$1:$D$670),"")</f>
        <v>0.08</v>
      </c>
      <c r="H1012" s="1081" cm="1">
        <f t="array" ref="H1012">_xlfn.IFS(B1012="Serviço",SUMIFS(H1013:$H$2465,C1013:$C$2465,$C1012),B1012="Insumo",F1012*G1012,B1012="Etapa","")</f>
        <v>0.08</v>
      </c>
      <c r="I1012" s="1082"/>
    </row>
    <row r="1013" spans="1:9" hidden="1" outlineLevel="2" x14ac:dyDescent="0.25">
      <c r="A1013" s="1079">
        <f t="shared" si="39"/>
        <v>50</v>
      </c>
      <c r="B1013" s="1079" t="s">
        <v>1362</v>
      </c>
      <c r="C1013" s="1079" t="str">
        <f t="shared" si="40"/>
        <v>Revestimento de cerâmico retificado em Paredes, Placa 60,5 x 60,5cm com Junta de 2mm</v>
      </c>
      <c r="D1013" s="1079" t="s">
        <v>1787</v>
      </c>
      <c r="E1013" s="1080" t="str">
        <f>_xlfn.XLOOKUP(D1013,Insumos!$B$1:$B$670,Insumos!$C$1:$C$670)</f>
        <v>KG</v>
      </c>
      <c r="F1013" s="1083">
        <v>0.01</v>
      </c>
      <c r="G1013" s="1081">
        <f>IF(B1013="insumo",_xlfn.XLOOKUP($D1013,Insumos!$B$1:$B$670,Insumos!$D$1:$D$670),"")</f>
        <v>11.15</v>
      </c>
      <c r="H1013" s="1081" cm="1">
        <f t="array" ref="H1013">_xlfn.IFS(B1013="Serviço",SUMIFS(H1014:$H$2465,C1014:$C$2465,$C1013),B1013="Insumo",F1013*G1013,B1013="Etapa","")</f>
        <v>0.1115</v>
      </c>
      <c r="I1013" s="1082"/>
    </row>
    <row r="1014" spans="1:9" hidden="1" outlineLevel="1" x14ac:dyDescent="0.25">
      <c r="A1014" s="1079">
        <f t="shared" si="39"/>
        <v>1</v>
      </c>
      <c r="B1014" s="1079" t="s">
        <v>471</v>
      </c>
      <c r="C1014" s="1079" t="str">
        <f t="shared" si="40"/>
        <v>Revestimento de cerâmico retificado em Paredes, Placa 60 x 60cm com Junta de 2mm e rejunte acrilico</v>
      </c>
      <c r="D1014" s="1079" t="s">
        <v>1788</v>
      </c>
      <c r="E1014" s="1080" t="s">
        <v>17</v>
      </c>
      <c r="F1014" s="1079"/>
      <c r="G1014" s="1081" t="str">
        <f>IF(B1014="insumo",_xlfn.XLOOKUP($D1014,Insumos!$B$1:$B$670,Insumos!$D$1:$D$670),"")</f>
        <v/>
      </c>
      <c r="H1014" s="1081" cm="1">
        <f t="array" ref="H1014">_xlfn.IFS(B1014="Serviço",SUMIFS(H1015:$H$2465,C1015:$C$2465,$C1014),B1014="Insumo",F1014*G1014,B1014="Etapa","")</f>
        <v>74.911000000000001</v>
      </c>
      <c r="I1014" s="1082" t="s">
        <v>872</v>
      </c>
    </row>
    <row r="1015" spans="1:9" hidden="1" outlineLevel="2" x14ac:dyDescent="0.25">
      <c r="A1015" s="1079">
        <f t="shared" si="39"/>
        <v>2</v>
      </c>
      <c r="B1015" s="1079" t="s">
        <v>1362</v>
      </c>
      <c r="C1015" s="1079" t="str">
        <f t="shared" si="40"/>
        <v>Revestimento de cerâmico retificado em Paredes, Placa 60 x 60cm com Junta de 2mm e rejunte acrilico</v>
      </c>
      <c r="D1015" s="1079" t="s">
        <v>1785</v>
      </c>
      <c r="E1015" s="1080" t="str">
        <f>_xlfn.XLOOKUP(D1015,Insumos!$B$1:$B$670,Insumos!$C$1:$C$670)</f>
        <v>M2</v>
      </c>
      <c r="F1015" s="1083">
        <v>1.1000000000000001</v>
      </c>
      <c r="G1015" s="1081">
        <f>IF(B1015="insumo",_xlfn.XLOOKUP($D1015,Insumos!$B$1:$B$670,Insumos!$D$1:$D$670),"")</f>
        <v>47.23</v>
      </c>
      <c r="H1015" s="1081" cm="1">
        <f t="array" ref="H1015">_xlfn.IFS(B1015="Serviço",SUMIFS(H1016:$H$2465,C1016:$C$2465,$C1015),B1015="Insumo",F1015*G1015,B1015="Etapa","")</f>
        <v>51.953000000000003</v>
      </c>
      <c r="I1015" s="1082"/>
    </row>
    <row r="1016" spans="1:9" hidden="1" outlineLevel="2" x14ac:dyDescent="0.25">
      <c r="A1016" s="1079">
        <f t="shared" si="39"/>
        <v>87</v>
      </c>
      <c r="B1016" s="1079" t="s">
        <v>1362</v>
      </c>
      <c r="C1016" s="1079" t="str">
        <f t="shared" si="40"/>
        <v>Revestimento de cerâmico retificado em Paredes, Placa 60 x 60cm com Junta de 2mm e rejunte acrilico</v>
      </c>
      <c r="D1016" s="1079" t="s">
        <v>1762</v>
      </c>
      <c r="E1016" s="1080" t="str">
        <f>_xlfn.XLOOKUP(D1016,Insumos!$B$1:$B$670,Insumos!$C$1:$C$670)</f>
        <v>KG</v>
      </c>
      <c r="F1016" s="1083">
        <v>8.8000000000000007</v>
      </c>
      <c r="G1016" s="1081">
        <f>IF(B1016="insumo",_xlfn.XLOOKUP($D1016,Insumos!$B$1:$B$670,Insumos!$D$1:$D$670),"")</f>
        <v>2.5499999999999998</v>
      </c>
      <c r="H1016" s="1081" cm="1">
        <f t="array" ref="H1016">_xlfn.IFS(B1016="Serviço",SUMIFS(H1017:$H$2465,C1017:$C$2465,$C1016),B1016="Insumo",F1016*G1016,B1016="Etapa","")</f>
        <v>22.44</v>
      </c>
      <c r="I1016" s="1082"/>
    </row>
    <row r="1017" spans="1:9" hidden="1" outlineLevel="2" x14ac:dyDescent="0.25">
      <c r="A1017" s="1079">
        <f t="shared" si="39"/>
        <v>56</v>
      </c>
      <c r="B1017" s="1079" t="s">
        <v>1362</v>
      </c>
      <c r="C1017" s="1079" t="str">
        <f t="shared" si="40"/>
        <v>Revestimento de cerâmico retificado em Paredes, Placa 60 x 60cm com Junta de 2mm e rejunte acrilico</v>
      </c>
      <c r="D1017" s="1079" t="s">
        <v>1786</v>
      </c>
      <c r="E1017" s="1080" t="str">
        <f>_xlfn.XLOOKUP(D1017,Insumos!$B$1:$B$670,Insumos!$C$1:$C$670)</f>
        <v>UN</v>
      </c>
      <c r="F1017" s="1083">
        <v>1</v>
      </c>
      <c r="G1017" s="1081">
        <f>IF(B1017="insumo",_xlfn.XLOOKUP($D1017,Insumos!$B$1:$B$670,Insumos!$D$1:$D$670),"")</f>
        <v>0.08</v>
      </c>
      <c r="H1017" s="1081" cm="1">
        <f t="array" ref="H1017">_xlfn.IFS(B1017="Serviço",SUMIFS(H1018:$H$2465,C1018:$C$2465,$C1017),B1017="Insumo",F1017*G1017,B1017="Etapa","")</f>
        <v>0.08</v>
      </c>
      <c r="I1017" s="1082"/>
    </row>
    <row r="1018" spans="1:9" hidden="1" outlineLevel="2" x14ac:dyDescent="0.25">
      <c r="A1018" s="1079">
        <f t="shared" si="39"/>
        <v>13</v>
      </c>
      <c r="B1018" s="1079" t="s">
        <v>1362</v>
      </c>
      <c r="C1018" s="1079" t="str">
        <f t="shared" si="40"/>
        <v>Revestimento de cerâmico retificado em Paredes, Placa 60 x 60cm com Junta de 2mm e rejunte acrilico</v>
      </c>
      <c r="D1018" s="1079" t="s">
        <v>1789</v>
      </c>
      <c r="E1018" s="1080" t="str">
        <f>_xlfn.XLOOKUP(D1018,Insumos!$B$1:$B$670,Insumos!$C$1:$C$670)</f>
        <v>KG</v>
      </c>
      <c r="F1018" s="1083">
        <v>0.01</v>
      </c>
      <c r="G1018" s="1081">
        <f>IF(B1018="insumo",_xlfn.XLOOKUP($D1018,Insumos!$B$1:$B$670,Insumos!$D$1:$D$670),"")</f>
        <v>43.8</v>
      </c>
      <c r="H1018" s="1081" cm="1">
        <f t="array" ref="H1018">_xlfn.IFS(B1018="Serviço",SUMIFS(H1019:$H$2465,C1019:$C$2465,$C1018),B1018="Insumo",F1018*G1018,B1018="Etapa","")</f>
        <v>0.438</v>
      </c>
      <c r="I1018" s="1082"/>
    </row>
    <row r="1019" spans="1:9" hidden="1" outlineLevel="1" collapsed="1" x14ac:dyDescent="0.25">
      <c r="A1019" s="1079">
        <f t="shared" si="39"/>
        <v>1</v>
      </c>
      <c r="B1019" s="1079" t="s">
        <v>471</v>
      </c>
      <c r="C1019" s="1079" t="str">
        <f t="shared" si="40"/>
        <v>Revestimento de parede em porcelanato, placa 30x90cm</v>
      </c>
      <c r="D1019" s="1079" t="s">
        <v>1313</v>
      </c>
      <c r="E1019" s="1080" t="s">
        <v>17</v>
      </c>
      <c r="F1019" s="1079"/>
      <c r="G1019" s="1081" t="str">
        <f>IF(B1019="insumo",_xlfn.XLOOKUP($D1019,Insumos!$B$1:$B$670,Insumos!$D$1:$D$670),"")</f>
        <v/>
      </c>
      <c r="H1019" s="1081" cm="1">
        <f t="array" ref="H1019">_xlfn.IFS(B1019="Serviço",SUMIFS(H1020:$H$2465,C1020:$C$2465,$C1019),B1019="Insumo",F1019*G1019,B1019="Etapa","")</f>
        <v>106.203</v>
      </c>
      <c r="I1019" s="1082" t="s">
        <v>872</v>
      </c>
    </row>
    <row r="1020" spans="1:9" hidden="1" outlineLevel="2" x14ac:dyDescent="0.25">
      <c r="A1020" s="1079">
        <f t="shared" si="39"/>
        <v>2</v>
      </c>
      <c r="B1020" s="1079" t="s">
        <v>1362</v>
      </c>
      <c r="C1020" s="1079" t="str">
        <f t="shared" si="40"/>
        <v>Revestimento de parede em porcelanato, placa 30x90cm</v>
      </c>
      <c r="D1020" s="1079" t="s">
        <v>1790</v>
      </c>
      <c r="E1020" s="1080" t="str">
        <f>_xlfn.XLOOKUP(D1020,Insumos!$B$1:$B$670,Insumos!$C$1:$C$670)</f>
        <v>M2</v>
      </c>
      <c r="F1020" s="1095">
        <v>1.1000000000000001</v>
      </c>
      <c r="G1020" s="1081">
        <f>IF(B1020="insumo",_xlfn.XLOOKUP($D1020,Insumos!$B$1:$B$670,Insumos!$D$1:$D$670),"")</f>
        <v>75.8</v>
      </c>
      <c r="H1020" s="1081" cm="1">
        <f t="array" ref="H1020">_xlfn.IFS(B1020="Serviço",SUMIFS(H1021:$H$2465,C1021:$C$2465,$C1020),B1020="Insumo",F1020*G1020,B1020="Etapa","")</f>
        <v>83.38000000000001</v>
      </c>
      <c r="I1020" s="1082"/>
    </row>
    <row r="1021" spans="1:9" hidden="1" outlineLevel="2" x14ac:dyDescent="0.25">
      <c r="A1021" s="1079">
        <f t="shared" si="39"/>
        <v>87</v>
      </c>
      <c r="B1021" s="1079" t="s">
        <v>1362</v>
      </c>
      <c r="C1021" s="1079" t="str">
        <f t="shared" si="40"/>
        <v>Revestimento de parede em porcelanato, placa 30x90cm</v>
      </c>
      <c r="D1021" s="1079" t="s">
        <v>1762</v>
      </c>
      <c r="E1021" s="1080" t="str">
        <f>_xlfn.XLOOKUP(D1021,Insumos!$B$1:$B$670,Insumos!$C$1:$C$670)</f>
        <v>KG</v>
      </c>
      <c r="F1021" s="1095">
        <v>8.8000000000000007</v>
      </c>
      <c r="G1021" s="1081">
        <f>IF(B1021="insumo",_xlfn.XLOOKUP($D1021,Insumos!$B$1:$B$670,Insumos!$D$1:$D$670),"")</f>
        <v>2.5499999999999998</v>
      </c>
      <c r="H1021" s="1081" cm="1">
        <f t="array" ref="H1021">_xlfn.IFS(B1021="Serviço",SUMIFS(H1022:$H$2465,C1022:$C$2465,$C1021),B1021="Insumo",F1021*G1021,B1021="Etapa","")</f>
        <v>22.44</v>
      </c>
      <c r="I1021" s="1082"/>
    </row>
    <row r="1022" spans="1:9" hidden="1" outlineLevel="2" x14ac:dyDescent="0.25">
      <c r="A1022" s="1079">
        <f t="shared" si="39"/>
        <v>56</v>
      </c>
      <c r="B1022" s="1079" t="s">
        <v>1362</v>
      </c>
      <c r="C1022" s="1079" t="str">
        <f t="shared" si="40"/>
        <v>Revestimento de parede em porcelanato, placa 30x90cm</v>
      </c>
      <c r="D1022" s="1079" t="s">
        <v>1786</v>
      </c>
      <c r="E1022" s="1080" t="str">
        <f>_xlfn.XLOOKUP(D1022,Insumos!$B$1:$B$670,Insumos!$C$1:$C$670)</f>
        <v>UN</v>
      </c>
      <c r="F1022" s="1095">
        <v>2</v>
      </c>
      <c r="G1022" s="1081">
        <f>IF(B1022="insumo",_xlfn.XLOOKUP($D1022,Insumos!$B$1:$B$670,Insumos!$D$1:$D$670),"")</f>
        <v>0.08</v>
      </c>
      <c r="H1022" s="1081" cm="1">
        <f t="array" ref="H1022">_xlfn.IFS(B1022="Serviço",SUMIFS(H1023:$H$2465,C1023:$C$2465,$C1022),B1022="Insumo",F1022*G1022,B1022="Etapa","")</f>
        <v>0.16</v>
      </c>
      <c r="I1022" s="1082"/>
    </row>
    <row r="1023" spans="1:9" hidden="1" outlineLevel="2" x14ac:dyDescent="0.25">
      <c r="A1023" s="1079">
        <f t="shared" si="39"/>
        <v>50</v>
      </c>
      <c r="B1023" s="1079" t="s">
        <v>1362</v>
      </c>
      <c r="C1023" s="1079" t="str">
        <f t="shared" si="40"/>
        <v>Revestimento de parede em porcelanato, placa 30x90cm</v>
      </c>
      <c r="D1023" s="1079" t="s">
        <v>1787</v>
      </c>
      <c r="E1023" s="1080" t="str">
        <f>_xlfn.XLOOKUP(D1023,Insumos!$B$1:$B$670,Insumos!$C$1:$C$670)</f>
        <v>KG</v>
      </c>
      <c r="F1023" s="1095">
        <v>0.02</v>
      </c>
      <c r="G1023" s="1081">
        <f>IF(B1023="insumo",_xlfn.XLOOKUP($D1023,Insumos!$B$1:$B$670,Insumos!$D$1:$D$670),"")</f>
        <v>11.15</v>
      </c>
      <c r="H1023" s="1081" cm="1">
        <f t="array" ref="H1023">_xlfn.IFS(B1023="Serviço",SUMIFS(H1024:$H$2465,C1024:$C$2465,$C1023),B1023="Insumo",F1023*G1023,B1023="Etapa","")</f>
        <v>0.223</v>
      </c>
      <c r="I1023" s="1082"/>
    </row>
    <row r="1024" spans="1:9" hidden="1" outlineLevel="1" collapsed="1" x14ac:dyDescent="0.25">
      <c r="A1024" s="1079">
        <f t="shared" si="39"/>
        <v>1</v>
      </c>
      <c r="B1024" s="1079" t="s">
        <v>471</v>
      </c>
      <c r="C1024" s="1079" t="str">
        <f t="shared" si="40"/>
        <v>Revestimento de parede em porcelanato, placa 30x60cm</v>
      </c>
      <c r="D1024" s="1079" t="s">
        <v>1791</v>
      </c>
      <c r="E1024" s="1080" t="s">
        <v>17</v>
      </c>
      <c r="F1024" s="1079"/>
      <c r="G1024" s="1081" t="str">
        <f>IF(B1024="insumo",_xlfn.XLOOKUP($D1024,Insumos!$B$1:$B$670,Insumos!$D$1:$D$670),"")</f>
        <v/>
      </c>
      <c r="H1024" s="1081" cm="1">
        <f t="array" ref="H1024">_xlfn.IFS(B1024="Serviço",SUMIFS(H1025:$H$2465,C1025:$C$2465,$C1024),B1024="Insumo",F1024*G1024,B1024="Etapa","")</f>
        <v>106.203</v>
      </c>
      <c r="I1024" s="1082" t="s">
        <v>872</v>
      </c>
    </row>
    <row r="1025" spans="1:9" hidden="1" outlineLevel="2" x14ac:dyDescent="0.25">
      <c r="A1025" s="1079">
        <f t="shared" si="39"/>
        <v>2</v>
      </c>
      <c r="B1025" s="1079" t="s">
        <v>1362</v>
      </c>
      <c r="C1025" s="1079" t="str">
        <f t="shared" si="40"/>
        <v>Revestimento de parede em porcelanato, placa 30x60cm</v>
      </c>
      <c r="D1025" s="1079" t="s">
        <v>1790</v>
      </c>
      <c r="E1025" s="1080" t="str">
        <f>_xlfn.XLOOKUP(D1025,Insumos!$B$1:$B$670,Insumos!$C$1:$C$670)</f>
        <v>M2</v>
      </c>
      <c r="F1025" s="1095">
        <v>1.1000000000000001</v>
      </c>
      <c r="G1025" s="1081">
        <f>IF(B1025="insumo",_xlfn.XLOOKUP($D1025,Insumos!$B$1:$B$670,Insumos!$D$1:$D$670),"")</f>
        <v>75.8</v>
      </c>
      <c r="H1025" s="1081" cm="1">
        <f t="array" ref="H1025">_xlfn.IFS(B1025="Serviço",SUMIFS(H1026:$H$2465,C1026:$C$2465,$C1025),B1025="Insumo",F1025*G1025,B1025="Etapa","")</f>
        <v>83.38000000000001</v>
      </c>
      <c r="I1025" s="1082"/>
    </row>
    <row r="1026" spans="1:9" hidden="1" outlineLevel="2" x14ac:dyDescent="0.25">
      <c r="A1026" s="1079">
        <f t="shared" ref="A1026:A1089" si="41">COUNTIFS($D$2:$D$2465,D1026,$B$2:$B$2465,B1026)</f>
        <v>87</v>
      </c>
      <c r="B1026" s="1079" t="s">
        <v>1362</v>
      </c>
      <c r="C1026" s="1079" t="str">
        <f t="shared" si="40"/>
        <v>Revestimento de parede em porcelanato, placa 30x60cm</v>
      </c>
      <c r="D1026" s="1079" t="s">
        <v>1762</v>
      </c>
      <c r="E1026" s="1080" t="str">
        <f>_xlfn.XLOOKUP(D1026,Insumos!$B$1:$B$670,Insumos!$C$1:$C$670)</f>
        <v>KG</v>
      </c>
      <c r="F1026" s="1095">
        <v>8.8000000000000007</v>
      </c>
      <c r="G1026" s="1081">
        <f>IF(B1026="insumo",_xlfn.XLOOKUP($D1026,Insumos!$B$1:$B$670,Insumos!$D$1:$D$670),"")</f>
        <v>2.5499999999999998</v>
      </c>
      <c r="H1026" s="1081" cm="1">
        <f t="array" ref="H1026">_xlfn.IFS(B1026="Serviço",SUMIFS(H1027:$H$2465,C1027:$C$2465,$C1026),B1026="Insumo",F1026*G1026,B1026="Etapa","")</f>
        <v>22.44</v>
      </c>
      <c r="I1026" s="1082"/>
    </row>
    <row r="1027" spans="1:9" hidden="1" outlineLevel="2" x14ac:dyDescent="0.25">
      <c r="A1027" s="1079">
        <f t="shared" si="41"/>
        <v>56</v>
      </c>
      <c r="B1027" s="1079" t="s">
        <v>1362</v>
      </c>
      <c r="C1027" s="1079" t="str">
        <f t="shared" si="40"/>
        <v>Revestimento de parede em porcelanato, placa 30x60cm</v>
      </c>
      <c r="D1027" s="1079" t="s">
        <v>1786</v>
      </c>
      <c r="E1027" s="1080" t="str">
        <f>_xlfn.XLOOKUP(D1027,Insumos!$B$1:$B$670,Insumos!$C$1:$C$670)</f>
        <v>UN</v>
      </c>
      <c r="F1027" s="1095">
        <v>2</v>
      </c>
      <c r="G1027" s="1081">
        <f>IF(B1027="insumo",_xlfn.XLOOKUP($D1027,Insumos!$B$1:$B$670,Insumos!$D$1:$D$670),"")</f>
        <v>0.08</v>
      </c>
      <c r="H1027" s="1081" cm="1">
        <f t="array" ref="H1027">_xlfn.IFS(B1027="Serviço",SUMIFS(H1028:$H$2465,C1028:$C$2465,$C1027),B1027="Insumo",F1027*G1027,B1027="Etapa","")</f>
        <v>0.16</v>
      </c>
      <c r="I1027" s="1082"/>
    </row>
    <row r="1028" spans="1:9" hidden="1" outlineLevel="2" x14ac:dyDescent="0.25">
      <c r="A1028" s="1079">
        <f t="shared" si="41"/>
        <v>50</v>
      </c>
      <c r="B1028" s="1079" t="s">
        <v>1362</v>
      </c>
      <c r="C1028" s="1079" t="str">
        <f t="shared" si="40"/>
        <v>Revestimento de parede em porcelanato, placa 30x60cm</v>
      </c>
      <c r="D1028" s="1079" t="s">
        <v>1787</v>
      </c>
      <c r="E1028" s="1080" t="str">
        <f>_xlfn.XLOOKUP(D1028,Insumos!$B$1:$B$670,Insumos!$C$1:$C$670)</f>
        <v>KG</v>
      </c>
      <c r="F1028" s="1095">
        <v>0.02</v>
      </c>
      <c r="G1028" s="1081">
        <f>IF(B1028="insumo",_xlfn.XLOOKUP($D1028,Insumos!$B$1:$B$670,Insumos!$D$1:$D$670),"")</f>
        <v>11.15</v>
      </c>
      <c r="H1028" s="1081" cm="1">
        <f t="array" ref="H1028">_xlfn.IFS(B1028="Serviço",SUMIFS(H1029:$H$2465,C1029:$C$2465,$C1028),B1028="Insumo",F1028*G1028,B1028="Etapa","")</f>
        <v>0.223</v>
      </c>
      <c r="I1028" s="1082"/>
    </row>
    <row r="1029" spans="1:9" hidden="1" outlineLevel="1" collapsed="1" x14ac:dyDescent="0.25">
      <c r="A1029" s="1079">
        <f t="shared" si="41"/>
        <v>1</v>
      </c>
      <c r="B1029" s="1079" t="s">
        <v>471</v>
      </c>
      <c r="C1029" s="1079" t="str">
        <f t="shared" si="40"/>
        <v>Revestimento de parede em porcelanato, Revestimento Realce 32X56 32001 Branco Brilhante</v>
      </c>
      <c r="D1029" s="1079" t="s">
        <v>1792</v>
      </c>
      <c r="E1029" s="1080" t="s">
        <v>17</v>
      </c>
      <c r="F1029" s="1079"/>
      <c r="G1029" s="1096" t="str">
        <f>IF(B1029="insumo",_xlfn.XLOOKUP($D1029,Insumos!$B$1:$B$670,Insumos!$D$1:$D$670),"")</f>
        <v/>
      </c>
      <c r="H1029" s="1096" cm="1">
        <f t="array" ref="H1029">_xlfn.IFS(B1029="Serviço",SUMIFS(H1030:$H$2465,C1030:$C$2465,$C1029),B1029="Insumo",F1029*G1029,B1029="Etapa","")</f>
        <v>75.402999999999992</v>
      </c>
      <c r="I1029" s="1082" t="s">
        <v>872</v>
      </c>
    </row>
    <row r="1030" spans="1:9" hidden="1" outlineLevel="2" x14ac:dyDescent="0.25">
      <c r="A1030" s="1079">
        <f t="shared" si="41"/>
        <v>1</v>
      </c>
      <c r="B1030" s="1079" t="s">
        <v>1362</v>
      </c>
      <c r="C1030" s="1079" t="str">
        <f t="shared" si="40"/>
        <v>Revestimento de parede em porcelanato, Revestimento Realce 32X56 32001 Branco Brilhante</v>
      </c>
      <c r="D1030" s="1079" t="s">
        <v>1793</v>
      </c>
      <c r="E1030" s="1080" t="str">
        <f>_xlfn.XLOOKUP(D1030,Insumos!$B$1:$B$670,Insumos!$C$1:$C$670)</f>
        <v>M2</v>
      </c>
      <c r="F1030" s="1083">
        <v>1.1000000000000001</v>
      </c>
      <c r="G1030" s="1096">
        <f>IF(B1030="insumo",_xlfn.XLOOKUP($D1030,Insumos!$B$1:$B$670,Insumos!$D$1:$D$670),"")</f>
        <v>47.8</v>
      </c>
      <c r="H1030" s="1096" cm="1">
        <f t="array" ref="H1030">_xlfn.IFS(B1030="Serviço",SUMIFS(H1031:$H$2465,C1031:$C$2465,$C1030),B1030="Insumo",F1030*G1030,B1030="Etapa","")</f>
        <v>52.58</v>
      </c>
      <c r="I1030" s="1082"/>
    </row>
    <row r="1031" spans="1:9" hidden="1" outlineLevel="2" x14ac:dyDescent="0.25">
      <c r="A1031" s="1079">
        <f t="shared" si="41"/>
        <v>87</v>
      </c>
      <c r="B1031" s="1079" t="s">
        <v>1362</v>
      </c>
      <c r="C1031" s="1079" t="str">
        <f t="shared" si="40"/>
        <v>Revestimento de parede em porcelanato, Revestimento Realce 32X56 32001 Branco Brilhante</v>
      </c>
      <c r="D1031" s="1079" t="s">
        <v>1762</v>
      </c>
      <c r="E1031" s="1080" t="str">
        <f>_xlfn.XLOOKUP(D1031,Insumos!$B$1:$B$670,Insumos!$C$1:$C$670)</f>
        <v>KG</v>
      </c>
      <c r="F1031" s="1083">
        <v>8.8000000000000007</v>
      </c>
      <c r="G1031" s="1096">
        <f>IF(B1031="insumo",_xlfn.XLOOKUP($D1031,Insumos!$B$1:$B$670,Insumos!$D$1:$D$670),"")</f>
        <v>2.5499999999999998</v>
      </c>
      <c r="H1031" s="1096" cm="1">
        <f t="array" ref="H1031">_xlfn.IFS(B1031="Serviço",SUMIFS(H1032:$H$2465,C1032:$C$2465,$C1031),B1031="Insumo",F1031*G1031,B1031="Etapa","")</f>
        <v>22.44</v>
      </c>
      <c r="I1031" s="1082"/>
    </row>
    <row r="1032" spans="1:9" hidden="1" outlineLevel="2" x14ac:dyDescent="0.25">
      <c r="A1032" s="1079">
        <f t="shared" si="41"/>
        <v>56</v>
      </c>
      <c r="B1032" s="1079" t="s">
        <v>1362</v>
      </c>
      <c r="C1032" s="1079" t="str">
        <f t="shared" si="40"/>
        <v>Revestimento de parede em porcelanato, Revestimento Realce 32X56 32001 Branco Brilhante</v>
      </c>
      <c r="D1032" s="1079" t="s">
        <v>1786</v>
      </c>
      <c r="E1032" s="1080" t="str">
        <f>_xlfn.XLOOKUP(D1032,Insumos!$B$1:$B$670,Insumos!$C$1:$C$670)</f>
        <v>UN</v>
      </c>
      <c r="F1032" s="1083">
        <v>2</v>
      </c>
      <c r="G1032" s="1096">
        <f>IF(B1032="insumo",_xlfn.XLOOKUP($D1032,Insumos!$B$1:$B$670,Insumos!$D$1:$D$670),"")</f>
        <v>0.08</v>
      </c>
      <c r="H1032" s="1096" cm="1">
        <f t="array" ref="H1032">_xlfn.IFS(B1032="Serviço",SUMIFS(H1033:$H$2465,C1033:$C$2465,$C1032),B1032="Insumo",F1032*G1032,B1032="Etapa","")</f>
        <v>0.16</v>
      </c>
      <c r="I1032" s="1082"/>
    </row>
    <row r="1033" spans="1:9" hidden="1" outlineLevel="2" x14ac:dyDescent="0.25">
      <c r="A1033" s="1079">
        <f t="shared" si="41"/>
        <v>50</v>
      </c>
      <c r="B1033" s="1079" t="s">
        <v>1362</v>
      </c>
      <c r="C1033" s="1079" t="str">
        <f t="shared" si="40"/>
        <v>Revestimento de parede em porcelanato, Revestimento Realce 32X56 32001 Branco Brilhante</v>
      </c>
      <c r="D1033" s="1079" t="s">
        <v>1787</v>
      </c>
      <c r="E1033" s="1080" t="str">
        <f>_xlfn.XLOOKUP(D1033,Insumos!$B$1:$B$670,Insumos!$C$1:$C$670)</f>
        <v>KG</v>
      </c>
      <c r="F1033" s="1083">
        <v>0.02</v>
      </c>
      <c r="G1033" s="1096">
        <f>IF(B1033="insumo",_xlfn.XLOOKUP($D1033,Insumos!$B$1:$B$670,Insumos!$D$1:$D$670),"")</f>
        <v>11.15</v>
      </c>
      <c r="H1033" s="1096" cm="1">
        <f t="array" ref="H1033">_xlfn.IFS(B1033="Serviço",SUMIFS(H1034:$H$2465,C1034:$C$2465,$C1033),B1033="Insumo",F1033*G1033,B1033="Etapa","")</f>
        <v>0.223</v>
      </c>
      <c r="I1033" s="1082"/>
    </row>
    <row r="1034" spans="1:9" hidden="1" outlineLevel="1" collapsed="1" x14ac:dyDescent="0.25">
      <c r="A1034" s="1079">
        <f t="shared" si="41"/>
        <v>1</v>
      </c>
      <c r="B1034" s="1079" t="s">
        <v>471</v>
      </c>
      <c r="C1034" s="1079" t="str">
        <f t="shared" si="40"/>
        <v>Revestimento de parede em Porcelanato Biancogres Ripa Sense 45x90 Acetinado</v>
      </c>
      <c r="D1034" s="1079" t="s">
        <v>1794</v>
      </c>
      <c r="E1034" s="1080" t="s">
        <v>17</v>
      </c>
      <c r="F1034" s="1079"/>
      <c r="G1034" s="1096" t="str">
        <f>IF(B1034="insumo",_xlfn.XLOOKUP($D1034,Insumos!$B$1:$B$670,Insumos!$D$1:$D$670),"")</f>
        <v/>
      </c>
      <c r="H1034" s="1096" cm="1">
        <f t="array" ref="H1034">_xlfn.IFS(B1034="Serviço",SUMIFS(H1035:$H$2465,C1035:$C$2465,$C1034),B1034="Insumo",F1034*G1034,B1034="Etapa","")</f>
        <v>117.313</v>
      </c>
      <c r="I1034" s="1082" t="s">
        <v>872</v>
      </c>
    </row>
    <row r="1035" spans="1:9" hidden="1" outlineLevel="2" x14ac:dyDescent="0.25">
      <c r="A1035" s="1079">
        <f t="shared" si="41"/>
        <v>1</v>
      </c>
      <c r="B1035" s="1079" t="s">
        <v>1362</v>
      </c>
      <c r="C1035" s="1079" t="str">
        <f t="shared" si="40"/>
        <v>Revestimento de parede em Porcelanato Biancogres Ripa Sense 45x90 Acetinado</v>
      </c>
      <c r="D1035" s="1079" t="s">
        <v>1795</v>
      </c>
      <c r="E1035" s="1080" t="str">
        <f>_xlfn.XLOOKUP(D1035,Insumos!$B$1:$B$670,Insumos!$C$1:$C$670)</f>
        <v>M2</v>
      </c>
      <c r="F1035" s="1083">
        <v>1.1000000000000001</v>
      </c>
      <c r="G1035" s="1096">
        <f>IF(B1035="insumo",_xlfn.XLOOKUP($D1035,Insumos!$B$1:$B$670,Insumos!$D$1:$D$670),"")</f>
        <v>85.9</v>
      </c>
      <c r="H1035" s="1096" cm="1">
        <f t="array" ref="H1035">_xlfn.IFS(B1035="Serviço",SUMIFS(H1036:$H$2465,C1036:$C$2465,$C1035),B1035="Insumo",F1035*G1035,B1035="Etapa","")</f>
        <v>94.490000000000009</v>
      </c>
      <c r="I1035" s="1082"/>
    </row>
    <row r="1036" spans="1:9" hidden="1" outlineLevel="2" x14ac:dyDescent="0.25">
      <c r="A1036" s="1079">
        <f t="shared" si="41"/>
        <v>87</v>
      </c>
      <c r="B1036" s="1079" t="s">
        <v>1362</v>
      </c>
      <c r="C1036" s="1079" t="str">
        <f t="shared" si="40"/>
        <v>Revestimento de parede em Porcelanato Biancogres Ripa Sense 45x90 Acetinado</v>
      </c>
      <c r="D1036" s="1079" t="s">
        <v>1762</v>
      </c>
      <c r="E1036" s="1080" t="str">
        <f>_xlfn.XLOOKUP(D1036,Insumos!$B$1:$B$670,Insumos!$C$1:$C$670)</f>
        <v>KG</v>
      </c>
      <c r="F1036" s="1083">
        <v>8.8000000000000007</v>
      </c>
      <c r="G1036" s="1096">
        <f>IF(B1036="insumo",_xlfn.XLOOKUP($D1036,Insumos!$B$1:$B$670,Insumos!$D$1:$D$670),"")</f>
        <v>2.5499999999999998</v>
      </c>
      <c r="H1036" s="1096" cm="1">
        <f t="array" ref="H1036">_xlfn.IFS(B1036="Serviço",SUMIFS(H1037:$H$2465,C1037:$C$2465,$C1036),B1036="Insumo",F1036*G1036,B1036="Etapa","")</f>
        <v>22.44</v>
      </c>
      <c r="I1036" s="1082"/>
    </row>
    <row r="1037" spans="1:9" hidden="1" outlineLevel="2" x14ac:dyDescent="0.25">
      <c r="A1037" s="1079">
        <f t="shared" si="41"/>
        <v>56</v>
      </c>
      <c r="B1037" s="1079" t="s">
        <v>1362</v>
      </c>
      <c r="C1037" s="1079" t="str">
        <f t="shared" si="40"/>
        <v>Revestimento de parede em Porcelanato Biancogres Ripa Sense 45x90 Acetinado</v>
      </c>
      <c r="D1037" s="1079" t="s">
        <v>1786</v>
      </c>
      <c r="E1037" s="1080" t="str">
        <f>_xlfn.XLOOKUP(D1037,Insumos!$B$1:$B$670,Insumos!$C$1:$C$670)</f>
        <v>UN</v>
      </c>
      <c r="F1037" s="1083">
        <v>2</v>
      </c>
      <c r="G1037" s="1096">
        <f>IF(B1037="insumo",_xlfn.XLOOKUP($D1037,Insumos!$B$1:$B$670,Insumos!$D$1:$D$670),"")</f>
        <v>0.08</v>
      </c>
      <c r="H1037" s="1096" cm="1">
        <f t="array" ref="H1037">_xlfn.IFS(B1037="Serviço",SUMIFS(H1038:$H$2465,C1038:$C$2465,$C1037),B1037="Insumo",F1037*G1037,B1037="Etapa","")</f>
        <v>0.16</v>
      </c>
      <c r="I1037" s="1082"/>
    </row>
    <row r="1038" spans="1:9" hidden="1" outlineLevel="2" x14ac:dyDescent="0.25">
      <c r="A1038" s="1079">
        <f t="shared" si="41"/>
        <v>50</v>
      </c>
      <c r="B1038" s="1079" t="s">
        <v>1362</v>
      </c>
      <c r="C1038" s="1079" t="str">
        <f t="shared" si="40"/>
        <v>Revestimento de parede em Porcelanato Biancogres Ripa Sense 45x90 Acetinado</v>
      </c>
      <c r="D1038" s="1079" t="s">
        <v>1787</v>
      </c>
      <c r="E1038" s="1080" t="str">
        <f>_xlfn.XLOOKUP(D1038,Insumos!$B$1:$B$670,Insumos!$C$1:$C$670)</f>
        <v>KG</v>
      </c>
      <c r="F1038" s="1083">
        <v>0.02</v>
      </c>
      <c r="G1038" s="1096">
        <f>IF(B1038="insumo",_xlfn.XLOOKUP($D1038,Insumos!$B$1:$B$670,Insumos!$D$1:$D$670),"")</f>
        <v>11.15</v>
      </c>
      <c r="H1038" s="1096" cm="1">
        <f t="array" ref="H1038">_xlfn.IFS(B1038="Serviço",SUMIFS(H1039:$H$2465,C1039:$C$2465,$C1038),B1038="Insumo",F1038*G1038,B1038="Etapa","")</f>
        <v>0.223</v>
      </c>
      <c r="I1038" s="1082"/>
    </row>
    <row r="1039" spans="1:9" hidden="1" outlineLevel="1" collapsed="1" x14ac:dyDescent="0.25">
      <c r="A1039" s="1079">
        <f t="shared" si="41"/>
        <v>1</v>
      </c>
      <c r="B1039" s="1079" t="s">
        <v>471</v>
      </c>
      <c r="C1039" s="1079" t="str">
        <f t="shared" si="40"/>
        <v>Revestimento de parede em Porcelanato 75x75cm Cedasa Retificado Evidence Polido</v>
      </c>
      <c r="D1039" s="1079" t="s">
        <v>1796</v>
      </c>
      <c r="E1039" s="1080" t="s">
        <v>17</v>
      </c>
      <c r="F1039" s="1079"/>
      <c r="G1039" s="1096" t="str">
        <f>IF(B1039="insumo",_xlfn.XLOOKUP($D1039,Insumos!$B$1:$B$670,Insumos!$D$1:$D$670),"")</f>
        <v/>
      </c>
      <c r="H1039" s="1096" cm="1">
        <f t="array" ref="H1039">_xlfn.IFS(B1039="Serviço",SUMIFS(H1040:$H$2465,C1040:$C$2465,$C1039),B1039="Insumo",F1039*G1039,B1039="Etapa","")</f>
        <v>180.53650000000005</v>
      </c>
      <c r="I1039" s="1082" t="s">
        <v>872</v>
      </c>
    </row>
    <row r="1040" spans="1:9" hidden="1" outlineLevel="2" x14ac:dyDescent="0.25">
      <c r="A1040" s="1079">
        <f t="shared" si="41"/>
        <v>2</v>
      </c>
      <c r="B1040" s="1079" t="s">
        <v>1362</v>
      </c>
      <c r="C1040" s="1079" t="str">
        <f t="shared" ref="C1040:C1103" si="42">IF(B1040="serviço",D1040,C1039)</f>
        <v>Revestimento de parede em Porcelanato 75x75cm Cedasa Retificado Evidence Polido</v>
      </c>
      <c r="D1040" s="1079" t="s">
        <v>1797</v>
      </c>
      <c r="E1040" s="1080" t="str">
        <f>_xlfn.XLOOKUP(D1040,Insumos!$B$1:$B$670,Insumos!$C$1:$C$670)</f>
        <v>M2</v>
      </c>
      <c r="F1040" s="1095">
        <v>1.1000000000000001</v>
      </c>
      <c r="G1040" s="1096">
        <f>IF(B1040="insumo",_xlfn.XLOOKUP($D1040,Insumos!$B$1:$B$670,Insumos!$D$1:$D$670),"")</f>
        <v>143.55000000000001</v>
      </c>
      <c r="H1040" s="1096" cm="1">
        <f t="array" ref="H1040">_xlfn.IFS(B1040="Serviço",SUMIFS(H1041:$H$2465,C1041:$C$2465,$C1040),B1040="Insumo",F1040*G1040,B1040="Etapa","")</f>
        <v>157.90500000000003</v>
      </c>
      <c r="I1040" s="1082"/>
    </row>
    <row r="1041" spans="1:9" hidden="1" outlineLevel="2" x14ac:dyDescent="0.25">
      <c r="A1041" s="1079">
        <f t="shared" si="41"/>
        <v>87</v>
      </c>
      <c r="B1041" s="1079" t="s">
        <v>1362</v>
      </c>
      <c r="C1041" s="1079" t="str">
        <f t="shared" si="42"/>
        <v>Revestimento de parede em Porcelanato 75x75cm Cedasa Retificado Evidence Polido</v>
      </c>
      <c r="D1041" s="1079" t="s">
        <v>1762</v>
      </c>
      <c r="E1041" s="1080" t="str">
        <f>_xlfn.XLOOKUP(D1041,Insumos!$B$1:$B$670,Insumos!$C$1:$C$670)</f>
        <v>KG</v>
      </c>
      <c r="F1041" s="1095">
        <v>8.8000000000000007</v>
      </c>
      <c r="G1041" s="1096">
        <f>IF(B1041="insumo",_xlfn.XLOOKUP($D1041,Insumos!$B$1:$B$670,Insumos!$D$1:$D$670),"")</f>
        <v>2.5499999999999998</v>
      </c>
      <c r="H1041" s="1096" cm="1">
        <f t="array" ref="H1041">_xlfn.IFS(B1041="Serviço",SUMIFS(H1042:$H$2465,C1042:$C$2465,$C1041),B1041="Insumo",F1041*G1041,B1041="Etapa","")</f>
        <v>22.44</v>
      </c>
      <c r="I1041" s="1082"/>
    </row>
    <row r="1042" spans="1:9" hidden="1" outlineLevel="2" x14ac:dyDescent="0.25">
      <c r="A1042" s="1079">
        <f t="shared" si="41"/>
        <v>56</v>
      </c>
      <c r="B1042" s="1079" t="s">
        <v>1362</v>
      </c>
      <c r="C1042" s="1079" t="str">
        <f t="shared" si="42"/>
        <v>Revestimento de parede em Porcelanato 75x75cm Cedasa Retificado Evidence Polido</v>
      </c>
      <c r="D1042" s="1079" t="s">
        <v>1786</v>
      </c>
      <c r="E1042" s="1080" t="str">
        <f>_xlfn.XLOOKUP(D1042,Insumos!$B$1:$B$670,Insumos!$C$1:$C$670)</f>
        <v>UN</v>
      </c>
      <c r="F1042" s="1095">
        <v>1</v>
      </c>
      <c r="G1042" s="1096">
        <f>IF(B1042="insumo",_xlfn.XLOOKUP($D1042,Insumos!$B$1:$B$670,Insumos!$D$1:$D$670),"")</f>
        <v>0.08</v>
      </c>
      <c r="H1042" s="1096" cm="1">
        <f t="array" ref="H1042">_xlfn.IFS(B1042="Serviço",SUMIFS(H1043:$H$2465,C1043:$C$2465,$C1042),B1042="Insumo",F1042*G1042,B1042="Etapa","")</f>
        <v>0.08</v>
      </c>
      <c r="I1042" s="1082"/>
    </row>
    <row r="1043" spans="1:9" hidden="1" outlineLevel="2" x14ac:dyDescent="0.25">
      <c r="A1043" s="1079">
        <f t="shared" si="41"/>
        <v>50</v>
      </c>
      <c r="B1043" s="1079" t="s">
        <v>1362</v>
      </c>
      <c r="C1043" s="1079" t="str">
        <f t="shared" si="42"/>
        <v>Revestimento de parede em Porcelanato 75x75cm Cedasa Retificado Evidence Polido</v>
      </c>
      <c r="D1043" s="1079" t="s">
        <v>1787</v>
      </c>
      <c r="E1043" s="1080" t="str">
        <f>_xlfn.XLOOKUP(D1043,Insumos!$B$1:$B$670,Insumos!$C$1:$C$670)</f>
        <v>KG</v>
      </c>
      <c r="F1043" s="1095">
        <v>0.01</v>
      </c>
      <c r="G1043" s="1096">
        <f>IF(B1043="insumo",_xlfn.XLOOKUP($D1043,Insumos!$B$1:$B$670,Insumos!$D$1:$D$670),"")</f>
        <v>11.15</v>
      </c>
      <c r="H1043" s="1096" cm="1">
        <f t="array" ref="H1043">_xlfn.IFS(B1043="Serviço",SUMIFS(H1044:$H$2465,C1044:$C$2465,$C1043),B1043="Insumo",F1043*G1043,B1043="Etapa","")</f>
        <v>0.1115</v>
      </c>
      <c r="I1043" s="1082"/>
    </row>
    <row r="1044" spans="1:9" hidden="1" outlineLevel="1" collapsed="1" x14ac:dyDescent="0.25">
      <c r="A1044" s="1079">
        <f t="shared" si="41"/>
        <v>1</v>
      </c>
      <c r="B1044" s="1079" t="s">
        <v>471</v>
      </c>
      <c r="C1044" s="1079" t="str">
        <f t="shared" si="42"/>
        <v>Revestimento de parede em Porcelanato Marmorizado Polido Borda Reta Interno 90x90cm Avorio di Brescia Portobello</v>
      </c>
      <c r="D1044" s="1079" t="s">
        <v>1798</v>
      </c>
      <c r="E1044" s="1080" t="s">
        <v>17</v>
      </c>
      <c r="F1044" s="1079"/>
      <c r="G1044" s="1096" t="str">
        <f>IF(B1044="insumo",_xlfn.XLOOKUP($D1044,Insumos!$B$1:$B$670,Insumos!$D$1:$D$670),"")</f>
        <v/>
      </c>
      <c r="H1044" s="1096" cm="1">
        <f t="array" ref="H1044">_xlfn.IFS(B1044="Serviço",SUMIFS(H1045:$H$2465,C1045:$C$2465,$C1044),B1044="Insumo",F1044*G1044,B1044="Etapa","")</f>
        <v>244.84250000000003</v>
      </c>
      <c r="I1044" s="1082" t="s">
        <v>872</v>
      </c>
    </row>
    <row r="1045" spans="1:9" hidden="1" outlineLevel="2" x14ac:dyDescent="0.25">
      <c r="A1045" s="1079">
        <f t="shared" si="41"/>
        <v>1</v>
      </c>
      <c r="B1045" s="1079" t="s">
        <v>1362</v>
      </c>
      <c r="C1045" s="1079" t="str">
        <f t="shared" si="42"/>
        <v>Revestimento de parede em Porcelanato Marmorizado Polido Borda Reta Interno 90x90cm Avorio di Brescia Portobello</v>
      </c>
      <c r="D1045" s="1079" t="s">
        <v>1799</v>
      </c>
      <c r="E1045" s="1080" t="str">
        <f>_xlfn.XLOOKUP(D1045,Insumos!$B$1:$B$670,Insumos!$C$1:$C$670)</f>
        <v>M2</v>
      </c>
      <c r="F1045" s="1095">
        <v>1.1000000000000001</v>
      </c>
      <c r="G1045" s="1096">
        <f>IF(B1045="insumo",_xlfn.XLOOKUP($D1045,Insumos!$B$1:$B$670,Insumos!$D$1:$D$670),"")</f>
        <v>202.01</v>
      </c>
      <c r="H1045" s="1096" cm="1">
        <f t="array" ref="H1045">_xlfn.IFS(B1045="Serviço",SUMIFS(H1046:$H$2465,C1046:$C$2465,$C1045),B1045="Insumo",F1045*G1045,B1045="Etapa","")</f>
        <v>222.21100000000001</v>
      </c>
      <c r="I1045" s="1082"/>
    </row>
    <row r="1046" spans="1:9" hidden="1" outlineLevel="2" x14ac:dyDescent="0.25">
      <c r="A1046" s="1079">
        <f t="shared" si="41"/>
        <v>87</v>
      </c>
      <c r="B1046" s="1079" t="s">
        <v>1362</v>
      </c>
      <c r="C1046" s="1079" t="str">
        <f t="shared" si="42"/>
        <v>Revestimento de parede em Porcelanato Marmorizado Polido Borda Reta Interno 90x90cm Avorio di Brescia Portobello</v>
      </c>
      <c r="D1046" s="1079" t="s">
        <v>1762</v>
      </c>
      <c r="E1046" s="1080" t="str">
        <f>_xlfn.XLOOKUP(D1046,Insumos!$B$1:$B$670,Insumos!$C$1:$C$670)</f>
        <v>KG</v>
      </c>
      <c r="F1046" s="1095">
        <v>8.8000000000000007</v>
      </c>
      <c r="G1046" s="1096">
        <f>IF(B1046="insumo",_xlfn.XLOOKUP($D1046,Insumos!$B$1:$B$670,Insumos!$D$1:$D$670),"")</f>
        <v>2.5499999999999998</v>
      </c>
      <c r="H1046" s="1096" cm="1">
        <f t="array" ref="H1046">_xlfn.IFS(B1046="Serviço",SUMIFS(H1047:$H$2465,C1047:$C$2465,$C1046),B1046="Insumo",F1046*G1046,B1046="Etapa","")</f>
        <v>22.44</v>
      </c>
      <c r="I1046" s="1082"/>
    </row>
    <row r="1047" spans="1:9" hidden="1" outlineLevel="2" x14ac:dyDescent="0.25">
      <c r="A1047" s="1079">
        <f t="shared" si="41"/>
        <v>56</v>
      </c>
      <c r="B1047" s="1079" t="s">
        <v>1362</v>
      </c>
      <c r="C1047" s="1079" t="str">
        <f t="shared" si="42"/>
        <v>Revestimento de parede em Porcelanato Marmorizado Polido Borda Reta Interno 90x90cm Avorio di Brescia Portobello</v>
      </c>
      <c r="D1047" s="1079" t="s">
        <v>1786</v>
      </c>
      <c r="E1047" s="1080" t="str">
        <f>_xlfn.XLOOKUP(D1047,Insumos!$B$1:$B$670,Insumos!$C$1:$C$670)</f>
        <v>UN</v>
      </c>
      <c r="F1047" s="1095">
        <v>1</v>
      </c>
      <c r="G1047" s="1096">
        <f>IF(B1047="insumo",_xlfn.XLOOKUP($D1047,Insumos!$B$1:$B$670,Insumos!$D$1:$D$670),"")</f>
        <v>0.08</v>
      </c>
      <c r="H1047" s="1096" cm="1">
        <f t="array" ref="H1047">_xlfn.IFS(B1047="Serviço",SUMIFS(H1048:$H$2465,C1048:$C$2465,$C1047),B1047="Insumo",F1047*G1047,B1047="Etapa","")</f>
        <v>0.08</v>
      </c>
      <c r="I1047" s="1082"/>
    </row>
    <row r="1048" spans="1:9" hidden="1" outlineLevel="2" x14ac:dyDescent="0.25">
      <c r="A1048" s="1079">
        <f t="shared" si="41"/>
        <v>50</v>
      </c>
      <c r="B1048" s="1079" t="s">
        <v>1362</v>
      </c>
      <c r="C1048" s="1079" t="str">
        <f t="shared" si="42"/>
        <v>Revestimento de parede em Porcelanato Marmorizado Polido Borda Reta Interno 90x90cm Avorio di Brescia Portobello</v>
      </c>
      <c r="D1048" s="1079" t="s">
        <v>1787</v>
      </c>
      <c r="E1048" s="1080" t="str">
        <f>_xlfn.XLOOKUP(D1048,Insumos!$B$1:$B$670,Insumos!$C$1:$C$670)</f>
        <v>KG</v>
      </c>
      <c r="F1048" s="1095">
        <v>0.01</v>
      </c>
      <c r="G1048" s="1096">
        <f>IF(B1048="insumo",_xlfn.XLOOKUP($D1048,Insumos!$B$1:$B$670,Insumos!$D$1:$D$670),"")</f>
        <v>11.15</v>
      </c>
      <c r="H1048" s="1096" cm="1">
        <f t="array" ref="H1048">_xlfn.IFS(B1048="Serviço",SUMIFS(H1049:$H$2465,C1049:$C$2465,$C1048),B1048="Insumo",F1048*G1048,B1048="Etapa","")</f>
        <v>0.1115</v>
      </c>
      <c r="I1048" s="1082"/>
    </row>
    <row r="1049" spans="1:9" hidden="1" outlineLevel="1" collapsed="1" x14ac:dyDescent="0.25">
      <c r="A1049" s="1079">
        <f t="shared" si="41"/>
        <v>1</v>
      </c>
      <c r="B1049" s="1079" t="s">
        <v>471</v>
      </c>
      <c r="C1049" s="1079" t="str">
        <f t="shared" si="42"/>
        <v>Revestimento em Pastilhas Cerâmicas Paredes Interna, 6 x 24cm com Junta de 3mm</v>
      </c>
      <c r="D1049" s="1079" t="s">
        <v>1800</v>
      </c>
      <c r="E1049" s="1080" t="s">
        <v>17</v>
      </c>
      <c r="F1049" s="1079"/>
      <c r="G1049" s="1081" t="str">
        <f>IF(B1049="insumo",_xlfn.XLOOKUP($D1049,Insumos!$B$1:$B$670,Insumos!$D$1:$D$670),"")</f>
        <v/>
      </c>
      <c r="H1049" s="1081" cm="1">
        <f t="array" ref="H1049">_xlfn.IFS(B1049="Serviço",SUMIFS(H1050:$H$2465,C1050:$C$2465,$C1049),B1049="Insumo",F1049*G1049,B1049="Etapa","")</f>
        <v>106.33250000000001</v>
      </c>
      <c r="I1049" s="1082" t="s">
        <v>872</v>
      </c>
    </row>
    <row r="1050" spans="1:9" hidden="1" outlineLevel="2" x14ac:dyDescent="0.25">
      <c r="A1050" s="1079">
        <f t="shared" si="41"/>
        <v>1</v>
      </c>
      <c r="B1050" s="1079" t="s">
        <v>1362</v>
      </c>
      <c r="C1050" s="1079" t="str">
        <f t="shared" si="42"/>
        <v>Revestimento em Pastilhas Cerâmicas Paredes Interna, 6 x 24cm com Junta de 3mm</v>
      </c>
      <c r="D1050" s="1079" t="s">
        <v>1801</v>
      </c>
      <c r="E1050" s="1080" t="str">
        <f>_xlfn.XLOOKUP(D1050,Insumos!$B$1:$B$670,Insumos!$C$1:$C$670)</f>
        <v>M2</v>
      </c>
      <c r="F1050" s="1095">
        <v>1.1000000000000001</v>
      </c>
      <c r="G1050" s="1081">
        <f>IF(B1050="insumo",_xlfn.XLOOKUP($D1050,Insumos!$B$1:$B$670,Insumos!$D$1:$D$670),"")</f>
        <v>83.95</v>
      </c>
      <c r="H1050" s="1081" cm="1">
        <f t="array" ref="H1050">_xlfn.IFS(B1050="Serviço",SUMIFS(H1051:$H$2465,C1051:$C$2465,$C1050),B1050="Insumo",F1050*G1050,B1050="Etapa","")</f>
        <v>92.345000000000013</v>
      </c>
      <c r="I1050" s="1082"/>
    </row>
    <row r="1051" spans="1:9" hidden="1" outlineLevel="2" x14ac:dyDescent="0.25">
      <c r="A1051" s="1079">
        <f t="shared" si="41"/>
        <v>87</v>
      </c>
      <c r="B1051" s="1079" t="s">
        <v>1362</v>
      </c>
      <c r="C1051" s="1079" t="str">
        <f t="shared" si="42"/>
        <v>Revestimento em Pastilhas Cerâmicas Paredes Interna, 6 x 24cm com Junta de 3mm</v>
      </c>
      <c r="D1051" s="1079" t="s">
        <v>1762</v>
      </c>
      <c r="E1051" s="1080" t="str">
        <f>_xlfn.XLOOKUP(D1051,Insumos!$B$1:$B$670,Insumos!$C$1:$C$670)</f>
        <v>KG</v>
      </c>
      <c r="F1051" s="1095">
        <v>4.95</v>
      </c>
      <c r="G1051" s="1081">
        <f>IF(B1051="insumo",_xlfn.XLOOKUP($D1051,Insumos!$B$1:$B$670,Insumos!$D$1:$D$670),"")</f>
        <v>2.5499999999999998</v>
      </c>
      <c r="H1051" s="1081" cm="1">
        <f t="array" ref="H1051">_xlfn.IFS(B1051="Serviço",SUMIFS(H1052:$H$2465,C1052:$C$2465,$C1051),B1051="Insumo",F1051*G1051,B1051="Etapa","")</f>
        <v>12.622499999999999</v>
      </c>
      <c r="I1051" s="1082"/>
    </row>
    <row r="1052" spans="1:9" hidden="1" outlineLevel="2" x14ac:dyDescent="0.25">
      <c r="A1052" s="1079">
        <f t="shared" si="41"/>
        <v>8</v>
      </c>
      <c r="B1052" s="1079" t="s">
        <v>1362</v>
      </c>
      <c r="C1052" s="1079" t="str">
        <f t="shared" si="42"/>
        <v>Revestimento em Pastilhas Cerâmicas Paredes Interna, 6 x 24cm com Junta de 3mm</v>
      </c>
      <c r="D1052" s="1079" t="s">
        <v>1802</v>
      </c>
      <c r="E1052" s="1080" t="str">
        <f>_xlfn.XLOOKUP(D1052,Insumos!$B$1:$B$670,Insumos!$C$1:$C$670)</f>
        <v>UN</v>
      </c>
      <c r="F1052" s="1095">
        <v>5</v>
      </c>
      <c r="G1052" s="1081">
        <f>IF(B1052="insumo",_xlfn.XLOOKUP($D1052,Insumos!$B$1:$B$670,Insumos!$D$1:$D$670),"")</f>
        <v>0.05</v>
      </c>
      <c r="H1052" s="1081" cm="1">
        <f t="array" ref="H1052">_xlfn.IFS(B1052="Serviço",SUMIFS(H1053:$H$2465,C1053:$C$2465,$C1052),B1052="Insumo",F1052*G1052,B1052="Etapa","")</f>
        <v>0.25</v>
      </c>
      <c r="I1052" s="1082"/>
    </row>
    <row r="1053" spans="1:9" hidden="1" outlineLevel="2" x14ac:dyDescent="0.25">
      <c r="A1053" s="1079">
        <f t="shared" si="41"/>
        <v>50</v>
      </c>
      <c r="B1053" s="1079" t="s">
        <v>1362</v>
      </c>
      <c r="C1053" s="1079" t="str">
        <f t="shared" si="42"/>
        <v>Revestimento em Pastilhas Cerâmicas Paredes Interna, 6 x 24cm com Junta de 3mm</v>
      </c>
      <c r="D1053" s="1079" t="s">
        <v>1787</v>
      </c>
      <c r="E1053" s="1080" t="str">
        <f>_xlfn.XLOOKUP(D1053,Insumos!$B$1:$B$670,Insumos!$C$1:$C$670)</f>
        <v>KG</v>
      </c>
      <c r="F1053" s="1095">
        <v>0.1</v>
      </c>
      <c r="G1053" s="1081">
        <f>IF(B1053="insumo",_xlfn.XLOOKUP($D1053,Insumos!$B$1:$B$670,Insumos!$D$1:$D$670),"")</f>
        <v>11.15</v>
      </c>
      <c r="H1053" s="1081" cm="1">
        <f t="array" ref="H1053">_xlfn.IFS(B1053="Serviço",SUMIFS(H1054:$H$2465,C1054:$C$2465,$C1053),B1053="Insumo",F1053*G1053,B1053="Etapa","")</f>
        <v>1.115</v>
      </c>
      <c r="I1053" s="1082"/>
    </row>
    <row r="1054" spans="1:9" hidden="1" outlineLevel="1" collapsed="1" x14ac:dyDescent="0.25">
      <c r="A1054" s="1079">
        <f t="shared" si="41"/>
        <v>1</v>
      </c>
      <c r="B1054" s="1079" t="s">
        <v>471</v>
      </c>
      <c r="C1054" s="1079" t="str">
        <f t="shared" si="42"/>
        <v>Revestimento em Ladrilhos para Piscina, Cinza giz 15x15 com Juntas e rejunte acrilico</v>
      </c>
      <c r="D1054" s="1079" t="s">
        <v>1803</v>
      </c>
      <c r="E1054" s="1080" t="s">
        <v>17</v>
      </c>
      <c r="F1054" s="1079"/>
      <c r="G1054" s="1081" t="str">
        <f>IF(B1054="insumo",_xlfn.XLOOKUP($D1054,Insumos!$B$1:$B$670,Insumos!$D$1:$D$670),"")</f>
        <v/>
      </c>
      <c r="H1054" s="1081" cm="1">
        <f t="array" ref="H1054">_xlfn.IFS(B1054="Serviço",SUMIFS(H1055:$H$2465,C1055:$C$2465,$C1054),B1054="Insumo",F1054*G1054,B1054="Etapa","")</f>
        <v>173.2355</v>
      </c>
      <c r="I1054" s="1082" t="s">
        <v>872</v>
      </c>
    </row>
    <row r="1055" spans="1:9" hidden="1" outlineLevel="2" x14ac:dyDescent="0.25">
      <c r="A1055" s="1079">
        <f t="shared" si="41"/>
        <v>1</v>
      </c>
      <c r="B1055" s="1079" t="s">
        <v>1362</v>
      </c>
      <c r="C1055" s="1079" t="str">
        <f t="shared" si="42"/>
        <v>Revestimento em Ladrilhos para Piscina, Cinza giz 15x15 com Juntas e rejunte acrilico</v>
      </c>
      <c r="D1055" s="1079" t="s">
        <v>1804</v>
      </c>
      <c r="E1055" s="1080" t="str">
        <f>_xlfn.XLOOKUP(D1055,Insumos!$B$1:$B$670,Insumos!$C$1:$C$670)</f>
        <v>M2</v>
      </c>
      <c r="F1055" s="1095">
        <v>1.1000000000000001</v>
      </c>
      <c r="G1055" s="1081">
        <f>IF(B1055="insumo",_xlfn.XLOOKUP($D1055,Insumos!$B$1:$B$670,Insumos!$D$1:$D$670),"")</f>
        <v>143.72999999999999</v>
      </c>
      <c r="H1055" s="1081" cm="1">
        <f t="array" ref="H1055">_xlfn.IFS(B1055="Serviço",SUMIFS(H1056:$H$2465,C1056:$C$2465,$C1055),B1055="Insumo",F1055*G1055,B1055="Etapa","")</f>
        <v>158.10300000000001</v>
      </c>
      <c r="I1055" s="1082"/>
    </row>
    <row r="1056" spans="1:9" hidden="1" outlineLevel="2" x14ac:dyDescent="0.25">
      <c r="A1056" s="1079">
        <f t="shared" si="41"/>
        <v>87</v>
      </c>
      <c r="B1056" s="1079" t="s">
        <v>1362</v>
      </c>
      <c r="C1056" s="1079" t="str">
        <f t="shared" si="42"/>
        <v>Revestimento em Ladrilhos para Piscina, Cinza giz 15x15 com Juntas e rejunte acrilico</v>
      </c>
      <c r="D1056" s="1079" t="s">
        <v>1762</v>
      </c>
      <c r="E1056" s="1080" t="str">
        <f>_xlfn.XLOOKUP(D1056,Insumos!$B$1:$B$670,Insumos!$C$1:$C$670)</f>
        <v>KG</v>
      </c>
      <c r="F1056" s="1095">
        <v>4.95</v>
      </c>
      <c r="G1056" s="1081">
        <f>IF(B1056="insumo",_xlfn.XLOOKUP($D1056,Insumos!$B$1:$B$670,Insumos!$D$1:$D$670),"")</f>
        <v>2.5499999999999998</v>
      </c>
      <c r="H1056" s="1081" cm="1">
        <f t="array" ref="H1056">_xlfn.IFS(B1056="Serviço",SUMIFS(H1057:$H$2465,C1057:$C$2465,$C1056),B1056="Insumo",F1056*G1056,B1056="Etapa","")</f>
        <v>12.622499999999999</v>
      </c>
      <c r="I1056" s="1082"/>
    </row>
    <row r="1057" spans="1:9" hidden="1" outlineLevel="2" x14ac:dyDescent="0.25">
      <c r="A1057" s="1079">
        <f t="shared" si="41"/>
        <v>56</v>
      </c>
      <c r="B1057" s="1079" t="s">
        <v>1362</v>
      </c>
      <c r="C1057" s="1079" t="str">
        <f t="shared" si="42"/>
        <v>Revestimento em Ladrilhos para Piscina, Cinza giz 15x15 com Juntas e rejunte acrilico</v>
      </c>
      <c r="D1057" s="1079" t="s">
        <v>1786</v>
      </c>
      <c r="E1057" s="1080" t="str">
        <f>_xlfn.XLOOKUP(D1057,Insumos!$B$1:$B$670,Insumos!$C$1:$C$670)</f>
        <v>UN</v>
      </c>
      <c r="F1057" s="1095">
        <v>4</v>
      </c>
      <c r="G1057" s="1081">
        <f>IF(B1057="insumo",_xlfn.XLOOKUP($D1057,Insumos!$B$1:$B$670,Insumos!$D$1:$D$670),"")</f>
        <v>0.08</v>
      </c>
      <c r="H1057" s="1081" cm="1">
        <f t="array" ref="H1057">_xlfn.IFS(B1057="Serviço",SUMIFS(H1058:$H$2465,C1058:$C$2465,$C1057),B1057="Insumo",F1057*G1057,B1057="Etapa","")</f>
        <v>0.32</v>
      </c>
      <c r="I1057" s="1082"/>
    </row>
    <row r="1058" spans="1:9" hidden="1" outlineLevel="2" x14ac:dyDescent="0.25">
      <c r="A1058" s="1079">
        <f t="shared" si="41"/>
        <v>13</v>
      </c>
      <c r="B1058" s="1079" t="s">
        <v>1362</v>
      </c>
      <c r="C1058" s="1079" t="str">
        <f t="shared" si="42"/>
        <v>Revestimento em Ladrilhos para Piscina, Cinza giz 15x15 com Juntas e rejunte acrilico</v>
      </c>
      <c r="D1058" s="1079" t="s">
        <v>1789</v>
      </c>
      <c r="E1058" s="1080" t="str">
        <f>_xlfn.XLOOKUP(D1058,Insumos!$B$1:$B$670,Insumos!$C$1:$C$670)</f>
        <v>KG</v>
      </c>
      <c r="F1058" s="1095">
        <v>0.05</v>
      </c>
      <c r="G1058" s="1081">
        <f>IF(B1058="insumo",_xlfn.XLOOKUP($D1058,Insumos!$B$1:$B$670,Insumos!$D$1:$D$670),"")</f>
        <v>43.8</v>
      </c>
      <c r="H1058" s="1081" cm="1">
        <f t="array" ref="H1058">_xlfn.IFS(B1058="Serviço",SUMIFS(H1059:$H$2465,C1059:$C$2465,$C1058),B1058="Insumo",F1058*G1058,B1058="Etapa","")</f>
        <v>2.19</v>
      </c>
      <c r="I1058" s="1082"/>
    </row>
    <row r="1059" spans="1:9" hidden="1" outlineLevel="1" x14ac:dyDescent="0.25">
      <c r="A1059" s="1079">
        <f t="shared" si="41"/>
        <v>1</v>
      </c>
      <c r="B1059" s="1079" t="s">
        <v>471</v>
      </c>
      <c r="C1059" s="1079" t="str">
        <f t="shared" si="42"/>
        <v>Revestimento em Ladrilhos para Piscina, Branco Mate 15x15 com Juntas</v>
      </c>
      <c r="D1059" s="1079" t="s">
        <v>1805</v>
      </c>
      <c r="E1059" s="1080" t="s">
        <v>17</v>
      </c>
      <c r="F1059" s="1079"/>
      <c r="G1059" s="1081" t="str">
        <f>IF(B1059="insumo",_xlfn.XLOOKUP($D1059,Insumos!$B$1:$B$670,Insumos!$D$1:$D$670),"")</f>
        <v/>
      </c>
      <c r="H1059" s="1081" cm="1">
        <f t="array" ref="H1059">_xlfn.IFS(B1059="Serviço",SUMIFS(H1060:$H$2465,C1060:$C$2465,$C1059),B1059="Insumo",F1059*G1059,B1059="Etapa","")</f>
        <v>291.62850000000003</v>
      </c>
      <c r="I1059" s="1082" t="s">
        <v>872</v>
      </c>
    </row>
    <row r="1060" spans="1:9" hidden="1" outlineLevel="2" x14ac:dyDescent="0.25">
      <c r="A1060" s="1079">
        <f t="shared" si="41"/>
        <v>1</v>
      </c>
      <c r="B1060" s="1079" t="s">
        <v>1362</v>
      </c>
      <c r="C1060" s="1079" t="str">
        <f t="shared" si="42"/>
        <v>Revestimento em Ladrilhos para Piscina, Branco Mate 15x15 com Juntas</v>
      </c>
      <c r="D1060" s="1079" t="s">
        <v>1806</v>
      </c>
      <c r="E1060" s="1080" t="str">
        <f>_xlfn.XLOOKUP(D1060,Insumos!$B$1:$B$670,Insumos!$C$1:$C$670)</f>
        <v>M2</v>
      </c>
      <c r="F1060" s="1095">
        <v>1.1000000000000001</v>
      </c>
      <c r="G1060" s="1081">
        <f>IF(B1060="insumo",_xlfn.XLOOKUP($D1060,Insumos!$B$1:$B$670,Insumos!$D$1:$D$670),"")</f>
        <v>251.36</v>
      </c>
      <c r="H1060" s="1081" cm="1">
        <f t="array" ref="H1060">_xlfn.IFS(B1060="Serviço",SUMIFS(H1061:$H$2465,C1061:$C$2465,$C1060),B1060="Insumo",F1060*G1060,B1060="Etapa","")</f>
        <v>276.49600000000004</v>
      </c>
      <c r="I1060" s="1082"/>
    </row>
    <row r="1061" spans="1:9" hidden="1" outlineLevel="2" x14ac:dyDescent="0.25">
      <c r="A1061" s="1079">
        <f t="shared" si="41"/>
        <v>87</v>
      </c>
      <c r="B1061" s="1079" t="s">
        <v>1362</v>
      </c>
      <c r="C1061" s="1079" t="str">
        <f t="shared" si="42"/>
        <v>Revestimento em Ladrilhos para Piscina, Branco Mate 15x15 com Juntas</v>
      </c>
      <c r="D1061" s="1079" t="s">
        <v>1762</v>
      </c>
      <c r="E1061" s="1080" t="str">
        <f>_xlfn.XLOOKUP(D1061,Insumos!$B$1:$B$670,Insumos!$C$1:$C$670)</f>
        <v>KG</v>
      </c>
      <c r="F1061" s="1095">
        <v>4.95</v>
      </c>
      <c r="G1061" s="1081">
        <f>IF(B1061="insumo",_xlfn.XLOOKUP($D1061,Insumos!$B$1:$B$670,Insumos!$D$1:$D$670),"")</f>
        <v>2.5499999999999998</v>
      </c>
      <c r="H1061" s="1081" cm="1">
        <f t="array" ref="H1061">_xlfn.IFS(B1061="Serviço",SUMIFS(H1062:$H$2465,C1062:$C$2465,$C1061),B1061="Insumo",F1061*G1061,B1061="Etapa","")</f>
        <v>12.622499999999999</v>
      </c>
      <c r="I1061" s="1082"/>
    </row>
    <row r="1062" spans="1:9" hidden="1" outlineLevel="2" x14ac:dyDescent="0.25">
      <c r="A1062" s="1079">
        <f t="shared" si="41"/>
        <v>56</v>
      </c>
      <c r="B1062" s="1079" t="s">
        <v>1362</v>
      </c>
      <c r="C1062" s="1079" t="str">
        <f t="shared" si="42"/>
        <v>Revestimento em Ladrilhos para Piscina, Branco Mate 15x15 com Juntas</v>
      </c>
      <c r="D1062" s="1079" t="s">
        <v>1786</v>
      </c>
      <c r="E1062" s="1080" t="str">
        <f>_xlfn.XLOOKUP(D1062,Insumos!$B$1:$B$670,Insumos!$C$1:$C$670)</f>
        <v>UN</v>
      </c>
      <c r="F1062" s="1095">
        <v>4</v>
      </c>
      <c r="G1062" s="1081">
        <f>IF(B1062="insumo",_xlfn.XLOOKUP($D1062,Insumos!$B$1:$B$670,Insumos!$D$1:$D$670),"")</f>
        <v>0.08</v>
      </c>
      <c r="H1062" s="1081" cm="1">
        <f t="array" ref="H1062">_xlfn.IFS(B1062="Serviço",SUMIFS(H1063:$H$2465,C1063:$C$2465,$C1062),B1062="Insumo",F1062*G1062,B1062="Etapa","")</f>
        <v>0.32</v>
      </c>
      <c r="I1062" s="1082"/>
    </row>
    <row r="1063" spans="1:9" hidden="1" outlineLevel="2" x14ac:dyDescent="0.25">
      <c r="A1063" s="1079">
        <f t="shared" si="41"/>
        <v>13</v>
      </c>
      <c r="B1063" s="1079" t="s">
        <v>1362</v>
      </c>
      <c r="C1063" s="1079" t="str">
        <f t="shared" si="42"/>
        <v>Revestimento em Ladrilhos para Piscina, Branco Mate 15x15 com Juntas</v>
      </c>
      <c r="D1063" s="1079" t="s">
        <v>1789</v>
      </c>
      <c r="E1063" s="1080" t="str">
        <f>_xlfn.XLOOKUP(D1063,Insumos!$B$1:$B$670,Insumos!$C$1:$C$670)</f>
        <v>KG</v>
      </c>
      <c r="F1063" s="1095">
        <v>0.05</v>
      </c>
      <c r="G1063" s="1081">
        <f>IF(B1063="insumo",_xlfn.XLOOKUP($D1063,Insumos!$B$1:$B$670,Insumos!$D$1:$D$670),"")</f>
        <v>43.8</v>
      </c>
      <c r="H1063" s="1081" cm="1">
        <f t="array" ref="H1063">_xlfn.IFS(B1063="Serviço",SUMIFS(H1064:$H$2465,C1064:$C$2465,$C1063),B1063="Insumo",F1063*G1063,B1063="Etapa","")</f>
        <v>2.19</v>
      </c>
      <c r="I1063" s="1082"/>
    </row>
    <row r="1064" spans="1:9" hidden="1" outlineLevel="1" collapsed="1" x14ac:dyDescent="0.25">
      <c r="A1064" s="1079">
        <f t="shared" si="41"/>
        <v>1</v>
      </c>
      <c r="B1064" s="1079" t="s">
        <v>471</v>
      </c>
      <c r="C1064" s="1079" t="str">
        <f t="shared" si="42"/>
        <v xml:space="preserve">Revestimento em Pastilhas Cerâmicas Para Piscinas , 14,5 x 14,5cm com Junta de 3mm </v>
      </c>
      <c r="D1064" s="1079" t="s">
        <v>1807</v>
      </c>
      <c r="E1064" s="1080" t="s">
        <v>17</v>
      </c>
      <c r="F1064" s="1079"/>
      <c r="G1064" s="1081" t="str">
        <f>IF(B1064="insumo",_xlfn.XLOOKUP($D1064,Insumos!$B$1:$B$670,Insumos!$D$1:$D$670),"")</f>
        <v/>
      </c>
      <c r="H1064" s="1081" cm="1">
        <f t="array" ref="H1064">_xlfn.IFS(B1064="Serviço",SUMIFS(H1065:$H$2465,C1065:$C$2465,$C1064),B1064="Insumo",F1064*G1064,B1064="Etapa","")</f>
        <v>154.19000000000003</v>
      </c>
      <c r="I1064" s="1082" t="s">
        <v>872</v>
      </c>
    </row>
    <row r="1065" spans="1:9" hidden="1" outlineLevel="2" x14ac:dyDescent="0.25">
      <c r="A1065" s="1079">
        <f t="shared" si="41"/>
        <v>3</v>
      </c>
      <c r="B1065" s="1079" t="s">
        <v>1362</v>
      </c>
      <c r="C1065" s="1079" t="str">
        <f t="shared" si="42"/>
        <v xml:space="preserve">Revestimento em Pastilhas Cerâmicas Para Piscinas , 14,5 x 14,5cm com Junta de 3mm </v>
      </c>
      <c r="D1065" s="1079" t="s">
        <v>1808</v>
      </c>
      <c r="E1065" s="1080" t="str">
        <f>_xlfn.XLOOKUP(D1065,Insumos!$B$1:$B$670,Insumos!$C$1:$C$670)</f>
        <v>M2</v>
      </c>
      <c r="F1065" s="1095">
        <v>1.1000000000000001</v>
      </c>
      <c r="G1065" s="1081">
        <f>IF(B1065="insumo",_xlfn.XLOOKUP($D1065,Insumos!$B$1:$B$670,Insumos!$D$1:$D$670),"")</f>
        <v>127.9</v>
      </c>
      <c r="H1065" s="1081" cm="1">
        <f t="array" ref="H1065">_xlfn.IFS(B1065="Serviço",SUMIFS(H1066:$H$2465,C1066:$C$2465,$C1065),B1065="Insumo",F1065*G1065,B1065="Etapa","")</f>
        <v>140.69000000000003</v>
      </c>
      <c r="I1065" s="1082"/>
    </row>
    <row r="1066" spans="1:9" hidden="1" outlineLevel="2" x14ac:dyDescent="0.25">
      <c r="A1066" s="1079">
        <f t="shared" si="41"/>
        <v>87</v>
      </c>
      <c r="B1066" s="1079" t="s">
        <v>1362</v>
      </c>
      <c r="C1066" s="1079" t="str">
        <f t="shared" si="42"/>
        <v xml:space="preserve">Revestimento em Pastilhas Cerâmicas Para Piscinas , 14,5 x 14,5cm com Junta de 3mm </v>
      </c>
      <c r="D1066" s="1079" t="s">
        <v>1762</v>
      </c>
      <c r="E1066" s="1080" t="str">
        <f>_xlfn.XLOOKUP(D1066,Insumos!$B$1:$B$670,Insumos!$C$1:$C$670)</f>
        <v>KG</v>
      </c>
      <c r="F1066" s="1095">
        <v>4.95</v>
      </c>
      <c r="G1066" s="1081">
        <f>IF(B1066="insumo",_xlfn.XLOOKUP($D1066,Insumos!$B$1:$B$670,Insumos!$D$1:$D$670),"")</f>
        <v>2.5499999999999998</v>
      </c>
      <c r="H1066" s="1081" cm="1">
        <f t="array" ref="H1066">_xlfn.IFS(B1066="Serviço",SUMIFS(H1067:$H$2465,C1067:$C$2465,$C1066),B1066="Insumo",F1066*G1066,B1066="Etapa","")</f>
        <v>12.622499999999999</v>
      </c>
      <c r="I1066" s="1082"/>
    </row>
    <row r="1067" spans="1:9" hidden="1" outlineLevel="2" x14ac:dyDescent="0.25">
      <c r="A1067" s="1079">
        <f t="shared" si="41"/>
        <v>56</v>
      </c>
      <c r="B1067" s="1079" t="s">
        <v>1362</v>
      </c>
      <c r="C1067" s="1079" t="str">
        <f t="shared" si="42"/>
        <v xml:space="preserve">Revestimento em Pastilhas Cerâmicas Para Piscinas , 14,5 x 14,5cm com Junta de 3mm </v>
      </c>
      <c r="D1067" s="1079" t="s">
        <v>1786</v>
      </c>
      <c r="E1067" s="1080" t="str">
        <f>_xlfn.XLOOKUP(D1067,Insumos!$B$1:$B$670,Insumos!$C$1:$C$670)</f>
        <v>UN</v>
      </c>
      <c r="F1067" s="1095">
        <v>4</v>
      </c>
      <c r="G1067" s="1081">
        <f>IF(B1067="insumo",_xlfn.XLOOKUP($D1067,Insumos!$B$1:$B$670,Insumos!$D$1:$D$670),"")</f>
        <v>0.08</v>
      </c>
      <c r="H1067" s="1081" cm="1">
        <f t="array" ref="H1067">_xlfn.IFS(B1067="Serviço",SUMIFS(H1068:$H$2465,C1068:$C$2465,$C1067),B1067="Insumo",F1067*G1067,B1067="Etapa","")</f>
        <v>0.32</v>
      </c>
      <c r="I1067" s="1082"/>
    </row>
    <row r="1068" spans="1:9" hidden="1" outlineLevel="2" x14ac:dyDescent="0.25">
      <c r="A1068" s="1079">
        <f t="shared" si="41"/>
        <v>50</v>
      </c>
      <c r="B1068" s="1079" t="s">
        <v>1362</v>
      </c>
      <c r="C1068" s="1079" t="str">
        <f t="shared" si="42"/>
        <v xml:space="preserve">Revestimento em Pastilhas Cerâmicas Para Piscinas , 14,5 x 14,5cm com Junta de 3mm </v>
      </c>
      <c r="D1068" s="1079" t="s">
        <v>1787</v>
      </c>
      <c r="E1068" s="1080" t="str">
        <f>_xlfn.XLOOKUP(D1068,Insumos!$B$1:$B$670,Insumos!$C$1:$C$670)</f>
        <v>KG</v>
      </c>
      <c r="F1068" s="1095">
        <v>0.05</v>
      </c>
      <c r="G1068" s="1081">
        <f>IF(B1068="insumo",_xlfn.XLOOKUP($D1068,Insumos!$B$1:$B$670,Insumos!$D$1:$D$670),"")</f>
        <v>11.15</v>
      </c>
      <c r="H1068" s="1081" cm="1">
        <f t="array" ref="H1068">_xlfn.IFS(B1068="Serviço",SUMIFS(H1069:$H$2465,C1069:$C$2465,$C1068),B1068="Insumo",F1068*G1068,B1068="Etapa","")</f>
        <v>0.5575</v>
      </c>
      <c r="I1068" s="1082"/>
    </row>
    <row r="1069" spans="1:9" hidden="1" outlineLevel="1" collapsed="1" x14ac:dyDescent="0.25">
      <c r="A1069" s="1079">
        <f t="shared" si="41"/>
        <v>1</v>
      </c>
      <c r="B1069" s="1079" t="s">
        <v>471</v>
      </c>
      <c r="C1069" s="1079" t="str">
        <f t="shared" si="42"/>
        <v>Pingadeira em marmore cinza, esp. 2cm</v>
      </c>
      <c r="D1069" s="1079" t="s">
        <v>1809</v>
      </c>
      <c r="E1069" s="1080" t="s">
        <v>17</v>
      </c>
      <c r="F1069" s="1079"/>
      <c r="G1069" s="1081" t="str">
        <f>IF(B1069="insumo",_xlfn.XLOOKUP($D1069,Insumos!$B$1:$B$670,Insumos!$D$1:$D$670),"")</f>
        <v/>
      </c>
      <c r="H1069" s="1081" cm="1">
        <f t="array" ref="H1069">_xlfn.IFS(B1069="Serviço",SUMIFS(H1070:$H$2465,C1070:$C$2465,$C1069),B1069="Insumo",F1069*G1069,B1069="Etapa","")</f>
        <v>525.92999999999995</v>
      </c>
      <c r="I1069" s="1082" t="s">
        <v>872</v>
      </c>
    </row>
    <row r="1070" spans="1:9" hidden="1" outlineLevel="2" x14ac:dyDescent="0.25">
      <c r="A1070" s="1079">
        <f t="shared" si="41"/>
        <v>3</v>
      </c>
      <c r="B1070" s="1079" t="s">
        <v>1362</v>
      </c>
      <c r="C1070" s="1079" t="str">
        <f t="shared" si="42"/>
        <v>Pingadeira em marmore cinza, esp. 2cm</v>
      </c>
      <c r="D1070" s="1079" t="s">
        <v>1810</v>
      </c>
      <c r="E1070" s="1080" t="str">
        <f>_xlfn.XLOOKUP(D1070,Insumos!$B$1:$B$670,Insumos!$C$1:$C$670)</f>
        <v>M2</v>
      </c>
      <c r="F1070" s="1083">
        <v>1.05</v>
      </c>
      <c r="G1070" s="1081">
        <f>IF(B1070="insumo",_xlfn.XLOOKUP($D1070,Insumos!$B$1:$B$670,Insumos!$D$1:$D$670),"")</f>
        <v>480</v>
      </c>
      <c r="H1070" s="1081" cm="1">
        <f t="array" ref="H1070">_xlfn.IFS(B1070="Serviço",SUMIFS(H1071:$H$2465,C1071:$C$2465,$C1070),B1070="Insumo",F1070*G1070,B1070="Etapa","")</f>
        <v>504</v>
      </c>
      <c r="I1070" s="1082"/>
    </row>
    <row r="1071" spans="1:9" hidden="1" outlineLevel="2" x14ac:dyDescent="0.25">
      <c r="A1071" s="1079">
        <f t="shared" si="41"/>
        <v>87</v>
      </c>
      <c r="B1071" s="1079" t="s">
        <v>1362</v>
      </c>
      <c r="C1071" s="1079" t="str">
        <f t="shared" si="42"/>
        <v>Pingadeira em marmore cinza, esp. 2cm</v>
      </c>
      <c r="D1071" s="1079" t="s">
        <v>1762</v>
      </c>
      <c r="E1071" s="1080" t="str">
        <f>_xlfn.XLOOKUP(D1071,Insumos!$B$1:$B$670,Insumos!$C$1:$C$670)</f>
        <v>KG</v>
      </c>
      <c r="F1071" s="1083">
        <v>8.6</v>
      </c>
      <c r="G1071" s="1081">
        <f>IF(B1071="insumo",_xlfn.XLOOKUP($D1071,Insumos!$B$1:$B$670,Insumos!$D$1:$D$670),"")</f>
        <v>2.5499999999999998</v>
      </c>
      <c r="H1071" s="1081" cm="1">
        <f t="array" ref="H1071">_xlfn.IFS(B1071="Serviço",SUMIFS(H1072:$H$2465,C1072:$C$2465,$C1071),B1071="Insumo",F1071*G1071,B1071="Etapa","")</f>
        <v>21.929999999999996</v>
      </c>
      <c r="I1071" s="1082"/>
    </row>
    <row r="1072" spans="1:9" hidden="1" outlineLevel="1" collapsed="1" x14ac:dyDescent="0.25">
      <c r="A1072" s="1079">
        <f t="shared" si="41"/>
        <v>1</v>
      </c>
      <c r="B1072" s="1079" t="s">
        <v>471</v>
      </c>
      <c r="C1072" s="1079" t="str">
        <f t="shared" si="42"/>
        <v>Peitoril em Granito, esp. 2cm</v>
      </c>
      <c r="D1072" s="1079" t="s">
        <v>1811</v>
      </c>
      <c r="E1072" s="1080" t="s">
        <v>281</v>
      </c>
      <c r="F1072" s="1079"/>
      <c r="G1072" s="1081" t="str">
        <f>IF(B1072="insumo",_xlfn.XLOOKUP($D1072,Insumos!$B$1:$B$670,Insumos!$D$1:$D$670),"")</f>
        <v/>
      </c>
      <c r="H1072" s="1081" cm="1">
        <f t="array" ref="H1072">_xlfn.IFS(B1072="Serviço",SUMIFS(H1073:$H$2465,C1073:$C$2465,$C1072),B1072="Insumo",F1072*G1072,B1072="Etapa","")</f>
        <v>241.245</v>
      </c>
      <c r="I1072" s="1082" t="s">
        <v>872</v>
      </c>
    </row>
    <row r="1073" spans="1:9" hidden="1" outlineLevel="2" x14ac:dyDescent="0.25">
      <c r="A1073" s="1079">
        <f t="shared" si="41"/>
        <v>2</v>
      </c>
      <c r="B1073" s="1079" t="s">
        <v>1362</v>
      </c>
      <c r="C1073" s="1079" t="str">
        <f t="shared" si="42"/>
        <v>Peitoril em Granito, esp. 2cm</v>
      </c>
      <c r="D1073" s="1079" t="s">
        <v>1812</v>
      </c>
      <c r="E1073" s="1080" t="str">
        <f>_xlfn.XLOOKUP(D1073,Insumos!$B$1:$B$670,Insumos!$C$1:$C$670)</f>
        <v>M2</v>
      </c>
      <c r="F1073" s="1083">
        <f>0.3*1.0416</f>
        <v>0.31248000000000004</v>
      </c>
      <c r="G1073" s="1081">
        <f>IF(B1073="insumo",_xlfn.XLOOKUP($D1073,Insumos!$B$1:$B$670,Insumos!$D$1:$D$670),"")</f>
        <v>750</v>
      </c>
      <c r="H1073" s="1081" cm="1">
        <f t="array" ref="H1073">_xlfn.IFS(B1073="Serviço",SUMIFS(H1074:$H$2465,C1074:$C$2465,$C1073),B1073="Insumo",F1073*G1073,B1073="Etapa","")</f>
        <v>234.36</v>
      </c>
      <c r="I1073" s="1082"/>
    </row>
    <row r="1074" spans="1:9" hidden="1" outlineLevel="2" x14ac:dyDescent="0.25">
      <c r="A1074" s="1079">
        <f t="shared" si="41"/>
        <v>87</v>
      </c>
      <c r="B1074" s="1079" t="s">
        <v>1362</v>
      </c>
      <c r="C1074" s="1079" t="str">
        <f t="shared" si="42"/>
        <v>Peitoril em Granito, esp. 2cm</v>
      </c>
      <c r="D1074" s="1079" t="s">
        <v>1762</v>
      </c>
      <c r="E1074" s="1080" t="str">
        <f>_xlfn.XLOOKUP(D1074,Insumos!$B$1:$B$670,Insumos!$C$1:$C$670)</f>
        <v>KG</v>
      </c>
      <c r="F1074" s="1083">
        <f>9*0.3</f>
        <v>2.6999999999999997</v>
      </c>
      <c r="G1074" s="1081">
        <f>IF(B1074="insumo",_xlfn.XLOOKUP($D1074,Insumos!$B$1:$B$670,Insumos!$D$1:$D$670),"")</f>
        <v>2.5499999999999998</v>
      </c>
      <c r="H1074" s="1081" cm="1">
        <f t="array" ref="H1074">_xlfn.IFS(B1074="Serviço",SUMIFS(H1075:$H$2465,C1075:$C$2465,$C1074),B1074="Insumo",F1074*G1074,B1074="Etapa","")</f>
        <v>6.8849999999999989</v>
      </c>
      <c r="I1074" s="1082"/>
    </row>
    <row r="1075" spans="1:9" hidden="1" outlineLevel="1" x14ac:dyDescent="0.25">
      <c r="A1075" s="1079">
        <f t="shared" si="41"/>
        <v>1</v>
      </c>
      <c r="B1075" s="1079" t="s">
        <v>471</v>
      </c>
      <c r="C1075" s="1079" t="str">
        <f t="shared" si="42"/>
        <v>Peitoril em pedra natural,  esp. 2cm</v>
      </c>
      <c r="D1075" s="1079" t="s">
        <v>1315</v>
      </c>
      <c r="E1075" s="1080" t="s">
        <v>17</v>
      </c>
      <c r="F1075" s="1079"/>
      <c r="G1075" s="1081" t="str">
        <f>IF(B1075="insumo",_xlfn.XLOOKUP($D1075,Insumos!$B$1:$B$670,Insumos!$D$1:$D$670),"")</f>
        <v/>
      </c>
      <c r="H1075" s="1081" cm="1">
        <f t="array" ref="H1075">_xlfn.IFS(B1075="Serviço",SUMIFS(H1076:$H$2465,C1076:$C$2465,$C1075),B1075="Insumo",F1075*G1075,B1075="Etapa","")</f>
        <v>809.43</v>
      </c>
      <c r="I1075" s="1082" t="s">
        <v>872</v>
      </c>
    </row>
    <row r="1076" spans="1:9" hidden="1" outlineLevel="2" x14ac:dyDescent="0.25">
      <c r="A1076" s="1079">
        <f t="shared" si="41"/>
        <v>10</v>
      </c>
      <c r="B1076" s="1079" t="s">
        <v>1362</v>
      </c>
      <c r="C1076" s="1079" t="str">
        <f t="shared" si="42"/>
        <v>Peitoril em pedra natural,  esp. 2cm</v>
      </c>
      <c r="D1076" s="1079" t="s">
        <v>1813</v>
      </c>
      <c r="E1076" s="1080" t="str">
        <f>_xlfn.XLOOKUP(D1076,Insumos!$B$1:$B$670,Insumos!$C$1:$C$670)</f>
        <v>M2</v>
      </c>
      <c r="F1076" s="1083">
        <v>1.05</v>
      </c>
      <c r="G1076" s="1081">
        <f>IF(B1076="insumo",_xlfn.XLOOKUP($D1076,Insumos!$B$1:$B$670,Insumos!$D$1:$D$670),"")</f>
        <v>750</v>
      </c>
      <c r="H1076" s="1081" cm="1">
        <f t="array" ref="H1076">_xlfn.IFS(B1076="Serviço",SUMIFS(H1077:$H$2465,C1077:$C$2465,$C1076),B1076="Insumo",F1076*G1076,B1076="Etapa","")</f>
        <v>787.5</v>
      </c>
      <c r="I1076" s="1082"/>
    </row>
    <row r="1077" spans="1:9" hidden="1" outlineLevel="2" x14ac:dyDescent="0.25">
      <c r="A1077" s="1079">
        <f t="shared" si="41"/>
        <v>87</v>
      </c>
      <c r="B1077" s="1079" t="s">
        <v>1362</v>
      </c>
      <c r="C1077" s="1079" t="str">
        <f t="shared" si="42"/>
        <v>Peitoril em pedra natural,  esp. 2cm</v>
      </c>
      <c r="D1077" s="1079" t="s">
        <v>1762</v>
      </c>
      <c r="E1077" s="1080" t="str">
        <f>_xlfn.XLOOKUP(D1077,Insumos!$B$1:$B$670,Insumos!$C$1:$C$670)</f>
        <v>KG</v>
      </c>
      <c r="F1077" s="1083">
        <v>8.6</v>
      </c>
      <c r="G1077" s="1081">
        <f>IF(B1077="insumo",_xlfn.XLOOKUP($D1077,Insumos!$B$1:$B$670,Insumos!$D$1:$D$670),"")</f>
        <v>2.5499999999999998</v>
      </c>
      <c r="H1077" s="1081" cm="1">
        <f t="array" ref="H1077">_xlfn.IFS(B1077="Serviço",SUMIFS(H1078:$H$2465,C1078:$C$2465,$C1077),B1077="Insumo",F1077*G1077,B1077="Etapa","")</f>
        <v>21.929999999999996</v>
      </c>
      <c r="I1077" s="1082"/>
    </row>
    <row r="1078" spans="1:9" hidden="1" outlineLevel="1" x14ac:dyDescent="0.25">
      <c r="A1078" s="1079">
        <f t="shared" si="41"/>
        <v>1</v>
      </c>
      <c r="B1078" s="1079" t="s">
        <v>471</v>
      </c>
      <c r="C1078" s="1079" t="str">
        <f t="shared" si="42"/>
        <v>Requadro de portas dos Elevadores Granito,Largura de 20cm</v>
      </c>
      <c r="D1078" s="1079" t="s">
        <v>1814</v>
      </c>
      <c r="E1078" s="1080" t="s">
        <v>281</v>
      </c>
      <c r="F1078" s="1079"/>
      <c r="G1078" s="1081" t="str">
        <f>IF(B1078="insumo",_xlfn.XLOOKUP($D1078,Insumos!$B$1:$B$670,Insumos!$D$1:$D$670),"")</f>
        <v/>
      </c>
      <c r="H1078" s="1081" cm="1">
        <f t="array" ref="H1078">_xlfn.IFS(B1078="Serviço",SUMIFS(H1079:$H$2465,C1079:$C$2465,$C1078),B1078="Insumo",F1078*G1078,B1078="Etapa","")</f>
        <v>241.245</v>
      </c>
      <c r="I1078" s="1082" t="s">
        <v>872</v>
      </c>
    </row>
    <row r="1079" spans="1:9" hidden="1" outlineLevel="2" x14ac:dyDescent="0.25">
      <c r="A1079" s="1079">
        <f t="shared" si="41"/>
        <v>2</v>
      </c>
      <c r="B1079" s="1079" t="s">
        <v>1362</v>
      </c>
      <c r="C1079" s="1079" t="str">
        <f t="shared" si="42"/>
        <v>Requadro de portas dos Elevadores Granito,Largura de 20cm</v>
      </c>
      <c r="D1079" s="1079" t="s">
        <v>1812</v>
      </c>
      <c r="E1079" s="1080" t="str">
        <f>_xlfn.XLOOKUP(D1079,Insumos!$B$1:$B$670,Insumos!$C$1:$C$670)</f>
        <v>M2</v>
      </c>
      <c r="F1079" s="1083">
        <f>0.3*1.0416</f>
        <v>0.31248000000000004</v>
      </c>
      <c r="G1079" s="1081">
        <f>IF(B1079="insumo",_xlfn.XLOOKUP($D1079,Insumos!$B$1:$B$670,Insumos!$D$1:$D$670),"")</f>
        <v>750</v>
      </c>
      <c r="H1079" s="1081" cm="1">
        <f t="array" ref="H1079">_xlfn.IFS(B1079="Serviço",SUMIFS(H1080:$H$2465,C1080:$C$2465,$C1079),B1079="Insumo",F1079*G1079,B1079="Etapa","")</f>
        <v>234.36</v>
      </c>
      <c r="I1079" s="1082"/>
    </row>
    <row r="1080" spans="1:9" hidden="1" outlineLevel="2" x14ac:dyDescent="0.25">
      <c r="A1080" s="1079">
        <f t="shared" si="41"/>
        <v>87</v>
      </c>
      <c r="B1080" s="1079" t="s">
        <v>1362</v>
      </c>
      <c r="C1080" s="1079" t="str">
        <f t="shared" si="42"/>
        <v>Requadro de portas dos Elevadores Granito,Largura de 20cm</v>
      </c>
      <c r="D1080" s="1079" t="s">
        <v>1762</v>
      </c>
      <c r="E1080" s="1080" t="str">
        <f>_xlfn.XLOOKUP(D1080,Insumos!$B$1:$B$670,Insumos!$C$1:$C$670)</f>
        <v>KG</v>
      </c>
      <c r="F1080" s="1083">
        <f>9*0.3</f>
        <v>2.6999999999999997</v>
      </c>
      <c r="G1080" s="1081">
        <f>IF(B1080="insumo",_xlfn.XLOOKUP($D1080,Insumos!$B$1:$B$670,Insumos!$D$1:$D$670),"")</f>
        <v>2.5499999999999998</v>
      </c>
      <c r="H1080" s="1081" cm="1">
        <f t="array" ref="H1080">_xlfn.IFS(B1080="Serviço",SUMIFS(H1081:$H$2465,C1081:$C$2465,$C1080),B1080="Insumo",F1080*G1080,B1080="Etapa","")</f>
        <v>6.8849999999999989</v>
      </c>
      <c r="I1080" s="1082"/>
    </row>
    <row r="1081" spans="1:9" hidden="1" outlineLevel="1" collapsed="1" x14ac:dyDescent="0.25">
      <c r="A1081" s="1079">
        <f t="shared" si="41"/>
        <v>1</v>
      </c>
      <c r="B1081" s="1079" t="s">
        <v>471</v>
      </c>
      <c r="C1081" s="1079" t="str">
        <f t="shared" si="42"/>
        <v>Nicho em Marmore Carrara Branco</v>
      </c>
      <c r="D1081" s="1079" t="s">
        <v>1815</v>
      </c>
      <c r="E1081" s="1080" t="s">
        <v>2</v>
      </c>
      <c r="F1081" s="1079"/>
      <c r="G1081" s="1081" t="str">
        <f>IF(B1081="insumo",_xlfn.XLOOKUP($D1081,Insumos!$B$1:$B$670,Insumos!$D$1:$D$670),"")</f>
        <v/>
      </c>
      <c r="H1081" s="1081" cm="1">
        <f t="array" ref="H1081">_xlfn.IFS(B1081="Serviço",SUMIFS(H1082:$H$2465,C1082:$C$2465,$C1081),B1081="Insumo",F1081*G1081,B1081="Etapa","")</f>
        <v>418.30799999999999</v>
      </c>
      <c r="I1081" s="1082" t="s">
        <v>872</v>
      </c>
    </row>
    <row r="1082" spans="1:9" hidden="1" outlineLevel="2" x14ac:dyDescent="0.25">
      <c r="A1082" s="1079">
        <f t="shared" si="41"/>
        <v>1</v>
      </c>
      <c r="B1082" s="1079" t="s">
        <v>1362</v>
      </c>
      <c r="C1082" s="1079" t="str">
        <f t="shared" si="42"/>
        <v>Nicho em Marmore Carrara Branco</v>
      </c>
      <c r="D1082" s="1079" t="s">
        <v>1816</v>
      </c>
      <c r="E1082" s="1080" t="str">
        <f>_xlfn.XLOOKUP(D1082,Insumos!$B$1:$B$670,Insumos!$C$1:$C$670)</f>
        <v>UN</v>
      </c>
      <c r="F1082" s="1083">
        <v>1</v>
      </c>
      <c r="G1082" s="1081">
        <f>IF(B1082="insumo",_xlfn.XLOOKUP($D1082,Insumos!$B$1:$B$670,Insumos!$D$1:$D$670),"")</f>
        <v>409</v>
      </c>
      <c r="H1082" s="1081" cm="1">
        <f t="array" ref="H1082">_xlfn.IFS(B1082="Serviço",SUMIFS(H1083:$H$2465,C1083:$C$2465,$C1082),B1082="Insumo",F1082*G1082,B1082="Etapa","")</f>
        <v>409</v>
      </c>
      <c r="I1082" s="1082"/>
    </row>
    <row r="1083" spans="1:9" hidden="1" outlineLevel="2" x14ac:dyDescent="0.25">
      <c r="A1083" s="1079">
        <f t="shared" si="41"/>
        <v>87</v>
      </c>
      <c r="B1083" s="1079" t="s">
        <v>1362</v>
      </c>
      <c r="C1083" s="1079" t="str">
        <f t="shared" si="42"/>
        <v>Nicho em Marmore Carrara Branco</v>
      </c>
      <c r="D1083" s="1079" t="s">
        <v>1762</v>
      </c>
      <c r="E1083" s="1080" t="str">
        <f>_xlfn.XLOOKUP(D1083,Insumos!$B$1:$B$670,Insumos!$C$1:$C$670)</f>
        <v>KG</v>
      </c>
      <c r="F1083" s="1083">
        <v>3</v>
      </c>
      <c r="G1083" s="1081">
        <f>IF(B1083="insumo",_xlfn.XLOOKUP($D1083,Insumos!$B$1:$B$670,Insumos!$D$1:$D$670),"")</f>
        <v>2.5499999999999998</v>
      </c>
      <c r="H1083" s="1081" cm="1">
        <f t="array" ref="H1083">_xlfn.IFS(B1083="Serviço",SUMIFS(H1084:$H$2465,C1084:$C$2465,$C1083),B1083="Insumo",F1083*G1083,B1083="Etapa","")</f>
        <v>7.6499999999999995</v>
      </c>
      <c r="I1083" s="1082"/>
    </row>
    <row r="1084" spans="1:9" hidden="1" outlineLevel="2" x14ac:dyDescent="0.25">
      <c r="A1084" s="1079">
        <f t="shared" si="41"/>
        <v>56</v>
      </c>
      <c r="B1084" s="1079" t="s">
        <v>1362</v>
      </c>
      <c r="C1084" s="1079" t="str">
        <f t="shared" si="42"/>
        <v>Nicho em Marmore Carrara Branco</v>
      </c>
      <c r="D1084" s="1079" t="s">
        <v>1786</v>
      </c>
      <c r="E1084" s="1080" t="str">
        <f>_xlfn.XLOOKUP(D1084,Insumos!$B$1:$B$670,Insumos!$C$1:$C$670)</f>
        <v>UN</v>
      </c>
      <c r="F1084" s="1083">
        <v>4</v>
      </c>
      <c r="G1084" s="1081">
        <f>IF(B1084="insumo",_xlfn.XLOOKUP($D1084,Insumos!$B$1:$B$670,Insumos!$D$1:$D$670),"")</f>
        <v>0.08</v>
      </c>
      <c r="H1084" s="1081" cm="1">
        <f t="array" ref="H1084">_xlfn.IFS(B1084="Serviço",SUMIFS(H1085:$H$2465,C1085:$C$2465,$C1084),B1084="Insumo",F1084*G1084,B1084="Etapa","")</f>
        <v>0.32</v>
      </c>
      <c r="I1084" s="1082"/>
    </row>
    <row r="1085" spans="1:9" hidden="1" outlineLevel="2" x14ac:dyDescent="0.25">
      <c r="A1085" s="1079">
        <f t="shared" si="41"/>
        <v>50</v>
      </c>
      <c r="B1085" s="1079" t="s">
        <v>1362</v>
      </c>
      <c r="C1085" s="1079" t="str">
        <f t="shared" si="42"/>
        <v>Nicho em Marmore Carrara Branco</v>
      </c>
      <c r="D1085" s="1079" t="s">
        <v>1787</v>
      </c>
      <c r="E1085" s="1080" t="str">
        <f>_xlfn.XLOOKUP(D1085,Insumos!$B$1:$B$670,Insumos!$C$1:$C$670)</f>
        <v>KG</v>
      </c>
      <c r="F1085" s="1083">
        <v>0.12</v>
      </c>
      <c r="G1085" s="1081">
        <f>IF(B1085="insumo",_xlfn.XLOOKUP($D1085,Insumos!$B$1:$B$670,Insumos!$D$1:$D$670),"")</f>
        <v>11.15</v>
      </c>
      <c r="H1085" s="1081" cm="1">
        <f t="array" ref="H1085">_xlfn.IFS(B1085="Serviço",SUMIFS(H1086:$H$2465,C1086:$C$2465,$C1085),B1085="Insumo",F1085*G1085,B1085="Etapa","")</f>
        <v>1.3380000000000001</v>
      </c>
      <c r="I1085" s="1082"/>
    </row>
    <row r="1086" spans="1:9" hidden="1" outlineLevel="1" collapsed="1" x14ac:dyDescent="0.25">
      <c r="A1086" s="1079">
        <f t="shared" si="41"/>
        <v>1</v>
      </c>
      <c r="B1086" s="1079" t="s">
        <v>471</v>
      </c>
      <c r="C1086" s="1079" t="str">
        <f t="shared" si="42"/>
        <v>Revestimento de Marmore Preto em batente de elevador</v>
      </c>
      <c r="D1086" s="1079" t="s">
        <v>1817</v>
      </c>
      <c r="E1086" s="1080" t="s">
        <v>17</v>
      </c>
      <c r="F1086" s="1079"/>
      <c r="G1086" s="1081" t="str">
        <f>IF(B1086="insumo",_xlfn.XLOOKUP($D1086,Insumos!$B$1:$B$670,Insumos!$D$1:$D$670),"")</f>
        <v/>
      </c>
      <c r="H1086" s="1081" cm="1">
        <f t="array" ref="H1086">_xlfn.IFS(B1086="Serviço",SUMIFS(H1087:$H$2465,C1087:$C$2465,$C1086),B1086="Insumo",F1086*G1086,B1086="Etapa","")</f>
        <v>246.11500000000001</v>
      </c>
      <c r="I1086" s="1082" t="s">
        <v>872</v>
      </c>
    </row>
    <row r="1087" spans="1:9" hidden="1" outlineLevel="2" x14ac:dyDescent="0.25">
      <c r="A1087" s="1079">
        <f t="shared" si="41"/>
        <v>1</v>
      </c>
      <c r="B1087" s="1079" t="s">
        <v>1362</v>
      </c>
      <c r="C1087" s="1079" t="str">
        <f t="shared" si="42"/>
        <v>Revestimento de Marmore Preto em batente de elevador</v>
      </c>
      <c r="D1087" s="1079" t="s">
        <v>1818</v>
      </c>
      <c r="E1087" s="1080" t="str">
        <f>_xlfn.XLOOKUP(D1087,Insumos!$B$1:$B$670,Insumos!$C$1:$C$670)</f>
        <v>M2</v>
      </c>
      <c r="F1087" s="1083">
        <v>1.1000000000000001</v>
      </c>
      <c r="G1087" s="1081">
        <f>IF(B1087="insumo",_xlfn.XLOOKUP($D1087,Insumos!$B$1:$B$670,Insumos!$D$1:$D$670),"")</f>
        <v>195</v>
      </c>
      <c r="H1087" s="1081" cm="1">
        <f t="array" ref="H1087">_xlfn.IFS(B1087="Serviço",SUMIFS(H1088:$H$2465,C1088:$C$2465,$C1087),B1087="Insumo",F1087*G1087,B1087="Etapa","")</f>
        <v>214.50000000000003</v>
      </c>
      <c r="I1087" s="1082"/>
    </row>
    <row r="1088" spans="1:9" hidden="1" outlineLevel="2" x14ac:dyDescent="0.25">
      <c r="A1088" s="1079">
        <f t="shared" si="41"/>
        <v>87</v>
      </c>
      <c r="B1088" s="1079" t="s">
        <v>1362</v>
      </c>
      <c r="C1088" s="1079" t="str">
        <f t="shared" si="42"/>
        <v>Revestimento de Marmore Preto em batente de elevador</v>
      </c>
      <c r="D1088" s="1079" t="s">
        <v>1762</v>
      </c>
      <c r="E1088" s="1080" t="str">
        <f>_xlfn.XLOOKUP(D1088,Insumos!$B$1:$B$670,Insumos!$C$1:$C$670)</f>
        <v>KG</v>
      </c>
      <c r="F1088" s="1083">
        <v>9</v>
      </c>
      <c r="G1088" s="1081">
        <f>IF(B1088="insumo",_xlfn.XLOOKUP($D1088,Insumos!$B$1:$B$670,Insumos!$D$1:$D$670),"")</f>
        <v>2.5499999999999998</v>
      </c>
      <c r="H1088" s="1081" cm="1">
        <f t="array" ref="H1088">_xlfn.IFS(B1088="Serviço",SUMIFS(H1089:$H$2465,C1089:$C$2465,$C1088),B1088="Insumo",F1088*G1088,B1088="Etapa","")</f>
        <v>22.95</v>
      </c>
      <c r="I1088" s="1082"/>
    </row>
    <row r="1089" spans="1:9" hidden="1" outlineLevel="2" x14ac:dyDescent="0.25">
      <c r="A1089" s="1079">
        <f t="shared" si="41"/>
        <v>15</v>
      </c>
      <c r="B1089" s="1079" t="s">
        <v>1362</v>
      </c>
      <c r="C1089" s="1079" t="str">
        <f t="shared" si="42"/>
        <v>Revestimento de Marmore Preto em batente de elevador</v>
      </c>
      <c r="D1089" s="1079" t="s">
        <v>1819</v>
      </c>
      <c r="E1089" s="1080" t="str">
        <f>_xlfn.XLOOKUP(D1089,Insumos!$B$1:$B$670,Insumos!$C$1:$C$670)</f>
        <v>UN</v>
      </c>
      <c r="F1089" s="1083">
        <v>0.5</v>
      </c>
      <c r="G1089" s="1081">
        <f>IF(B1089="insumo",_xlfn.XLOOKUP($D1089,Insumos!$B$1:$B$670,Insumos!$D$1:$D$670),"")</f>
        <v>17.329999999999998</v>
      </c>
      <c r="H1089" s="1081" cm="1">
        <f t="array" ref="H1089">_xlfn.IFS(B1089="Serviço",SUMIFS(H1090:$H$2465,C1090:$C$2465,$C1089),B1089="Insumo",F1089*G1089,B1089="Etapa","")</f>
        <v>8.6649999999999991</v>
      </c>
      <c r="I1089" s="1082"/>
    </row>
    <row r="1090" spans="1:9" hidden="1" outlineLevel="1" collapsed="1" x14ac:dyDescent="0.25">
      <c r="A1090" s="1079">
        <f t="shared" ref="A1090:A1153" si="43">COUNTIFS($D$2:$D$2465,D1090,$B$2:$B$2465,B1090)</f>
        <v>1</v>
      </c>
      <c r="B1090" s="1079" t="s">
        <v>471</v>
      </c>
      <c r="C1090" s="1079" t="str">
        <f t="shared" si="42"/>
        <v>Revestimento de Pedras Naturais em Paredes</v>
      </c>
      <c r="D1090" s="1079" t="s">
        <v>891</v>
      </c>
      <c r="E1090" s="1080" t="s">
        <v>17</v>
      </c>
      <c r="F1090" s="1079"/>
      <c r="G1090" s="1081" t="str">
        <f>IF(B1090="insumo",_xlfn.XLOOKUP($D1090,Insumos!$B$1:$B$670,Insumos!$D$1:$D$670),"")</f>
        <v/>
      </c>
      <c r="H1090" s="1081" cm="1">
        <f t="array" ref="H1090">_xlfn.IFS(B1090="Serviço",SUMIFS(H1091:$H$2465,C1091:$C$2465,$C1090),B1090="Insumo",F1090*G1090,B1090="Etapa","")</f>
        <v>856.61500000000012</v>
      </c>
      <c r="I1090" s="1082" t="s">
        <v>872</v>
      </c>
    </row>
    <row r="1091" spans="1:9" hidden="1" outlineLevel="2" x14ac:dyDescent="0.25">
      <c r="A1091" s="1079">
        <f t="shared" si="43"/>
        <v>10</v>
      </c>
      <c r="B1091" s="1079" t="s">
        <v>1362</v>
      </c>
      <c r="C1091" s="1079" t="str">
        <f t="shared" si="42"/>
        <v>Revestimento de Pedras Naturais em Paredes</v>
      </c>
      <c r="D1091" s="1079" t="s">
        <v>1813</v>
      </c>
      <c r="E1091" s="1080" t="str">
        <f>_xlfn.XLOOKUP(D1091,Insumos!$B$1:$B$670,Insumos!$C$1:$C$670)</f>
        <v>M2</v>
      </c>
      <c r="F1091" s="1083">
        <v>1.1000000000000001</v>
      </c>
      <c r="G1091" s="1081">
        <f>IF(B1091="insumo",_xlfn.XLOOKUP($D1091,Insumos!$B$1:$B$670,Insumos!$D$1:$D$670),"")</f>
        <v>750</v>
      </c>
      <c r="H1091" s="1081" cm="1">
        <f t="array" ref="H1091">_xlfn.IFS(B1091="Serviço",SUMIFS(H1092:$H$2465,C1092:$C$2465,$C1091),B1091="Insumo",F1091*G1091,B1091="Etapa","")</f>
        <v>825.00000000000011</v>
      </c>
      <c r="I1091" s="1082"/>
    </row>
    <row r="1092" spans="1:9" hidden="1" outlineLevel="2" x14ac:dyDescent="0.25">
      <c r="A1092" s="1079">
        <f t="shared" si="43"/>
        <v>87</v>
      </c>
      <c r="B1092" s="1079" t="s">
        <v>1362</v>
      </c>
      <c r="C1092" s="1079" t="str">
        <f t="shared" si="42"/>
        <v>Revestimento de Pedras Naturais em Paredes</v>
      </c>
      <c r="D1092" s="1079" t="s">
        <v>1762</v>
      </c>
      <c r="E1092" s="1080" t="str">
        <f>_xlfn.XLOOKUP(D1092,Insumos!$B$1:$B$670,Insumos!$C$1:$C$670)</f>
        <v>KG</v>
      </c>
      <c r="F1092" s="1083">
        <v>9</v>
      </c>
      <c r="G1092" s="1081">
        <f>IF(B1092="insumo",_xlfn.XLOOKUP($D1092,Insumos!$B$1:$B$670,Insumos!$D$1:$D$670),"")</f>
        <v>2.5499999999999998</v>
      </c>
      <c r="H1092" s="1081" cm="1">
        <f t="array" ref="H1092">_xlfn.IFS(B1092="Serviço",SUMIFS(H1093:$H$2465,C1093:$C$2465,$C1092),B1092="Insumo",F1092*G1092,B1092="Etapa","")</f>
        <v>22.95</v>
      </c>
      <c r="I1092" s="1082"/>
    </row>
    <row r="1093" spans="1:9" hidden="1" outlineLevel="2" x14ac:dyDescent="0.25">
      <c r="A1093" s="1079">
        <f t="shared" si="43"/>
        <v>15</v>
      </c>
      <c r="B1093" s="1079" t="s">
        <v>1362</v>
      </c>
      <c r="C1093" s="1079" t="str">
        <f t="shared" si="42"/>
        <v>Revestimento de Pedras Naturais em Paredes</v>
      </c>
      <c r="D1093" s="1079" t="s">
        <v>1819</v>
      </c>
      <c r="E1093" s="1080" t="str">
        <f>_xlfn.XLOOKUP(D1093,Insumos!$B$1:$B$670,Insumos!$C$1:$C$670)</f>
        <v>UN</v>
      </c>
      <c r="F1093" s="1083">
        <v>0.5</v>
      </c>
      <c r="G1093" s="1081">
        <f>IF(B1093="insumo",_xlfn.XLOOKUP($D1093,Insumos!$B$1:$B$670,Insumos!$D$1:$D$670),"")</f>
        <v>17.329999999999998</v>
      </c>
      <c r="H1093" s="1081" cm="1">
        <f t="array" ref="H1093">_xlfn.IFS(B1093="Serviço",SUMIFS(H1094:$H$2465,C1094:$C$2465,$C1093),B1093="Insumo",F1093*G1093,B1093="Etapa","")</f>
        <v>8.6649999999999991</v>
      </c>
      <c r="I1093" s="1082"/>
    </row>
    <row r="1094" spans="1:9" hidden="1" outlineLevel="1" collapsed="1" x14ac:dyDescent="0.25">
      <c r="A1094" s="1079">
        <f t="shared" si="43"/>
        <v>1</v>
      </c>
      <c r="B1094" s="1079" t="s">
        <v>471</v>
      </c>
      <c r="C1094" s="1079" t="str">
        <f t="shared" si="42"/>
        <v>Enchimento de EPS em laje</v>
      </c>
      <c r="D1094" s="1079" t="s">
        <v>1820</v>
      </c>
      <c r="E1094" s="1080" t="s">
        <v>17</v>
      </c>
      <c r="F1094" s="1079"/>
      <c r="G1094" s="1081" t="str">
        <f>IF(B1094="insumo",_xlfn.XLOOKUP($D1094,Insumos!$B$1:$B$670,Insumos!$D$1:$D$670),"")</f>
        <v/>
      </c>
      <c r="H1094" s="1081" cm="1">
        <f t="array" ref="H1094">_xlfn.IFS(B1094="Serviço",SUMIFS(H1095:$H$2465,C1095:$C$2465,$C1094),B1094="Insumo",F1094*G1094,B1094="Etapa","")</f>
        <v>166.66666666666666</v>
      </c>
      <c r="I1094" s="1082" t="s">
        <v>872</v>
      </c>
    </row>
    <row r="1095" spans="1:9" hidden="1" outlineLevel="2" x14ac:dyDescent="0.25">
      <c r="A1095" s="1079">
        <f t="shared" si="43"/>
        <v>1</v>
      </c>
      <c r="B1095" s="1079" t="s">
        <v>1362</v>
      </c>
      <c r="C1095" s="1079" t="str">
        <f t="shared" si="42"/>
        <v>Enchimento de EPS em laje</v>
      </c>
      <c r="D1095" s="1079" t="s">
        <v>1821</v>
      </c>
      <c r="E1095" s="1080" t="str">
        <f>_xlfn.XLOOKUP(D1095,Insumos!$B$1:$B$670,Insumos!$C$1:$C$670)</f>
        <v>M2</v>
      </c>
      <c r="F1095" s="1083">
        <v>1.1000000000000001</v>
      </c>
      <c r="G1095" s="1081">
        <f>IF(B1095="insumo",_xlfn.XLOOKUP($D1095,Insumos!$B$1:$B$670,Insumos!$D$1:$D$670),"")</f>
        <v>151.5151515151515</v>
      </c>
      <c r="H1095" s="1081" cm="1">
        <f t="array" ref="H1095">_xlfn.IFS(B1095="Serviço",SUMIFS(H1096:$H$2465,C1096:$C$2465,$C1095),B1095="Insumo",F1095*G1095,B1095="Etapa","")</f>
        <v>166.66666666666666</v>
      </c>
      <c r="I1095" s="1082"/>
    </row>
    <row r="1096" spans="1:9" hidden="1" outlineLevel="1" collapsed="1" x14ac:dyDescent="0.25">
      <c r="A1096" s="1079">
        <f t="shared" si="43"/>
        <v>1</v>
      </c>
      <c r="B1096" s="1079" t="s">
        <v>471</v>
      </c>
      <c r="C1096" s="1079" t="str">
        <f t="shared" si="42"/>
        <v>Mão de obra execução de massa única em paredes interna, incluindo chapisco</v>
      </c>
      <c r="D1096" s="1079" t="s">
        <v>1822</v>
      </c>
      <c r="E1096" s="1080" t="s">
        <v>17</v>
      </c>
      <c r="F1096" s="1083"/>
      <c r="G1096" s="1081" t="str">
        <f>IF(B1096="insumo",_xlfn.XLOOKUP($D1096,Insumos!$B$1:$B$670,Insumos!$D$1:$D$670),"")</f>
        <v/>
      </c>
      <c r="H1096" s="1081" cm="1">
        <f t="array" ref="H1096">_xlfn.IFS(B1096="Serviço",SUMIFS(H1097:$H$2465,C1097:$C$2465,$C1096),B1096="Insumo",F1096*G1096,B1096="Etapa","")</f>
        <v>36</v>
      </c>
      <c r="I1096" s="1082" t="s">
        <v>872</v>
      </c>
    </row>
    <row r="1097" spans="1:9" hidden="1" outlineLevel="2" x14ac:dyDescent="0.25">
      <c r="A1097" s="1079">
        <f t="shared" si="43"/>
        <v>1</v>
      </c>
      <c r="B1097" s="1079" t="s">
        <v>1362</v>
      </c>
      <c r="C1097" s="1079" t="str">
        <f t="shared" si="42"/>
        <v>Mão de obra execução de massa única em paredes interna, incluindo chapisco</v>
      </c>
      <c r="D1097" s="1079" t="s">
        <v>1822</v>
      </c>
      <c r="E1097" s="1080" t="str">
        <f>_xlfn.XLOOKUP(D1097,Insumos!$B$1:$B$670,Insumos!$C$1:$C$670)</f>
        <v>UN</v>
      </c>
      <c r="F1097" s="1083">
        <v>1</v>
      </c>
      <c r="G1097" s="1081">
        <f>IF(B1097="insumo",_xlfn.XLOOKUP($D1097,Insumos!$B$1:$B$670,Insumos!$D$1:$D$670),"")</f>
        <v>36</v>
      </c>
      <c r="H1097" s="1081" cm="1">
        <f t="array" ref="H1097">_xlfn.IFS(B1097="Serviço",SUMIFS(H1098:$H$2465,C1098:$C$2465,$C1097),B1097="Insumo",F1097*G1097,B1097="Etapa","")</f>
        <v>36</v>
      </c>
      <c r="I1097" s="1082"/>
    </row>
    <row r="1098" spans="1:9" hidden="1" outlineLevel="1" collapsed="1" x14ac:dyDescent="0.25">
      <c r="A1098" s="1079">
        <f t="shared" si="43"/>
        <v>1</v>
      </c>
      <c r="B1098" s="1079" t="s">
        <v>471</v>
      </c>
      <c r="C1098" s="1079" t="str">
        <f t="shared" si="42"/>
        <v>Mão de obra estucamento de paredes</v>
      </c>
      <c r="D1098" s="1079" t="s">
        <v>1823</v>
      </c>
      <c r="E1098" s="1080" t="s">
        <v>17</v>
      </c>
      <c r="F1098" s="1083"/>
      <c r="G1098" s="1081" t="str">
        <f>IF(B1098="insumo",_xlfn.XLOOKUP($D1098,Insumos!$B$1:$B$670,Insumos!$D$1:$D$670),"")</f>
        <v/>
      </c>
      <c r="H1098" s="1081" cm="1">
        <f t="array" ref="H1098">_xlfn.IFS(B1098="Serviço",SUMIFS(H1099:$H$2465,C1099:$C$2465,$C1098),B1098="Insumo",F1098*G1098,B1098="Etapa","")</f>
        <v>25</v>
      </c>
      <c r="I1098" s="1082" t="s">
        <v>872</v>
      </c>
    </row>
    <row r="1099" spans="1:9" hidden="1" outlineLevel="2" x14ac:dyDescent="0.25">
      <c r="A1099" s="1079">
        <f t="shared" si="43"/>
        <v>1</v>
      </c>
      <c r="B1099" s="1079" t="s">
        <v>1362</v>
      </c>
      <c r="C1099" s="1079" t="str">
        <f t="shared" si="42"/>
        <v>Mão de obra estucamento de paredes</v>
      </c>
      <c r="D1099" s="1079" t="s">
        <v>1823</v>
      </c>
      <c r="E1099" s="1080" t="str">
        <f>_xlfn.XLOOKUP(D1099,Insumos!$B$1:$B$670,Insumos!$C$1:$C$670)</f>
        <v>M2</v>
      </c>
      <c r="F1099" s="1083">
        <v>1</v>
      </c>
      <c r="G1099" s="1081">
        <f>IF(B1099="insumo",_xlfn.XLOOKUP($D1099,Insumos!$B$1:$B$670,Insumos!$D$1:$D$670),"")</f>
        <v>25</v>
      </c>
      <c r="H1099" s="1081" cm="1">
        <f t="array" ref="H1099">_xlfn.IFS(B1099="Serviço",SUMIFS(H1100:$H$2465,C1100:$C$2465,$C1099),B1099="Insumo",F1099*G1099,B1099="Etapa","")</f>
        <v>25</v>
      </c>
      <c r="I1099" s="1082"/>
    </row>
    <row r="1100" spans="1:9" hidden="1" outlineLevel="1" collapsed="1" x14ac:dyDescent="0.25">
      <c r="A1100" s="1079">
        <f t="shared" si="43"/>
        <v>1</v>
      </c>
      <c r="B1100" s="1079" t="s">
        <v>471</v>
      </c>
      <c r="C1100" s="1079" t="str">
        <f t="shared" si="42"/>
        <v>Mão de obra para assentamento de Pastilhas em Piscina</v>
      </c>
      <c r="D1100" s="1079" t="s">
        <v>1824</v>
      </c>
      <c r="E1100" s="1080" t="s">
        <v>17</v>
      </c>
      <c r="F1100" s="1083"/>
      <c r="G1100" s="1081" t="str">
        <f>IF(B1100="insumo",_xlfn.XLOOKUP($D1100,Insumos!$B$1:$B$670,Insumos!$D$1:$D$670),"")</f>
        <v/>
      </c>
      <c r="H1100" s="1081" cm="1">
        <f t="array" ref="H1100">_xlfn.IFS(B1100="Serviço",SUMIFS(H1101:$H$2465,C1101:$C$2465,$C1100),B1100="Insumo",F1100*G1100,B1100="Etapa","")</f>
        <v>65</v>
      </c>
      <c r="I1100" s="1082" t="s">
        <v>872</v>
      </c>
    </row>
    <row r="1101" spans="1:9" hidden="1" outlineLevel="2" x14ac:dyDescent="0.25">
      <c r="A1101" s="1079">
        <f t="shared" si="43"/>
        <v>1</v>
      </c>
      <c r="B1101" s="1079" t="s">
        <v>1362</v>
      </c>
      <c r="C1101" s="1079" t="str">
        <f t="shared" si="42"/>
        <v>Mão de obra para assentamento de Pastilhas em Piscina</v>
      </c>
      <c r="D1101" s="1079" t="s">
        <v>1824</v>
      </c>
      <c r="E1101" s="1080" t="str">
        <f>_xlfn.XLOOKUP(D1101,Insumos!$B$1:$B$670,Insumos!$C$1:$C$670)</f>
        <v>UN</v>
      </c>
      <c r="F1101" s="1083">
        <v>1</v>
      </c>
      <c r="G1101" s="1081">
        <f>IF(B1101="insumo",_xlfn.XLOOKUP($D1101,Insumos!$B$1:$B$670,Insumos!$D$1:$D$670),"")</f>
        <v>65</v>
      </c>
      <c r="H1101" s="1081" cm="1">
        <f t="array" ref="H1101">_xlfn.IFS(B1101="Serviço",SUMIFS(H1102:$H$2465,C1102:$C$2465,$C1101),B1101="Insumo",F1101*G1101,B1101="Etapa","")</f>
        <v>65</v>
      </c>
      <c r="I1101" s="1082"/>
    </row>
    <row r="1102" spans="1:9" hidden="1" outlineLevel="1" collapsed="1" x14ac:dyDescent="0.25">
      <c r="A1102" s="1079">
        <f t="shared" si="43"/>
        <v>1</v>
      </c>
      <c r="B1102" s="1079" t="s">
        <v>471</v>
      </c>
      <c r="C1102" s="1079" t="str">
        <f t="shared" si="42"/>
        <v>Mão de obra para assentamento de Pedras Naturais em parede</v>
      </c>
      <c r="D1102" s="1079" t="s">
        <v>1825</v>
      </c>
      <c r="E1102" s="1080" t="s">
        <v>17</v>
      </c>
      <c r="F1102" s="1083"/>
      <c r="G1102" s="1081" t="str">
        <f>IF(B1102="insumo",_xlfn.XLOOKUP($D1102,Insumos!$B$1:$B$670,Insumos!$D$1:$D$670),"")</f>
        <v/>
      </c>
      <c r="H1102" s="1081" cm="1">
        <f t="array" ref="H1102">_xlfn.IFS(B1102="Serviço",SUMIFS(H1103:$H$2465,C1103:$C$2465,$C1102),B1102="Insumo",F1102*G1102,B1102="Etapa","")</f>
        <v>55</v>
      </c>
      <c r="I1102" s="1082" t="s">
        <v>872</v>
      </c>
    </row>
    <row r="1103" spans="1:9" hidden="1" outlineLevel="2" x14ac:dyDescent="0.25">
      <c r="A1103" s="1079">
        <f t="shared" si="43"/>
        <v>1</v>
      </c>
      <c r="B1103" s="1079" t="s">
        <v>1362</v>
      </c>
      <c r="C1103" s="1079" t="str">
        <f t="shared" si="42"/>
        <v>Mão de obra para assentamento de Pedras Naturais em parede</v>
      </c>
      <c r="D1103" s="1079" t="s">
        <v>1825</v>
      </c>
      <c r="E1103" s="1080" t="str">
        <f>_xlfn.XLOOKUP(D1103,Insumos!$B$1:$B$670,Insumos!$C$1:$C$670)</f>
        <v>UN</v>
      </c>
      <c r="F1103" s="1083">
        <v>1</v>
      </c>
      <c r="G1103" s="1081">
        <f>IF(B1103="insumo",_xlfn.XLOOKUP($D1103,Insumos!$B$1:$B$670,Insumos!$D$1:$D$670),"")</f>
        <v>55</v>
      </c>
      <c r="H1103" s="1081" cm="1">
        <f t="array" ref="H1103">_xlfn.IFS(B1103="Serviço",SUMIFS(H1104:$H$2465,C1104:$C$2465,$C1103),B1103="Insumo",F1103*G1103,B1103="Etapa","")</f>
        <v>55</v>
      </c>
      <c r="I1103" s="1082"/>
    </row>
    <row r="1104" spans="1:9" hidden="1" outlineLevel="1" collapsed="1" x14ac:dyDescent="0.25">
      <c r="A1104" s="1079">
        <f t="shared" si="43"/>
        <v>1</v>
      </c>
      <c r="B1104" s="1079" t="s">
        <v>471</v>
      </c>
      <c r="C1104" s="1079" t="str">
        <f t="shared" ref="C1104:C1117" si="44">IF(B1104="serviço",D1104,C1103)</f>
        <v>Mão de obra para assentamento de revestimento cerâmico em parede</v>
      </c>
      <c r="D1104" s="1079" t="s">
        <v>1826</v>
      </c>
      <c r="E1104" s="1080" t="s">
        <v>17</v>
      </c>
      <c r="F1104" s="1083"/>
      <c r="G1104" s="1081" t="str">
        <f>IF(B1104="insumo",_xlfn.XLOOKUP($D1104,Insumos!$B$1:$B$670,Insumos!$D$1:$D$670),"")</f>
        <v/>
      </c>
      <c r="H1104" s="1081" cm="1">
        <f t="array" ref="H1104">_xlfn.IFS(B1104="Serviço",SUMIFS(H1105:$H$2465,C1105:$C$2465,$C1104),B1104="Insumo",F1104*G1104,B1104="Etapa","")</f>
        <v>75</v>
      </c>
      <c r="I1104" s="1082" t="s">
        <v>872</v>
      </c>
    </row>
    <row r="1105" spans="1:9" hidden="1" outlineLevel="2" x14ac:dyDescent="0.25">
      <c r="A1105" s="1079">
        <f t="shared" si="43"/>
        <v>1</v>
      </c>
      <c r="B1105" s="1079" t="s">
        <v>1362</v>
      </c>
      <c r="C1105" s="1079" t="str">
        <f t="shared" si="44"/>
        <v>Mão de obra para assentamento de revestimento cerâmico em parede</v>
      </c>
      <c r="D1105" s="1079" t="s">
        <v>1826</v>
      </c>
      <c r="E1105" s="1080" t="str">
        <f>_xlfn.XLOOKUP(D1105,Insumos!$B$1:$B$670,Insumos!$C$1:$C$670)</f>
        <v>UN</v>
      </c>
      <c r="F1105" s="1083">
        <v>1</v>
      </c>
      <c r="G1105" s="1081">
        <f>IF(B1105="insumo",_xlfn.XLOOKUP($D1105,Insumos!$B$1:$B$670,Insumos!$D$1:$D$670),"")</f>
        <v>75</v>
      </c>
      <c r="H1105" s="1081" cm="1">
        <f t="array" ref="H1105">_xlfn.IFS(B1105="Serviço",SUMIFS(H1106:$H$2465,C1106:$C$2465,$C1105),B1105="Insumo",F1105*G1105,B1105="Etapa","")</f>
        <v>75</v>
      </c>
      <c r="I1105" s="1082"/>
    </row>
    <row r="1106" spans="1:9" hidden="1" outlineLevel="1" collapsed="1" x14ac:dyDescent="0.25">
      <c r="A1106" s="1079">
        <f t="shared" si="43"/>
        <v>1</v>
      </c>
      <c r="B1106" s="1079" t="s">
        <v>471</v>
      </c>
      <c r="C1106" s="1079" t="str">
        <f t="shared" si="44"/>
        <v>Mão de obra para colocação de peitoril e pingadeira</v>
      </c>
      <c r="D1106" s="1079" t="s">
        <v>1320</v>
      </c>
      <c r="E1106" s="1080" t="s">
        <v>17</v>
      </c>
      <c r="F1106" s="1083"/>
      <c r="G1106" s="1081" t="str">
        <f>IF(B1106="insumo",_xlfn.XLOOKUP($D1106,Insumos!$B$1:$B$670,Insumos!$D$1:$D$670),"")</f>
        <v/>
      </c>
      <c r="H1106" s="1081" cm="1">
        <f t="array" ref="H1106">_xlfn.IFS(B1106="Serviço",SUMIFS(H1107:$H$2465,C1107:$C$2465,$C1106),B1106="Insumo",F1106*G1106,B1106="Etapa","")</f>
        <v>50</v>
      </c>
      <c r="I1106" s="1082" t="s">
        <v>872</v>
      </c>
    </row>
    <row r="1107" spans="1:9" hidden="1" outlineLevel="2" x14ac:dyDescent="0.25">
      <c r="A1107" s="1079">
        <f t="shared" si="43"/>
        <v>1</v>
      </c>
      <c r="B1107" s="1079" t="s">
        <v>1362</v>
      </c>
      <c r="C1107" s="1079" t="str">
        <f t="shared" si="44"/>
        <v>Mão de obra para colocação de peitoril e pingadeira</v>
      </c>
      <c r="D1107" s="1079" t="s">
        <v>1320</v>
      </c>
      <c r="E1107" s="1080" t="str">
        <f>_xlfn.XLOOKUP(D1107,Insumos!$B$1:$B$670,Insumos!$C$1:$C$670)</f>
        <v>UN</v>
      </c>
      <c r="F1107" s="1083">
        <v>1</v>
      </c>
      <c r="G1107" s="1081">
        <f>IF(B1107="insumo",_xlfn.XLOOKUP($D1107,Insumos!$B$1:$B$670,Insumos!$D$1:$D$670),"")</f>
        <v>50</v>
      </c>
      <c r="H1107" s="1081" cm="1">
        <f t="array" ref="H1107">_xlfn.IFS(B1107="Serviço",SUMIFS(H1108:$H$2465,C1108:$C$2465,$C1107),B1107="Insumo",F1107*G1107,B1107="Etapa","")</f>
        <v>50</v>
      </c>
      <c r="I1107" s="1082"/>
    </row>
    <row r="1108" spans="1:9" hidden="1" outlineLevel="1" collapsed="1" x14ac:dyDescent="0.25">
      <c r="A1108" s="1079">
        <f t="shared" si="43"/>
        <v>1</v>
      </c>
      <c r="B1108" s="1079" t="s">
        <v>471</v>
      </c>
      <c r="C1108" s="1079" t="str">
        <f t="shared" si="44"/>
        <v>Mão de obra para assentamento de requadros em portas de elevador</v>
      </c>
      <c r="D1108" s="1079" t="s">
        <v>1827</v>
      </c>
      <c r="E1108" s="1080" t="s">
        <v>17</v>
      </c>
      <c r="F1108" s="1083"/>
      <c r="G1108" s="1081" t="str">
        <f>IF(B1108="insumo",_xlfn.XLOOKUP($D1108,Insumos!$B$1:$B$670,Insumos!$D$1:$D$670),"")</f>
        <v/>
      </c>
      <c r="H1108" s="1081" cm="1">
        <f t="array" ref="H1108">_xlfn.IFS(B1108="Serviço",SUMIFS(H1109:$H$2465,C1109:$C$2465,$C1108),B1108="Insumo",F1108*G1108,B1108="Etapa","")</f>
        <v>50</v>
      </c>
      <c r="I1108" s="1082" t="s">
        <v>872</v>
      </c>
    </row>
    <row r="1109" spans="1:9" hidden="1" outlineLevel="2" x14ac:dyDescent="0.25">
      <c r="A1109" s="1079">
        <f t="shared" si="43"/>
        <v>1</v>
      </c>
      <c r="B1109" s="1079" t="s">
        <v>1362</v>
      </c>
      <c r="C1109" s="1079" t="str">
        <f t="shared" si="44"/>
        <v>Mão de obra para assentamento de requadros em portas de elevador</v>
      </c>
      <c r="D1109" s="1079" t="s">
        <v>1827</v>
      </c>
      <c r="E1109" s="1080" t="str">
        <f>_xlfn.XLOOKUP(D1109,Insumos!$B$1:$B$670,Insumos!$C$1:$C$670)</f>
        <v>UN</v>
      </c>
      <c r="F1109" s="1083">
        <v>1</v>
      </c>
      <c r="G1109" s="1081">
        <f>IF(B1109="insumo",_xlfn.XLOOKUP($D1109,Insumos!$B$1:$B$670,Insumos!$D$1:$D$670),"")</f>
        <v>50</v>
      </c>
      <c r="H1109" s="1081" cm="1">
        <f t="array" ref="H1109">_xlfn.IFS(B1109="Serviço",SUMIFS(H1110:$H$2465,C1110:$C$2465,$C1109),B1109="Insumo",F1109*G1109,B1109="Etapa","")</f>
        <v>50</v>
      </c>
      <c r="I1109" s="1082"/>
    </row>
    <row r="1110" spans="1:9" hidden="1" outlineLevel="1" collapsed="1" x14ac:dyDescent="0.25">
      <c r="A1110" s="1079">
        <f t="shared" si="43"/>
        <v>1</v>
      </c>
      <c r="B1110" s="1079" t="s">
        <v>471</v>
      </c>
      <c r="C1110" s="1079" t="str">
        <f t="shared" si="44"/>
        <v>Mão de obra para enchimento de EPS em piso</v>
      </c>
      <c r="D1110" s="1079" t="s">
        <v>1828</v>
      </c>
      <c r="E1110" s="1080" t="s">
        <v>17</v>
      </c>
      <c r="F1110" s="1083"/>
      <c r="G1110" s="1081" t="str">
        <f>IF(B1110="insumo",_xlfn.XLOOKUP($D1110,Insumos!$B$1:$B$670,Insumos!$D$1:$D$670),"")</f>
        <v/>
      </c>
      <c r="H1110" s="1081" cm="1">
        <f t="array" ref="H1110">_xlfn.IFS(B1110="Serviço",SUMIFS(H1111:$H$2465,C1111:$C$2465,$C1110),B1110="Insumo",F1110*G1110,B1110="Etapa","")</f>
        <v>60</v>
      </c>
      <c r="I1110" s="1082" t="s">
        <v>872</v>
      </c>
    </row>
    <row r="1111" spans="1:9" hidden="1" outlineLevel="2" x14ac:dyDescent="0.25">
      <c r="A1111" s="1079">
        <f t="shared" si="43"/>
        <v>1</v>
      </c>
      <c r="B1111" s="1079" t="s">
        <v>1362</v>
      </c>
      <c r="C1111" s="1079" t="str">
        <f t="shared" si="44"/>
        <v>Mão de obra para enchimento de EPS em piso</v>
      </c>
      <c r="D1111" s="1079" t="s">
        <v>1828</v>
      </c>
      <c r="E1111" s="1080" t="str">
        <f>_xlfn.XLOOKUP(D1111,Insumos!$B$1:$B$670,Insumos!$C$1:$C$670)</f>
        <v>UN</v>
      </c>
      <c r="F1111" s="1083">
        <v>1</v>
      </c>
      <c r="G1111" s="1081">
        <f>IF(B1111="insumo",_xlfn.XLOOKUP($D1111,Insumos!$B$1:$B$670,Insumos!$D$1:$D$670),"")</f>
        <v>60</v>
      </c>
      <c r="H1111" s="1081" cm="1">
        <f t="array" ref="H1111">_xlfn.IFS(B1111="Serviço",SUMIFS(H1112:$H$2465,C1112:$C$2465,$C1111),B1111="Insumo",F1111*G1111,B1111="Etapa","")</f>
        <v>60</v>
      </c>
      <c r="I1111" s="1082"/>
    </row>
    <row r="1112" spans="1:9" hidden="1" outlineLevel="1" collapsed="1" x14ac:dyDescent="0.25">
      <c r="A1112" s="1079">
        <f t="shared" si="43"/>
        <v>1</v>
      </c>
      <c r="B1112" s="1079" t="s">
        <v>471</v>
      </c>
      <c r="C1112" s="1079" t="str">
        <f t="shared" si="44"/>
        <v>Mão de obra para assentamento de Pedras Naturais em piso</v>
      </c>
      <c r="D1112" s="1079" t="s">
        <v>1829</v>
      </c>
      <c r="E1112" s="1080" t="s">
        <v>17</v>
      </c>
      <c r="F1112" s="1083"/>
      <c r="G1112" s="1081" t="str">
        <f>IF(B1112="insumo",_xlfn.XLOOKUP($D1112,Insumos!$B$1:$B$670,Insumos!$D$1:$D$670),"")</f>
        <v/>
      </c>
      <c r="H1112" s="1081" cm="1">
        <f t="array" ref="H1112">_xlfn.IFS(B1112="Serviço",SUMIFS(H1113:$H$2465,C1113:$C$2465,$C1112),B1112="Insumo",F1112*G1112,B1112="Etapa","")</f>
        <v>55</v>
      </c>
      <c r="I1112" s="1082" t="s">
        <v>872</v>
      </c>
    </row>
    <row r="1113" spans="1:9" hidden="1" outlineLevel="2" x14ac:dyDescent="0.25">
      <c r="A1113" s="1079">
        <f t="shared" si="43"/>
        <v>1</v>
      </c>
      <c r="B1113" s="1079" t="s">
        <v>1362</v>
      </c>
      <c r="C1113" s="1079" t="str">
        <f t="shared" si="44"/>
        <v>Mão de obra para assentamento de Pedras Naturais em piso</v>
      </c>
      <c r="D1113" s="1079" t="s">
        <v>1829</v>
      </c>
      <c r="E1113" s="1080" t="str">
        <f>_xlfn.XLOOKUP(D1113,Insumos!$B$1:$B$670,Insumos!$C$1:$C$670)</f>
        <v>M2</v>
      </c>
      <c r="F1113" s="1083">
        <v>1</v>
      </c>
      <c r="G1113" s="1081">
        <f>IF(B1113="insumo",_xlfn.XLOOKUP($D1113,Insumos!$B$1:$B$670,Insumos!$D$1:$D$670),"")</f>
        <v>55</v>
      </c>
      <c r="H1113" s="1081" cm="1">
        <f t="array" ref="H1113">_xlfn.IFS(B1113="Serviço",SUMIFS(H1114:$H$2465,C1114:$C$2465,$C1113),B1113="Insumo",F1113*G1113,B1113="Etapa","")</f>
        <v>55</v>
      </c>
      <c r="I1113" s="1082"/>
    </row>
    <row r="1114" spans="1:9" hidden="1" outlineLevel="1" collapsed="1" x14ac:dyDescent="0.25">
      <c r="A1114" s="1079">
        <f t="shared" si="43"/>
        <v>1</v>
      </c>
      <c r="B1114" s="1079" t="s">
        <v>471</v>
      </c>
      <c r="C1114" s="1079" t="str">
        <f t="shared" si="44"/>
        <v>Mão de obra execução de massa para Drywall em paredes</v>
      </c>
      <c r="D1114" s="1079" t="s">
        <v>1830</v>
      </c>
      <c r="E1114" s="1080" t="s">
        <v>17</v>
      </c>
      <c r="F1114" s="1083"/>
      <c r="G1114" s="1081" t="str">
        <f>IF(B1114="insumo",_xlfn.XLOOKUP($D1114,Insumos!$B$1:$B$670,Insumos!$D$1:$D$670),"")</f>
        <v/>
      </c>
      <c r="H1114" s="1081" cm="1">
        <f t="array" ref="H1114">_xlfn.IFS(B1114="Serviço",SUMIFS(H1115:$H$2465,C1115:$C$2465,$C1114),B1114="Insumo",F1114*G1114,B1114="Etapa","")</f>
        <v>15</v>
      </c>
      <c r="I1114" s="1082" t="s">
        <v>872</v>
      </c>
    </row>
    <row r="1115" spans="1:9" hidden="1" outlineLevel="2" x14ac:dyDescent="0.25">
      <c r="A1115" s="1079">
        <f t="shared" si="43"/>
        <v>1</v>
      </c>
      <c r="B1115" s="1079" t="s">
        <v>1362</v>
      </c>
      <c r="C1115" s="1079" t="str">
        <f t="shared" si="44"/>
        <v>Mão de obra execução de massa para Drywall em paredes</v>
      </c>
      <c r="D1115" s="1079" t="s">
        <v>1830</v>
      </c>
      <c r="E1115" s="1080" t="str">
        <f>_xlfn.XLOOKUP(D1115,Insumos!$B$1:$B$670,Insumos!$C$1:$C$670)</f>
        <v>UN</v>
      </c>
      <c r="F1115" s="1083">
        <v>1</v>
      </c>
      <c r="G1115" s="1081">
        <f>IF(B1115="insumo",_xlfn.XLOOKUP($D1115,Insumos!$B$1:$B$670,Insumos!$D$1:$D$670),"")</f>
        <v>15</v>
      </c>
      <c r="H1115" s="1081" cm="1">
        <f t="array" ref="H1115">_xlfn.IFS(B1115="Serviço",SUMIFS(H1116:$H$2465,C1116:$C$2465,$C1115),B1115="Insumo",F1115*G1115,B1115="Etapa","")</f>
        <v>15</v>
      </c>
      <c r="I1115" s="1082"/>
    </row>
    <row r="1116" spans="1:9" hidden="1" outlineLevel="1" collapsed="1" x14ac:dyDescent="0.25">
      <c r="A1116" s="1079">
        <f t="shared" si="43"/>
        <v>1</v>
      </c>
      <c r="B1116" s="1079" t="s">
        <v>471</v>
      </c>
      <c r="C1116" s="1079" t="str">
        <f t="shared" si="44"/>
        <v>Mão de obra execução de massa de gesso em paredes</v>
      </c>
      <c r="D1116" s="1079" t="s">
        <v>1831</v>
      </c>
      <c r="E1116" s="1080" t="s">
        <v>17</v>
      </c>
      <c r="F1116" s="1083"/>
      <c r="G1116" s="1081" t="str">
        <f>IF(B1116="insumo",_xlfn.XLOOKUP($D1116,Insumos!$B$1:$B$670,Insumos!$D$1:$D$670),"")</f>
        <v/>
      </c>
      <c r="H1116" s="1081" cm="1">
        <f t="array" ref="H1116">_xlfn.IFS(B1116="Serviço",SUMIFS(H1117:$H$2465,C1117:$C$2465,$C1116),B1116="Insumo",F1116*G1116,B1116="Etapa","")</f>
        <v>15</v>
      </c>
      <c r="I1116" s="1082" t="s">
        <v>872</v>
      </c>
    </row>
    <row r="1117" spans="1:9" hidden="1" outlineLevel="2" x14ac:dyDescent="0.25">
      <c r="A1117" s="1079">
        <f t="shared" si="43"/>
        <v>1</v>
      </c>
      <c r="B1117" s="1079" t="s">
        <v>1362</v>
      </c>
      <c r="C1117" s="1079" t="str">
        <f t="shared" si="44"/>
        <v>Mão de obra execução de massa de gesso em paredes</v>
      </c>
      <c r="D1117" s="1079" t="s">
        <v>1831</v>
      </c>
      <c r="E1117" s="1080" t="str">
        <f>_xlfn.XLOOKUP(D1117,Insumos!$B$1:$B$670,Insumos!$C$1:$C$670)</f>
        <v>UN</v>
      </c>
      <c r="F1117" s="1083">
        <v>1</v>
      </c>
      <c r="G1117" s="1081">
        <f>IF(B1117="insumo",_xlfn.XLOOKUP($D1117,Insumos!$B$1:$B$670,Insumos!$D$1:$D$670),"")</f>
        <v>15</v>
      </c>
      <c r="H1117" s="1081" cm="1">
        <f t="array" ref="H1117">_xlfn.IFS(B1117="Serviço",SUMIFS(H1118:$H$2465,C1118:$C$2465,$C1117),B1117="Insumo",F1117*G1117,B1117="Etapa","")</f>
        <v>15</v>
      </c>
      <c r="I1117" s="1082"/>
    </row>
    <row r="1118" spans="1:9" collapsed="1" x14ac:dyDescent="0.25">
      <c r="A1118" s="1076">
        <f t="shared" si="43"/>
        <v>1</v>
      </c>
      <c r="B1118" s="1076" t="s">
        <v>469</v>
      </c>
      <c r="C1118" s="1076"/>
      <c r="D1118" s="1076" t="s">
        <v>1832</v>
      </c>
      <c r="E1118" s="1077"/>
      <c r="F1118" s="1078"/>
      <c r="G1118" s="1084" t="str">
        <f>IF(B1118="insumo",_xlfn.XLOOKUP($D1118,Insumos!$B$1:$B$670,Insumos!$D$1:$D$670),"")</f>
        <v/>
      </c>
      <c r="H1118" s="1084" t="str" cm="1">
        <f t="array" ref="H1118">_xlfn.IFS(B1118="Serviço",SUMIFS(H1119:$H$2465,C1119:$C$2465,$C1118),B1118="Insumo",F1118*G1118,B1118="Etapa","")</f>
        <v/>
      </c>
      <c r="I1118" s="1078"/>
    </row>
    <row r="1119" spans="1:9" hidden="1" outlineLevel="1" collapsed="1" x14ac:dyDescent="0.25">
      <c r="A1119" s="1079">
        <f t="shared" si="43"/>
        <v>1</v>
      </c>
      <c r="B1119" s="1079" t="s">
        <v>471</v>
      </c>
      <c r="C1119" s="1079" t="str">
        <f t="shared" ref="C1119:C1168" si="45">IF(B1119="serviço",D1119,C1118)</f>
        <v xml:space="preserve">Regularização de Teto 0,50 cm </v>
      </c>
      <c r="D1119" s="1079" t="s">
        <v>1833</v>
      </c>
      <c r="E1119" s="1080" t="s">
        <v>17</v>
      </c>
      <c r="F1119" s="1079"/>
      <c r="G1119" s="1081" t="str">
        <f>IF(B1119="insumo",_xlfn.XLOOKUP($D1119,Insumos!$B$1:$B$670,Insumos!$D$1:$D$670),"")</f>
        <v/>
      </c>
      <c r="H1119" s="1081" cm="1">
        <f t="array" ref="H1119">_xlfn.IFS(B1119="Serviço",SUMIFS(H1120:$H$2465,C1120:$C$2465,$C1119),B1119="Insumo",F1119*G1119,B1119="Etapa","")</f>
        <v>3.1560233333333336</v>
      </c>
      <c r="I1119" s="1082" t="s">
        <v>872</v>
      </c>
    </row>
    <row r="1120" spans="1:9" hidden="1" outlineLevel="2" x14ac:dyDescent="0.25">
      <c r="A1120" s="1079">
        <f t="shared" si="43"/>
        <v>32</v>
      </c>
      <c r="B1120" s="1079" t="s">
        <v>1362</v>
      </c>
      <c r="C1120" s="1079" t="str">
        <f t="shared" si="45"/>
        <v xml:space="preserve">Regularização de Teto 0,50 cm </v>
      </c>
      <c r="D1120" s="1079" t="s">
        <v>1727</v>
      </c>
      <c r="E1120" s="1080" t="str">
        <f>_xlfn.XLOOKUP(D1120,Insumos!$B$1:$B$670,Insumos!$C$1:$C$670)</f>
        <v>M3</v>
      </c>
      <c r="F1120" s="1083">
        <v>5.5000000000000005E-3</v>
      </c>
      <c r="G1120" s="1081">
        <f>IF(B1120="insumo",_xlfn.XLOOKUP($D1120,Insumos!$B$1:$B$670,Insumos!$D$1:$D$670),"")</f>
        <v>550</v>
      </c>
      <c r="H1120" s="1081" cm="1">
        <f t="array" ref="H1120">_xlfn.IFS(B1120="Serviço",SUMIFS(H1121:$H$2465,C1121:$C$2465,$C1120),B1120="Insumo",F1120*G1120,B1120="Etapa","")</f>
        <v>3.0250000000000004</v>
      </c>
      <c r="I1120" s="1082"/>
    </row>
    <row r="1121" spans="1:9" hidden="1" outlineLevel="2" x14ac:dyDescent="0.25">
      <c r="A1121" s="1079">
        <f t="shared" si="43"/>
        <v>35</v>
      </c>
      <c r="B1121" s="1079" t="s">
        <v>1362</v>
      </c>
      <c r="C1121" s="1079" t="str">
        <f t="shared" si="45"/>
        <v xml:space="preserve">Regularização de Teto 0,50 cm </v>
      </c>
      <c r="D1121" s="1079" t="s">
        <v>1783</v>
      </c>
      <c r="E1121" s="1080" t="str">
        <f>_xlfn.XLOOKUP(D1121,Insumos!$B$1:$B$670,Insumos!$C$1:$C$670)</f>
        <v>L</v>
      </c>
      <c r="F1121" s="1083">
        <v>3.5000000000000005E-3</v>
      </c>
      <c r="G1121" s="1081">
        <f>IF(B1121="insumo",_xlfn.XLOOKUP($D1121,Insumos!$B$1:$B$670,Insumos!$D$1:$D$670),"")</f>
        <v>19.34</v>
      </c>
      <c r="H1121" s="1081" cm="1">
        <f t="array" ref="H1121">_xlfn.IFS(B1121="Serviço",SUMIFS(H1122:$H$2465,C1122:$C$2465,$C1121),B1121="Insumo",F1121*G1121,B1121="Etapa","")</f>
        <v>6.7690000000000014E-2</v>
      </c>
      <c r="I1121" s="1082"/>
    </row>
    <row r="1122" spans="1:9" hidden="1" outlineLevel="2" x14ac:dyDescent="0.25">
      <c r="A1122" s="1079">
        <f t="shared" si="43"/>
        <v>38</v>
      </c>
      <c r="B1122" s="1079" t="s">
        <v>1362</v>
      </c>
      <c r="C1122" s="1079" t="str">
        <f t="shared" si="45"/>
        <v xml:space="preserve">Regularização de Teto 0,50 cm </v>
      </c>
      <c r="D1122" s="1079" t="s">
        <v>1434</v>
      </c>
      <c r="E1122" s="1080" t="str">
        <f>_xlfn.XLOOKUP(D1122,Insumos!$B$1:$B$670,Insumos!$C$1:$C$670)</f>
        <v>KG</v>
      </c>
      <c r="F1122" s="1083">
        <v>8.3333333333333343E-2</v>
      </c>
      <c r="G1122" s="1081">
        <f>IF(B1122="insumo",_xlfn.XLOOKUP($D1122,Insumos!$B$1:$B$670,Insumos!$D$1:$D$670),"")</f>
        <v>0.76</v>
      </c>
      <c r="H1122" s="1081" cm="1">
        <f t="array" ref="H1122">_xlfn.IFS(B1122="Serviço",SUMIFS(H1123:$H$2465,C1123:$C$2465,$C1122),B1122="Insumo",F1122*G1122,B1122="Etapa","")</f>
        <v>6.3333333333333339E-2</v>
      </c>
      <c r="I1122" s="1082"/>
    </row>
    <row r="1123" spans="1:9" hidden="1" outlineLevel="1" x14ac:dyDescent="0.25">
      <c r="A1123" s="1079">
        <f t="shared" si="43"/>
        <v>1</v>
      </c>
      <c r="B1123" s="1079" t="s">
        <v>471</v>
      </c>
      <c r="C1123" s="1079" t="str">
        <f t="shared" si="45"/>
        <v>Estucamento de teto</v>
      </c>
      <c r="D1123" s="1079" t="s">
        <v>1834</v>
      </c>
      <c r="E1123" s="1080" t="s">
        <v>17</v>
      </c>
      <c r="F1123" s="1079"/>
      <c r="G1123" s="1081" t="str">
        <f>IF(B1123="insumo",_xlfn.XLOOKUP($D1123,Insumos!$B$1:$B$670,Insumos!$D$1:$D$670),"")</f>
        <v/>
      </c>
      <c r="H1123" s="1081" cm="1">
        <f t="array" ref="H1123">_xlfn.IFS(B1123="Serviço",SUMIFS(H1124:$H$2465,C1124:$C$2465,$C1123),B1123="Insumo",F1123*G1123,B1123="Etapa","")</f>
        <v>5.1029166666666663</v>
      </c>
      <c r="I1123" s="1082" t="s">
        <v>872</v>
      </c>
    </row>
    <row r="1124" spans="1:9" hidden="1" outlineLevel="2" x14ac:dyDescent="0.25">
      <c r="A1124" s="1079">
        <f t="shared" si="43"/>
        <v>38</v>
      </c>
      <c r="B1124" s="1079" t="s">
        <v>1362</v>
      </c>
      <c r="C1124" s="1079" t="str">
        <f t="shared" si="45"/>
        <v>Estucamento de teto</v>
      </c>
      <c r="D1124" s="1079" t="s">
        <v>1434</v>
      </c>
      <c r="E1124" s="1080" t="str">
        <f>_xlfn.XLOOKUP(D1124,Insumos!$B$1:$B$670,Insumos!$C$1:$C$670)</f>
        <v>KG</v>
      </c>
      <c r="F1124" s="1083">
        <v>0.6</v>
      </c>
      <c r="G1124" s="1081">
        <f>IF(B1124="insumo",_xlfn.XLOOKUP($D1124,Insumos!$B$1:$B$670,Insumos!$D$1:$D$670),"")</f>
        <v>0.76</v>
      </c>
      <c r="H1124" s="1081" cm="1">
        <f t="array" ref="H1124">_xlfn.IFS(B1124="Serviço",SUMIFS(H1125:$H$2465,C1125:$C$2465,$C1124),B1124="Insumo",F1124*G1124,B1124="Etapa","")</f>
        <v>0.45599999999999996</v>
      </c>
      <c r="I1124" s="1082"/>
    </row>
    <row r="1125" spans="1:9" hidden="1" outlineLevel="2" x14ac:dyDescent="0.25">
      <c r="A1125" s="1079">
        <f t="shared" si="43"/>
        <v>2</v>
      </c>
      <c r="B1125" s="1079" t="s">
        <v>1362</v>
      </c>
      <c r="C1125" s="1079" t="str">
        <f t="shared" si="45"/>
        <v>Estucamento de teto</v>
      </c>
      <c r="D1125" s="1079" t="s">
        <v>1779</v>
      </c>
      <c r="E1125" s="1080" t="str">
        <f>_xlfn.XLOOKUP(D1125,Insumos!$B$1:$B$670,Insumos!$C$1:$C$670)</f>
        <v>UN</v>
      </c>
      <c r="F1125" s="1083">
        <v>0.05</v>
      </c>
      <c r="G1125" s="1081">
        <f>IF(B1125="insumo",_xlfn.XLOOKUP($D1125,Insumos!$B$1:$B$670,Insumos!$D$1:$D$670),"")</f>
        <v>3.13</v>
      </c>
      <c r="H1125" s="1081" cm="1">
        <f t="array" ref="H1125">_xlfn.IFS(B1125="Serviço",SUMIFS(H1126:$H$2465,C1126:$C$2465,$C1125),B1125="Insumo",F1125*G1125,B1125="Etapa","")</f>
        <v>0.1565</v>
      </c>
      <c r="I1125" s="1082"/>
    </row>
    <row r="1126" spans="1:9" hidden="1" outlineLevel="2" x14ac:dyDescent="0.25">
      <c r="A1126" s="1079">
        <f t="shared" si="43"/>
        <v>2</v>
      </c>
      <c r="B1126" s="1079" t="s">
        <v>1362</v>
      </c>
      <c r="C1126" s="1079" t="str">
        <f t="shared" si="45"/>
        <v>Estucamento de teto</v>
      </c>
      <c r="D1126" s="1079" t="s">
        <v>1780</v>
      </c>
      <c r="E1126" s="1080" t="str">
        <f>_xlfn.XLOOKUP(D1126,Insumos!$B$1:$B$670,Insumos!$C$1:$C$670)</f>
        <v>KG</v>
      </c>
      <c r="F1126" s="1083">
        <v>0.3</v>
      </c>
      <c r="G1126" s="1081">
        <f>IF(B1126="insumo",_xlfn.XLOOKUP($D1126,Insumos!$B$1:$B$670,Insumos!$D$1:$D$670),"")</f>
        <v>3.49</v>
      </c>
      <c r="H1126" s="1081" cm="1">
        <f t="array" ref="H1126">_xlfn.IFS(B1126="Serviço",SUMIFS(H1127:$H$2465,C1127:$C$2465,$C1126),B1126="Insumo",F1126*G1126,B1126="Etapa","")</f>
        <v>1.0469999999999999</v>
      </c>
      <c r="I1126" s="1082"/>
    </row>
    <row r="1127" spans="1:9" hidden="1" outlineLevel="2" x14ac:dyDescent="0.25">
      <c r="A1127" s="1079">
        <f t="shared" si="43"/>
        <v>2</v>
      </c>
      <c r="B1127" s="1079" t="s">
        <v>1362</v>
      </c>
      <c r="C1127" s="1079" t="str">
        <f t="shared" si="45"/>
        <v>Estucamento de teto</v>
      </c>
      <c r="D1127" s="1079" t="s">
        <v>1781</v>
      </c>
      <c r="E1127" s="1080" t="str">
        <f>_xlfn.XLOOKUP(D1127,Insumos!$B$1:$B$670,Insumos!$C$1:$C$670)</f>
        <v>KG</v>
      </c>
      <c r="F1127" s="1083">
        <v>0.15</v>
      </c>
      <c r="G1127" s="1081">
        <f>IF(B1127="insumo",_xlfn.XLOOKUP($D1127,Insumos!$B$1:$B$670,Insumos!$D$1:$D$670),"")</f>
        <v>22.95611111111111</v>
      </c>
      <c r="H1127" s="1081" cm="1">
        <f t="array" ref="H1127">_xlfn.IFS(B1127="Serviço",SUMIFS(H1130:$H$2465,C1130:$C$2465,$C1127),B1127="Insumo",F1127*G1127,B1127="Etapa","")</f>
        <v>3.4434166666666663</v>
      </c>
      <c r="I1127" s="1082"/>
    </row>
    <row r="1128" spans="1:9" hidden="1" outlineLevel="1" x14ac:dyDescent="0.25">
      <c r="A1128" s="1079">
        <f t="shared" si="43"/>
        <v>1</v>
      </c>
      <c r="B1128" s="1079" t="s">
        <v>471</v>
      </c>
      <c r="C1128" s="1079" t="str">
        <f t="shared" si="45"/>
        <v>Revestimento argamssado em teto</v>
      </c>
      <c r="D1128" s="1079" t="s">
        <v>2588</v>
      </c>
      <c r="E1128" s="1080" t="s">
        <v>17</v>
      </c>
      <c r="F1128" s="1079"/>
      <c r="G1128" s="1081" t="str">
        <f>IF(B1128="insumo",_xlfn.XLOOKUP($D1128,Insumos!$B$1:$B$670,Insumos!$D$1:$D$670),"")</f>
        <v/>
      </c>
      <c r="H1128" s="1081" cm="1">
        <f t="array" ref="H1128">_xlfn.IFS(B1128="Serviço",SUMIFS(H1129:$H$2465,C1129:$C$2465,$C1128),B1128="Insumo",F1128*G1128,B1128="Etapa","")</f>
        <v>11.22</v>
      </c>
      <c r="I1128" s="1082" t="s">
        <v>872</v>
      </c>
    </row>
    <row r="1129" spans="1:9" hidden="1" outlineLevel="2" x14ac:dyDescent="0.25">
      <c r="A1129" s="1079">
        <f t="shared" si="43"/>
        <v>87</v>
      </c>
      <c r="B1129" s="1079" t="s">
        <v>1362</v>
      </c>
      <c r="C1129" s="1079" t="str">
        <f t="shared" si="45"/>
        <v>Revestimento argamssado em teto</v>
      </c>
      <c r="D1129" s="1079" t="s">
        <v>1762</v>
      </c>
      <c r="E1129" s="1080" t="str">
        <f>_xlfn.XLOOKUP(D1129,Insumos!$B$1:$B$670,Insumos!$C$1:$C$670)</f>
        <v>KG</v>
      </c>
      <c r="F1129" s="1083">
        <v>4.4000000000000004</v>
      </c>
      <c r="G1129" s="1081">
        <f>IF(B1129="insumo",_xlfn.XLOOKUP($D1129,Insumos!$B$1:$B$670,Insumos!$D$1:$D$670),"")</f>
        <v>2.5499999999999998</v>
      </c>
      <c r="H1129" s="1081" cm="1">
        <f t="array" ref="H1129">_xlfn.IFS(B1129="Serviço",SUMIFS(H1130:$H$2465,C1130:$C$2465,$C1129),B1129="Insumo",F1129*G1129,B1129="Etapa","")</f>
        <v>11.22</v>
      </c>
      <c r="I1129" s="1082"/>
    </row>
    <row r="1130" spans="1:9" hidden="1" outlineLevel="1" x14ac:dyDescent="0.25">
      <c r="A1130" s="1079">
        <f t="shared" si="43"/>
        <v>1</v>
      </c>
      <c r="B1130" s="1079" t="s">
        <v>471</v>
      </c>
      <c r="C1130" s="1079" t="str">
        <f t="shared" si="45"/>
        <v>Estucamento de teto com argamassa</v>
      </c>
      <c r="D1130" s="1079" t="s">
        <v>1835</v>
      </c>
      <c r="E1130" s="1080" t="s">
        <v>17</v>
      </c>
      <c r="F1130" s="1079"/>
      <c r="G1130" s="1081" t="str">
        <f>IF(B1130="insumo",_xlfn.XLOOKUP($D1130,Insumos!$B$1:$B$670,Insumos!$D$1:$D$670),"")</f>
        <v/>
      </c>
      <c r="H1130" s="1081" cm="1">
        <f t="array" ref="H1130">_xlfn.IFS(B1130="Serviço",SUMIFS(H1131:$H$2465,C1131:$C$2465,$C1130),B1130="Insumo",F1130*G1130,B1130="Etapa","")</f>
        <v>11.22</v>
      </c>
      <c r="I1130" s="1082" t="s">
        <v>872</v>
      </c>
    </row>
    <row r="1131" spans="1:9" hidden="1" outlineLevel="2" x14ac:dyDescent="0.25">
      <c r="A1131" s="1079">
        <f t="shared" si="43"/>
        <v>87</v>
      </c>
      <c r="B1131" s="1079" t="s">
        <v>1362</v>
      </c>
      <c r="C1131" s="1079" t="str">
        <f t="shared" si="45"/>
        <v>Estucamento de teto com argamassa</v>
      </c>
      <c r="D1131" s="1079" t="s">
        <v>1762</v>
      </c>
      <c r="E1131" s="1080" t="str">
        <f>_xlfn.XLOOKUP(D1131,Insumos!$B$1:$B$670,Insumos!$C$1:$C$670)</f>
        <v>KG</v>
      </c>
      <c r="F1131" s="1083">
        <v>4.4000000000000004</v>
      </c>
      <c r="G1131" s="1081">
        <f>IF(B1131="insumo",_xlfn.XLOOKUP($D1131,Insumos!$B$1:$B$670,Insumos!$D$1:$D$670),"")</f>
        <v>2.5499999999999998</v>
      </c>
      <c r="H1131" s="1081" cm="1">
        <f t="array" ref="H1131">_xlfn.IFS(B1131="Serviço",SUMIFS(H1132:$H$2465,C1132:$C$2465,$C1131),B1131="Insumo",F1131*G1131,B1131="Etapa","")</f>
        <v>11.22</v>
      </c>
      <c r="I1131" s="1082"/>
    </row>
    <row r="1132" spans="1:9" hidden="1" outlineLevel="1" collapsed="1" x14ac:dyDescent="0.25">
      <c r="A1132" s="1079">
        <f t="shared" si="43"/>
        <v>1</v>
      </c>
      <c r="B1132" s="1079" t="s">
        <v>471</v>
      </c>
      <c r="C1132" s="1079" t="str">
        <f t="shared" si="45"/>
        <v>Cortineiro em gesso</v>
      </c>
      <c r="D1132" s="1079" t="s">
        <v>1836</v>
      </c>
      <c r="E1132" s="1080" t="s">
        <v>281</v>
      </c>
      <c r="F1132" s="1079"/>
      <c r="G1132" s="1081" t="str">
        <f>IF(B1132="insumo",_xlfn.XLOOKUP($D1132,Insumos!$B$1:$B$670,Insumos!$D$1:$D$670),"")</f>
        <v/>
      </c>
      <c r="H1132" s="1081" cm="1">
        <f t="array" ref="H1132">_xlfn.IFS(B1132="Serviço",SUMIFS(H1133:$H$2465,C1133:$C$2465,$C1132),B1132="Insumo",F1132*G1132,B1132="Etapa","")</f>
        <v>29.99</v>
      </c>
      <c r="I1132" s="1082" t="s">
        <v>872</v>
      </c>
    </row>
    <row r="1133" spans="1:9" hidden="1" outlineLevel="2" x14ac:dyDescent="0.25">
      <c r="A1133" s="1079">
        <f t="shared" si="43"/>
        <v>1</v>
      </c>
      <c r="B1133" s="1079" t="s">
        <v>1362</v>
      </c>
      <c r="C1133" s="1079" t="str">
        <f t="shared" si="45"/>
        <v>Cortineiro em gesso</v>
      </c>
      <c r="D1133" s="1079" t="s">
        <v>1837</v>
      </c>
      <c r="E1133" s="1080" t="str">
        <f>_xlfn.XLOOKUP(D1133,Insumos!$B$1:$B$670,Insumos!$C$1:$C$670)</f>
        <v>m</v>
      </c>
      <c r="F1133" s="1083">
        <v>1</v>
      </c>
      <c r="G1133" s="1081">
        <f>IF(B1133="insumo",_xlfn.XLOOKUP($D1133,Insumos!$B$1:$B$670,Insumos!$D$1:$D$670),"")</f>
        <v>29.99</v>
      </c>
      <c r="H1133" s="1081" cm="1">
        <f t="array" ref="H1133">_xlfn.IFS(B1133="Serviço",SUMIFS(H1134:$H$2465,C1134:$C$2465,$C1133),B1133="Insumo",F1133*G1133,B1133="Etapa","")</f>
        <v>29.99</v>
      </c>
      <c r="I1133" s="1082"/>
    </row>
    <row r="1134" spans="1:9" hidden="1" outlineLevel="1" collapsed="1" x14ac:dyDescent="0.25">
      <c r="A1134" s="1079">
        <f t="shared" si="43"/>
        <v>1</v>
      </c>
      <c r="B1134" s="1079" t="s">
        <v>471</v>
      </c>
      <c r="C1134" s="1079" t="str">
        <f t="shared" si="45"/>
        <v>Isolmento acustico em teto</v>
      </c>
      <c r="D1134" s="1079" t="s">
        <v>1838</v>
      </c>
      <c r="E1134" s="1080" t="s">
        <v>17</v>
      </c>
      <c r="F1134" s="1079"/>
      <c r="G1134" s="1081" t="str">
        <f>IF(B1134="insumo",_xlfn.XLOOKUP($D1134,Insumos!$B$1:$B$670,Insumos!$D$1:$D$670),"")</f>
        <v/>
      </c>
      <c r="H1134" s="1081" cm="1">
        <f t="array" ref="H1134">_xlfn.IFS(B1134="Serviço",SUMIFS(H1135:$H$2465,C1135:$C$2465,$C1134),B1134="Insumo",F1134*G1134,B1134="Etapa","")</f>
        <v>88.427066666666661</v>
      </c>
      <c r="I1134" s="1082" t="s">
        <v>872</v>
      </c>
    </row>
    <row r="1135" spans="1:9" hidden="1" outlineLevel="2" x14ac:dyDescent="0.25">
      <c r="A1135" s="1079">
        <f t="shared" si="43"/>
        <v>1</v>
      </c>
      <c r="B1135" s="1079" t="s">
        <v>1362</v>
      </c>
      <c r="C1135" s="1079" t="str">
        <f t="shared" si="45"/>
        <v>Isolmento acustico em teto</v>
      </c>
      <c r="D1135" s="1079" t="s">
        <v>1839</v>
      </c>
      <c r="E1135" s="1080" t="str">
        <f>_xlfn.XLOOKUP(D1135,Insumos!$B$1:$B$670,Insumos!$C$1:$C$670)</f>
        <v>M2</v>
      </c>
      <c r="F1135" s="1083">
        <v>1</v>
      </c>
      <c r="G1135" s="1081">
        <f>IF(B1135="insumo",_xlfn.XLOOKUP($D1135,Insumos!$B$1:$B$670,Insumos!$D$1:$D$670),"")</f>
        <v>75.598399999999998</v>
      </c>
      <c r="H1135" s="1081" cm="1">
        <f t="array" ref="H1135">_xlfn.IFS(B1135="Serviço",SUMIFS(H1136:$H$2465,C1136:$C$2465,$C1135),B1135="Insumo",F1135*G1135,B1135="Etapa","")</f>
        <v>75.598399999999998</v>
      </c>
      <c r="I1135" s="1082"/>
    </row>
    <row r="1136" spans="1:9" hidden="1" outlineLevel="2" x14ac:dyDescent="0.25">
      <c r="A1136" s="1079">
        <f t="shared" si="43"/>
        <v>8</v>
      </c>
      <c r="B1136" s="1079" t="s">
        <v>1362</v>
      </c>
      <c r="C1136" s="1079" t="str">
        <f t="shared" si="45"/>
        <v>Isolmento acustico em teto</v>
      </c>
      <c r="D1136" s="1079" t="s">
        <v>1691</v>
      </c>
      <c r="E1136" s="1080" t="str">
        <f>_xlfn.XLOOKUP(D1136,Insumos!$B$1:$B$670,Insumos!$C$1:$C$670)</f>
        <v>M2</v>
      </c>
      <c r="F1136" s="1083">
        <v>1</v>
      </c>
      <c r="G1136" s="1081">
        <f>IF(B1136="insumo",_xlfn.XLOOKUP($D1136,Insumos!$B$1:$B$670,Insumos!$D$1:$D$670),"")</f>
        <v>12.828666666666667</v>
      </c>
      <c r="H1136" s="1081" cm="1">
        <f t="array" ref="H1136">_xlfn.IFS(B1136="Serviço",SUMIFS(H1137:$H$2465,C1137:$C$2465,$C1136),B1136="Insumo",F1136*G1136,B1136="Etapa","")</f>
        <v>12.828666666666667</v>
      </c>
      <c r="I1136" s="1082"/>
    </row>
    <row r="1137" spans="1:9" hidden="1" outlineLevel="1" collapsed="1" x14ac:dyDescent="0.25">
      <c r="A1137" s="1079">
        <f t="shared" si="43"/>
        <v>1</v>
      </c>
      <c r="B1137" s="1079" t="s">
        <v>471</v>
      </c>
      <c r="C1137" s="1079" t="str">
        <f t="shared" si="45"/>
        <v>Forro de gesso mineral em tetos - Material e Mão de Obra</v>
      </c>
      <c r="D1137" s="1079" t="s">
        <v>1840</v>
      </c>
      <c r="E1137" s="1080" t="s">
        <v>17</v>
      </c>
      <c r="F1137" s="1079"/>
      <c r="G1137" s="1081" t="str">
        <f>IF(B1137="insumo",_xlfn.XLOOKUP($D1137,Insumos!$B$1:$B$670,Insumos!$D$1:$D$670),"")</f>
        <v/>
      </c>
      <c r="H1137" s="1081" cm="1">
        <f t="array" ref="H1137">_xlfn.IFS(B1137="Serviço",SUMIFS(H1138:$H$2465,C1138:$C$2465,$C1137),B1137="Insumo",F1137*G1137,B1137="Etapa","")</f>
        <v>55</v>
      </c>
      <c r="I1137" s="1082" t="s">
        <v>872</v>
      </c>
    </row>
    <row r="1138" spans="1:9" hidden="1" outlineLevel="2" x14ac:dyDescent="0.25">
      <c r="A1138" s="1079">
        <f t="shared" si="43"/>
        <v>1</v>
      </c>
      <c r="B1138" s="1079" t="s">
        <v>1362</v>
      </c>
      <c r="C1138" s="1079" t="str">
        <f t="shared" si="45"/>
        <v>Forro de gesso mineral em tetos - Material e Mão de Obra</v>
      </c>
      <c r="D1138" s="1079" t="s">
        <v>1840</v>
      </c>
      <c r="E1138" s="1080" t="str">
        <f>_xlfn.XLOOKUP(D1138,Insumos!$B$1:$B$670,Insumos!$C$1:$C$670)</f>
        <v>M2</v>
      </c>
      <c r="F1138" s="1083">
        <v>1</v>
      </c>
      <c r="G1138" s="1081">
        <f>IF(B1138="insumo",_xlfn.XLOOKUP($D1138,Insumos!$B$1:$B$670,Insumos!$D$1:$D$670),"")</f>
        <v>55</v>
      </c>
      <c r="H1138" s="1081" cm="1">
        <f t="array" ref="H1138">_xlfn.IFS(B1138="Serviço",SUMIFS(H1139:$H$2465,C1139:$C$2465,$C1138),B1138="Insumo",F1138*G1138,B1138="Etapa","")</f>
        <v>55</v>
      </c>
      <c r="I1138" s="1082"/>
    </row>
    <row r="1139" spans="1:9" hidden="1" outlineLevel="1" collapsed="1" x14ac:dyDescent="0.25">
      <c r="A1139" s="1079">
        <f t="shared" si="43"/>
        <v>1</v>
      </c>
      <c r="B1139" s="1079" t="s">
        <v>471</v>
      </c>
      <c r="C1139" s="1079" t="str">
        <f t="shared" si="45"/>
        <v>Negativo de forro de gesso mineral</v>
      </c>
      <c r="D1139" s="1079" t="s">
        <v>1841</v>
      </c>
      <c r="E1139" s="1080" t="s">
        <v>17</v>
      </c>
      <c r="F1139" s="1079"/>
      <c r="G1139" s="1081" t="str">
        <f>IF(B1139="insumo",_xlfn.XLOOKUP($D1139,Insumos!$B$1:$B$670,Insumos!$D$1:$D$670),"")</f>
        <v/>
      </c>
      <c r="H1139" s="1081" cm="1">
        <f t="array" ref="H1139">_xlfn.IFS(B1139="Serviço",SUMIFS(H1140:$H$2465,C1140:$C$2465,$C1139),B1139="Insumo",F1139*G1139,B1139="Etapa","")</f>
        <v>35</v>
      </c>
      <c r="I1139" s="1082" t="s">
        <v>872</v>
      </c>
    </row>
    <row r="1140" spans="1:9" hidden="1" outlineLevel="2" x14ac:dyDescent="0.25">
      <c r="A1140" s="1079">
        <f t="shared" si="43"/>
        <v>1</v>
      </c>
      <c r="B1140" s="1079" t="s">
        <v>1362</v>
      </c>
      <c r="C1140" s="1079" t="str">
        <f t="shared" si="45"/>
        <v>Negativo de forro de gesso mineral</v>
      </c>
      <c r="D1140" s="1079" t="s">
        <v>1841</v>
      </c>
      <c r="E1140" s="1080" t="str">
        <f>_xlfn.XLOOKUP(D1140,Insumos!$B$1:$B$670,Insumos!$C$1:$C$670)</f>
        <v>M2</v>
      </c>
      <c r="F1140" s="1083">
        <v>1</v>
      </c>
      <c r="G1140" s="1081">
        <f>IF(B1140="insumo",_xlfn.XLOOKUP($D1140,Insumos!$B$1:$B$670,Insumos!$D$1:$D$670),"")</f>
        <v>35</v>
      </c>
      <c r="H1140" s="1081" cm="1">
        <f t="array" ref="H1140">_xlfn.IFS(B1140="Serviço",SUMIFS(H1141:$H$2465,C1141:$C$2465,$C1140),B1140="Insumo",F1140*G1140,B1140="Etapa","")</f>
        <v>35</v>
      </c>
      <c r="I1140" s="1082"/>
    </row>
    <row r="1141" spans="1:9" hidden="1" outlineLevel="1" collapsed="1" x14ac:dyDescent="0.25">
      <c r="A1141" s="1079">
        <f t="shared" si="43"/>
        <v>1</v>
      </c>
      <c r="B1141" s="1079" t="s">
        <v>471</v>
      </c>
      <c r="C1141" s="1079" t="str">
        <f t="shared" si="45"/>
        <v>Gesso corrido em tetos - Material e Mão de Obra</v>
      </c>
      <c r="D1141" s="1079" t="s">
        <v>1842</v>
      </c>
      <c r="E1141" s="1080" t="s">
        <v>17</v>
      </c>
      <c r="F1141" s="1079"/>
      <c r="G1141" s="1081" t="str">
        <f>IF(B1141="insumo",_xlfn.XLOOKUP($D1141,Insumos!$B$1:$B$670,Insumos!$D$1:$D$670),"")</f>
        <v/>
      </c>
      <c r="H1141" s="1081" cm="1">
        <f t="array" ref="H1141">_xlfn.IFS(B1141="Serviço",SUMIFS(H1142:$H$2465,C1142:$C$2465,$C1141),B1141="Insumo",F1141*G1141,B1141="Etapa","")</f>
        <v>60</v>
      </c>
      <c r="I1141" s="1082" t="s">
        <v>872</v>
      </c>
    </row>
    <row r="1142" spans="1:9" hidden="1" outlineLevel="2" x14ac:dyDescent="0.25">
      <c r="A1142" s="1079">
        <f t="shared" si="43"/>
        <v>1</v>
      </c>
      <c r="B1142" s="1079" t="s">
        <v>1362</v>
      </c>
      <c r="C1142" s="1079" t="str">
        <f t="shared" si="45"/>
        <v>Gesso corrido em tetos - Material e Mão de Obra</v>
      </c>
      <c r="D1142" s="1079" t="s">
        <v>1843</v>
      </c>
      <c r="E1142" s="1080" t="str">
        <f>_xlfn.XLOOKUP(D1142,Insumos!$B$1:$B$670,Insumos!$C$1:$C$670)</f>
        <v>M2</v>
      </c>
      <c r="F1142" s="1083">
        <v>1</v>
      </c>
      <c r="G1142" s="1081">
        <f>IF(B1142="insumo",_xlfn.XLOOKUP($D1142,Insumos!$B$1:$B$670,Insumos!$D$1:$D$670),"")</f>
        <v>60</v>
      </c>
      <c r="H1142" s="1081" cm="1">
        <f t="array" ref="H1142">_xlfn.IFS(B1142="Serviço",SUMIFS(H1143:$H$2465,C1143:$C$2465,$C1142),B1142="Insumo",F1142*G1142,B1142="Etapa","")</f>
        <v>60</v>
      </c>
      <c r="I1142" s="1082"/>
    </row>
    <row r="1143" spans="1:9" hidden="1" outlineLevel="1" collapsed="1" x14ac:dyDescent="0.25">
      <c r="A1143" s="1079">
        <f t="shared" si="43"/>
        <v>1</v>
      </c>
      <c r="B1143" s="1079" t="s">
        <v>471</v>
      </c>
      <c r="C1143" s="1079" t="str">
        <f t="shared" si="45"/>
        <v>Forro de gesso acartonado - áreas secas - Material e Mão de Obra</v>
      </c>
      <c r="D1143" s="1079" t="s">
        <v>1321</v>
      </c>
      <c r="E1143" s="1080" t="s">
        <v>17</v>
      </c>
      <c r="F1143" s="1079"/>
      <c r="G1143" s="1081" t="str">
        <f>IF(B1143="insumo",_xlfn.XLOOKUP($D1143,Insumos!$B$1:$B$670,Insumos!$D$1:$D$670),"")</f>
        <v/>
      </c>
      <c r="H1143" s="1081" cm="1">
        <f t="array" ref="H1143">_xlfn.IFS(B1143="Serviço",SUMIFS(H1144:$H$2465,C1144:$C$2465,$C1143),B1143="Insumo",F1143*G1143,B1143="Etapa","")</f>
        <v>120</v>
      </c>
      <c r="I1143" s="1082" t="s">
        <v>872</v>
      </c>
    </row>
    <row r="1144" spans="1:9" hidden="1" outlineLevel="2" x14ac:dyDescent="0.25">
      <c r="A1144" s="1079">
        <f t="shared" si="43"/>
        <v>1</v>
      </c>
      <c r="B1144" s="1079" t="s">
        <v>1362</v>
      </c>
      <c r="C1144" s="1079" t="str">
        <f t="shared" si="45"/>
        <v>Forro de gesso acartonado - áreas secas - Material e Mão de Obra</v>
      </c>
      <c r="D1144" s="1079" t="s">
        <v>1321</v>
      </c>
      <c r="E1144" s="1080" t="str">
        <f>_xlfn.XLOOKUP(D1144,Insumos!$B$1:$B$670,Insumos!$C$1:$C$670)</f>
        <v>M2</v>
      </c>
      <c r="F1144" s="1083">
        <v>1</v>
      </c>
      <c r="G1144" s="1081">
        <f>IF(B1144="insumo",_xlfn.XLOOKUP($D1144,Insumos!$B$1:$B$670,Insumos!$D$1:$D$670),"")</f>
        <v>120</v>
      </c>
      <c r="H1144" s="1081" cm="1">
        <f t="array" ref="H1144">_xlfn.IFS(B1144="Serviço",SUMIFS(H1145:$H$2465,C1145:$C$2465,$C1144),B1144="Insumo",F1144*G1144,B1144="Etapa","")</f>
        <v>120</v>
      </c>
      <c r="I1144" s="1082"/>
    </row>
    <row r="1145" spans="1:9" hidden="1" outlineLevel="1" collapsed="1" x14ac:dyDescent="0.25">
      <c r="A1145" s="1079">
        <f t="shared" si="43"/>
        <v>1</v>
      </c>
      <c r="B1145" s="1079" t="s">
        <v>471</v>
      </c>
      <c r="C1145" s="1079" t="str">
        <f t="shared" si="45"/>
        <v>Negativo de forro de gesso acartonado - área seca</v>
      </c>
      <c r="D1145" s="1079" t="s">
        <v>1844</v>
      </c>
      <c r="E1145" s="1080" t="s">
        <v>17</v>
      </c>
      <c r="F1145" s="1079"/>
      <c r="G1145" s="1081" t="str">
        <f>IF(B1145="insumo",_xlfn.XLOOKUP($D1145,Insumos!$B$1:$B$670,Insumos!$D$1:$D$670),"")</f>
        <v/>
      </c>
      <c r="H1145" s="1081" cm="1">
        <f t="array" ref="H1145">_xlfn.IFS(B1145="Serviço",SUMIFS(H1146:$H$2465,C1146:$C$2465,$C1145),B1145="Insumo",F1145*G1145,B1145="Etapa","")</f>
        <v>36</v>
      </c>
      <c r="I1145" s="1082" t="s">
        <v>872</v>
      </c>
    </row>
    <row r="1146" spans="1:9" hidden="1" outlineLevel="2" x14ac:dyDescent="0.25">
      <c r="A1146" s="1079">
        <f t="shared" si="43"/>
        <v>1</v>
      </c>
      <c r="B1146" s="1079" t="s">
        <v>1362</v>
      </c>
      <c r="C1146" s="1079" t="str">
        <f t="shared" si="45"/>
        <v>Negativo de forro de gesso acartonado - área seca</v>
      </c>
      <c r="D1146" s="1079" t="s">
        <v>1844</v>
      </c>
      <c r="E1146" s="1080" t="str">
        <f>_xlfn.XLOOKUP(D1146,Insumos!$B$1:$B$670,Insumos!$C$1:$C$670)</f>
        <v>M2</v>
      </c>
      <c r="F1146" s="1083">
        <v>1</v>
      </c>
      <c r="G1146" s="1081">
        <f>IF(B1146="insumo",_xlfn.XLOOKUP($D1146,Insumos!$B$1:$B$670,Insumos!$D$1:$D$670),"")</f>
        <v>36</v>
      </c>
      <c r="H1146" s="1081" cm="1">
        <f t="array" ref="H1146">_xlfn.IFS(B1146="Serviço",SUMIFS(H1147:$H$2465,C1147:$C$2465,$C1146),B1146="Insumo",F1146*G1146,B1146="Etapa","")</f>
        <v>36</v>
      </c>
      <c r="I1146" s="1082"/>
    </row>
    <row r="1147" spans="1:9" hidden="1" outlineLevel="1" collapsed="1" x14ac:dyDescent="0.25">
      <c r="A1147" s="1079">
        <f t="shared" si="43"/>
        <v>1</v>
      </c>
      <c r="B1147" s="1079" t="s">
        <v>471</v>
      </c>
      <c r="C1147" s="1079" t="str">
        <f t="shared" si="45"/>
        <v>Forro de gesso acartonado - áreas úmidas - Material e Mão de Obra</v>
      </c>
      <c r="D1147" s="1079" t="s">
        <v>1322</v>
      </c>
      <c r="E1147" s="1080" t="s">
        <v>17</v>
      </c>
      <c r="F1147" s="1079"/>
      <c r="G1147" s="1081" t="str">
        <f>IF(B1147="insumo",_xlfn.XLOOKUP($D1147,Insumos!$B$1:$B$670,Insumos!$D$1:$D$670),"")</f>
        <v/>
      </c>
      <c r="H1147" s="1081" cm="1">
        <f t="array" ref="H1147">_xlfn.IFS(B1147="Serviço",SUMIFS(H1148:$H$2465,C1148:$C$2465,$C1147),B1147="Insumo",F1147*G1147,B1147="Etapa","")</f>
        <v>150</v>
      </c>
      <c r="I1147" s="1082" t="s">
        <v>872</v>
      </c>
    </row>
    <row r="1148" spans="1:9" hidden="1" outlineLevel="2" x14ac:dyDescent="0.25">
      <c r="A1148" s="1079">
        <f t="shared" si="43"/>
        <v>1</v>
      </c>
      <c r="B1148" s="1079" t="s">
        <v>1362</v>
      </c>
      <c r="C1148" s="1079" t="str">
        <f t="shared" si="45"/>
        <v>Forro de gesso acartonado - áreas úmidas - Material e Mão de Obra</v>
      </c>
      <c r="D1148" s="1079" t="s">
        <v>1322</v>
      </c>
      <c r="E1148" s="1080" t="str">
        <f>_xlfn.XLOOKUP(D1148,Insumos!$B$1:$B$670,Insumos!$C$1:$C$670)</f>
        <v>M2</v>
      </c>
      <c r="F1148" s="1083">
        <v>1</v>
      </c>
      <c r="G1148" s="1081">
        <f>IF(B1148="insumo",_xlfn.XLOOKUP($D1148,Insumos!$B$1:$B$670,Insumos!$D$1:$D$670),"")</f>
        <v>150</v>
      </c>
      <c r="H1148" s="1081" cm="1">
        <f t="array" ref="H1148">_xlfn.IFS(B1148="Serviço",SUMIFS(H1149:$H$2465,C1149:$C$2465,$C1148),B1148="Insumo",F1148*G1148,B1148="Etapa","")</f>
        <v>150</v>
      </c>
      <c r="I1148" s="1082"/>
    </row>
    <row r="1149" spans="1:9" hidden="1" outlineLevel="1" collapsed="1" x14ac:dyDescent="0.25">
      <c r="A1149" s="1079">
        <f t="shared" si="43"/>
        <v>1</v>
      </c>
      <c r="B1149" s="1079" t="s">
        <v>471</v>
      </c>
      <c r="C1149" s="1079" t="str">
        <f t="shared" si="45"/>
        <v>Negativo de forro de gesso acartonado - área umida</v>
      </c>
      <c r="D1149" s="1079" t="s">
        <v>1845</v>
      </c>
      <c r="E1149" s="1080" t="s">
        <v>17</v>
      </c>
      <c r="F1149" s="1079"/>
      <c r="G1149" s="1081" t="str">
        <f>IF(B1149="insumo",_xlfn.XLOOKUP($D1149,Insumos!$B$1:$B$670,Insumos!$D$1:$D$670),"")</f>
        <v/>
      </c>
      <c r="H1149" s="1081" cm="1">
        <f t="array" ref="H1149">_xlfn.IFS(B1149="Serviço",SUMIFS(H1150:$H$2465,C1150:$C$2465,$C1149),B1149="Insumo",F1149*G1149,B1149="Etapa","")</f>
        <v>36</v>
      </c>
      <c r="I1149" s="1082" t="s">
        <v>872</v>
      </c>
    </row>
    <row r="1150" spans="1:9" hidden="1" outlineLevel="2" x14ac:dyDescent="0.25">
      <c r="A1150" s="1079">
        <f t="shared" si="43"/>
        <v>1</v>
      </c>
      <c r="B1150" s="1079" t="s">
        <v>1362</v>
      </c>
      <c r="C1150" s="1079" t="str">
        <f t="shared" si="45"/>
        <v>Negativo de forro de gesso acartonado - área umida</v>
      </c>
      <c r="D1150" s="1079" t="s">
        <v>1845</v>
      </c>
      <c r="E1150" s="1080" t="str">
        <f>_xlfn.XLOOKUP(D1150,Insumos!$B$1:$B$670,Insumos!$C$1:$C$670)</f>
        <v>M2</v>
      </c>
      <c r="F1150" s="1083">
        <v>1</v>
      </c>
      <c r="G1150" s="1081">
        <f>IF(B1150="insumo",_xlfn.XLOOKUP($D1150,Insumos!$B$1:$B$670,Insumos!$D$1:$D$670),"")</f>
        <v>36</v>
      </c>
      <c r="H1150" s="1081" cm="1">
        <f t="array" ref="H1150">_xlfn.IFS(B1150="Serviço",SUMIFS(H1151:$H$2465,C1151:$C$2465,$C1150),B1150="Insumo",F1150*G1150,B1150="Etapa","")</f>
        <v>36</v>
      </c>
      <c r="I1150" s="1082"/>
    </row>
    <row r="1151" spans="1:9" hidden="1" outlineLevel="1" collapsed="1" x14ac:dyDescent="0.25">
      <c r="A1151" s="1079">
        <f t="shared" si="43"/>
        <v>1</v>
      </c>
      <c r="B1151" s="1079" t="s">
        <v>471</v>
      </c>
      <c r="C1151" s="1079" t="str">
        <f t="shared" si="45"/>
        <v>Forro Removível - Material e Mão de Obra</v>
      </c>
      <c r="D1151" s="1079" t="s">
        <v>1846</v>
      </c>
      <c r="E1151" s="1080" t="s">
        <v>17</v>
      </c>
      <c r="F1151" s="1079"/>
      <c r="G1151" s="1081" t="str">
        <f>IF(B1151="insumo",_xlfn.XLOOKUP($D1151,Insumos!$B$1:$B$670,Insumos!$D$1:$D$670),"")</f>
        <v/>
      </c>
      <c r="H1151" s="1081" cm="1">
        <f t="array" ref="H1151">_xlfn.IFS(B1151="Serviço",SUMIFS(H1152:$H$2465,C1152:$C$2465,$C1151),B1151="Insumo",F1151*G1151,B1151="Etapa","")</f>
        <v>219.20046110145017</v>
      </c>
      <c r="I1151" s="1082" t="s">
        <v>872</v>
      </c>
    </row>
    <row r="1152" spans="1:9" hidden="1" outlineLevel="2" x14ac:dyDescent="0.25">
      <c r="A1152" s="1079">
        <f t="shared" si="43"/>
        <v>1</v>
      </c>
      <c r="B1152" s="1079" t="s">
        <v>1362</v>
      </c>
      <c r="C1152" s="1079" t="str">
        <f t="shared" si="45"/>
        <v>Forro Removível - Material e Mão de Obra</v>
      </c>
      <c r="D1152" s="1079" t="s">
        <v>1846</v>
      </c>
      <c r="E1152" s="1080" t="str">
        <f>_xlfn.XLOOKUP(D1152,Insumos!$B$1:$B$670,Insumos!$C$1:$C$670)</f>
        <v>M2</v>
      </c>
      <c r="F1152" s="1083">
        <v>1</v>
      </c>
      <c r="G1152" s="1081">
        <f>IF(B1152="insumo",_xlfn.XLOOKUP($D1152,Insumos!$B$1:$B$670,Insumos!$D$1:$D$670),"")</f>
        <v>219.20046110145017</v>
      </c>
      <c r="H1152" s="1081" cm="1">
        <f t="array" ref="H1152">_xlfn.IFS(B1152="Serviço",SUMIFS(H1157:$H$2465,C1157:$C$2465,$C1152),B1152="Insumo",F1152*G1152,B1152="Etapa","")</f>
        <v>219.20046110145017</v>
      </c>
      <c r="I1152" s="1082"/>
    </row>
    <row r="1153" spans="1:9" hidden="1" outlineLevel="1" x14ac:dyDescent="0.25">
      <c r="A1153" s="1079">
        <f t="shared" si="43"/>
        <v>1</v>
      </c>
      <c r="B1153" s="1079" t="s">
        <v>471</v>
      </c>
      <c r="C1153" s="1079" t="str">
        <f>IF(B1153="serviço",D1153,C1148)</f>
        <v>Forro de acm - Material e Mão de Obra</v>
      </c>
      <c r="D1153" s="1079" t="s">
        <v>2593</v>
      </c>
      <c r="E1153" s="1080" t="s">
        <v>17</v>
      </c>
      <c r="F1153" s="1079"/>
      <c r="G1153" s="1081" t="str">
        <f>IF(B1153="insumo",_xlfn.XLOOKUP($D1153,Insumos!$B$1:$B$670,Insumos!$D$1:$D$670),"")</f>
        <v/>
      </c>
      <c r="H1153" s="1081" cm="1">
        <f t="array" ref="H1153">_xlfn.IFS(B1153="Serviço",SUMIFS(H1154:$H$2465,C1154:$C$2465,$C1153),B1153="Insumo",F1153*G1153,B1153="Etapa","")</f>
        <v>560</v>
      </c>
      <c r="I1153" s="1082" t="s">
        <v>872</v>
      </c>
    </row>
    <row r="1154" spans="1:9" hidden="1" outlineLevel="2" x14ac:dyDescent="0.25">
      <c r="A1154" s="1079">
        <f t="shared" ref="A1154:A1217" si="46">COUNTIFS($D$2:$D$2465,D1154,$B$2:$B$2465,B1154)</f>
        <v>1</v>
      </c>
      <c r="B1154" s="1079" t="s">
        <v>1362</v>
      </c>
      <c r="C1154" s="1079" t="str">
        <f t="shared" ref="C1154" si="47">IF(B1154="serviço",D1154,C1153)</f>
        <v>Forro de acm - Material e Mão de Obra</v>
      </c>
      <c r="D1154" s="1079" t="s">
        <v>2593</v>
      </c>
      <c r="E1154" s="1080" t="str">
        <f>_xlfn.XLOOKUP(D1154,Insumos!$B$1:$B$670,Insumos!$C$1:$C$670)</f>
        <v>M2</v>
      </c>
      <c r="F1154" s="1083">
        <v>1</v>
      </c>
      <c r="G1154" s="1081">
        <f>IF(B1154="insumo",_xlfn.XLOOKUP($D1154,Insumos!$B$1:$B$670,Insumos!$D$1:$D$670),"")</f>
        <v>560</v>
      </c>
      <c r="H1154" s="1081" cm="1">
        <f t="array" ref="H1154">_xlfn.IFS(B1154="Serviço",SUMIFS(H1155:$H$2465,C1155:$C$2465,$C1154),B1154="Insumo",F1154*G1154,B1154="Etapa","")</f>
        <v>560</v>
      </c>
      <c r="I1154" s="1082"/>
    </row>
    <row r="1155" spans="1:9" hidden="1" outlineLevel="1" x14ac:dyDescent="0.25">
      <c r="A1155" s="1079">
        <f t="shared" si="46"/>
        <v>1</v>
      </c>
      <c r="B1155" s="1079" t="s">
        <v>471</v>
      </c>
      <c r="C1155" s="1079" t="str">
        <f>IF(B1155="serviço",D1155,C1150)</f>
        <v>Forro de steel frame - Material e Mão de Obra</v>
      </c>
      <c r="D1155" s="1079" t="s">
        <v>2594</v>
      </c>
      <c r="E1155" s="1080" t="s">
        <v>17</v>
      </c>
      <c r="F1155" s="1079"/>
      <c r="G1155" s="1081" t="str">
        <f>IF(B1155="insumo",_xlfn.XLOOKUP($D1155,Insumos!$B$1:$B$670,Insumos!$D$1:$D$670),"")</f>
        <v/>
      </c>
      <c r="H1155" s="1081" cm="1">
        <f t="array" ref="H1155">_xlfn.IFS(B1155="Serviço",SUMIFS(H1156:$H$2465,C1156:$C$2465,$C1155),B1155="Insumo",F1155*G1155,B1155="Etapa","")</f>
        <v>300</v>
      </c>
      <c r="I1155" s="1082" t="s">
        <v>872</v>
      </c>
    </row>
    <row r="1156" spans="1:9" hidden="1" outlineLevel="2" x14ac:dyDescent="0.25">
      <c r="A1156" s="1079">
        <f t="shared" si="46"/>
        <v>1</v>
      </c>
      <c r="B1156" s="1079" t="s">
        <v>1362</v>
      </c>
      <c r="C1156" s="1079" t="str">
        <f t="shared" ref="C1156" si="48">IF(B1156="serviço",D1156,C1155)</f>
        <v>Forro de steel frame - Material e Mão de Obra</v>
      </c>
      <c r="D1156" s="1079" t="s">
        <v>2594</v>
      </c>
      <c r="E1156" s="1080" t="str">
        <f>_xlfn.XLOOKUP(D1156,Insumos!$B$1:$B$670,Insumos!$C$1:$C$670)</f>
        <v>M2</v>
      </c>
      <c r="F1156" s="1083">
        <v>1</v>
      </c>
      <c r="G1156" s="1081">
        <f>IF(B1156="insumo",_xlfn.XLOOKUP($D1156,Insumos!$B$1:$B$670,Insumos!$D$1:$D$670),"")</f>
        <v>300</v>
      </c>
      <c r="H1156" s="1081" cm="1">
        <f t="array" ref="H1156">_xlfn.IFS(B1156="Serviço",SUMIFS(H1157:$H$2465,C1157:$C$2465,$C1156),B1156="Insumo",F1156*G1156,B1156="Etapa","")</f>
        <v>300</v>
      </c>
      <c r="I1156" s="1082"/>
    </row>
    <row r="1157" spans="1:9" hidden="1" outlineLevel="1" x14ac:dyDescent="0.25">
      <c r="A1157" s="1079">
        <f t="shared" si="46"/>
        <v>1</v>
      </c>
      <c r="B1157" s="1079" t="s">
        <v>471</v>
      </c>
      <c r="C1157" s="1079" t="str">
        <f>IF(B1157="serviço",D1157,C1152)</f>
        <v>Forro de placa cimenticia - Material e Mão de Obra</v>
      </c>
      <c r="D1157" s="1079" t="s">
        <v>1847</v>
      </c>
      <c r="E1157" s="1080" t="s">
        <v>17</v>
      </c>
      <c r="F1157" s="1079"/>
      <c r="G1157" s="1081" t="str">
        <f>IF(B1157="insumo",_xlfn.XLOOKUP($D1157,Insumos!$B$1:$B$670,Insumos!$D$1:$D$670),"")</f>
        <v/>
      </c>
      <c r="H1157" s="1081" cm="1">
        <f t="array" ref="H1157">_xlfn.IFS(B1157="Serviço",SUMIFS(H1158:$H$2465,C1158:$C$2465,$C1157),B1157="Insumo",F1157*G1157,B1157="Etapa","")</f>
        <v>275</v>
      </c>
      <c r="I1157" s="1082" t="s">
        <v>872</v>
      </c>
    </row>
    <row r="1158" spans="1:9" hidden="1" outlineLevel="2" x14ac:dyDescent="0.25">
      <c r="A1158" s="1079">
        <f t="shared" si="46"/>
        <v>1</v>
      </c>
      <c r="B1158" s="1079" t="s">
        <v>1362</v>
      </c>
      <c r="C1158" s="1079" t="str">
        <f t="shared" si="45"/>
        <v>Forro de placa cimenticia - Material e Mão de Obra</v>
      </c>
      <c r="D1158" s="1079" t="s">
        <v>1847</v>
      </c>
      <c r="E1158" s="1080" t="str">
        <f>_xlfn.XLOOKUP(D1158,Insumos!$B$1:$B$670,Insumos!$C$1:$C$670)</f>
        <v>M2</v>
      </c>
      <c r="F1158" s="1083">
        <v>1</v>
      </c>
      <c r="G1158" s="1081">
        <f>IF(B1158="insumo",_xlfn.XLOOKUP($D1158,Insumos!$B$1:$B$670,Insumos!$D$1:$D$670),"")</f>
        <v>275</v>
      </c>
      <c r="H1158" s="1081" cm="1">
        <f t="array" ref="H1158">_xlfn.IFS(B1158="Serviço",SUMIFS(H1159:$H$2465,C1159:$C$2465,$C1158),B1158="Insumo",F1158*G1158,B1158="Etapa","")</f>
        <v>275</v>
      </c>
      <c r="I1158" s="1082"/>
    </row>
    <row r="1159" spans="1:9" hidden="1" outlineLevel="1" x14ac:dyDescent="0.25">
      <c r="A1159" s="1079">
        <f t="shared" si="46"/>
        <v>1</v>
      </c>
      <c r="B1159" s="1079" t="s">
        <v>471</v>
      </c>
      <c r="C1159" s="1079" t="str">
        <f t="shared" si="45"/>
        <v>Forro de madeira - Material e Mão de Obra</v>
      </c>
      <c r="D1159" s="1079" t="s">
        <v>1848</v>
      </c>
      <c r="E1159" s="1080" t="s">
        <v>17</v>
      </c>
      <c r="F1159" s="1079"/>
      <c r="G1159" s="1081" t="str">
        <f>IF(B1159="insumo",_xlfn.XLOOKUP($D1159,Insumos!$B$1:$B$670,Insumos!$D$1:$D$670),"")</f>
        <v/>
      </c>
      <c r="H1159" s="1081" cm="1">
        <f t="array" ref="H1159">_xlfn.IFS(B1159="Serviço",SUMIFS(H1160:$H$2465,C1160:$C$2465,$C1159),B1159="Insumo",F1159*G1159,B1159="Etapa","")</f>
        <v>249</v>
      </c>
      <c r="I1159" s="1082" t="s">
        <v>872</v>
      </c>
    </row>
    <row r="1160" spans="1:9" hidden="1" outlineLevel="2" x14ac:dyDescent="0.25">
      <c r="A1160" s="1079">
        <f t="shared" si="46"/>
        <v>1</v>
      </c>
      <c r="B1160" s="1079" t="s">
        <v>1362</v>
      </c>
      <c r="C1160" s="1079" t="str">
        <f t="shared" si="45"/>
        <v>Forro de madeira - Material e Mão de Obra</v>
      </c>
      <c r="D1160" s="1079" t="s">
        <v>1849</v>
      </c>
      <c r="E1160" s="1080" t="str">
        <f>_xlfn.XLOOKUP(D1160,Insumos!$B$1:$B$670,Insumos!$C$1:$C$670)</f>
        <v>M2</v>
      </c>
      <c r="F1160" s="1083">
        <v>1.1000000000000001</v>
      </c>
      <c r="G1160" s="1081">
        <f>IF(B1160="insumo",_xlfn.XLOOKUP($D1160,Insumos!$B$1:$B$670,Insumos!$D$1:$D$670),"")</f>
        <v>90</v>
      </c>
      <c r="H1160" s="1081" cm="1">
        <f t="array" ref="H1160">_xlfn.IFS(B1160="Serviço",SUMIFS(H1161:$H$2465,C1161:$C$2465,$C1160),B1160="Insumo",F1160*G1160,B1160="Etapa","")</f>
        <v>99.000000000000014</v>
      </c>
      <c r="I1160" s="1082"/>
    </row>
    <row r="1161" spans="1:9" hidden="1" outlineLevel="2" x14ac:dyDescent="0.25">
      <c r="A1161" s="1079">
        <f t="shared" si="46"/>
        <v>1</v>
      </c>
      <c r="B1161" s="1079" t="s">
        <v>1362</v>
      </c>
      <c r="C1161" s="1079" t="str">
        <f t="shared" si="45"/>
        <v>Forro de madeira - Material e Mão de Obra</v>
      </c>
      <c r="D1161" s="1079" t="s">
        <v>1850</v>
      </c>
      <c r="E1161" s="1080" t="str">
        <f>_xlfn.XLOOKUP(D1161,Insumos!$B$1:$B$670,Insumos!$C$1:$C$670)</f>
        <v>M2</v>
      </c>
      <c r="F1161" s="1083">
        <v>1</v>
      </c>
      <c r="G1161" s="1081">
        <f>IF(B1161="insumo",_xlfn.XLOOKUP($D1161,Insumos!$B$1:$B$670,Insumos!$D$1:$D$670),"")</f>
        <v>150</v>
      </c>
      <c r="H1161" s="1081" cm="1">
        <f t="array" ref="H1161">_xlfn.IFS(B1161="Serviço",SUMIFS(H1162:$H$2465,C1162:$C$2465,$C1161),B1161="Insumo",F1161*G1161,B1161="Etapa","")</f>
        <v>150</v>
      </c>
      <c r="I1161" s="1082"/>
    </row>
    <row r="1162" spans="1:9" hidden="1" outlineLevel="1" collapsed="1" x14ac:dyDescent="0.25">
      <c r="A1162" s="1079">
        <f t="shared" si="46"/>
        <v>1</v>
      </c>
      <c r="B1162" s="1079" t="s">
        <v>471</v>
      </c>
      <c r="C1162" s="1079" t="str">
        <f t="shared" si="45"/>
        <v>Forro de Porcelanato - Material e Mão de Obra</v>
      </c>
      <c r="D1162" s="1079" t="s">
        <v>1851</v>
      </c>
      <c r="E1162" s="1080" t="s">
        <v>17</v>
      </c>
      <c r="F1162" s="1079"/>
      <c r="G1162" s="1081" t="str">
        <f>IF(B1162="insumo",_xlfn.XLOOKUP($D1162,Insumos!$B$1:$B$670,Insumos!$D$1:$D$670),"")</f>
        <v/>
      </c>
      <c r="H1162" s="1081" cm="1">
        <f t="array" ref="H1162">_xlfn.IFS(B1162="Serviço",SUMIFS(H1163:$H$2465,C1163:$C$2465,$C1162),B1162="Insumo",F1162*G1162,B1162="Etapa","")</f>
        <v>273.44749999999999</v>
      </c>
      <c r="I1162" s="1082" t="s">
        <v>872</v>
      </c>
    </row>
    <row r="1163" spans="1:9" hidden="1" outlineLevel="2" x14ac:dyDescent="0.25">
      <c r="A1163" s="1079">
        <f t="shared" si="46"/>
        <v>1</v>
      </c>
      <c r="B1163" s="1079" t="s">
        <v>1362</v>
      </c>
      <c r="C1163" s="1079" t="str">
        <f t="shared" si="45"/>
        <v>Forro de Porcelanato - Material e Mão de Obra</v>
      </c>
      <c r="D1163" s="1079" t="s">
        <v>1313</v>
      </c>
      <c r="E1163" s="1080" t="str">
        <f>_xlfn.XLOOKUP(D1163,Insumos!$B$1:$B$670,Insumos!$C$1:$C$670)</f>
        <v>M2</v>
      </c>
      <c r="F1163" s="1083">
        <v>1.1000000000000001</v>
      </c>
      <c r="G1163" s="1081">
        <f>IF(B1163="insumo",_xlfn.XLOOKUP($D1163,Insumos!$B$1:$B$670,Insumos!$D$1:$D$670),"")</f>
        <v>112.22500000000001</v>
      </c>
      <c r="H1163" s="1081" cm="1">
        <f t="array" ref="H1163">_xlfn.IFS(B1163="Serviço",SUMIFS(H1164:$H$2465,C1164:$C$2465,$C1163),B1163="Insumo",F1163*G1163,B1163="Etapa","")</f>
        <v>123.44750000000002</v>
      </c>
      <c r="I1163" s="1082"/>
    </row>
    <row r="1164" spans="1:9" hidden="1" outlineLevel="2" x14ac:dyDescent="0.25">
      <c r="A1164" s="1079">
        <f t="shared" si="46"/>
        <v>1</v>
      </c>
      <c r="B1164" s="1079" t="s">
        <v>1362</v>
      </c>
      <c r="C1164" s="1079" t="str">
        <f t="shared" si="45"/>
        <v>Forro de Porcelanato - Material e Mão de Obra</v>
      </c>
      <c r="D1164" s="1079" t="s">
        <v>1852</v>
      </c>
      <c r="E1164" s="1080" t="str">
        <f>_xlfn.XLOOKUP(D1164,Insumos!$B$1:$B$670,Insumos!$C$1:$C$670)</f>
        <v>M2</v>
      </c>
      <c r="F1164" s="1083">
        <v>1</v>
      </c>
      <c r="G1164" s="1081">
        <f>IF(B1164="insumo",_xlfn.XLOOKUP($D1164,Insumos!$B$1:$B$670,Insumos!$D$1:$D$670),"")</f>
        <v>150</v>
      </c>
      <c r="H1164" s="1081" cm="1">
        <f t="array" ref="H1164">_xlfn.IFS(B1164="Serviço",SUMIFS(H1167:$H$2465,C1167:$C$2465,$C1164),B1164="Insumo",F1164*G1164,B1164="Etapa","")</f>
        <v>150</v>
      </c>
      <c r="I1164" s="1082"/>
    </row>
    <row r="1165" spans="1:9" hidden="1" outlineLevel="1" x14ac:dyDescent="0.25">
      <c r="A1165" s="1079">
        <f t="shared" si="46"/>
        <v>1</v>
      </c>
      <c r="B1165" s="1079" t="s">
        <v>471</v>
      </c>
      <c r="C1165" s="1079" t="str">
        <f>IF(B1165="serviço",D1165,C1162)</f>
        <v>Mão de obra execução de argamassado em teto</v>
      </c>
      <c r="D1165" s="1079" t="s">
        <v>2589</v>
      </c>
      <c r="E1165" s="1080" t="s">
        <v>17</v>
      </c>
      <c r="F1165" s="1083"/>
      <c r="G1165" s="1081" t="str">
        <f>IF(B1165="insumo",_xlfn.XLOOKUP($D1165,Insumos!$B$1:$B$670,Insumos!$D$1:$D$670),"")</f>
        <v/>
      </c>
      <c r="H1165" s="1081" cm="1">
        <f t="array" ref="H1165">_xlfn.IFS(B1165="Serviço",SUMIFS(H1166:$H$2465,C1166:$C$2465,$C1165),B1165="Insumo",F1165*G1165,B1165="Etapa","")</f>
        <v>25</v>
      </c>
      <c r="I1165" s="1082" t="s">
        <v>872</v>
      </c>
    </row>
    <row r="1166" spans="1:9" hidden="1" outlineLevel="2" x14ac:dyDescent="0.25">
      <c r="A1166" s="1079">
        <f t="shared" si="46"/>
        <v>2</v>
      </c>
      <c r="B1166" s="1079" t="s">
        <v>1362</v>
      </c>
      <c r="C1166" s="1079" t="str">
        <f t="shared" ref="C1166" si="49">IF(B1166="serviço",D1166,C1165)</f>
        <v>Mão de obra execução de argamassado em teto</v>
      </c>
      <c r="D1166" s="1079" t="s">
        <v>1853</v>
      </c>
      <c r="E1166" s="1080" t="str">
        <f>_xlfn.XLOOKUP(D1166,Insumos!$B$1:$B$670,Insumos!$C$1:$C$670)</f>
        <v>M2</v>
      </c>
      <c r="F1166" s="1083">
        <v>1</v>
      </c>
      <c r="G1166" s="1081">
        <f>IF(B1166="insumo",_xlfn.XLOOKUP($D1166,Insumos!$B$1:$B$670,Insumos!$D$1:$D$670),"")</f>
        <v>25</v>
      </c>
      <c r="H1166" s="1081" cm="1">
        <f t="array" ref="H1166">_xlfn.IFS(B1166="Serviço",SUMIFS(H1167:$H$2465,C1167:$C$2465,$C1166),B1166="Insumo",F1166*G1166,B1166="Etapa","")</f>
        <v>25</v>
      </c>
      <c r="I1166" s="1082"/>
    </row>
    <row r="1167" spans="1:9" hidden="1" outlineLevel="1" x14ac:dyDescent="0.25">
      <c r="A1167" s="1079">
        <f t="shared" si="46"/>
        <v>1</v>
      </c>
      <c r="B1167" s="1079" t="s">
        <v>471</v>
      </c>
      <c r="C1167" s="1079" t="str">
        <f>IF(B1167="serviço",D1167,C1164)</f>
        <v>Mão de obra execução de estucamento em teto</v>
      </c>
      <c r="D1167" s="1079" t="s">
        <v>1853</v>
      </c>
      <c r="E1167" s="1080" t="s">
        <v>17</v>
      </c>
      <c r="F1167" s="1083"/>
      <c r="G1167" s="1081" t="str">
        <f>IF(B1167="insumo",_xlfn.XLOOKUP($D1167,Insumos!$B$1:$B$670,Insumos!$D$1:$D$670),"")</f>
        <v/>
      </c>
      <c r="H1167" s="1081" cm="1">
        <f t="array" ref="H1167">_xlfn.IFS(B1167="Serviço",SUMIFS(H1168:$H$2465,C1168:$C$2465,$C1167),B1167="Insumo",F1167*G1167,B1167="Etapa","")</f>
        <v>25</v>
      </c>
      <c r="I1167" s="1082" t="s">
        <v>872</v>
      </c>
    </row>
    <row r="1168" spans="1:9" hidden="1" outlineLevel="2" x14ac:dyDescent="0.25">
      <c r="A1168" s="1079">
        <f t="shared" si="46"/>
        <v>2</v>
      </c>
      <c r="B1168" s="1079" t="s">
        <v>1362</v>
      </c>
      <c r="C1168" s="1079" t="str">
        <f t="shared" si="45"/>
        <v>Mão de obra execução de estucamento em teto</v>
      </c>
      <c r="D1168" s="1079" t="s">
        <v>1853</v>
      </c>
      <c r="E1168" s="1080" t="str">
        <f>_xlfn.XLOOKUP(D1168,Insumos!$B$1:$B$670,Insumos!$C$1:$C$670)</f>
        <v>M2</v>
      </c>
      <c r="F1168" s="1083">
        <v>1</v>
      </c>
      <c r="G1168" s="1081">
        <f>IF(B1168="insumo",_xlfn.XLOOKUP($D1168,Insumos!$B$1:$B$670,Insumos!$D$1:$D$670),"")</f>
        <v>25</v>
      </c>
      <c r="H1168" s="1081" cm="1">
        <f t="array" ref="H1168">_xlfn.IFS(B1168="Serviço",SUMIFS(H1169:$H$2465,C1169:$C$2465,$C1168),B1168="Insumo",F1168*G1168,B1168="Etapa","")</f>
        <v>25</v>
      </c>
      <c r="I1168" s="1082"/>
    </row>
    <row r="1169" spans="1:9" x14ac:dyDescent="0.25">
      <c r="A1169" s="1076">
        <f t="shared" si="46"/>
        <v>1</v>
      </c>
      <c r="B1169" s="1076" t="s">
        <v>469</v>
      </c>
      <c r="C1169" s="1076"/>
      <c r="D1169" s="1076" t="s">
        <v>1854</v>
      </c>
      <c r="E1169" s="1077"/>
      <c r="F1169" s="1078"/>
      <c r="G1169" s="1084" t="str">
        <f>IF(B1169="insumo",_xlfn.XLOOKUP($D1169,Insumos!$B$1:$B$670,Insumos!$D$1:$D$670),"")</f>
        <v/>
      </c>
      <c r="H1169" s="1084" t="str" cm="1">
        <f t="array" ref="H1169">_xlfn.IFS(B1169="Serviço",SUMIFS(H1170:$H$2465,C1170:$C$2465,$C1169),B1169="Insumo",F1169*G1169,B1169="Etapa","")</f>
        <v/>
      </c>
      <c r="I1169" s="1078"/>
    </row>
    <row r="1170" spans="1:9" outlineLevel="1" collapsed="1" x14ac:dyDescent="0.25">
      <c r="A1170" s="1079">
        <f t="shared" si="46"/>
        <v>1</v>
      </c>
      <c r="B1170" s="1079" t="s">
        <v>471</v>
      </c>
      <c r="C1170" s="1079" t="str">
        <f t="shared" ref="C1170:C1233" si="50">IF(B1170="serviço",D1170,C1169)</f>
        <v>Enchimento de escada com Concreto Magro, e=10cm</v>
      </c>
      <c r="D1170" s="1079" t="s">
        <v>1855</v>
      </c>
      <c r="E1170" s="1080" t="s">
        <v>1426</v>
      </c>
      <c r="F1170" s="1079"/>
      <c r="G1170" s="1081" t="str">
        <f>IF(B1170="insumo",_xlfn.XLOOKUP($D1170,Insumos!$B$1:$B$670,Insumos!$D$1:$D$670),"")</f>
        <v/>
      </c>
      <c r="H1170" s="1081" cm="1">
        <f t="array" ref="H1170">_xlfn.IFS(B1170="Serviço",SUMIFS(H1171:$H$2465,C1171:$C$2465,$C1170),B1170="Insumo",F1170*G1170,B1170="Etapa","")</f>
        <v>495.24700000000001</v>
      </c>
      <c r="I1170" s="1082" t="s">
        <v>872</v>
      </c>
    </row>
    <row r="1171" spans="1:9" hidden="1" outlineLevel="2" x14ac:dyDescent="0.25">
      <c r="A1171" s="1079">
        <f t="shared" si="46"/>
        <v>3</v>
      </c>
      <c r="B1171" s="1079" t="s">
        <v>1362</v>
      </c>
      <c r="C1171" s="1079" t="str">
        <f t="shared" si="50"/>
        <v>Enchimento de escada com Concreto Magro, e=10cm</v>
      </c>
      <c r="D1171" s="1079" t="s">
        <v>1432</v>
      </c>
      <c r="E1171" s="1080" t="str">
        <f>_xlfn.XLOOKUP(D1171,Insumos!$B$1:$B$670,Insumos!$C$1:$C$670)</f>
        <v>M3</v>
      </c>
      <c r="F1171" s="1083">
        <v>1.05</v>
      </c>
      <c r="G1171" s="1081">
        <f>IF(B1171="insumo",_xlfn.XLOOKUP($D1171,Insumos!$B$1:$B$670,Insumos!$D$1:$D$670),"")</f>
        <v>430.94</v>
      </c>
      <c r="H1171" s="1081" cm="1">
        <f t="array" ref="H1171">_xlfn.IFS(B1171="Serviço",SUMIFS(H1172:$H$2465,C1172:$C$2465,$C1171),B1171="Insumo",F1171*G1171,B1171="Etapa","")</f>
        <v>452.48700000000002</v>
      </c>
      <c r="I1171" s="1082"/>
    </row>
    <row r="1172" spans="1:9" hidden="1" outlineLevel="2" x14ac:dyDescent="0.25">
      <c r="A1172" s="1079">
        <f t="shared" si="46"/>
        <v>22</v>
      </c>
      <c r="B1172" s="1079" t="s">
        <v>1362</v>
      </c>
      <c r="C1172" s="1079" t="str">
        <f t="shared" si="50"/>
        <v>Enchimento de escada com Concreto Magro, e=10cm</v>
      </c>
      <c r="D1172" s="1079" t="s">
        <v>1433</v>
      </c>
      <c r="E1172" s="1080" t="str">
        <f>_xlfn.XLOOKUP(D1172,Insumos!$B$1:$B$670,Insumos!$C$1:$C$670)</f>
        <v>M3</v>
      </c>
      <c r="F1172" s="1083">
        <v>1.05</v>
      </c>
      <c r="G1172" s="1081">
        <f>IF(B1172="insumo",_xlfn.XLOOKUP($D1172,Insumos!$B$1:$B$670,Insumos!$D$1:$D$670),"")</f>
        <v>40</v>
      </c>
      <c r="H1172" s="1081" cm="1">
        <f t="array" ref="H1172">_xlfn.IFS(B1172="Serviço",SUMIFS(H1173:$H$2465,C1173:$C$2465,$C1172),B1172="Insumo",F1172*G1172,B1172="Etapa","")</f>
        <v>42</v>
      </c>
      <c r="I1172" s="1082"/>
    </row>
    <row r="1173" spans="1:9" hidden="1" outlineLevel="2" x14ac:dyDescent="0.25">
      <c r="A1173" s="1079">
        <f t="shared" si="46"/>
        <v>38</v>
      </c>
      <c r="B1173" s="1079" t="s">
        <v>1362</v>
      </c>
      <c r="C1173" s="1079" t="str">
        <f t="shared" si="50"/>
        <v>Enchimento de escada com Concreto Magro, e=10cm</v>
      </c>
      <c r="D1173" s="1079" t="s">
        <v>1434</v>
      </c>
      <c r="E1173" s="1080" t="str">
        <f>_xlfn.XLOOKUP(D1173,Insumos!$B$1:$B$670,Insumos!$C$1:$C$670)</f>
        <v>KG</v>
      </c>
      <c r="F1173" s="1083">
        <v>1</v>
      </c>
      <c r="G1173" s="1081">
        <f>IF(B1173="insumo",_xlfn.XLOOKUP($D1173,Insumos!$B$1:$B$670,Insumos!$D$1:$D$670),"")</f>
        <v>0.76</v>
      </c>
      <c r="H1173" s="1081" cm="1">
        <f t="array" ref="H1173">_xlfn.IFS(B1173="Serviço",SUMIFS(H1174:$H$2465,C1174:$C$2465,$C1173),B1173="Insumo",F1173*G1173,B1173="Etapa","")</f>
        <v>0.76</v>
      </c>
      <c r="I1173" s="1082"/>
    </row>
    <row r="1174" spans="1:9" outlineLevel="1" collapsed="1" x14ac:dyDescent="0.25">
      <c r="A1174" s="1079">
        <f t="shared" si="46"/>
        <v>1</v>
      </c>
      <c r="B1174" s="1079" t="s">
        <v>471</v>
      </c>
      <c r="C1174" s="1079" t="str">
        <f t="shared" si="50"/>
        <v>Contrapiso comum em argamassa estabilizada, auto nivelado, espessura 2cm</v>
      </c>
      <c r="D1174" s="1079" t="s">
        <v>1856</v>
      </c>
      <c r="E1174" s="1080" t="s">
        <v>17</v>
      </c>
      <c r="F1174" s="1079"/>
      <c r="G1174" s="1081" t="str">
        <f>IF(B1174="insumo",_xlfn.XLOOKUP($D1174,Insumos!$B$1:$B$670,Insumos!$D$1:$D$670),"")</f>
        <v/>
      </c>
      <c r="H1174" s="1081" cm="1">
        <f t="array" ref="H1174">_xlfn.IFS(B1174="Serviço",SUMIFS(H1175:$H$2465,C1175:$C$2465,$C1174),B1174="Insumo",F1174*G1174,B1174="Etapa","")</f>
        <v>21.856140000000003</v>
      </c>
      <c r="I1174" s="1082" t="s">
        <v>872</v>
      </c>
    </row>
    <row r="1175" spans="1:9" hidden="1" outlineLevel="2" x14ac:dyDescent="0.25">
      <c r="A1175" s="1079">
        <f t="shared" si="46"/>
        <v>32</v>
      </c>
      <c r="B1175" s="1079" t="s">
        <v>1362</v>
      </c>
      <c r="C1175" s="1079" t="str">
        <f t="shared" si="50"/>
        <v>Contrapiso comum em argamassa estabilizada, auto nivelado, espessura 2cm</v>
      </c>
      <c r="D1175" s="1079" t="s">
        <v>1727</v>
      </c>
      <c r="E1175" s="1080" t="str">
        <f>_xlfn.XLOOKUP(D1175,Insumos!$B$1:$B$670,Insumos!$C$1:$C$670)</f>
        <v>M3</v>
      </c>
      <c r="F1175" s="1083">
        <v>2.2000000000000002E-2</v>
      </c>
      <c r="G1175" s="1081">
        <f>IF(B1175="insumo",_xlfn.XLOOKUP($D1175,Insumos!$B$1:$B$670,Insumos!$D$1:$D$670),"")</f>
        <v>550</v>
      </c>
      <c r="H1175" s="1081" cm="1">
        <f t="array" ref="H1175">_xlfn.IFS(B1175="Serviço",SUMIFS(H1176:$H$2465,C1176:$C$2465,$C1175),B1175="Insumo",F1175*G1175,B1175="Etapa","")</f>
        <v>12.100000000000001</v>
      </c>
      <c r="I1175" s="1082"/>
    </row>
    <row r="1176" spans="1:9" hidden="1" outlineLevel="2" x14ac:dyDescent="0.25">
      <c r="A1176" s="1079">
        <f t="shared" si="46"/>
        <v>35</v>
      </c>
      <c r="B1176" s="1079" t="s">
        <v>1362</v>
      </c>
      <c r="C1176" s="1079" t="str">
        <f t="shared" si="50"/>
        <v>Contrapiso comum em argamassa estabilizada, auto nivelado, espessura 2cm</v>
      </c>
      <c r="D1176" s="1079" t="s">
        <v>1783</v>
      </c>
      <c r="E1176" s="1080" t="str">
        <f>_xlfn.XLOOKUP(D1176,Insumos!$B$1:$B$670,Insumos!$C$1:$C$670)</f>
        <v>L</v>
      </c>
      <c r="F1176" s="1083">
        <v>2.1000000000000001E-2</v>
      </c>
      <c r="G1176" s="1081">
        <f>IF(B1176="insumo",_xlfn.XLOOKUP($D1176,Insumos!$B$1:$B$670,Insumos!$D$1:$D$670),"")</f>
        <v>19.34</v>
      </c>
      <c r="H1176" s="1081" cm="1">
        <f t="array" ref="H1176">_xlfn.IFS(B1176="Serviço",SUMIFS(H1177:$H$2465,C1177:$C$2465,$C1176),B1176="Insumo",F1176*G1176,B1176="Etapa","")</f>
        <v>0.40614</v>
      </c>
      <c r="I1176" s="1082"/>
    </row>
    <row r="1177" spans="1:9" hidden="1" outlineLevel="2" x14ac:dyDescent="0.25">
      <c r="A1177" s="1079">
        <f t="shared" si="46"/>
        <v>5</v>
      </c>
      <c r="B1177" s="1079" t="s">
        <v>1362</v>
      </c>
      <c r="C1177" s="1079" t="str">
        <f t="shared" si="50"/>
        <v>Contrapiso comum em argamassa estabilizada, auto nivelado, espessura 2cm</v>
      </c>
      <c r="D1177" s="1079" t="s">
        <v>1857</v>
      </c>
      <c r="E1177" s="1080" t="str">
        <f>_xlfn.XLOOKUP(D1177,Insumos!$B$1:$B$670,Insumos!$C$1:$C$670)</f>
        <v>KG</v>
      </c>
      <c r="F1177" s="1083">
        <v>2.2000000000000002</v>
      </c>
      <c r="G1177" s="1081">
        <f>IF(B1177="insumo",_xlfn.XLOOKUP($D1177,Insumos!$B$1:$B$670,Insumos!$D$1:$D$670),"")</f>
        <v>4.25</v>
      </c>
      <c r="H1177" s="1081" cm="1">
        <f t="array" ref="H1177">_xlfn.IFS(B1177="Serviço",SUMIFS(H1178:$H$2465,C1178:$C$2465,$C1177),B1177="Insumo",F1177*G1177,B1177="Etapa","")</f>
        <v>9.3500000000000014</v>
      </c>
      <c r="I1177" s="1082"/>
    </row>
    <row r="1178" spans="1:9" outlineLevel="1" collapsed="1" x14ac:dyDescent="0.25">
      <c r="A1178" s="1079">
        <f t="shared" si="46"/>
        <v>1</v>
      </c>
      <c r="B1178" s="1079" t="s">
        <v>471</v>
      </c>
      <c r="C1178" s="1079" t="str">
        <f t="shared" si="50"/>
        <v>Contrapiso comum em argamassa estabilizada, auto nivelado, espessura 2,5cm</v>
      </c>
      <c r="D1178" s="1079" t="s">
        <v>1858</v>
      </c>
      <c r="E1178" s="1080" t="s">
        <v>17</v>
      </c>
      <c r="F1178" s="1079"/>
      <c r="G1178" s="1081" t="str">
        <f>IF(B1178="insumo",_xlfn.XLOOKUP($D1178,Insumos!$B$1:$B$670,Insumos!$D$1:$D$670),"")</f>
        <v/>
      </c>
      <c r="H1178" s="1081" cm="1">
        <f t="array" ref="H1178">_xlfn.IFS(B1178="Serviço",SUMIFS(H1179:$H$2465,C1179:$C$2465,$C1178),B1178="Insumo",F1178*G1178,B1178="Etapa","")</f>
        <v>24.881140000000002</v>
      </c>
      <c r="I1178" s="1082" t="s">
        <v>872</v>
      </c>
    </row>
    <row r="1179" spans="1:9" hidden="1" outlineLevel="2" x14ac:dyDescent="0.25">
      <c r="A1179" s="1079">
        <f t="shared" si="46"/>
        <v>32</v>
      </c>
      <c r="B1179" s="1079" t="s">
        <v>1362</v>
      </c>
      <c r="C1179" s="1079" t="str">
        <f t="shared" si="50"/>
        <v>Contrapiso comum em argamassa estabilizada, auto nivelado, espessura 2,5cm</v>
      </c>
      <c r="D1179" s="1079" t="s">
        <v>1727</v>
      </c>
      <c r="E1179" s="1080" t="str">
        <f>_xlfn.XLOOKUP(D1179,Insumos!$B$1:$B$670,Insumos!$C$1:$C$670)</f>
        <v>M3</v>
      </c>
      <c r="F1179" s="1083">
        <v>2.7500000000000004E-2</v>
      </c>
      <c r="G1179" s="1081">
        <f>IF(B1179="insumo",_xlfn.XLOOKUP($D1179,Insumos!$B$1:$B$670,Insumos!$D$1:$D$670),"")</f>
        <v>550</v>
      </c>
      <c r="H1179" s="1081" cm="1">
        <f t="array" ref="H1179">_xlfn.IFS(B1179="Serviço",SUMIFS(H1180:$H$2465,C1180:$C$2465,$C1179),B1179="Insumo",F1179*G1179,B1179="Etapa","")</f>
        <v>15.125000000000002</v>
      </c>
      <c r="I1179" s="1082"/>
    </row>
    <row r="1180" spans="1:9" hidden="1" outlineLevel="2" x14ac:dyDescent="0.25">
      <c r="A1180" s="1079">
        <f t="shared" si="46"/>
        <v>35</v>
      </c>
      <c r="B1180" s="1079" t="s">
        <v>1362</v>
      </c>
      <c r="C1180" s="1079" t="str">
        <f t="shared" si="50"/>
        <v>Contrapiso comum em argamassa estabilizada, auto nivelado, espessura 2,5cm</v>
      </c>
      <c r="D1180" s="1079" t="s">
        <v>1783</v>
      </c>
      <c r="E1180" s="1080" t="str">
        <f>_xlfn.XLOOKUP(D1180,Insumos!$B$1:$B$670,Insumos!$C$1:$C$670)</f>
        <v>L</v>
      </c>
      <c r="F1180" s="1083">
        <v>2.1000000000000001E-2</v>
      </c>
      <c r="G1180" s="1081">
        <f>IF(B1180="insumo",_xlfn.XLOOKUP($D1180,Insumos!$B$1:$B$670,Insumos!$D$1:$D$670),"")</f>
        <v>19.34</v>
      </c>
      <c r="H1180" s="1081" cm="1">
        <f t="array" ref="H1180">_xlfn.IFS(B1180="Serviço",SUMIFS(H1181:$H$2465,C1181:$C$2465,$C1180),B1180="Insumo",F1180*G1180,B1180="Etapa","")</f>
        <v>0.40614</v>
      </c>
      <c r="I1180" s="1082"/>
    </row>
    <row r="1181" spans="1:9" hidden="1" outlineLevel="2" x14ac:dyDescent="0.25">
      <c r="A1181" s="1079">
        <f t="shared" si="46"/>
        <v>5</v>
      </c>
      <c r="B1181" s="1079" t="s">
        <v>1362</v>
      </c>
      <c r="C1181" s="1079" t="str">
        <f t="shared" si="50"/>
        <v>Contrapiso comum em argamassa estabilizada, auto nivelado, espessura 2,5cm</v>
      </c>
      <c r="D1181" s="1079" t="s">
        <v>1857</v>
      </c>
      <c r="E1181" s="1080" t="str">
        <f>_xlfn.XLOOKUP(D1181,Insumos!$B$1:$B$670,Insumos!$C$1:$C$670)</f>
        <v>KG</v>
      </c>
      <c r="F1181" s="1083">
        <v>2.2000000000000002</v>
      </c>
      <c r="G1181" s="1081">
        <f>IF(B1181="insumo",_xlfn.XLOOKUP($D1181,Insumos!$B$1:$B$670,Insumos!$D$1:$D$670),"")</f>
        <v>4.25</v>
      </c>
      <c r="H1181" s="1081" cm="1">
        <f t="array" ref="H1181">_xlfn.IFS(B1181="Serviço",SUMIFS(H1182:$H$2465,C1182:$C$2465,$C1181),B1181="Insumo",F1181*G1181,B1181="Etapa","")</f>
        <v>9.3500000000000014</v>
      </c>
      <c r="I1181" s="1082"/>
    </row>
    <row r="1182" spans="1:9" outlineLevel="1" collapsed="1" x14ac:dyDescent="0.25">
      <c r="A1182" s="1079">
        <f t="shared" si="46"/>
        <v>1</v>
      </c>
      <c r="B1182" s="1079" t="s">
        <v>471</v>
      </c>
      <c r="C1182" s="1079" t="str">
        <f t="shared" si="50"/>
        <v>Contrapiso comum em argamassa estabilizada, auto nivelado, espessura 3cm</v>
      </c>
      <c r="D1182" s="1079" t="s">
        <v>1859</v>
      </c>
      <c r="E1182" s="1080" t="s">
        <v>17</v>
      </c>
      <c r="F1182" s="1079"/>
      <c r="G1182" s="1081" t="str">
        <f>IF(B1182="insumo",_xlfn.XLOOKUP($D1182,Insumos!$B$1:$B$670,Insumos!$D$1:$D$670),"")</f>
        <v/>
      </c>
      <c r="H1182" s="1081" cm="1">
        <f t="array" ref="H1182">_xlfn.IFS(B1182="Serviço",SUMIFS(H1183:$H$2465,C1183:$C$2465,$C1182),B1182="Insumo",F1182*G1182,B1182="Etapa","")</f>
        <v>27.906140000000004</v>
      </c>
      <c r="I1182" s="1082" t="s">
        <v>872</v>
      </c>
    </row>
    <row r="1183" spans="1:9" hidden="1" outlineLevel="2" x14ac:dyDescent="0.25">
      <c r="A1183" s="1079">
        <f t="shared" si="46"/>
        <v>32</v>
      </c>
      <c r="B1183" s="1079" t="s">
        <v>1362</v>
      </c>
      <c r="C1183" s="1079" t="str">
        <f t="shared" si="50"/>
        <v>Contrapiso comum em argamassa estabilizada, auto nivelado, espessura 3cm</v>
      </c>
      <c r="D1183" s="1079" t="s">
        <v>1727</v>
      </c>
      <c r="E1183" s="1080" t="str">
        <f>_xlfn.XLOOKUP(D1183,Insumos!$B$1:$B$670,Insumos!$C$1:$C$670)</f>
        <v>M3</v>
      </c>
      <c r="F1183" s="1083">
        <v>3.3000000000000002E-2</v>
      </c>
      <c r="G1183" s="1081">
        <f>IF(B1183="insumo",_xlfn.XLOOKUP($D1183,Insumos!$B$1:$B$670,Insumos!$D$1:$D$670),"")</f>
        <v>550</v>
      </c>
      <c r="H1183" s="1081" cm="1">
        <f t="array" ref="H1183">_xlfn.IFS(B1183="Serviço",SUMIFS(H1184:$H$2465,C1184:$C$2465,$C1183),B1183="Insumo",F1183*G1183,B1183="Etapa","")</f>
        <v>18.150000000000002</v>
      </c>
      <c r="I1183" s="1082"/>
    </row>
    <row r="1184" spans="1:9" hidden="1" outlineLevel="2" x14ac:dyDescent="0.25">
      <c r="A1184" s="1079">
        <f t="shared" si="46"/>
        <v>35</v>
      </c>
      <c r="B1184" s="1079" t="s">
        <v>1362</v>
      </c>
      <c r="C1184" s="1079" t="str">
        <f t="shared" si="50"/>
        <v>Contrapiso comum em argamassa estabilizada, auto nivelado, espessura 3cm</v>
      </c>
      <c r="D1184" s="1079" t="s">
        <v>1783</v>
      </c>
      <c r="E1184" s="1080" t="str">
        <f>_xlfn.XLOOKUP(D1184,Insumos!$B$1:$B$670,Insumos!$C$1:$C$670)</f>
        <v>L</v>
      </c>
      <c r="F1184" s="1083">
        <v>2.1000000000000001E-2</v>
      </c>
      <c r="G1184" s="1081">
        <f>IF(B1184="insumo",_xlfn.XLOOKUP($D1184,Insumos!$B$1:$B$670,Insumos!$D$1:$D$670),"")</f>
        <v>19.34</v>
      </c>
      <c r="H1184" s="1081" cm="1">
        <f t="array" ref="H1184">_xlfn.IFS(B1184="Serviço",SUMIFS(H1185:$H$2465,C1185:$C$2465,$C1184),B1184="Insumo",F1184*G1184,B1184="Etapa","")</f>
        <v>0.40614</v>
      </c>
      <c r="I1184" s="1082"/>
    </row>
    <row r="1185" spans="1:9" hidden="1" outlineLevel="2" x14ac:dyDescent="0.25">
      <c r="A1185" s="1079">
        <f t="shared" si="46"/>
        <v>5</v>
      </c>
      <c r="B1185" s="1079" t="s">
        <v>1362</v>
      </c>
      <c r="C1185" s="1079" t="str">
        <f t="shared" si="50"/>
        <v>Contrapiso comum em argamassa estabilizada, auto nivelado, espessura 3cm</v>
      </c>
      <c r="D1185" s="1079" t="s">
        <v>1857</v>
      </c>
      <c r="E1185" s="1080" t="str">
        <f>_xlfn.XLOOKUP(D1185,Insumos!$B$1:$B$670,Insumos!$C$1:$C$670)</f>
        <v>KG</v>
      </c>
      <c r="F1185" s="1083">
        <v>2.2000000000000002</v>
      </c>
      <c r="G1185" s="1081">
        <f>IF(B1185="insumo",_xlfn.XLOOKUP($D1185,Insumos!$B$1:$B$670,Insumos!$D$1:$D$670),"")</f>
        <v>4.25</v>
      </c>
      <c r="H1185" s="1081" cm="1">
        <f t="array" ref="H1185">_xlfn.IFS(B1185="Serviço",SUMIFS(H1186:$H$2465,C1186:$C$2465,$C1185),B1185="Insumo",F1185*G1185,B1185="Etapa","")</f>
        <v>9.3500000000000014</v>
      </c>
      <c r="I1185" s="1082"/>
    </row>
    <row r="1186" spans="1:9" outlineLevel="1" collapsed="1" x14ac:dyDescent="0.25">
      <c r="A1186" s="1079">
        <f t="shared" si="46"/>
        <v>1</v>
      </c>
      <c r="B1186" s="1079" t="s">
        <v>471</v>
      </c>
      <c r="C1186" s="1079" t="str">
        <f t="shared" si="50"/>
        <v>Contrapiso comum em argamassa estabilizada, auto nivelado, espessura 8cm</v>
      </c>
      <c r="D1186" s="1079" t="s">
        <v>1860</v>
      </c>
      <c r="E1186" s="1080" t="s">
        <v>17</v>
      </c>
      <c r="F1186" s="1079"/>
      <c r="G1186" s="1081" t="str">
        <f>IF(B1186="insumo",_xlfn.XLOOKUP($D1186,Insumos!$B$1:$B$670,Insumos!$D$1:$D$670),"")</f>
        <v/>
      </c>
      <c r="H1186" s="1081" cm="1">
        <f t="array" ref="H1186">_xlfn.IFS(B1186="Serviço",SUMIFS(H1187:$H$2465,C1187:$C$2465,$C1186),B1186="Insumo",F1186*G1186,B1186="Etapa","")</f>
        <v>55.956140000000005</v>
      </c>
      <c r="I1186" s="1082" t="s">
        <v>872</v>
      </c>
    </row>
    <row r="1187" spans="1:9" hidden="1" outlineLevel="2" x14ac:dyDescent="0.25">
      <c r="A1187" s="1079">
        <f t="shared" si="46"/>
        <v>32</v>
      </c>
      <c r="B1187" s="1079" t="s">
        <v>1362</v>
      </c>
      <c r="C1187" s="1079" t="str">
        <f t="shared" si="50"/>
        <v>Contrapiso comum em argamassa estabilizada, auto nivelado, espessura 8cm</v>
      </c>
      <c r="D1187" s="1079" t="s">
        <v>1727</v>
      </c>
      <c r="E1187" s="1080" t="str">
        <f>_xlfn.XLOOKUP(D1187,Insumos!$B$1:$B$670,Insumos!$C$1:$C$670)</f>
        <v>M3</v>
      </c>
      <c r="F1187" s="1083">
        <f>0.08*1.05</f>
        <v>8.4000000000000005E-2</v>
      </c>
      <c r="G1187" s="1081">
        <f>IF(B1187="insumo",_xlfn.XLOOKUP($D1187,Insumos!$B$1:$B$670,Insumos!$D$1:$D$670),"")</f>
        <v>550</v>
      </c>
      <c r="H1187" s="1081" cm="1">
        <f t="array" ref="H1187">_xlfn.IFS(B1187="Serviço",SUMIFS(H1188:$H$2465,C1188:$C$2465,$C1187),B1187="Insumo",F1187*G1187,B1187="Etapa","")</f>
        <v>46.2</v>
      </c>
      <c r="I1187" s="1082"/>
    </row>
    <row r="1188" spans="1:9" hidden="1" outlineLevel="2" x14ac:dyDescent="0.25">
      <c r="A1188" s="1079">
        <f t="shared" si="46"/>
        <v>35</v>
      </c>
      <c r="B1188" s="1079" t="s">
        <v>1362</v>
      </c>
      <c r="C1188" s="1079" t="str">
        <f t="shared" si="50"/>
        <v>Contrapiso comum em argamassa estabilizada, auto nivelado, espessura 8cm</v>
      </c>
      <c r="D1188" s="1079" t="s">
        <v>1783</v>
      </c>
      <c r="E1188" s="1080" t="str">
        <f>_xlfn.XLOOKUP(D1188,Insumos!$B$1:$B$670,Insumos!$C$1:$C$670)</f>
        <v>L</v>
      </c>
      <c r="F1188" s="1083">
        <v>2.1000000000000001E-2</v>
      </c>
      <c r="G1188" s="1081">
        <f>IF(B1188="insumo",_xlfn.XLOOKUP($D1188,Insumos!$B$1:$B$670,Insumos!$D$1:$D$670),"")</f>
        <v>19.34</v>
      </c>
      <c r="H1188" s="1081" cm="1">
        <f t="array" ref="H1188">_xlfn.IFS(B1188="Serviço",SUMIFS(H1189:$H$2465,C1189:$C$2465,$C1188),B1188="Insumo",F1188*G1188,B1188="Etapa","")</f>
        <v>0.40614</v>
      </c>
      <c r="I1188" s="1082"/>
    </row>
    <row r="1189" spans="1:9" hidden="1" outlineLevel="2" x14ac:dyDescent="0.25">
      <c r="A1189" s="1079">
        <f t="shared" si="46"/>
        <v>5</v>
      </c>
      <c r="B1189" s="1079" t="s">
        <v>1362</v>
      </c>
      <c r="C1189" s="1079" t="str">
        <f t="shared" si="50"/>
        <v>Contrapiso comum em argamassa estabilizada, auto nivelado, espessura 8cm</v>
      </c>
      <c r="D1189" s="1079" t="s">
        <v>1857</v>
      </c>
      <c r="E1189" s="1080" t="str">
        <f>_xlfn.XLOOKUP(D1189,Insumos!$B$1:$B$670,Insumos!$C$1:$C$670)</f>
        <v>KG</v>
      </c>
      <c r="F1189" s="1083">
        <v>2.2000000000000002</v>
      </c>
      <c r="G1189" s="1081">
        <f>IF(B1189="insumo",_xlfn.XLOOKUP($D1189,Insumos!$B$1:$B$670,Insumos!$D$1:$D$670),"")</f>
        <v>4.25</v>
      </c>
      <c r="H1189" s="1081" cm="1">
        <f t="array" ref="H1189">_xlfn.IFS(B1189="Serviço",SUMIFS(H1190:$H$2465,C1190:$C$2465,$C1189),B1189="Insumo",F1189*G1189,B1189="Etapa","")</f>
        <v>9.3500000000000014</v>
      </c>
      <c r="I1189" s="1082"/>
    </row>
    <row r="1190" spans="1:9" outlineLevel="1" collapsed="1" x14ac:dyDescent="0.25">
      <c r="A1190" s="1079">
        <f t="shared" si="46"/>
        <v>1</v>
      </c>
      <c r="B1190" s="1079" t="s">
        <v>471</v>
      </c>
      <c r="C1190" s="1079" t="str">
        <f t="shared" si="50"/>
        <v>Contrapiso comum em argamassa estabilizada, nao aderido, espessura 2cm</v>
      </c>
      <c r="D1190" s="1079" t="s">
        <v>1861</v>
      </c>
      <c r="E1190" s="1080" t="s">
        <v>17</v>
      </c>
      <c r="F1190" s="1079"/>
      <c r="G1190" s="1081" t="str">
        <f>IF(B1190="insumo",_xlfn.XLOOKUP($D1190,Insumos!$B$1:$B$670,Insumos!$D$1:$D$670),"")</f>
        <v/>
      </c>
      <c r="H1190" s="1081" cm="1">
        <f t="array" ref="H1190">_xlfn.IFS(B1190="Serviço",SUMIFS(H1191:$H$2465,C1191:$C$2465,$C1190),B1190="Insumo",F1190*G1190,B1190="Etapa","")</f>
        <v>12.506140000000002</v>
      </c>
      <c r="I1190" s="1082" t="s">
        <v>872</v>
      </c>
    </row>
    <row r="1191" spans="1:9" hidden="1" outlineLevel="2" x14ac:dyDescent="0.25">
      <c r="A1191" s="1079">
        <f t="shared" si="46"/>
        <v>32</v>
      </c>
      <c r="B1191" s="1079" t="s">
        <v>1362</v>
      </c>
      <c r="C1191" s="1079" t="str">
        <f t="shared" si="50"/>
        <v>Contrapiso comum em argamassa estabilizada, nao aderido, espessura 2cm</v>
      </c>
      <c r="D1191" s="1079" t="s">
        <v>1727</v>
      </c>
      <c r="E1191" s="1080" t="str">
        <f>_xlfn.XLOOKUP(D1191,Insumos!$B$1:$B$670,Insumos!$C$1:$C$670)</f>
        <v>M3</v>
      </c>
      <c r="F1191" s="1083">
        <v>2.2000000000000002E-2</v>
      </c>
      <c r="G1191" s="1081">
        <f>IF(B1191="insumo",_xlfn.XLOOKUP($D1191,Insumos!$B$1:$B$670,Insumos!$D$1:$D$670),"")</f>
        <v>550</v>
      </c>
      <c r="H1191" s="1081" cm="1">
        <f t="array" ref="H1191">_xlfn.IFS(B1191="Serviço",SUMIFS(H1192:$H$2465,C1192:$C$2465,$C1191),B1191="Insumo",F1191*G1191,B1191="Etapa","")</f>
        <v>12.100000000000001</v>
      </c>
      <c r="I1191" s="1082"/>
    </row>
    <row r="1192" spans="1:9" hidden="1" outlineLevel="2" x14ac:dyDescent="0.25">
      <c r="A1192" s="1079">
        <f t="shared" si="46"/>
        <v>35</v>
      </c>
      <c r="B1192" s="1079" t="s">
        <v>1362</v>
      </c>
      <c r="C1192" s="1079" t="str">
        <f t="shared" si="50"/>
        <v>Contrapiso comum em argamassa estabilizada, nao aderido, espessura 2cm</v>
      </c>
      <c r="D1192" s="1079" t="s">
        <v>1783</v>
      </c>
      <c r="E1192" s="1080" t="str">
        <f>_xlfn.XLOOKUP(D1192,Insumos!$B$1:$B$670,Insumos!$C$1:$C$670)</f>
        <v>L</v>
      </c>
      <c r="F1192" s="1083">
        <v>2.1000000000000001E-2</v>
      </c>
      <c r="G1192" s="1081">
        <f>IF(B1192="insumo",_xlfn.XLOOKUP($D1192,Insumos!$B$1:$B$670,Insumos!$D$1:$D$670),"")</f>
        <v>19.34</v>
      </c>
      <c r="H1192" s="1081" cm="1">
        <f t="array" ref="H1192">_xlfn.IFS(B1192="Serviço",SUMIFS(H1193:$H$2465,C1193:$C$2465,$C1192),B1192="Insumo",F1192*G1192,B1192="Etapa","")</f>
        <v>0.40614</v>
      </c>
      <c r="I1192" s="1082"/>
    </row>
    <row r="1193" spans="1:9" outlineLevel="1" collapsed="1" x14ac:dyDescent="0.25">
      <c r="A1193" s="1079">
        <f t="shared" si="46"/>
        <v>1</v>
      </c>
      <c r="B1193" s="1079" t="s">
        <v>471</v>
      </c>
      <c r="C1193" s="1079" t="str">
        <f t="shared" si="50"/>
        <v>Contrapiso comum em argamassa estabilizada, nao aderido, espessura 2,5cm</v>
      </c>
      <c r="D1193" s="1079" t="s">
        <v>1862</v>
      </c>
      <c r="E1193" s="1080" t="s">
        <v>17</v>
      </c>
      <c r="F1193" s="1079"/>
      <c r="G1193" s="1081" t="str">
        <f>IF(B1193="insumo",_xlfn.XLOOKUP($D1193,Insumos!$B$1:$B$670,Insumos!$D$1:$D$670),"")</f>
        <v/>
      </c>
      <c r="H1193" s="1081" cm="1">
        <f t="array" ref="H1193">_xlfn.IFS(B1193="Serviço",SUMIFS(H1194:$H$2465,C1194:$C$2465,$C1193),B1193="Insumo",F1193*G1193,B1193="Etapa","")</f>
        <v>15.632675000000003</v>
      </c>
      <c r="I1193" s="1082" t="s">
        <v>872</v>
      </c>
    </row>
    <row r="1194" spans="1:9" hidden="1" outlineLevel="2" x14ac:dyDescent="0.25">
      <c r="A1194" s="1079">
        <f t="shared" si="46"/>
        <v>32</v>
      </c>
      <c r="B1194" s="1079" t="s">
        <v>1362</v>
      </c>
      <c r="C1194" s="1079" t="str">
        <f t="shared" si="50"/>
        <v>Contrapiso comum em argamassa estabilizada, nao aderido, espessura 2,5cm</v>
      </c>
      <c r="D1194" s="1079" t="s">
        <v>1727</v>
      </c>
      <c r="E1194" s="1080" t="str">
        <f>_xlfn.XLOOKUP(D1194,Insumos!$B$1:$B$670,Insumos!$C$1:$C$670)</f>
        <v>M3</v>
      </c>
      <c r="F1194" s="1083">
        <v>2.7500000000000004E-2</v>
      </c>
      <c r="G1194" s="1081">
        <f>IF(B1194="insumo",_xlfn.XLOOKUP($D1194,Insumos!$B$1:$B$670,Insumos!$D$1:$D$670),"")</f>
        <v>550</v>
      </c>
      <c r="H1194" s="1081" cm="1">
        <f t="array" ref="H1194">_xlfn.IFS(B1194="Serviço",SUMIFS(H1195:$H$2465,C1195:$C$2465,$C1194),B1194="Insumo",F1194*G1194,B1194="Etapa","")</f>
        <v>15.125000000000002</v>
      </c>
      <c r="I1194" s="1082"/>
    </row>
    <row r="1195" spans="1:9" hidden="1" outlineLevel="2" x14ac:dyDescent="0.25">
      <c r="A1195" s="1079">
        <f t="shared" si="46"/>
        <v>35</v>
      </c>
      <c r="B1195" s="1079" t="s">
        <v>1362</v>
      </c>
      <c r="C1195" s="1079" t="str">
        <f t="shared" si="50"/>
        <v>Contrapiso comum em argamassa estabilizada, nao aderido, espessura 2,5cm</v>
      </c>
      <c r="D1195" s="1079" t="s">
        <v>1783</v>
      </c>
      <c r="E1195" s="1080" t="str">
        <f>_xlfn.XLOOKUP(D1195,Insumos!$B$1:$B$670,Insumos!$C$1:$C$670)</f>
        <v>L</v>
      </c>
      <c r="F1195" s="1083">
        <f>0.021*2.5/2</f>
        <v>2.6250000000000002E-2</v>
      </c>
      <c r="G1195" s="1081">
        <f>IF(B1195="insumo",_xlfn.XLOOKUP($D1195,Insumos!$B$1:$B$670,Insumos!$D$1:$D$670),"")</f>
        <v>19.34</v>
      </c>
      <c r="H1195" s="1081" cm="1">
        <f t="array" ref="H1195">_xlfn.IFS(B1195="Serviço",SUMIFS(H1196:$H$2465,C1196:$C$2465,$C1195),B1195="Insumo",F1195*G1195,B1195="Etapa","")</f>
        <v>0.5076750000000001</v>
      </c>
      <c r="I1195" s="1082"/>
    </row>
    <row r="1196" spans="1:9" outlineLevel="1" x14ac:dyDescent="0.25">
      <c r="A1196" s="1079">
        <f t="shared" si="46"/>
        <v>1</v>
      </c>
      <c r="B1196" s="1079" t="s">
        <v>471</v>
      </c>
      <c r="C1196" s="1079" t="str">
        <f t="shared" si="50"/>
        <v>Contrapiso comum em argamassa estabilizada, nao aderido, espessura 3cm</v>
      </c>
      <c r="D1196" s="1079" t="s">
        <v>1863</v>
      </c>
      <c r="E1196" s="1080" t="s">
        <v>17</v>
      </c>
      <c r="F1196" s="1079"/>
      <c r="G1196" s="1081" t="str">
        <f>IF(B1196="insumo",_xlfn.XLOOKUP($D1196,Insumos!$B$1:$B$670,Insumos!$D$1:$D$670),"")</f>
        <v/>
      </c>
      <c r="H1196" s="1081" cm="1">
        <f t="array" ref="H1196">_xlfn.IFS(B1196="Serviço",SUMIFS(H1197:$H$2465,C1197:$C$2465,$C1196),B1196="Insumo",F1196*G1196,B1196="Etapa","")</f>
        <v>16.449210000000001</v>
      </c>
      <c r="I1196" s="1082" t="s">
        <v>872</v>
      </c>
    </row>
    <row r="1197" spans="1:9" outlineLevel="2" x14ac:dyDescent="0.25">
      <c r="A1197" s="1079">
        <f t="shared" si="46"/>
        <v>32</v>
      </c>
      <c r="B1197" s="1079" t="s">
        <v>1362</v>
      </c>
      <c r="C1197" s="1079" t="str">
        <f t="shared" si="50"/>
        <v>Contrapiso comum em argamassa estabilizada, nao aderido, espessura 3cm</v>
      </c>
      <c r="D1197" s="1079" t="s">
        <v>1727</v>
      </c>
      <c r="E1197" s="1080" t="str">
        <f>_xlfn.XLOOKUP(D1197,Insumos!$B$1:$B$670,Insumos!$C$1:$C$670)</f>
        <v>M3</v>
      </c>
      <c r="F1197" s="1083">
        <v>3.3000000000000002E-2</v>
      </c>
      <c r="G1197" s="1081">
        <v>480</v>
      </c>
      <c r="H1197" s="1081" cm="1">
        <f t="array" ref="H1197">_xlfn.IFS(B1197="Serviço",SUMIFS(H1198:$H$2465,C1198:$C$2465,$C1197),B1197="Insumo",F1197*G1197,B1197="Etapa","")</f>
        <v>15.84</v>
      </c>
      <c r="I1197" s="1082"/>
    </row>
    <row r="1198" spans="1:9" outlineLevel="2" x14ac:dyDescent="0.25">
      <c r="A1198" s="1079">
        <f t="shared" si="46"/>
        <v>35</v>
      </c>
      <c r="B1198" s="1079" t="s">
        <v>1362</v>
      </c>
      <c r="C1198" s="1079" t="str">
        <f t="shared" si="50"/>
        <v>Contrapiso comum em argamassa estabilizada, nao aderido, espessura 3cm</v>
      </c>
      <c r="D1198" s="1079" t="s">
        <v>1783</v>
      </c>
      <c r="E1198" s="1080" t="str">
        <f>_xlfn.XLOOKUP(D1198,Insumos!$B$1:$B$670,Insumos!$C$1:$C$670)</f>
        <v>L</v>
      </c>
      <c r="F1198" s="1083">
        <f>0.021*3/2</f>
        <v>3.15E-2</v>
      </c>
      <c r="G1198" s="1081">
        <f>IF(B1198="insumo",_xlfn.XLOOKUP($D1198,Insumos!$B$1:$B$670,Insumos!$D$1:$D$670),"")</f>
        <v>19.34</v>
      </c>
      <c r="H1198" s="1081" cm="1">
        <f t="array" ref="H1198">_xlfn.IFS(B1198="Serviço",SUMIFS(H1199:$H$2465,C1199:$C$2465,$C1198),B1198="Insumo",F1198*G1198,B1198="Etapa","")</f>
        <v>0.60921000000000003</v>
      </c>
      <c r="I1198" s="1082"/>
    </row>
    <row r="1199" spans="1:9" outlineLevel="1" x14ac:dyDescent="0.25">
      <c r="A1199" s="1079">
        <f t="shared" si="46"/>
        <v>1</v>
      </c>
      <c r="B1199" s="1079" t="s">
        <v>471</v>
      </c>
      <c r="C1199" s="1079" t="str">
        <f t="shared" si="50"/>
        <v>Contrapiso comum em argamassa estabilizada, nao aderido, espessura 4cm</v>
      </c>
      <c r="D1199" s="1079" t="s">
        <v>1864</v>
      </c>
      <c r="E1199" s="1080" t="s">
        <v>17</v>
      </c>
      <c r="F1199" s="1079"/>
      <c r="G1199" s="1081" t="str">
        <f>IF(B1199="insumo",_xlfn.XLOOKUP($D1199,Insumos!$B$1:$B$670,Insumos!$D$1:$D$670),"")</f>
        <v/>
      </c>
      <c r="H1199" s="1081" cm="1">
        <f t="array" ref="H1199">_xlfn.IFS(B1199="Serviço",SUMIFS(H1200:$H$2465,C1200:$C$2465,$C1199),B1199="Insumo",F1199*G1199,B1199="Etapa","")</f>
        <v>21.932279999999999</v>
      </c>
      <c r="I1199" s="1082" t="s">
        <v>872</v>
      </c>
    </row>
    <row r="1200" spans="1:9" outlineLevel="2" x14ac:dyDescent="0.25">
      <c r="A1200" s="1079">
        <f t="shared" si="46"/>
        <v>32</v>
      </c>
      <c r="B1200" s="1079" t="s">
        <v>1362</v>
      </c>
      <c r="C1200" s="1079" t="str">
        <f t="shared" si="50"/>
        <v>Contrapiso comum em argamassa estabilizada, nao aderido, espessura 4cm</v>
      </c>
      <c r="D1200" s="1079" t="s">
        <v>1727</v>
      </c>
      <c r="E1200" s="1080" t="str">
        <f>_xlfn.XLOOKUP(D1200,Insumos!$B$1:$B$670,Insumos!$C$1:$C$670)</f>
        <v>M3</v>
      </c>
      <c r="F1200" s="1083">
        <v>4.3999999999999997E-2</v>
      </c>
      <c r="G1200" s="1081">
        <v>480</v>
      </c>
      <c r="H1200" s="1081" cm="1">
        <f t="array" ref="H1200">_xlfn.IFS(B1200="Serviço",SUMIFS(H1201:$H$2465,C1201:$C$2465,$C1200),B1200="Insumo",F1200*G1200,B1200="Etapa","")</f>
        <v>21.119999999999997</v>
      </c>
      <c r="I1200" s="1082"/>
    </row>
    <row r="1201" spans="1:9" outlineLevel="2" x14ac:dyDescent="0.25">
      <c r="A1201" s="1079">
        <f t="shared" si="46"/>
        <v>35</v>
      </c>
      <c r="B1201" s="1079" t="s">
        <v>1362</v>
      </c>
      <c r="C1201" s="1079" t="str">
        <f t="shared" si="50"/>
        <v>Contrapiso comum em argamassa estabilizada, nao aderido, espessura 4cm</v>
      </c>
      <c r="D1201" s="1079" t="s">
        <v>1783</v>
      </c>
      <c r="E1201" s="1080" t="str">
        <f>_xlfn.XLOOKUP(D1201,Insumos!$B$1:$B$670,Insumos!$C$1:$C$670)</f>
        <v>L</v>
      </c>
      <c r="F1201" s="1083">
        <f>0.021*4/2</f>
        <v>4.2000000000000003E-2</v>
      </c>
      <c r="G1201" s="1081">
        <f>IF(B1201="insumo",_xlfn.XLOOKUP($D1201,Insumos!$B$1:$B$670,Insumos!$D$1:$D$670),"")</f>
        <v>19.34</v>
      </c>
      <c r="H1201" s="1081" cm="1">
        <f t="array" ref="H1201">_xlfn.IFS(B1201="Serviço",SUMIFS(H1202:$H$2465,C1202:$C$2465,$C1201),B1201="Insumo",F1201*G1201,B1201="Etapa","")</f>
        <v>0.81228</v>
      </c>
      <c r="I1201" s="1082"/>
    </row>
    <row r="1202" spans="1:9" outlineLevel="1" x14ac:dyDescent="0.25">
      <c r="A1202" s="1079">
        <f t="shared" si="46"/>
        <v>1</v>
      </c>
      <c r="B1202" s="1079" t="s">
        <v>471</v>
      </c>
      <c r="C1202" s="1079" t="str">
        <f t="shared" si="50"/>
        <v>Contrapiso comum em argamassa estabilizada, nao aderido, espessura 5cm</v>
      </c>
      <c r="D1202" s="1079" t="s">
        <v>1865</v>
      </c>
      <c r="E1202" s="1080" t="s">
        <v>17</v>
      </c>
      <c r="F1202" s="1079"/>
      <c r="G1202" s="1081" t="str">
        <f>IF(B1202="insumo",_xlfn.XLOOKUP($D1202,Insumos!$B$1:$B$670,Insumos!$D$1:$D$670),"")</f>
        <v/>
      </c>
      <c r="H1202" s="1081" cm="1">
        <f t="array" ref="H1202">_xlfn.IFS(B1202="Serviço",SUMIFS(H1203:$H$2465,C1203:$C$2465,$C1202),B1202="Insumo",F1202*G1202,B1202="Etapa","")</f>
        <v>27.076900000000002</v>
      </c>
      <c r="I1202" s="1082" t="s">
        <v>872</v>
      </c>
    </row>
    <row r="1203" spans="1:9" outlineLevel="2" x14ac:dyDescent="0.25">
      <c r="A1203" s="1079">
        <f t="shared" si="46"/>
        <v>32</v>
      </c>
      <c r="B1203" s="1079" t="s">
        <v>1362</v>
      </c>
      <c r="C1203" s="1079" t="str">
        <f t="shared" si="50"/>
        <v>Contrapiso comum em argamassa estabilizada, nao aderido, espessura 5cm</v>
      </c>
      <c r="D1203" s="1079" t="s">
        <v>1727</v>
      </c>
      <c r="E1203" s="1080" t="str">
        <f>_xlfn.XLOOKUP(D1203,Insumos!$B$1:$B$670,Insumos!$C$1:$C$670)</f>
        <v>M3</v>
      </c>
      <c r="F1203" s="1083">
        <v>5.5000000000000007E-2</v>
      </c>
      <c r="G1203" s="1081">
        <v>480</v>
      </c>
      <c r="H1203" s="1081" cm="1">
        <f t="array" ref="H1203">_xlfn.IFS(B1203="Serviço",SUMIFS(H1204:$H$2465,C1204:$C$2465,$C1203),B1203="Insumo",F1203*G1203,B1203="Etapa","")</f>
        <v>26.400000000000002</v>
      </c>
      <c r="I1203" s="1082"/>
    </row>
    <row r="1204" spans="1:9" outlineLevel="2" x14ac:dyDescent="0.25">
      <c r="A1204" s="1079">
        <f t="shared" si="46"/>
        <v>35</v>
      </c>
      <c r="B1204" s="1079" t="s">
        <v>1362</v>
      </c>
      <c r="C1204" s="1079" t="str">
        <f t="shared" si="50"/>
        <v>Contrapiso comum em argamassa estabilizada, nao aderido, espessura 5cm</v>
      </c>
      <c r="D1204" s="1079" t="s">
        <v>1783</v>
      </c>
      <c r="E1204" s="1080" t="str">
        <f>_xlfn.XLOOKUP(D1204,Insumos!$B$1:$B$670,Insumos!$C$1:$C$670)</f>
        <v>L</v>
      </c>
      <c r="F1204" s="1083">
        <v>3.5000000000000003E-2</v>
      </c>
      <c r="G1204" s="1081">
        <f>IF(B1204="insumo",_xlfn.XLOOKUP($D1204,Insumos!$B$1:$B$670,Insumos!$D$1:$D$670),"")</f>
        <v>19.34</v>
      </c>
      <c r="H1204" s="1081" cm="1">
        <f t="array" ref="H1204">_xlfn.IFS(B1204="Serviço",SUMIFS(H1205:$H$2465,C1205:$C$2465,$C1204),B1204="Insumo",F1204*G1204,B1204="Etapa","")</f>
        <v>0.67690000000000006</v>
      </c>
      <c r="I1204" s="1082"/>
    </row>
    <row r="1205" spans="1:9" outlineLevel="1" collapsed="1" x14ac:dyDescent="0.25">
      <c r="A1205" s="1079">
        <f t="shared" si="46"/>
        <v>1</v>
      </c>
      <c r="B1205" s="1079" t="s">
        <v>471</v>
      </c>
      <c r="C1205" s="1079" t="str">
        <f t="shared" si="50"/>
        <v>Contrapiso comum em argamassa estabilizada, nao aderido, espessura 5,5cm</v>
      </c>
      <c r="D1205" s="1079" t="s">
        <v>1866</v>
      </c>
      <c r="E1205" s="1080" t="s">
        <v>17</v>
      </c>
      <c r="F1205" s="1079"/>
      <c r="G1205" s="1081" t="str">
        <f>IF(B1205="insumo",_xlfn.XLOOKUP($D1205,Insumos!$B$1:$B$670,Insumos!$D$1:$D$670),"")</f>
        <v/>
      </c>
      <c r="H1205" s="1081" cm="1">
        <f t="array" ref="H1205">_xlfn.IFS(B1205="Serviço",SUMIFS(H1206:$H$2465,C1206:$C$2465,$C1205),B1205="Insumo",F1205*G1205,B1205="Etapa","")</f>
        <v>34.019590000000008</v>
      </c>
      <c r="I1205" s="1082" t="s">
        <v>872</v>
      </c>
    </row>
    <row r="1206" spans="1:9" hidden="1" outlineLevel="2" x14ac:dyDescent="0.25">
      <c r="A1206" s="1079">
        <f t="shared" si="46"/>
        <v>32</v>
      </c>
      <c r="B1206" s="1079" t="s">
        <v>1362</v>
      </c>
      <c r="C1206" s="1079" t="str">
        <f t="shared" si="50"/>
        <v>Contrapiso comum em argamassa estabilizada, nao aderido, espessura 5,5cm</v>
      </c>
      <c r="D1206" s="1079" t="s">
        <v>1727</v>
      </c>
      <c r="E1206" s="1080" t="str">
        <f>_xlfn.XLOOKUP(D1206,Insumos!$B$1:$B$670,Insumos!$C$1:$C$670)</f>
        <v>M3</v>
      </c>
      <c r="F1206" s="1083">
        <v>6.0500000000000005E-2</v>
      </c>
      <c r="G1206" s="1081">
        <f>IF(B1206="insumo",_xlfn.XLOOKUP($D1206,Insumos!$B$1:$B$670,Insumos!$D$1:$D$670),"")</f>
        <v>550</v>
      </c>
      <c r="H1206" s="1081" cm="1">
        <f t="array" ref="H1206">_xlfn.IFS(B1206="Serviço",SUMIFS(H1207:$H$2465,C1207:$C$2465,$C1206),B1206="Insumo",F1206*G1206,B1206="Etapa","")</f>
        <v>33.275000000000006</v>
      </c>
      <c r="I1206" s="1082"/>
    </row>
    <row r="1207" spans="1:9" hidden="1" outlineLevel="2" x14ac:dyDescent="0.25">
      <c r="A1207" s="1079">
        <f t="shared" si="46"/>
        <v>35</v>
      </c>
      <c r="B1207" s="1079" t="s">
        <v>1362</v>
      </c>
      <c r="C1207" s="1079" t="str">
        <f t="shared" si="50"/>
        <v>Contrapiso comum em argamassa estabilizada, nao aderido, espessura 5,5cm</v>
      </c>
      <c r="D1207" s="1079" t="s">
        <v>1783</v>
      </c>
      <c r="E1207" s="1080" t="str">
        <f>_xlfn.XLOOKUP(D1207,Insumos!$B$1:$B$670,Insumos!$C$1:$C$670)</f>
        <v>L</v>
      </c>
      <c r="F1207" s="1083">
        <v>3.8500000000000006E-2</v>
      </c>
      <c r="G1207" s="1081">
        <f>IF(B1207="insumo",_xlfn.XLOOKUP($D1207,Insumos!$B$1:$B$670,Insumos!$D$1:$D$670),"")</f>
        <v>19.34</v>
      </c>
      <c r="H1207" s="1081" cm="1">
        <f t="array" ref="H1207">_xlfn.IFS(B1207="Serviço",SUMIFS(H1208:$H$2465,C1208:$C$2465,$C1207),B1207="Insumo",F1207*G1207,B1207="Etapa","")</f>
        <v>0.74459000000000009</v>
      </c>
      <c r="I1207" s="1082"/>
    </row>
    <row r="1208" spans="1:9" outlineLevel="1" x14ac:dyDescent="0.25">
      <c r="A1208" s="1079">
        <f t="shared" si="46"/>
        <v>1</v>
      </c>
      <c r="B1208" s="1079" t="s">
        <v>471</v>
      </c>
      <c r="C1208" s="1079" t="str">
        <f t="shared" si="50"/>
        <v>Contrapiso comum em argamassa estabilizada, nao aderido, espessura 6cm</v>
      </c>
      <c r="D1208" s="1079" t="s">
        <v>1867</v>
      </c>
      <c r="E1208" s="1080" t="s">
        <v>17</v>
      </c>
      <c r="F1208" s="1079"/>
      <c r="G1208" s="1081" t="str">
        <f>IF(B1208="insumo",_xlfn.XLOOKUP($D1208,Insumos!$B$1:$B$670,Insumos!$D$1:$D$670),"")</f>
        <v/>
      </c>
      <c r="H1208" s="1081" cm="1">
        <f t="array" ref="H1208">_xlfn.IFS(B1208="Serviço",SUMIFS(H1209:$H$2465,C1209:$C$2465,$C1208),B1208="Insumo",F1208*G1208,B1208="Etapa","")</f>
        <v>32.492280000000001</v>
      </c>
      <c r="I1208" s="1082" t="s">
        <v>872</v>
      </c>
    </row>
    <row r="1209" spans="1:9" outlineLevel="2" x14ac:dyDescent="0.25">
      <c r="A1209" s="1079">
        <f t="shared" si="46"/>
        <v>32</v>
      </c>
      <c r="B1209" s="1079" t="s">
        <v>1362</v>
      </c>
      <c r="C1209" s="1079" t="str">
        <f t="shared" si="50"/>
        <v>Contrapiso comum em argamassa estabilizada, nao aderido, espessura 6cm</v>
      </c>
      <c r="D1209" s="1079" t="s">
        <v>1727</v>
      </c>
      <c r="E1209" s="1080" t="str">
        <f>_xlfn.XLOOKUP(D1209,Insumos!$B$1:$B$670,Insumos!$C$1:$C$670)</f>
        <v>M3</v>
      </c>
      <c r="F1209" s="1083">
        <v>6.6000000000000003E-2</v>
      </c>
      <c r="G1209" s="1081">
        <v>480</v>
      </c>
      <c r="H1209" s="1081" cm="1">
        <f t="array" ref="H1209">_xlfn.IFS(B1209="Serviço",SUMIFS(H1210:$H$2465,C1210:$C$2465,$C1209),B1209="Insumo",F1209*G1209,B1209="Etapa","")</f>
        <v>31.68</v>
      </c>
      <c r="I1209" s="1082"/>
    </row>
    <row r="1210" spans="1:9" outlineLevel="2" x14ac:dyDescent="0.25">
      <c r="A1210" s="1079">
        <f t="shared" si="46"/>
        <v>35</v>
      </c>
      <c r="B1210" s="1079" t="s">
        <v>1362</v>
      </c>
      <c r="C1210" s="1079" t="str">
        <f t="shared" si="50"/>
        <v>Contrapiso comum em argamassa estabilizada, nao aderido, espessura 6cm</v>
      </c>
      <c r="D1210" s="1079" t="s">
        <v>1783</v>
      </c>
      <c r="E1210" s="1080" t="str">
        <f>_xlfn.XLOOKUP(D1210,Insumos!$B$1:$B$670,Insumos!$C$1:$C$670)</f>
        <v>L</v>
      </c>
      <c r="F1210" s="1083">
        <v>4.2000000000000003E-2</v>
      </c>
      <c r="G1210" s="1081">
        <f>IF(B1210="insumo",_xlfn.XLOOKUP($D1210,Insumos!$B$1:$B$670,Insumos!$D$1:$D$670),"")</f>
        <v>19.34</v>
      </c>
      <c r="H1210" s="1081" cm="1">
        <f t="array" ref="H1210">_xlfn.IFS(B1210="Serviço",SUMIFS(H1211:$H$2465,C1211:$C$2465,$C1210),B1210="Insumo",F1210*G1210,B1210="Etapa","")</f>
        <v>0.81228</v>
      </c>
      <c r="I1210" s="1082"/>
    </row>
    <row r="1211" spans="1:9" outlineLevel="1" x14ac:dyDescent="0.25">
      <c r="A1211" s="1079">
        <f t="shared" si="46"/>
        <v>1</v>
      </c>
      <c r="B1211" s="1079" t="s">
        <v>471</v>
      </c>
      <c r="C1211" s="1079" t="str">
        <f t="shared" si="50"/>
        <v>Contrapiso comum em argamassa estabilizada, nao aderido, espessura 7cm</v>
      </c>
      <c r="D1211" s="1079" t="s">
        <v>1868</v>
      </c>
      <c r="E1211" s="1080" t="s">
        <v>17</v>
      </c>
      <c r="F1211" s="1079"/>
      <c r="G1211" s="1081" t="str">
        <f>IF(B1211="insumo",_xlfn.XLOOKUP($D1211,Insumos!$B$1:$B$670,Insumos!$D$1:$D$670),"")</f>
        <v/>
      </c>
      <c r="H1211" s="1081" cm="1">
        <f t="array" ref="H1211">_xlfn.IFS(B1211="Serviço",SUMIFS(H1212:$H$2465,C1212:$C$2465,$C1211),B1211="Insumo",F1211*G1211,B1211="Etapa","")</f>
        <v>43.661490000000001</v>
      </c>
      <c r="I1211" s="1082" t="s">
        <v>872</v>
      </c>
    </row>
    <row r="1212" spans="1:9" outlineLevel="2" x14ac:dyDescent="0.25">
      <c r="A1212" s="1079">
        <f t="shared" si="46"/>
        <v>32</v>
      </c>
      <c r="B1212" s="1079" t="s">
        <v>1362</v>
      </c>
      <c r="C1212" s="1079" t="str">
        <f t="shared" si="50"/>
        <v>Contrapiso comum em argamassa estabilizada, nao aderido, espessura 7cm</v>
      </c>
      <c r="D1212" s="1079" t="s">
        <v>1727</v>
      </c>
      <c r="E1212" s="1080" t="str">
        <f>_xlfn.XLOOKUP(D1212,Insumos!$B$1:$B$670,Insumos!$C$1:$C$670)</f>
        <v>M3</v>
      </c>
      <c r="F1212" s="1083">
        <f>0.08*1.1</f>
        <v>8.8000000000000009E-2</v>
      </c>
      <c r="G1212" s="1081">
        <v>480</v>
      </c>
      <c r="H1212" s="1081" cm="1">
        <f t="array" ref="H1212">_xlfn.IFS(B1212="Serviço",SUMIFS(H1213:$H$2465,C1213:$C$2465,$C1212),B1212="Insumo",F1212*G1212,B1212="Etapa","")</f>
        <v>42.24</v>
      </c>
      <c r="I1212" s="1082"/>
    </row>
    <row r="1213" spans="1:9" outlineLevel="2" x14ac:dyDescent="0.25">
      <c r="A1213" s="1079">
        <f t="shared" si="46"/>
        <v>35</v>
      </c>
      <c r="B1213" s="1079" t="s">
        <v>1362</v>
      </c>
      <c r="C1213" s="1079" t="str">
        <f t="shared" si="50"/>
        <v>Contrapiso comum em argamassa estabilizada, nao aderido, espessura 7cm</v>
      </c>
      <c r="D1213" s="1079" t="s">
        <v>1783</v>
      </c>
      <c r="E1213" s="1080" t="str">
        <f>_xlfn.XLOOKUP(D1213,Insumos!$B$1:$B$670,Insumos!$C$1:$C$670)</f>
        <v>L</v>
      </c>
      <c r="F1213" s="1083">
        <f>0.021*7/2</f>
        <v>7.350000000000001E-2</v>
      </c>
      <c r="G1213" s="1081">
        <f>IF(B1213="insumo",_xlfn.XLOOKUP($D1213,Insumos!$B$1:$B$670,Insumos!$D$1:$D$670),"")</f>
        <v>19.34</v>
      </c>
      <c r="H1213" s="1081" cm="1">
        <f t="array" ref="H1213">_xlfn.IFS(B1213="Serviço",SUMIFS(H1214:$H$2465,C1214:$C$2465,$C1213),B1213="Insumo",F1213*G1213,B1213="Etapa","")</f>
        <v>1.4214900000000001</v>
      </c>
      <c r="I1213" s="1082"/>
    </row>
    <row r="1214" spans="1:9" outlineLevel="1" x14ac:dyDescent="0.25">
      <c r="A1214" s="1079">
        <f t="shared" si="46"/>
        <v>1</v>
      </c>
      <c r="B1214" s="1079" t="s">
        <v>471</v>
      </c>
      <c r="C1214" s="1079" t="str">
        <f t="shared" si="50"/>
        <v>Contrapiso comum em argamassa estabilizada, nao aderido, espessura 8cm</v>
      </c>
      <c r="D1214" s="1079" t="s">
        <v>1869</v>
      </c>
      <c r="E1214" s="1080" t="s">
        <v>17</v>
      </c>
      <c r="F1214" s="1079"/>
      <c r="G1214" s="1081" t="str">
        <f>IF(B1214="insumo",_xlfn.XLOOKUP($D1214,Insumos!$B$1:$B$670,Insumos!$D$1:$D$670),"")</f>
        <v/>
      </c>
      <c r="H1214" s="1081" cm="1">
        <f t="array" ref="H1214">_xlfn.IFS(B1214="Serviço",SUMIFS(H1215:$H$2465,C1215:$C$2465,$C1214),B1214="Insumo",F1214*G1214,B1214="Etapa","")</f>
        <v>43.864560000000004</v>
      </c>
      <c r="I1214" s="1082" t="s">
        <v>872</v>
      </c>
    </row>
    <row r="1215" spans="1:9" outlineLevel="2" x14ac:dyDescent="0.25">
      <c r="A1215" s="1079">
        <f t="shared" si="46"/>
        <v>32</v>
      </c>
      <c r="B1215" s="1079" t="s">
        <v>1362</v>
      </c>
      <c r="C1215" s="1079" t="str">
        <f t="shared" si="50"/>
        <v>Contrapiso comum em argamassa estabilizada, nao aderido, espessura 8cm</v>
      </c>
      <c r="D1215" s="1079" t="s">
        <v>1727</v>
      </c>
      <c r="E1215" s="1080" t="str">
        <f>_xlfn.XLOOKUP(D1215,Insumos!$B$1:$B$670,Insumos!$C$1:$C$670)</f>
        <v>M3</v>
      </c>
      <c r="F1215" s="1083">
        <f>0.08*1.1</f>
        <v>8.8000000000000009E-2</v>
      </c>
      <c r="G1215" s="1081">
        <v>480</v>
      </c>
      <c r="H1215" s="1081" cm="1">
        <f t="array" ref="H1215">_xlfn.IFS(B1215="Serviço",SUMIFS(H1216:$H$2465,C1216:$C$2465,$C1215),B1215="Insumo",F1215*G1215,B1215="Etapa","")</f>
        <v>42.24</v>
      </c>
      <c r="I1215" s="1082"/>
    </row>
    <row r="1216" spans="1:9" outlineLevel="2" x14ac:dyDescent="0.25">
      <c r="A1216" s="1079">
        <f t="shared" si="46"/>
        <v>35</v>
      </c>
      <c r="B1216" s="1079" t="s">
        <v>1362</v>
      </c>
      <c r="C1216" s="1079" t="str">
        <f t="shared" si="50"/>
        <v>Contrapiso comum em argamassa estabilizada, nao aderido, espessura 8cm</v>
      </c>
      <c r="D1216" s="1079" t="s">
        <v>1783</v>
      </c>
      <c r="E1216" s="1080" t="str">
        <f>_xlfn.XLOOKUP(D1216,Insumos!$B$1:$B$670,Insumos!$C$1:$C$670)</f>
        <v>L</v>
      </c>
      <c r="F1216" s="1083">
        <f>(0.021*0.8)/0.2</f>
        <v>8.4000000000000005E-2</v>
      </c>
      <c r="G1216" s="1081">
        <f>IF(B1216="insumo",_xlfn.XLOOKUP($D1216,Insumos!$B$1:$B$670,Insumos!$D$1:$D$670),"")</f>
        <v>19.34</v>
      </c>
      <c r="H1216" s="1081" cm="1">
        <f t="array" ref="H1216">_xlfn.IFS(B1216="Serviço",SUMIFS(H1217:$H$2465,C1217:$C$2465,$C1216),B1216="Insumo",F1216*G1216,B1216="Etapa","")</f>
        <v>1.62456</v>
      </c>
      <c r="I1216" s="1082"/>
    </row>
    <row r="1217" spans="1:9" outlineLevel="1" collapsed="1" x14ac:dyDescent="0.25">
      <c r="A1217" s="1079">
        <f t="shared" si="46"/>
        <v>1</v>
      </c>
      <c r="B1217" s="1079" t="s">
        <v>471</v>
      </c>
      <c r="C1217" s="1079" t="str">
        <f t="shared" si="50"/>
        <v>Contrapiso comum em argamassa estabilizada, nao aderido, espessura 10cm</v>
      </c>
      <c r="D1217" s="1079" t="s">
        <v>1870</v>
      </c>
      <c r="E1217" s="1080" t="s">
        <v>17</v>
      </c>
      <c r="F1217" s="1079"/>
      <c r="G1217" s="1081" t="str">
        <f>IF(B1217="insumo",_xlfn.XLOOKUP($D1217,Insumos!$B$1:$B$670,Insumos!$D$1:$D$670),"")</f>
        <v/>
      </c>
      <c r="H1217" s="1081" cm="1">
        <f t="array" ref="H1217">_xlfn.IFS(B1217="Serviço",SUMIFS(H1218:$H$2465,C1218:$C$2465,$C1217),B1217="Insumo",F1217*G1217,B1217="Etapa","")</f>
        <v>62.530699999999996</v>
      </c>
      <c r="I1217" s="1082" t="s">
        <v>872</v>
      </c>
    </row>
    <row r="1218" spans="1:9" hidden="1" outlineLevel="2" x14ac:dyDescent="0.25">
      <c r="A1218" s="1079">
        <f t="shared" ref="A1218:A1281" si="51">COUNTIFS($D$2:$D$2465,D1218,$B$2:$B$2465,B1218)</f>
        <v>32</v>
      </c>
      <c r="B1218" s="1079" t="s">
        <v>1362</v>
      </c>
      <c r="C1218" s="1079" t="str">
        <f t="shared" si="50"/>
        <v>Contrapiso comum em argamassa estabilizada, nao aderido, espessura 10cm</v>
      </c>
      <c r="D1218" s="1079" t="s">
        <v>1727</v>
      </c>
      <c r="E1218" s="1080" t="str">
        <f>_xlfn.XLOOKUP(D1218,Insumos!$B$1:$B$670,Insumos!$C$1:$C$670)</f>
        <v>M3</v>
      </c>
      <c r="F1218" s="1083">
        <f>(0.022*1)/0.2</f>
        <v>0.10999999999999999</v>
      </c>
      <c r="G1218" s="1081">
        <f>IF(B1218="insumo",_xlfn.XLOOKUP($D1218,Insumos!$B$1:$B$670,Insumos!$D$1:$D$670),"")</f>
        <v>550</v>
      </c>
      <c r="H1218" s="1081" cm="1">
        <f t="array" ref="H1218">_xlfn.IFS(B1218="Serviço",SUMIFS(H1219:$H$2465,C1219:$C$2465,$C1218),B1218="Insumo",F1218*G1218,B1218="Etapa","")</f>
        <v>60.499999999999993</v>
      </c>
      <c r="I1218" s="1082"/>
    </row>
    <row r="1219" spans="1:9" hidden="1" outlineLevel="2" x14ac:dyDescent="0.25">
      <c r="A1219" s="1079">
        <f t="shared" si="51"/>
        <v>35</v>
      </c>
      <c r="B1219" s="1079" t="s">
        <v>1362</v>
      </c>
      <c r="C1219" s="1079" t="str">
        <f t="shared" si="50"/>
        <v>Contrapiso comum em argamassa estabilizada, nao aderido, espessura 10cm</v>
      </c>
      <c r="D1219" s="1079" t="s">
        <v>1783</v>
      </c>
      <c r="E1219" s="1080" t="str">
        <f>_xlfn.XLOOKUP(D1219,Insumos!$B$1:$B$670,Insumos!$C$1:$C$670)</f>
        <v>L</v>
      </c>
      <c r="F1219" s="1083">
        <f>(0.021*1)/0.2</f>
        <v>0.105</v>
      </c>
      <c r="G1219" s="1081">
        <f>IF(B1219="insumo",_xlfn.XLOOKUP($D1219,Insumos!$B$1:$B$670,Insumos!$D$1:$D$670),"")</f>
        <v>19.34</v>
      </c>
      <c r="H1219" s="1081" cm="1">
        <f t="array" ref="H1219">_xlfn.IFS(B1219="Serviço",SUMIFS(H1220:$H$2465,C1220:$C$2465,$C1219),B1219="Insumo",F1219*G1219,B1219="Etapa","")</f>
        <v>2.0306999999999999</v>
      </c>
      <c r="I1219" s="1082"/>
    </row>
    <row r="1220" spans="1:9" outlineLevel="1" collapsed="1" x14ac:dyDescent="0.25">
      <c r="A1220" s="1079">
        <f t="shared" si="51"/>
        <v>1</v>
      </c>
      <c r="B1220" s="1079" t="s">
        <v>471</v>
      </c>
      <c r="C1220" s="1079" t="str">
        <f t="shared" si="50"/>
        <v>Contrapiso comum em argamassa estabilizada, nao aderido, espessura 12cm</v>
      </c>
      <c r="D1220" s="1079" t="s">
        <v>1871</v>
      </c>
      <c r="E1220" s="1080" t="s">
        <v>17</v>
      </c>
      <c r="F1220" s="1079"/>
      <c r="G1220" s="1081" t="str">
        <f>IF(B1220="insumo",_xlfn.XLOOKUP($D1220,Insumos!$B$1:$B$670,Insumos!$D$1:$D$670),"")</f>
        <v/>
      </c>
      <c r="H1220" s="1081" cm="1">
        <f t="array" ref="H1220">_xlfn.IFS(B1220="Serviço",SUMIFS(H1221:$H$2465,C1221:$C$2465,$C1220),B1220="Insumo",F1220*G1220,B1220="Etapa","")</f>
        <v>75.036839999999998</v>
      </c>
      <c r="I1220" s="1082" t="s">
        <v>872</v>
      </c>
    </row>
    <row r="1221" spans="1:9" hidden="1" outlineLevel="2" x14ac:dyDescent="0.25">
      <c r="A1221" s="1079">
        <f t="shared" si="51"/>
        <v>32</v>
      </c>
      <c r="B1221" s="1079" t="s">
        <v>1362</v>
      </c>
      <c r="C1221" s="1079" t="str">
        <f t="shared" si="50"/>
        <v>Contrapiso comum em argamassa estabilizada, nao aderido, espessura 12cm</v>
      </c>
      <c r="D1221" s="1079" t="s">
        <v>1727</v>
      </c>
      <c r="E1221" s="1080" t="str">
        <f>_xlfn.XLOOKUP(D1221,Insumos!$B$1:$B$670,Insumos!$C$1:$C$670)</f>
        <v>M3</v>
      </c>
      <c r="F1221" s="1083">
        <f>(0.022*1.2)/0.2</f>
        <v>0.13199999999999998</v>
      </c>
      <c r="G1221" s="1081">
        <f>IF(B1221="insumo",_xlfn.XLOOKUP($D1221,Insumos!$B$1:$B$670,Insumos!$D$1:$D$670),"")</f>
        <v>550</v>
      </c>
      <c r="H1221" s="1081" cm="1">
        <f t="array" ref="H1221">_xlfn.IFS(B1221="Serviço",SUMIFS(H1222:$H$2465,C1222:$C$2465,$C1221),B1221="Insumo",F1221*G1221,B1221="Etapa","")</f>
        <v>72.599999999999994</v>
      </c>
      <c r="I1221" s="1082"/>
    </row>
    <row r="1222" spans="1:9" hidden="1" outlineLevel="2" x14ac:dyDescent="0.25">
      <c r="A1222" s="1079">
        <f t="shared" si="51"/>
        <v>35</v>
      </c>
      <c r="B1222" s="1079" t="s">
        <v>1362</v>
      </c>
      <c r="C1222" s="1079" t="str">
        <f t="shared" si="50"/>
        <v>Contrapiso comum em argamassa estabilizada, nao aderido, espessura 12cm</v>
      </c>
      <c r="D1222" s="1079" t="s">
        <v>1783</v>
      </c>
      <c r="E1222" s="1080" t="str">
        <f>_xlfn.XLOOKUP(D1222,Insumos!$B$1:$B$670,Insumos!$C$1:$C$670)</f>
        <v>L</v>
      </c>
      <c r="F1222" s="1083">
        <f>(0.021*1.2)/0.2</f>
        <v>0.126</v>
      </c>
      <c r="G1222" s="1081">
        <f>IF(B1222="insumo",_xlfn.XLOOKUP($D1222,Insumos!$B$1:$B$670,Insumos!$D$1:$D$670),"")</f>
        <v>19.34</v>
      </c>
      <c r="H1222" s="1081" cm="1">
        <f t="array" ref="H1222">_xlfn.IFS(B1222="Serviço",SUMIFS(H1223:$H$2465,C1223:$C$2465,$C1222),B1222="Insumo",F1222*G1222,B1222="Etapa","")</f>
        <v>2.4368400000000001</v>
      </c>
      <c r="I1222" s="1082"/>
    </row>
    <row r="1223" spans="1:9" outlineLevel="1" collapsed="1" x14ac:dyDescent="0.25">
      <c r="A1223" s="1079">
        <f t="shared" si="51"/>
        <v>1</v>
      </c>
      <c r="B1223" s="1079" t="s">
        <v>471</v>
      </c>
      <c r="C1223" s="1079" t="str">
        <f t="shared" si="50"/>
        <v>Contrapiso comum em argamassa estabilizada, nao aderido, espessura 13cm</v>
      </c>
      <c r="D1223" s="1079" t="s">
        <v>1872</v>
      </c>
      <c r="E1223" s="1080" t="s">
        <v>17</v>
      </c>
      <c r="F1223" s="1079"/>
      <c r="G1223" s="1081" t="str">
        <f>IF(B1223="insumo",_xlfn.XLOOKUP($D1223,Insumos!$B$1:$B$670,Insumos!$D$1:$D$670),"")</f>
        <v/>
      </c>
      <c r="H1223" s="1081" cm="1">
        <f t="array" ref="H1223">_xlfn.IFS(B1223="Serviço",SUMIFS(H1224:$H$2465,C1224:$C$2465,$C1223),B1223="Insumo",F1223*G1223,B1223="Etapa","")</f>
        <v>81.289909999999992</v>
      </c>
      <c r="I1223" s="1082" t="s">
        <v>872</v>
      </c>
    </row>
    <row r="1224" spans="1:9" hidden="1" outlineLevel="2" x14ac:dyDescent="0.25">
      <c r="A1224" s="1079">
        <f t="shared" si="51"/>
        <v>32</v>
      </c>
      <c r="B1224" s="1079" t="s">
        <v>1362</v>
      </c>
      <c r="C1224" s="1079" t="str">
        <f t="shared" si="50"/>
        <v>Contrapiso comum em argamassa estabilizada, nao aderido, espessura 13cm</v>
      </c>
      <c r="D1224" s="1079" t="s">
        <v>1727</v>
      </c>
      <c r="E1224" s="1080" t="str">
        <f>_xlfn.XLOOKUP(D1224,Insumos!$B$1:$B$670,Insumos!$C$1:$C$670)</f>
        <v>M3</v>
      </c>
      <c r="F1224" s="1083">
        <f>(0.022*1.3)/0.2</f>
        <v>0.14299999999999999</v>
      </c>
      <c r="G1224" s="1081">
        <f>IF(B1224="insumo",_xlfn.XLOOKUP($D1224,Insumos!$B$1:$B$670,Insumos!$D$1:$D$670),"")</f>
        <v>550</v>
      </c>
      <c r="H1224" s="1081" cm="1">
        <f t="array" ref="H1224">_xlfn.IFS(B1224="Serviço",SUMIFS(H1225:$H$2465,C1225:$C$2465,$C1224),B1224="Insumo",F1224*G1224,B1224="Etapa","")</f>
        <v>78.649999999999991</v>
      </c>
      <c r="I1224" s="1082"/>
    </row>
    <row r="1225" spans="1:9" hidden="1" outlineLevel="2" x14ac:dyDescent="0.25">
      <c r="A1225" s="1079">
        <f t="shared" si="51"/>
        <v>35</v>
      </c>
      <c r="B1225" s="1079" t="s">
        <v>1362</v>
      </c>
      <c r="C1225" s="1079" t="str">
        <f t="shared" si="50"/>
        <v>Contrapiso comum em argamassa estabilizada, nao aderido, espessura 13cm</v>
      </c>
      <c r="D1225" s="1079" t="s">
        <v>1783</v>
      </c>
      <c r="E1225" s="1080" t="str">
        <f>_xlfn.XLOOKUP(D1225,Insumos!$B$1:$B$670,Insumos!$C$1:$C$670)</f>
        <v>L</v>
      </c>
      <c r="F1225" s="1083">
        <f>(0.021*1.3)/0.2</f>
        <v>0.13650000000000001</v>
      </c>
      <c r="G1225" s="1081">
        <f>IF(B1225="insumo",_xlfn.XLOOKUP($D1225,Insumos!$B$1:$B$670,Insumos!$D$1:$D$670),"")</f>
        <v>19.34</v>
      </c>
      <c r="H1225" s="1081" cm="1">
        <f t="array" ref="H1225">_xlfn.IFS(B1225="Serviço",SUMIFS(H1226:$H$2465,C1226:$C$2465,$C1225),B1225="Insumo",F1225*G1225,B1225="Etapa","")</f>
        <v>2.63991</v>
      </c>
      <c r="I1225" s="1082"/>
    </row>
    <row r="1226" spans="1:9" outlineLevel="1" collapsed="1" x14ac:dyDescent="0.25">
      <c r="A1226" s="1079">
        <f t="shared" si="51"/>
        <v>1</v>
      </c>
      <c r="B1226" s="1079" t="s">
        <v>471</v>
      </c>
      <c r="C1226" s="1079" t="str">
        <f t="shared" si="50"/>
        <v>Contrapiso comum em argamassa estabilizada, nao aderido, espessura 15cm</v>
      </c>
      <c r="D1226" s="1079" t="s">
        <v>1873</v>
      </c>
      <c r="E1226" s="1080" t="s">
        <v>17</v>
      </c>
      <c r="F1226" s="1079"/>
      <c r="G1226" s="1081" t="str">
        <f>IF(B1226="insumo",_xlfn.XLOOKUP($D1226,Insumos!$B$1:$B$670,Insumos!$D$1:$D$670),"")</f>
        <v/>
      </c>
      <c r="H1226" s="1081" cm="1">
        <f t="array" ref="H1226">_xlfn.IFS(B1226="Serviço",SUMIFS(H1227:$H$2465,C1227:$C$2465,$C1226),B1226="Insumo",F1226*G1226,B1226="Etapa","")</f>
        <v>96.646049999999988</v>
      </c>
      <c r="I1226" s="1082" t="s">
        <v>872</v>
      </c>
    </row>
    <row r="1227" spans="1:9" hidden="1" outlineLevel="2" x14ac:dyDescent="0.25">
      <c r="A1227" s="1079">
        <f t="shared" si="51"/>
        <v>32</v>
      </c>
      <c r="B1227" s="1079" t="s">
        <v>1362</v>
      </c>
      <c r="C1227" s="1079" t="str">
        <f t="shared" si="50"/>
        <v>Contrapiso comum em argamassa estabilizada, nao aderido, espessura 15cm</v>
      </c>
      <c r="D1227" s="1079" t="s">
        <v>1727</v>
      </c>
      <c r="E1227" s="1080" t="str">
        <f>_xlfn.XLOOKUP(D1227,Insumos!$B$1:$B$670,Insumos!$C$1:$C$670)</f>
        <v>M3</v>
      </c>
      <c r="F1227" s="1083">
        <f>(0.022*1.5)/0.2</f>
        <v>0.16500000000000001</v>
      </c>
      <c r="G1227" s="1081">
        <f>IF(B1227="insumo",_xlfn.XLOOKUP($D1227,Insumos!$B$1:$B$670,Insumos!$D$1:$D$670),"")</f>
        <v>550</v>
      </c>
      <c r="H1227" s="1081" cm="1">
        <f t="array" ref="H1227">_xlfn.IFS(B1227="Serviço",SUMIFS(H1228:$H$2465,C1228:$C$2465,$C1227),B1227="Insumo",F1227*G1227,B1227="Etapa","")</f>
        <v>90.75</v>
      </c>
      <c r="I1227" s="1082"/>
    </row>
    <row r="1228" spans="1:9" hidden="1" outlineLevel="2" x14ac:dyDescent="0.25">
      <c r="A1228" s="1079">
        <f t="shared" si="51"/>
        <v>35</v>
      </c>
      <c r="B1228" s="1079" t="s">
        <v>1362</v>
      </c>
      <c r="C1228" s="1079" t="str">
        <f t="shared" si="50"/>
        <v>Contrapiso comum em argamassa estabilizada, nao aderido, espessura 15cm</v>
      </c>
      <c r="D1228" s="1079" t="s">
        <v>1783</v>
      </c>
      <c r="E1228" s="1080" t="str">
        <f>_xlfn.XLOOKUP(D1228,Insumos!$B$1:$B$670,Insumos!$C$1:$C$670)</f>
        <v>L</v>
      </c>
      <c r="F1228" s="1083">
        <f>(0.021*1.5)/0.2</f>
        <v>0.1575</v>
      </c>
      <c r="G1228" s="1081">
        <f>IF(B1228="insumo",_xlfn.XLOOKUP($D1228,Insumos!$B$1:$B$670,Insumos!$D$1:$D$670),"")</f>
        <v>19.34</v>
      </c>
      <c r="H1228" s="1081" cm="1">
        <f t="array" ref="H1228">_xlfn.IFS(B1228="Serviço",SUMIFS(H1229:$H$2465,C1229:$C$2465,$C1228),B1228="Insumo",F1228*G1228,B1228="Etapa","")</f>
        <v>3.0460500000000001</v>
      </c>
      <c r="I1228" s="1082"/>
    </row>
    <row r="1229" spans="1:9" hidden="1" outlineLevel="2" x14ac:dyDescent="0.25">
      <c r="A1229" s="1079">
        <f t="shared" si="51"/>
        <v>38</v>
      </c>
      <c r="B1229" s="1079" t="s">
        <v>1362</v>
      </c>
      <c r="C1229" s="1079" t="str">
        <f t="shared" si="50"/>
        <v>Contrapiso comum em argamassa estabilizada, nao aderido, espessura 15cm</v>
      </c>
      <c r="D1229" s="1079" t="s">
        <v>1434</v>
      </c>
      <c r="E1229" s="1080" t="str">
        <f>_xlfn.XLOOKUP(D1229,Insumos!$B$1:$B$670,Insumos!$C$1:$C$670)</f>
        <v>KG</v>
      </c>
      <c r="F1229" s="1083">
        <f>(0.5*1.5)/0.2</f>
        <v>3.75</v>
      </c>
      <c r="G1229" s="1081">
        <f>IF(B1229="insumo",_xlfn.XLOOKUP($D1229,Insumos!$B$1:$B$670,Insumos!$D$1:$D$670),"")</f>
        <v>0.76</v>
      </c>
      <c r="H1229" s="1081" cm="1">
        <f t="array" ref="H1229">_xlfn.IFS(B1229="Serviço",SUMIFS(H1230:$H$2465,C1230:$C$2465,$C1229),B1229="Insumo",F1229*G1229,B1229="Etapa","")</f>
        <v>2.85</v>
      </c>
      <c r="I1229" s="1082"/>
    </row>
    <row r="1230" spans="1:9" outlineLevel="1" collapsed="1" x14ac:dyDescent="0.25">
      <c r="A1230" s="1079">
        <f t="shared" si="51"/>
        <v>1</v>
      </c>
      <c r="B1230" s="1079" t="s">
        <v>471</v>
      </c>
      <c r="C1230" s="1079" t="str">
        <f t="shared" si="50"/>
        <v>Contrapiso comum em argamassa Ensacada virada em obra, espessura 5cm</v>
      </c>
      <c r="D1230" s="1079" t="s">
        <v>1874</v>
      </c>
      <c r="E1230" s="1080" t="s">
        <v>17</v>
      </c>
      <c r="F1230" s="1079"/>
      <c r="G1230" s="1081" t="str">
        <f>IF(B1230="insumo",_xlfn.XLOOKUP($D1230,Insumos!$B$1:$B$670,Insumos!$D$1:$D$670),"")</f>
        <v/>
      </c>
      <c r="H1230" s="1081" cm="1">
        <f t="array" ref="H1230">_xlfn.IFS(B1230="Serviço",SUMIFS(H1231:$H$2465,C1231:$C$2465,$C1230),B1230="Insumo",F1230*G1230,B1230="Etapa","")</f>
        <v>34.676900000000003</v>
      </c>
      <c r="I1230" s="1082" t="s">
        <v>872</v>
      </c>
    </row>
    <row r="1231" spans="1:9" hidden="1" outlineLevel="2" x14ac:dyDescent="0.25">
      <c r="A1231" s="1079">
        <f t="shared" si="51"/>
        <v>6</v>
      </c>
      <c r="B1231" s="1079" t="s">
        <v>1362</v>
      </c>
      <c r="C1231" s="1079" t="str">
        <f t="shared" si="50"/>
        <v>Contrapiso comum em argamassa Ensacada virada em obra, espessura 5cm</v>
      </c>
      <c r="D1231" s="1079" t="s">
        <v>1875</v>
      </c>
      <c r="E1231" s="1080" t="str">
        <f>_xlfn.XLOOKUP(D1231,Insumos!$B$1:$B$670,Insumos!$C$1:$C$670)</f>
        <v>KG</v>
      </c>
      <c r="F1231" s="1083">
        <f>1.7*5</f>
        <v>8.5</v>
      </c>
      <c r="G1231" s="1081">
        <f>IF(B1231="insumo",_xlfn.XLOOKUP($D1231,Insumos!$B$1:$B$670,Insumos!$D$1:$D$670),"")</f>
        <v>4</v>
      </c>
      <c r="H1231" s="1081" cm="1">
        <f t="array" ref="H1231">_xlfn.IFS(B1231="Serviço",SUMIFS(H1232:$H$2465,C1232:$C$2465,$C1231),B1231="Insumo",F1231*G1231,B1231="Etapa","")</f>
        <v>34</v>
      </c>
      <c r="I1231" s="1082"/>
    </row>
    <row r="1232" spans="1:9" hidden="1" outlineLevel="2" x14ac:dyDescent="0.25">
      <c r="A1232" s="1079">
        <f t="shared" si="51"/>
        <v>35</v>
      </c>
      <c r="B1232" s="1079" t="s">
        <v>1362</v>
      </c>
      <c r="C1232" s="1079" t="str">
        <f t="shared" si="50"/>
        <v>Contrapiso comum em argamassa Ensacada virada em obra, espessura 5cm</v>
      </c>
      <c r="D1232" s="1079" t="s">
        <v>1783</v>
      </c>
      <c r="E1232" s="1080" t="str">
        <f>_xlfn.XLOOKUP(D1232,Insumos!$B$1:$B$670,Insumos!$C$1:$C$670)</f>
        <v>L</v>
      </c>
      <c r="F1232" s="1083">
        <v>3.5000000000000003E-2</v>
      </c>
      <c r="G1232" s="1081">
        <f>IF(B1232="insumo",_xlfn.XLOOKUP($D1232,Insumos!$B$1:$B$670,Insumos!$D$1:$D$670),"")</f>
        <v>19.34</v>
      </c>
      <c r="H1232" s="1081" cm="1">
        <f t="array" ref="H1232">_xlfn.IFS(B1232="Serviço",SUMIFS(H1233:$H$2465,C1233:$C$2465,$C1232),B1232="Insumo",F1232*G1232,B1232="Etapa","")</f>
        <v>0.67690000000000006</v>
      </c>
      <c r="I1232" s="1082"/>
    </row>
    <row r="1233" spans="1:9" outlineLevel="1" collapsed="1" x14ac:dyDescent="0.25">
      <c r="A1233" s="1079">
        <f t="shared" si="51"/>
        <v>1</v>
      </c>
      <c r="B1233" s="1079" t="s">
        <v>471</v>
      </c>
      <c r="C1233" s="1079" t="str">
        <f t="shared" si="50"/>
        <v>Contrapiso comum em argamassa Ensacada virada em obra, espessura 8cm</v>
      </c>
      <c r="D1233" s="1079" t="s">
        <v>1876</v>
      </c>
      <c r="E1233" s="1080" t="s">
        <v>17</v>
      </c>
      <c r="F1233" s="1079"/>
      <c r="G1233" s="1081" t="str">
        <f>IF(B1233="insumo",_xlfn.XLOOKUP($D1233,Insumos!$B$1:$B$670,Insumos!$D$1:$D$670),"")</f>
        <v/>
      </c>
      <c r="H1233" s="1081" cm="1">
        <f t="array" ref="H1233">_xlfn.IFS(B1233="Serviço",SUMIFS(H1234:$H$2465,C1234:$C$2465,$C1233),B1233="Insumo",F1233*G1233,B1233="Etapa","")</f>
        <v>55.21228</v>
      </c>
      <c r="I1233" s="1082" t="s">
        <v>872</v>
      </c>
    </row>
    <row r="1234" spans="1:9" hidden="1" outlineLevel="2" x14ac:dyDescent="0.25">
      <c r="A1234" s="1079">
        <f t="shared" si="51"/>
        <v>6</v>
      </c>
      <c r="B1234" s="1079" t="s">
        <v>1362</v>
      </c>
      <c r="C1234" s="1079" t="str">
        <f t="shared" ref="C1234:C1297" si="52">IF(B1234="serviço",D1234,C1233)</f>
        <v>Contrapiso comum em argamassa Ensacada virada em obra, espessura 8cm</v>
      </c>
      <c r="D1234" s="1079" t="s">
        <v>1875</v>
      </c>
      <c r="E1234" s="1080" t="str">
        <f>_xlfn.XLOOKUP(D1234,Insumos!$B$1:$B$670,Insumos!$C$1:$C$670)</f>
        <v>KG</v>
      </c>
      <c r="F1234" s="1083">
        <f>1.7*8</f>
        <v>13.6</v>
      </c>
      <c r="G1234" s="1081">
        <f>IF(B1234="insumo",_xlfn.XLOOKUP($D1234,Insumos!$B$1:$B$670,Insumos!$D$1:$D$670),"")</f>
        <v>4</v>
      </c>
      <c r="H1234" s="1081" cm="1">
        <f t="array" ref="H1234">_xlfn.IFS(B1234="Serviço",SUMIFS(H1235:$H$2465,C1235:$C$2465,$C1234),B1234="Insumo",F1234*G1234,B1234="Etapa","")</f>
        <v>54.4</v>
      </c>
      <c r="I1234" s="1082"/>
    </row>
    <row r="1235" spans="1:9" hidden="1" outlineLevel="2" x14ac:dyDescent="0.25">
      <c r="A1235" s="1079">
        <f t="shared" si="51"/>
        <v>35</v>
      </c>
      <c r="B1235" s="1079" t="s">
        <v>1362</v>
      </c>
      <c r="C1235" s="1079" t="str">
        <f t="shared" si="52"/>
        <v>Contrapiso comum em argamassa Ensacada virada em obra, espessura 8cm</v>
      </c>
      <c r="D1235" s="1079" t="s">
        <v>1783</v>
      </c>
      <c r="E1235" s="1080" t="str">
        <f>_xlfn.XLOOKUP(D1235,Insumos!$B$1:$B$670,Insumos!$C$1:$C$670)</f>
        <v>L</v>
      </c>
      <c r="F1235" s="1083">
        <v>4.2000000000000003E-2</v>
      </c>
      <c r="G1235" s="1081">
        <f>IF(B1235="insumo",_xlfn.XLOOKUP($D1235,Insumos!$B$1:$B$670,Insumos!$D$1:$D$670),"")</f>
        <v>19.34</v>
      </c>
      <c r="H1235" s="1081" cm="1">
        <f t="array" ref="H1235">_xlfn.IFS(B1235="Serviço",SUMIFS(H1236:$H$2465,C1236:$C$2465,$C1235),B1235="Insumo",F1235*G1235,B1235="Etapa","")</f>
        <v>0.81228</v>
      </c>
      <c r="I1235" s="1082"/>
    </row>
    <row r="1236" spans="1:9" outlineLevel="1" collapsed="1" x14ac:dyDescent="0.25">
      <c r="A1236" s="1079">
        <f t="shared" si="51"/>
        <v>1</v>
      </c>
      <c r="B1236" s="1079" t="s">
        <v>471</v>
      </c>
      <c r="C1236" s="1079" t="str">
        <f t="shared" si="52"/>
        <v>Contrapiso comum em argamassa Ensacada virada em obra, espessura 10cm</v>
      </c>
      <c r="D1236" s="1079" t="s">
        <v>1877</v>
      </c>
      <c r="E1236" s="1080" t="s">
        <v>17</v>
      </c>
      <c r="F1236" s="1079"/>
      <c r="G1236" s="1081" t="str">
        <f>IF(B1236="insumo",_xlfn.XLOOKUP($D1236,Insumos!$B$1:$B$670,Insumos!$D$1:$D$670),"")</f>
        <v/>
      </c>
      <c r="H1236" s="1081" cm="1">
        <f t="array" ref="H1236">_xlfn.IFS(B1236="Serviço",SUMIFS(H1237:$H$2465,C1237:$C$2465,$C1236),B1236="Insumo",F1236*G1236,B1236="Etapa","")</f>
        <v>69.624560000000002</v>
      </c>
      <c r="I1236" s="1082" t="s">
        <v>872</v>
      </c>
    </row>
    <row r="1237" spans="1:9" hidden="1" outlineLevel="2" x14ac:dyDescent="0.25">
      <c r="A1237" s="1079">
        <f t="shared" si="51"/>
        <v>6</v>
      </c>
      <c r="B1237" s="1079" t="s">
        <v>1362</v>
      </c>
      <c r="C1237" s="1079" t="str">
        <f t="shared" si="52"/>
        <v>Contrapiso comum em argamassa Ensacada virada em obra, espessura 10cm</v>
      </c>
      <c r="D1237" s="1079" t="s">
        <v>1875</v>
      </c>
      <c r="E1237" s="1080" t="str">
        <f>_xlfn.XLOOKUP(D1237,Insumos!$B$1:$B$670,Insumos!$C$1:$C$670)</f>
        <v>KG</v>
      </c>
      <c r="F1237" s="1083">
        <f>1.7*10</f>
        <v>17</v>
      </c>
      <c r="G1237" s="1081">
        <f>IF(B1237="insumo",_xlfn.XLOOKUP($D1237,Insumos!$B$1:$B$670,Insumos!$D$1:$D$670),"")</f>
        <v>4</v>
      </c>
      <c r="H1237" s="1081" cm="1">
        <f t="array" ref="H1237">_xlfn.IFS(B1237="Serviço",SUMIFS(H1238:$H$2465,C1238:$C$2465,$C1237),B1237="Insumo",F1237*G1237,B1237="Etapa","")</f>
        <v>68</v>
      </c>
      <c r="I1237" s="1082"/>
    </row>
    <row r="1238" spans="1:9" hidden="1" outlineLevel="2" x14ac:dyDescent="0.25">
      <c r="A1238" s="1079">
        <f t="shared" si="51"/>
        <v>35</v>
      </c>
      <c r="B1238" s="1079" t="s">
        <v>1362</v>
      </c>
      <c r="C1238" s="1079" t="str">
        <f t="shared" si="52"/>
        <v>Contrapiso comum em argamassa Ensacada virada em obra, espessura 10cm</v>
      </c>
      <c r="D1238" s="1079" t="s">
        <v>1783</v>
      </c>
      <c r="E1238" s="1080" t="str">
        <f>_xlfn.XLOOKUP(D1238,Insumos!$B$1:$B$670,Insumos!$C$1:$C$670)</f>
        <v>L</v>
      </c>
      <c r="F1238" s="1083">
        <f>(0.021*0.8)/0.2</f>
        <v>8.4000000000000005E-2</v>
      </c>
      <c r="G1238" s="1081">
        <f>IF(B1238="insumo",_xlfn.XLOOKUP($D1238,Insumos!$B$1:$B$670,Insumos!$D$1:$D$670),"")</f>
        <v>19.34</v>
      </c>
      <c r="H1238" s="1081" cm="1">
        <f t="array" ref="H1238">_xlfn.IFS(B1238="Serviço",SUMIFS(H1239:$H$2465,C1239:$C$2465,$C1238),B1238="Insumo",F1238*G1238,B1238="Etapa","")</f>
        <v>1.62456</v>
      </c>
      <c r="I1238" s="1082"/>
    </row>
    <row r="1239" spans="1:9" outlineLevel="1" collapsed="1" x14ac:dyDescent="0.25">
      <c r="A1239" s="1079">
        <f t="shared" si="51"/>
        <v>1</v>
      </c>
      <c r="B1239" s="1079" t="s">
        <v>471</v>
      </c>
      <c r="C1239" s="1079" t="str">
        <f t="shared" si="52"/>
        <v>Contrapiso comum em argamassa Ensacada virada em obra, espessura 12cm</v>
      </c>
      <c r="D1239" s="1079" t="s">
        <v>1878</v>
      </c>
      <c r="E1239" s="1080" t="s">
        <v>17</v>
      </c>
      <c r="F1239" s="1079"/>
      <c r="G1239" s="1081" t="str">
        <f>IF(B1239="insumo",_xlfn.XLOOKUP($D1239,Insumos!$B$1:$B$670,Insumos!$D$1:$D$670),"")</f>
        <v/>
      </c>
      <c r="H1239" s="1081" cm="1">
        <f t="array" ref="H1239">_xlfn.IFS(B1239="Serviço",SUMIFS(H1240:$H$2465,C1240:$C$2465,$C1239),B1239="Insumo",F1239*G1239,B1239="Etapa","")</f>
        <v>83.63069999999999</v>
      </c>
      <c r="I1239" s="1082" t="s">
        <v>872</v>
      </c>
    </row>
    <row r="1240" spans="1:9" hidden="1" outlineLevel="2" x14ac:dyDescent="0.25">
      <c r="A1240" s="1079">
        <f t="shared" si="51"/>
        <v>6</v>
      </c>
      <c r="B1240" s="1079" t="s">
        <v>1362</v>
      </c>
      <c r="C1240" s="1079" t="str">
        <f t="shared" si="52"/>
        <v>Contrapiso comum em argamassa Ensacada virada em obra, espessura 12cm</v>
      </c>
      <c r="D1240" s="1079" t="s">
        <v>1875</v>
      </c>
      <c r="E1240" s="1080" t="str">
        <f>_xlfn.XLOOKUP(D1240,Insumos!$B$1:$B$670,Insumos!$C$1:$C$670)</f>
        <v>KG</v>
      </c>
      <c r="F1240" s="1083">
        <f>1.7*12</f>
        <v>20.399999999999999</v>
      </c>
      <c r="G1240" s="1081">
        <f>IF(B1240="insumo",_xlfn.XLOOKUP($D1240,Insumos!$B$1:$B$670,Insumos!$D$1:$D$670),"")</f>
        <v>4</v>
      </c>
      <c r="H1240" s="1081" cm="1">
        <f t="array" ref="H1240">_xlfn.IFS(B1240="Serviço",SUMIFS(H1241:$H$2465,C1241:$C$2465,$C1240),B1240="Insumo",F1240*G1240,B1240="Etapa","")</f>
        <v>81.599999999999994</v>
      </c>
      <c r="I1240" s="1082"/>
    </row>
    <row r="1241" spans="1:9" hidden="1" outlineLevel="2" x14ac:dyDescent="0.25">
      <c r="A1241" s="1079">
        <f t="shared" si="51"/>
        <v>35</v>
      </c>
      <c r="B1241" s="1079" t="s">
        <v>1362</v>
      </c>
      <c r="C1241" s="1079" t="str">
        <f t="shared" si="52"/>
        <v>Contrapiso comum em argamassa Ensacada virada em obra, espessura 12cm</v>
      </c>
      <c r="D1241" s="1079" t="s">
        <v>1783</v>
      </c>
      <c r="E1241" s="1080" t="str">
        <f>_xlfn.XLOOKUP(D1241,Insumos!$B$1:$B$670,Insumos!$C$1:$C$670)</f>
        <v>L</v>
      </c>
      <c r="F1241" s="1083">
        <f>(0.021*1)/0.2</f>
        <v>0.105</v>
      </c>
      <c r="G1241" s="1081">
        <f>IF(B1241="insumo",_xlfn.XLOOKUP($D1241,Insumos!$B$1:$B$670,Insumos!$D$1:$D$670),"")</f>
        <v>19.34</v>
      </c>
      <c r="H1241" s="1081" cm="1">
        <f t="array" ref="H1241">_xlfn.IFS(B1241="Serviço",SUMIFS(H1242:$H$2465,C1242:$C$2465,$C1241),B1241="Insumo",F1241*G1241,B1241="Etapa","")</f>
        <v>2.0306999999999999</v>
      </c>
      <c r="I1241" s="1082"/>
    </row>
    <row r="1242" spans="1:9" outlineLevel="1" collapsed="1" x14ac:dyDescent="0.25">
      <c r="A1242" s="1079">
        <f t="shared" si="51"/>
        <v>1</v>
      </c>
      <c r="B1242" s="1079" t="s">
        <v>471</v>
      </c>
      <c r="C1242" s="1079" t="str">
        <f t="shared" si="52"/>
        <v>Contrapiso comum em argamassa Ensacada virada em obra, espessura 13cm</v>
      </c>
      <c r="D1242" s="1079" t="s">
        <v>1879</v>
      </c>
      <c r="E1242" s="1080" t="s">
        <v>17</v>
      </c>
      <c r="F1242" s="1079"/>
      <c r="G1242" s="1081" t="str">
        <f>IF(B1242="insumo",_xlfn.XLOOKUP($D1242,Insumos!$B$1:$B$670,Insumos!$D$1:$D$670),"")</f>
        <v/>
      </c>
      <c r="H1242" s="1081" cm="1">
        <f t="array" ref="H1242">_xlfn.IFS(B1242="Serviço",SUMIFS(H1243:$H$2465,C1243:$C$2465,$C1242),B1242="Insumo",F1242*G1242,B1242="Etapa","")</f>
        <v>90.836839999999995</v>
      </c>
      <c r="I1242" s="1082" t="s">
        <v>872</v>
      </c>
    </row>
    <row r="1243" spans="1:9" hidden="1" outlineLevel="2" x14ac:dyDescent="0.25">
      <c r="A1243" s="1079">
        <f t="shared" si="51"/>
        <v>6</v>
      </c>
      <c r="B1243" s="1079" t="s">
        <v>1362</v>
      </c>
      <c r="C1243" s="1079" t="str">
        <f t="shared" si="52"/>
        <v>Contrapiso comum em argamassa Ensacada virada em obra, espessura 13cm</v>
      </c>
      <c r="D1243" s="1079" t="s">
        <v>1875</v>
      </c>
      <c r="E1243" s="1080" t="str">
        <f>_xlfn.XLOOKUP(D1243,Insumos!$B$1:$B$670,Insumos!$C$1:$C$670)</f>
        <v>KG</v>
      </c>
      <c r="F1243" s="1083">
        <f>1.7*13</f>
        <v>22.099999999999998</v>
      </c>
      <c r="G1243" s="1081">
        <f>IF(B1243="insumo",_xlfn.XLOOKUP($D1243,Insumos!$B$1:$B$670,Insumos!$D$1:$D$670),"")</f>
        <v>4</v>
      </c>
      <c r="H1243" s="1081" cm="1">
        <f t="array" ref="H1243">_xlfn.IFS(B1243="Serviço",SUMIFS(H1244:$H$2465,C1244:$C$2465,$C1243),B1243="Insumo",F1243*G1243,B1243="Etapa","")</f>
        <v>88.399999999999991</v>
      </c>
      <c r="I1243" s="1082"/>
    </row>
    <row r="1244" spans="1:9" hidden="1" outlineLevel="2" x14ac:dyDescent="0.25">
      <c r="A1244" s="1079">
        <f t="shared" si="51"/>
        <v>35</v>
      </c>
      <c r="B1244" s="1079" t="s">
        <v>1362</v>
      </c>
      <c r="C1244" s="1079" t="str">
        <f t="shared" si="52"/>
        <v>Contrapiso comum em argamassa Ensacada virada em obra, espessura 13cm</v>
      </c>
      <c r="D1244" s="1079" t="s">
        <v>1783</v>
      </c>
      <c r="E1244" s="1080" t="str">
        <f>_xlfn.XLOOKUP(D1244,Insumos!$B$1:$B$670,Insumos!$C$1:$C$670)</f>
        <v>L</v>
      </c>
      <c r="F1244" s="1083">
        <f>(0.021*1.2)/0.2</f>
        <v>0.126</v>
      </c>
      <c r="G1244" s="1081">
        <f>IF(B1244="insumo",_xlfn.XLOOKUP($D1244,Insumos!$B$1:$B$670,Insumos!$D$1:$D$670),"")</f>
        <v>19.34</v>
      </c>
      <c r="H1244" s="1081" cm="1">
        <f t="array" ref="H1244">_xlfn.IFS(B1244="Serviço",SUMIFS(H1245:$H$2465,C1245:$C$2465,$C1244),B1244="Insumo",F1244*G1244,B1244="Etapa","")</f>
        <v>2.4368400000000001</v>
      </c>
      <c r="I1244" s="1082"/>
    </row>
    <row r="1245" spans="1:9" outlineLevel="1" collapsed="1" x14ac:dyDescent="0.25">
      <c r="A1245" s="1079">
        <f t="shared" si="51"/>
        <v>1</v>
      </c>
      <c r="B1245" s="1079" t="s">
        <v>471</v>
      </c>
      <c r="C1245" s="1079" t="str">
        <f t="shared" si="52"/>
        <v>Contrapiso comum em argamassa Ensacada virada em obra, espessura 15cm</v>
      </c>
      <c r="D1245" s="1079" t="s">
        <v>1880</v>
      </c>
      <c r="E1245" s="1080" t="s">
        <v>17</v>
      </c>
      <c r="F1245" s="1079"/>
      <c r="G1245" s="1081" t="str">
        <f>IF(B1245="insumo",_xlfn.XLOOKUP($D1245,Insumos!$B$1:$B$670,Insumos!$D$1:$D$670),"")</f>
        <v/>
      </c>
      <c r="H1245" s="1081" cm="1">
        <f t="array" ref="H1245">_xlfn.IFS(B1245="Serviço",SUMIFS(H1246:$H$2465,C1246:$C$2465,$C1245),B1245="Insumo",F1245*G1245,B1245="Etapa","")</f>
        <v>104.63991</v>
      </c>
      <c r="I1245" s="1082" t="s">
        <v>872</v>
      </c>
    </row>
    <row r="1246" spans="1:9" hidden="1" outlineLevel="2" x14ac:dyDescent="0.25">
      <c r="A1246" s="1079">
        <f t="shared" si="51"/>
        <v>6</v>
      </c>
      <c r="B1246" s="1079" t="s">
        <v>1362</v>
      </c>
      <c r="C1246" s="1079" t="str">
        <f t="shared" si="52"/>
        <v>Contrapiso comum em argamassa Ensacada virada em obra, espessura 15cm</v>
      </c>
      <c r="D1246" s="1079" t="s">
        <v>1875</v>
      </c>
      <c r="E1246" s="1080" t="str">
        <f>_xlfn.XLOOKUP(D1246,Insumos!$B$1:$B$670,Insumos!$C$1:$C$670)</f>
        <v>KG</v>
      </c>
      <c r="F1246" s="1083">
        <f>1.7*15</f>
        <v>25.5</v>
      </c>
      <c r="G1246" s="1081">
        <f>IF(B1246="insumo",_xlfn.XLOOKUP($D1246,Insumos!$B$1:$B$670,Insumos!$D$1:$D$670),"")</f>
        <v>4</v>
      </c>
      <c r="H1246" s="1081" cm="1">
        <f t="array" ref="H1246">_xlfn.IFS(B1246="Serviço",SUMIFS(H1247:$H$2465,C1247:$C$2465,$C1246),B1246="Insumo",F1246*G1246,B1246="Etapa","")</f>
        <v>102</v>
      </c>
      <c r="I1246" s="1082"/>
    </row>
    <row r="1247" spans="1:9" hidden="1" outlineLevel="2" x14ac:dyDescent="0.25">
      <c r="A1247" s="1079">
        <f t="shared" si="51"/>
        <v>35</v>
      </c>
      <c r="B1247" s="1079" t="s">
        <v>1362</v>
      </c>
      <c r="C1247" s="1079" t="str">
        <f t="shared" si="52"/>
        <v>Contrapiso comum em argamassa Ensacada virada em obra, espessura 15cm</v>
      </c>
      <c r="D1247" s="1079" t="s">
        <v>1783</v>
      </c>
      <c r="E1247" s="1080" t="str">
        <f>_xlfn.XLOOKUP(D1247,Insumos!$B$1:$B$670,Insumos!$C$1:$C$670)</f>
        <v>L</v>
      </c>
      <c r="F1247" s="1083">
        <f>(0.021*1.3)/0.2</f>
        <v>0.13650000000000001</v>
      </c>
      <c r="G1247" s="1081">
        <f>IF(B1247="insumo",_xlfn.XLOOKUP($D1247,Insumos!$B$1:$B$670,Insumos!$D$1:$D$670),"")</f>
        <v>19.34</v>
      </c>
      <c r="H1247" s="1081" cm="1">
        <f t="array" ref="H1247">_xlfn.IFS(B1247="Serviço",SUMIFS(H1248:$H$2465,C1248:$C$2465,$C1247),B1247="Insumo",F1247*G1247,B1247="Etapa","")</f>
        <v>2.63991</v>
      </c>
      <c r="I1247" s="1082"/>
    </row>
    <row r="1248" spans="1:9" outlineLevel="1" collapsed="1" x14ac:dyDescent="0.25">
      <c r="A1248" s="1079">
        <f t="shared" si="51"/>
        <v>1</v>
      </c>
      <c r="B1248" s="1079" t="s">
        <v>471</v>
      </c>
      <c r="C1248" s="1079" t="str">
        <f t="shared" si="52"/>
        <v>Acústica para Contrapiso com malha de aço</v>
      </c>
      <c r="D1248" s="1079" t="s">
        <v>1881</v>
      </c>
      <c r="E1248" s="1080" t="s">
        <v>17</v>
      </c>
      <c r="F1248" s="1079"/>
      <c r="G1248" s="1081" t="str">
        <f>IF(B1248="insumo",_xlfn.XLOOKUP($D1248,Insumos!$B$1:$B$670,Insumos!$D$1:$D$670),"")</f>
        <v/>
      </c>
      <c r="H1248" s="1081" cm="1">
        <f t="array" ref="H1248">_xlfn.IFS(B1248="Serviço",SUMIFS(H1249:$H$2465,C1249:$C$2465,$C1248),B1248="Insumo",F1248*G1248,B1248="Etapa","")</f>
        <v>26.585210000000004</v>
      </c>
      <c r="I1248" s="1082" t="s">
        <v>872</v>
      </c>
    </row>
    <row r="1249" spans="1:9" hidden="1" outlineLevel="2" x14ac:dyDescent="0.25">
      <c r="A1249" s="1079">
        <f t="shared" si="51"/>
        <v>1</v>
      </c>
      <c r="B1249" s="1079" t="s">
        <v>1362</v>
      </c>
      <c r="C1249" s="1079" t="str">
        <f t="shared" si="52"/>
        <v>Acústica para Contrapiso com malha de aço</v>
      </c>
      <c r="D1249" s="1079" t="s">
        <v>1882</v>
      </c>
      <c r="E1249" s="1080" t="str">
        <f>_xlfn.XLOOKUP(D1249,Insumos!$B$1:$B$670,Insumos!$C$1:$C$670)</f>
        <v>L</v>
      </c>
      <c r="F1249" s="1083">
        <v>1.4350000000000001</v>
      </c>
      <c r="G1249" s="1081">
        <f>IF(B1249="insumo",_xlfn.XLOOKUP($D1249,Insumos!$B$1:$B$670,Insumos!$D$1:$D$670),"")</f>
        <v>7.16</v>
      </c>
      <c r="H1249" s="1081" cm="1">
        <f t="array" ref="H1249">_xlfn.IFS(B1249="Serviço",SUMIFS(H1250:$H$2465,C1250:$C$2465,$C1249),B1249="Insumo",F1249*G1249,B1249="Etapa","")</f>
        <v>10.274600000000001</v>
      </c>
      <c r="I1249" s="1082"/>
    </row>
    <row r="1250" spans="1:9" hidden="1" outlineLevel="2" x14ac:dyDescent="0.25">
      <c r="A1250" s="1079">
        <f t="shared" si="51"/>
        <v>3</v>
      </c>
      <c r="B1250" s="1079" t="s">
        <v>1362</v>
      </c>
      <c r="C1250" s="1079" t="str">
        <f t="shared" si="52"/>
        <v>Acústica para Contrapiso com malha de aço</v>
      </c>
      <c r="D1250" s="1079" t="s">
        <v>1728</v>
      </c>
      <c r="E1250" s="1080" t="str">
        <f>_xlfn.XLOOKUP(D1250,Insumos!$B$1:$B$670,Insumos!$C$1:$C$670)</f>
        <v>M2</v>
      </c>
      <c r="F1250" s="1083">
        <v>1.143</v>
      </c>
      <c r="G1250" s="1081">
        <f>IF(B1250="insumo",_xlfn.XLOOKUP($D1250,Insumos!$B$1:$B$670,Insumos!$D$1:$D$670),"")</f>
        <v>14.27</v>
      </c>
      <c r="H1250" s="1081" cm="1">
        <f t="array" ref="H1250">_xlfn.IFS(B1250="Serviço",SUMIFS(H1251:$H$2465,C1251:$C$2465,$C1250),B1250="Insumo",F1250*G1250,B1250="Etapa","")</f>
        <v>16.31061</v>
      </c>
      <c r="I1250" s="1082"/>
    </row>
    <row r="1251" spans="1:9" outlineLevel="1" collapsed="1" x14ac:dyDescent="0.25">
      <c r="A1251" s="1079">
        <f t="shared" si="51"/>
        <v>1</v>
      </c>
      <c r="B1251" s="1079" t="s">
        <v>471</v>
      </c>
      <c r="C1251" s="1079" t="str">
        <f t="shared" si="52"/>
        <v>Acústica para Contrapiso com malha de aço e manta polipropileno</v>
      </c>
      <c r="D1251" s="1079" t="s">
        <v>1883</v>
      </c>
      <c r="E1251" s="1080" t="s">
        <v>17</v>
      </c>
      <c r="F1251" s="1079"/>
      <c r="G1251" s="1081" t="str">
        <f>IF(B1251="insumo",_xlfn.XLOOKUP($D1251,Insumos!$B$1:$B$670,Insumos!$D$1:$D$670),"")</f>
        <v/>
      </c>
      <c r="H1251" s="1081" cm="1">
        <f t="array" ref="H1251">_xlfn.IFS(B1251="Serviço",SUMIFS(H1252:$H$2465,C1252:$C$2465,$C1251),B1251="Insumo",F1251*G1251,B1251="Etapa","")</f>
        <v>49.921721111111111</v>
      </c>
      <c r="I1251" s="1082" t="s">
        <v>872</v>
      </c>
    </row>
    <row r="1252" spans="1:9" hidden="1" outlineLevel="2" x14ac:dyDescent="0.25">
      <c r="A1252" s="1079">
        <f t="shared" si="51"/>
        <v>1</v>
      </c>
      <c r="B1252" s="1079" t="s">
        <v>1362</v>
      </c>
      <c r="C1252" s="1079" t="str">
        <f t="shared" si="52"/>
        <v>Acústica para Contrapiso com malha de aço e manta polipropileno</v>
      </c>
      <c r="D1252" s="1079" t="s">
        <v>1884</v>
      </c>
      <c r="E1252" s="1080" t="str">
        <f>_xlfn.XLOOKUP(D1252,Insumos!$B$1:$B$670,Insumos!$C$1:$C$670)</f>
        <v>M2</v>
      </c>
      <c r="F1252" s="1083">
        <v>1.1000000000000001</v>
      </c>
      <c r="G1252" s="1081">
        <f>IF(B1252="insumo",_xlfn.XLOOKUP($D1252,Insumos!$B$1:$B$670,Insumos!$D$1:$D$670),"")</f>
        <v>30.555555555555557</v>
      </c>
      <c r="H1252" s="1081" cm="1">
        <f t="array" ref="H1252">_xlfn.IFS(B1252="Serviço",SUMIFS(H1253:$H$2465,C1253:$C$2465,$C1252),B1252="Insumo",F1252*G1252,B1252="Etapa","")</f>
        <v>33.611111111111114</v>
      </c>
      <c r="I1252" s="1082"/>
    </row>
    <row r="1253" spans="1:9" hidden="1" outlineLevel="2" x14ac:dyDescent="0.25">
      <c r="A1253" s="1079">
        <f t="shared" si="51"/>
        <v>3</v>
      </c>
      <c r="B1253" s="1079" t="s">
        <v>1362</v>
      </c>
      <c r="C1253" s="1079" t="str">
        <f t="shared" si="52"/>
        <v>Acústica para Contrapiso com malha de aço e manta polipropileno</v>
      </c>
      <c r="D1253" s="1079" t="s">
        <v>1728</v>
      </c>
      <c r="E1253" s="1080" t="str">
        <f>_xlfn.XLOOKUP(D1253,Insumos!$B$1:$B$670,Insumos!$C$1:$C$670)</f>
        <v>M2</v>
      </c>
      <c r="F1253" s="1083">
        <v>1.143</v>
      </c>
      <c r="G1253" s="1081">
        <f>IF(B1253="insumo",_xlfn.XLOOKUP($D1253,Insumos!$B$1:$B$670,Insumos!$D$1:$D$670),"")</f>
        <v>14.27</v>
      </c>
      <c r="H1253" s="1081" cm="1">
        <f t="array" ref="H1253">_xlfn.IFS(B1253="Serviço",SUMIFS(H1254:$H$2465,C1254:$C$2465,$C1253),B1253="Insumo",F1253*G1253,B1253="Etapa","")</f>
        <v>16.31061</v>
      </c>
      <c r="I1253" s="1082"/>
    </row>
    <row r="1254" spans="1:9" outlineLevel="1" collapsed="1" x14ac:dyDescent="0.25">
      <c r="A1254" s="1079">
        <f t="shared" si="51"/>
        <v>1</v>
      </c>
      <c r="B1254" s="1079" t="s">
        <v>471</v>
      </c>
      <c r="C1254" s="1079" t="str">
        <f t="shared" si="52"/>
        <v>Acústica para Contrapiso anti-impacto</v>
      </c>
      <c r="D1254" s="1079" t="s">
        <v>1885</v>
      </c>
      <c r="E1254" s="1080" t="s">
        <v>17</v>
      </c>
      <c r="F1254" s="1079"/>
      <c r="G1254" s="1081" t="str">
        <f>IF(B1254="insumo",_xlfn.XLOOKUP($D1254,Insumos!$B$1:$B$670,Insumos!$D$1:$D$670),"")</f>
        <v/>
      </c>
      <c r="H1254" s="1081" cm="1">
        <f t="array" ref="H1254">_xlfn.IFS(B1254="Serviço",SUMIFS(H1255:$H$2465,C1255:$C$2465,$C1254),B1254="Insumo",F1254*G1254,B1254="Etapa","")</f>
        <v>38.118383333333334</v>
      </c>
      <c r="I1254" s="1082" t="s">
        <v>872</v>
      </c>
    </row>
    <row r="1255" spans="1:9" hidden="1" outlineLevel="2" x14ac:dyDescent="0.25">
      <c r="A1255" s="1079">
        <f t="shared" si="51"/>
        <v>1</v>
      </c>
      <c r="B1255" s="1079" t="s">
        <v>1362</v>
      </c>
      <c r="C1255" s="1079" t="str">
        <f t="shared" si="52"/>
        <v>Acústica para Contrapiso anti-impacto</v>
      </c>
      <c r="D1255" s="1079" t="s">
        <v>1886</v>
      </c>
      <c r="E1255" s="1080" t="str">
        <f>_xlfn.XLOOKUP(D1255,Insumos!$B$1:$B$670,Insumos!$C$1:$C$670)</f>
        <v>L</v>
      </c>
      <c r="F1255" s="1083">
        <v>1.4350000000000001</v>
      </c>
      <c r="G1255" s="1081">
        <f>IF(B1255="insumo",_xlfn.XLOOKUP($D1255,Insumos!$B$1:$B$670,Insumos!$D$1:$D$670),"")</f>
        <v>26.563333333333333</v>
      </c>
      <c r="H1255" s="1081" cm="1">
        <f t="array" ref="H1255">_xlfn.IFS(B1255="Serviço",SUMIFS(H1256:$H$2465,C1256:$C$2465,$C1255),B1255="Insumo",F1255*G1255,B1255="Etapa","")</f>
        <v>38.118383333333334</v>
      </c>
      <c r="I1255" s="1082"/>
    </row>
    <row r="1256" spans="1:9" outlineLevel="1" collapsed="1" x14ac:dyDescent="0.25">
      <c r="A1256" s="1079">
        <f t="shared" si="51"/>
        <v>1</v>
      </c>
      <c r="B1256" s="1079" t="s">
        <v>471</v>
      </c>
      <c r="C1256" s="1079" t="str">
        <f t="shared" si="52"/>
        <v>Regularização de Piso 0,50cm - Autonivelado</v>
      </c>
      <c r="D1256" s="1079" t="s">
        <v>1887</v>
      </c>
      <c r="E1256" s="1080" t="s">
        <v>17</v>
      </c>
      <c r="F1256" s="1079"/>
      <c r="G1256" s="1081" t="str">
        <f>IF(B1256="insumo",_xlfn.XLOOKUP($D1256,Insumos!$B$1:$B$670,Insumos!$D$1:$D$670),"")</f>
        <v/>
      </c>
      <c r="H1256" s="1081" cm="1">
        <f t="array" ref="H1256">_xlfn.IFS(B1256="Serviço",SUMIFS(H1257:$H$2465,C1257:$C$2465,$C1256),B1256="Insumo",F1256*G1256,B1256="Etapa","")</f>
        <v>12.442690000000002</v>
      </c>
      <c r="I1256" s="1082" t="s">
        <v>872</v>
      </c>
    </row>
    <row r="1257" spans="1:9" hidden="1" outlineLevel="2" x14ac:dyDescent="0.25">
      <c r="A1257" s="1079">
        <f t="shared" si="51"/>
        <v>32</v>
      </c>
      <c r="B1257" s="1079" t="s">
        <v>1362</v>
      </c>
      <c r="C1257" s="1079" t="str">
        <f t="shared" si="52"/>
        <v>Regularização de Piso 0,50cm - Autonivelado</v>
      </c>
      <c r="D1257" s="1079" t="s">
        <v>1727</v>
      </c>
      <c r="E1257" s="1080" t="str">
        <f>_xlfn.XLOOKUP(D1257,Insumos!$B$1:$B$670,Insumos!$C$1:$C$670)</f>
        <v>M3</v>
      </c>
      <c r="F1257" s="1083">
        <v>5.5000000000000005E-3</v>
      </c>
      <c r="G1257" s="1081">
        <f>IF(B1257="insumo",_xlfn.XLOOKUP($D1257,Insumos!$B$1:$B$670,Insumos!$D$1:$D$670),"")</f>
        <v>550</v>
      </c>
      <c r="H1257" s="1081" cm="1">
        <f t="array" ref="H1257">_xlfn.IFS(B1257="Serviço",SUMIFS(H1258:$H$2465,C1258:$C$2465,$C1257),B1257="Insumo",F1257*G1257,B1257="Etapa","")</f>
        <v>3.0250000000000004</v>
      </c>
      <c r="I1257" s="1082"/>
    </row>
    <row r="1258" spans="1:9" hidden="1" outlineLevel="2" x14ac:dyDescent="0.25">
      <c r="A1258" s="1079">
        <f t="shared" si="51"/>
        <v>35</v>
      </c>
      <c r="B1258" s="1079" t="s">
        <v>1362</v>
      </c>
      <c r="C1258" s="1079" t="str">
        <f t="shared" si="52"/>
        <v>Regularização de Piso 0,50cm - Autonivelado</v>
      </c>
      <c r="D1258" s="1079" t="s">
        <v>1783</v>
      </c>
      <c r="E1258" s="1080" t="str">
        <f>_xlfn.XLOOKUP(D1258,Insumos!$B$1:$B$670,Insumos!$C$1:$C$670)</f>
        <v>L</v>
      </c>
      <c r="F1258" s="1083">
        <v>3.5000000000000005E-3</v>
      </c>
      <c r="G1258" s="1081">
        <f>IF(B1258="insumo",_xlfn.XLOOKUP($D1258,Insumos!$B$1:$B$670,Insumos!$D$1:$D$670),"")</f>
        <v>19.34</v>
      </c>
      <c r="H1258" s="1081" cm="1">
        <f t="array" ref="H1258">_xlfn.IFS(B1258="Serviço",SUMIFS(H1259:$H$2465,C1259:$C$2465,$C1258),B1258="Insumo",F1258*G1258,B1258="Etapa","")</f>
        <v>6.7690000000000014E-2</v>
      </c>
      <c r="I1258" s="1082"/>
    </row>
    <row r="1259" spans="1:9" hidden="1" outlineLevel="2" x14ac:dyDescent="0.25">
      <c r="A1259" s="1079">
        <f t="shared" si="51"/>
        <v>5</v>
      </c>
      <c r="B1259" s="1079" t="s">
        <v>1362</v>
      </c>
      <c r="C1259" s="1079" t="str">
        <f t="shared" si="52"/>
        <v>Regularização de Piso 0,50cm - Autonivelado</v>
      </c>
      <c r="D1259" s="1079" t="s">
        <v>1857</v>
      </c>
      <c r="E1259" s="1080" t="str">
        <f>_xlfn.XLOOKUP(D1259,Insumos!$B$1:$B$670,Insumos!$C$1:$C$670)</f>
        <v>KG</v>
      </c>
      <c r="F1259" s="1083">
        <v>2.2000000000000002</v>
      </c>
      <c r="G1259" s="1081">
        <f>IF(B1259="insumo",_xlfn.XLOOKUP($D1259,Insumos!$B$1:$B$670,Insumos!$D$1:$D$670),"")</f>
        <v>4.25</v>
      </c>
      <c r="H1259" s="1081" cm="1">
        <f t="array" ref="H1259">_xlfn.IFS(B1259="Serviço",SUMIFS(H1260:$H$2465,C1260:$C$2465,$C1259),B1259="Insumo",F1259*G1259,B1259="Etapa","")</f>
        <v>9.3500000000000014</v>
      </c>
      <c r="I1259" s="1082"/>
    </row>
    <row r="1260" spans="1:9" outlineLevel="1" collapsed="1" x14ac:dyDescent="0.25">
      <c r="A1260" s="1079">
        <f t="shared" si="51"/>
        <v>1</v>
      </c>
      <c r="B1260" s="1079" t="s">
        <v>471</v>
      </c>
      <c r="C1260" s="1079" t="str">
        <f t="shared" si="52"/>
        <v xml:space="preserve">Regularização de Piso 0,50 cm </v>
      </c>
      <c r="D1260" s="1079" t="s">
        <v>1888</v>
      </c>
      <c r="E1260" s="1080" t="s">
        <v>17</v>
      </c>
      <c r="F1260" s="1079"/>
      <c r="G1260" s="1081" t="str">
        <f>IF(B1260="insumo",_xlfn.XLOOKUP($D1260,Insumos!$B$1:$B$670,Insumos!$D$1:$D$670),"")</f>
        <v/>
      </c>
      <c r="H1260" s="1081" cm="1">
        <f t="array" ref="H1260">_xlfn.IFS(B1260="Serviço",SUMIFS(H1261:$H$2465,C1261:$C$2465,$C1260),B1260="Insumo",F1260*G1260,B1260="Etapa","")</f>
        <v>3.1560233333333336</v>
      </c>
      <c r="I1260" s="1082" t="s">
        <v>872</v>
      </c>
    </row>
    <row r="1261" spans="1:9" hidden="1" outlineLevel="2" x14ac:dyDescent="0.25">
      <c r="A1261" s="1079">
        <f t="shared" si="51"/>
        <v>32</v>
      </c>
      <c r="B1261" s="1079" t="s">
        <v>1362</v>
      </c>
      <c r="C1261" s="1079" t="str">
        <f t="shared" si="52"/>
        <v xml:space="preserve">Regularização de Piso 0,50 cm </v>
      </c>
      <c r="D1261" s="1079" t="s">
        <v>1727</v>
      </c>
      <c r="E1261" s="1080" t="str">
        <f>_xlfn.XLOOKUP(D1261,Insumos!$B$1:$B$670,Insumos!$C$1:$C$670)</f>
        <v>M3</v>
      </c>
      <c r="F1261" s="1083">
        <v>5.5000000000000005E-3</v>
      </c>
      <c r="G1261" s="1081">
        <f>IF(B1261="insumo",_xlfn.XLOOKUP($D1261,Insumos!$B$1:$B$670,Insumos!$D$1:$D$670),"")</f>
        <v>550</v>
      </c>
      <c r="H1261" s="1081" cm="1">
        <f t="array" ref="H1261">_xlfn.IFS(B1261="Serviço",SUMIFS(H1262:$H$2465,C1262:$C$2465,$C1261),B1261="Insumo",F1261*G1261,B1261="Etapa","")</f>
        <v>3.0250000000000004</v>
      </c>
      <c r="I1261" s="1082"/>
    </row>
    <row r="1262" spans="1:9" hidden="1" outlineLevel="2" x14ac:dyDescent="0.25">
      <c r="A1262" s="1079">
        <f t="shared" si="51"/>
        <v>35</v>
      </c>
      <c r="B1262" s="1079" t="s">
        <v>1362</v>
      </c>
      <c r="C1262" s="1079" t="str">
        <f t="shared" si="52"/>
        <v xml:space="preserve">Regularização de Piso 0,50 cm </v>
      </c>
      <c r="D1262" s="1079" t="s">
        <v>1783</v>
      </c>
      <c r="E1262" s="1080" t="str">
        <f>_xlfn.XLOOKUP(D1262,Insumos!$B$1:$B$670,Insumos!$C$1:$C$670)</f>
        <v>L</v>
      </c>
      <c r="F1262" s="1083">
        <v>3.5000000000000005E-3</v>
      </c>
      <c r="G1262" s="1081">
        <f>IF(B1262="insumo",_xlfn.XLOOKUP($D1262,Insumos!$B$1:$B$670,Insumos!$D$1:$D$670),"")</f>
        <v>19.34</v>
      </c>
      <c r="H1262" s="1081" cm="1">
        <f t="array" ref="H1262">_xlfn.IFS(B1262="Serviço",SUMIFS(H1263:$H$2465,C1263:$C$2465,$C1262),B1262="Insumo",F1262*G1262,B1262="Etapa","")</f>
        <v>6.7690000000000014E-2</v>
      </c>
      <c r="I1262" s="1082"/>
    </row>
    <row r="1263" spans="1:9" hidden="1" outlineLevel="2" x14ac:dyDescent="0.25">
      <c r="A1263" s="1079">
        <f t="shared" si="51"/>
        <v>38</v>
      </c>
      <c r="B1263" s="1079" t="s">
        <v>1362</v>
      </c>
      <c r="C1263" s="1079" t="str">
        <f t="shared" si="52"/>
        <v xml:space="preserve">Regularização de Piso 0,50 cm </v>
      </c>
      <c r="D1263" s="1079" t="s">
        <v>1434</v>
      </c>
      <c r="E1263" s="1080" t="str">
        <f>_xlfn.XLOOKUP(D1263,Insumos!$B$1:$B$670,Insumos!$C$1:$C$670)</f>
        <v>KG</v>
      </c>
      <c r="F1263" s="1083">
        <v>8.3333333333333343E-2</v>
      </c>
      <c r="G1263" s="1081">
        <f>IF(B1263="insumo",_xlfn.XLOOKUP($D1263,Insumos!$B$1:$B$670,Insumos!$D$1:$D$670),"")</f>
        <v>0.76</v>
      </c>
      <c r="H1263" s="1081" cm="1">
        <f t="array" ref="H1263">_xlfn.IFS(B1263="Serviço",SUMIFS(H1264:$H$2465,C1264:$C$2465,$C1263),B1263="Insumo",F1263*G1263,B1263="Etapa","")</f>
        <v>6.3333333333333339E-2</v>
      </c>
      <c r="I1263" s="1082"/>
    </row>
    <row r="1264" spans="1:9" outlineLevel="1" collapsed="1" x14ac:dyDescent="0.25">
      <c r="A1264" s="1079">
        <f t="shared" si="51"/>
        <v>1</v>
      </c>
      <c r="B1264" s="1079" t="s">
        <v>471</v>
      </c>
      <c r="C1264" s="1079" t="str">
        <f t="shared" si="52"/>
        <v xml:space="preserve">Regularização de Piso 1,00 cm </v>
      </c>
      <c r="D1264" s="1079" t="s">
        <v>1889</v>
      </c>
      <c r="E1264" s="1080" t="s">
        <v>17</v>
      </c>
      <c r="F1264" s="1079"/>
      <c r="G1264" s="1081" t="str">
        <f>IF(B1264="insumo",_xlfn.XLOOKUP($D1264,Insumos!$B$1:$B$670,Insumos!$D$1:$D$670),"")</f>
        <v/>
      </c>
      <c r="H1264" s="1081" cm="1">
        <f t="array" ref="H1264">_xlfn.IFS(B1264="Serviço",SUMIFS(H1265:$H$2465,C1265:$C$2465,$C1264),B1264="Insumo",F1264*G1264,B1264="Etapa","")</f>
        <v>6.3120466666666672</v>
      </c>
      <c r="I1264" s="1082" t="s">
        <v>872</v>
      </c>
    </row>
    <row r="1265" spans="1:9" hidden="1" outlineLevel="2" x14ac:dyDescent="0.25">
      <c r="A1265" s="1079">
        <f t="shared" si="51"/>
        <v>32</v>
      </c>
      <c r="B1265" s="1079" t="s">
        <v>1362</v>
      </c>
      <c r="C1265" s="1079" t="str">
        <f t="shared" si="52"/>
        <v xml:space="preserve">Regularização de Piso 1,00 cm </v>
      </c>
      <c r="D1265" s="1079" t="s">
        <v>1727</v>
      </c>
      <c r="E1265" s="1080" t="str">
        <f>_xlfn.XLOOKUP(D1265,Insumos!$B$1:$B$670,Insumos!$C$1:$C$670)</f>
        <v>M3</v>
      </c>
      <c r="F1265" s="1083">
        <v>1.1000000000000001E-2</v>
      </c>
      <c r="G1265" s="1081">
        <f>IF(B1265="insumo",_xlfn.XLOOKUP($D1265,Insumos!$B$1:$B$670,Insumos!$D$1:$D$670),"")</f>
        <v>550</v>
      </c>
      <c r="H1265" s="1081" cm="1">
        <f t="array" ref="H1265">_xlfn.IFS(B1265="Serviço",SUMIFS(H1266:$H$2465,C1266:$C$2465,$C1265),B1265="Insumo",F1265*G1265,B1265="Etapa","")</f>
        <v>6.0500000000000007</v>
      </c>
      <c r="I1265" s="1082"/>
    </row>
    <row r="1266" spans="1:9" hidden="1" outlineLevel="2" x14ac:dyDescent="0.25">
      <c r="A1266" s="1079">
        <f t="shared" si="51"/>
        <v>35</v>
      </c>
      <c r="B1266" s="1079" t="s">
        <v>1362</v>
      </c>
      <c r="C1266" s="1079" t="str">
        <f t="shared" si="52"/>
        <v xml:space="preserve">Regularização de Piso 1,00 cm </v>
      </c>
      <c r="D1266" s="1079" t="s">
        <v>1783</v>
      </c>
      <c r="E1266" s="1080" t="str">
        <f>_xlfn.XLOOKUP(D1266,Insumos!$B$1:$B$670,Insumos!$C$1:$C$670)</f>
        <v>L</v>
      </c>
      <c r="F1266" s="1083">
        <v>7.000000000000001E-3</v>
      </c>
      <c r="G1266" s="1081">
        <f>IF(B1266="insumo",_xlfn.XLOOKUP($D1266,Insumos!$B$1:$B$670,Insumos!$D$1:$D$670),"")</f>
        <v>19.34</v>
      </c>
      <c r="H1266" s="1081" cm="1">
        <f t="array" ref="H1266">_xlfn.IFS(B1266="Serviço",SUMIFS(H1267:$H$2465,C1267:$C$2465,$C1266),B1266="Insumo",F1266*G1266,B1266="Etapa","")</f>
        <v>0.13538000000000003</v>
      </c>
      <c r="I1266" s="1082"/>
    </row>
    <row r="1267" spans="1:9" hidden="1" outlineLevel="2" x14ac:dyDescent="0.25">
      <c r="A1267" s="1079">
        <f t="shared" si="51"/>
        <v>38</v>
      </c>
      <c r="B1267" s="1079" t="s">
        <v>1362</v>
      </c>
      <c r="C1267" s="1079" t="str">
        <f t="shared" si="52"/>
        <v xml:space="preserve">Regularização de Piso 1,00 cm </v>
      </c>
      <c r="D1267" s="1079" t="s">
        <v>1434</v>
      </c>
      <c r="E1267" s="1080" t="str">
        <f>_xlfn.XLOOKUP(D1267,Insumos!$B$1:$B$670,Insumos!$C$1:$C$670)</f>
        <v>KG</v>
      </c>
      <c r="F1267" s="1083">
        <v>0.16666666666666669</v>
      </c>
      <c r="G1267" s="1081">
        <f>IF(B1267="insumo",_xlfn.XLOOKUP($D1267,Insumos!$B$1:$B$670,Insumos!$D$1:$D$670),"")</f>
        <v>0.76</v>
      </c>
      <c r="H1267" s="1081" cm="1">
        <f t="array" ref="H1267">_xlfn.IFS(B1267="Serviço",SUMIFS(H1268:$H$2465,C1268:$C$2465,$C1267),B1267="Insumo",F1267*G1267,B1267="Etapa","")</f>
        <v>0.12666666666666668</v>
      </c>
      <c r="I1267" s="1082"/>
    </row>
    <row r="1268" spans="1:9" outlineLevel="1" collapsed="1" x14ac:dyDescent="0.25">
      <c r="A1268" s="1079">
        <f t="shared" si="51"/>
        <v>1</v>
      </c>
      <c r="B1268" s="1079" t="s">
        <v>471</v>
      </c>
      <c r="C1268" s="1079" t="str">
        <f t="shared" si="52"/>
        <v xml:space="preserve">Regularização de Piso 1,50 cm </v>
      </c>
      <c r="D1268" s="1079" t="s">
        <v>1890</v>
      </c>
      <c r="E1268" s="1080" t="s">
        <v>17</v>
      </c>
      <c r="F1268" s="1079"/>
      <c r="G1268" s="1081" t="str">
        <f>IF(B1268="insumo",_xlfn.XLOOKUP($D1268,Insumos!$B$1:$B$670,Insumos!$D$1:$D$670),"")</f>
        <v/>
      </c>
      <c r="H1268" s="1081" cm="1">
        <f t="array" ref="H1268">_xlfn.IFS(B1268="Serviço",SUMIFS(H1269:$H$2465,C1269:$C$2465,$C1268),B1268="Insumo",F1268*G1268,B1268="Etapa","")</f>
        <v>9.4680700000000009</v>
      </c>
      <c r="I1268" s="1082" t="s">
        <v>872</v>
      </c>
    </row>
    <row r="1269" spans="1:9" hidden="1" outlineLevel="2" x14ac:dyDescent="0.25">
      <c r="A1269" s="1079">
        <f t="shared" si="51"/>
        <v>32</v>
      </c>
      <c r="B1269" s="1079" t="s">
        <v>1362</v>
      </c>
      <c r="C1269" s="1079" t="str">
        <f t="shared" si="52"/>
        <v xml:space="preserve">Regularização de Piso 1,50 cm </v>
      </c>
      <c r="D1269" s="1079" t="s">
        <v>1727</v>
      </c>
      <c r="E1269" s="1080" t="str">
        <f>_xlfn.XLOOKUP(D1269,Insumos!$B$1:$B$670,Insumos!$C$1:$C$670)</f>
        <v>M3</v>
      </c>
      <c r="F1269" s="1083">
        <v>1.6500000000000001E-2</v>
      </c>
      <c r="G1269" s="1081">
        <f>IF(B1269="insumo",_xlfn.XLOOKUP($D1269,Insumos!$B$1:$B$670,Insumos!$D$1:$D$670),"")</f>
        <v>550</v>
      </c>
      <c r="H1269" s="1081" cm="1">
        <f t="array" ref="H1269">_xlfn.IFS(B1269="Serviço",SUMIFS(H1270:$H$2465,C1270:$C$2465,$C1269),B1269="Insumo",F1269*G1269,B1269="Etapa","")</f>
        <v>9.0750000000000011</v>
      </c>
      <c r="I1269" s="1082"/>
    </row>
    <row r="1270" spans="1:9" hidden="1" outlineLevel="2" x14ac:dyDescent="0.25">
      <c r="A1270" s="1079">
        <f t="shared" si="51"/>
        <v>35</v>
      </c>
      <c r="B1270" s="1079" t="s">
        <v>1362</v>
      </c>
      <c r="C1270" s="1079" t="str">
        <f t="shared" si="52"/>
        <v xml:space="preserve">Regularização de Piso 1,50 cm </v>
      </c>
      <c r="D1270" s="1079" t="s">
        <v>1783</v>
      </c>
      <c r="E1270" s="1080" t="str">
        <f>_xlfn.XLOOKUP(D1270,Insumos!$B$1:$B$670,Insumos!$C$1:$C$670)</f>
        <v>L</v>
      </c>
      <c r="F1270" s="1083">
        <v>1.0500000000000001E-2</v>
      </c>
      <c r="G1270" s="1081">
        <f>IF(B1270="insumo",_xlfn.XLOOKUP($D1270,Insumos!$B$1:$B$670,Insumos!$D$1:$D$670),"")</f>
        <v>19.34</v>
      </c>
      <c r="H1270" s="1081" cm="1">
        <f t="array" ref="H1270">_xlfn.IFS(B1270="Serviço",SUMIFS(H1271:$H$2465,C1271:$C$2465,$C1270),B1270="Insumo",F1270*G1270,B1270="Etapa","")</f>
        <v>0.20307</v>
      </c>
      <c r="I1270" s="1082"/>
    </row>
    <row r="1271" spans="1:9" hidden="1" outlineLevel="2" x14ac:dyDescent="0.25">
      <c r="A1271" s="1079">
        <f t="shared" si="51"/>
        <v>38</v>
      </c>
      <c r="B1271" s="1079" t="s">
        <v>1362</v>
      </c>
      <c r="C1271" s="1079" t="str">
        <f t="shared" si="52"/>
        <v xml:space="preserve">Regularização de Piso 1,50 cm </v>
      </c>
      <c r="D1271" s="1079" t="s">
        <v>1434</v>
      </c>
      <c r="E1271" s="1080" t="str">
        <f>_xlfn.XLOOKUP(D1271,Insumos!$B$1:$B$670,Insumos!$C$1:$C$670)</f>
        <v>KG</v>
      </c>
      <c r="F1271" s="1083">
        <v>0.25</v>
      </c>
      <c r="G1271" s="1081">
        <f>IF(B1271="insumo",_xlfn.XLOOKUP($D1271,Insumos!$B$1:$B$670,Insumos!$D$1:$D$670),"")</f>
        <v>0.76</v>
      </c>
      <c r="H1271" s="1081" cm="1">
        <f t="array" ref="H1271">_xlfn.IFS(B1271="Serviço",SUMIFS(H1272:$H$2465,C1272:$C$2465,$C1271),B1271="Insumo",F1271*G1271,B1271="Etapa","")</f>
        <v>0.19</v>
      </c>
      <c r="I1271" s="1082"/>
    </row>
    <row r="1272" spans="1:9" outlineLevel="1" collapsed="1" x14ac:dyDescent="0.25">
      <c r="A1272" s="1079">
        <f t="shared" si="51"/>
        <v>1</v>
      </c>
      <c r="B1272" s="1079" t="s">
        <v>471</v>
      </c>
      <c r="C1272" s="1079" t="str">
        <f t="shared" si="52"/>
        <v xml:space="preserve">Regularização de Piso 2,00 cm </v>
      </c>
      <c r="D1272" s="1079" t="s">
        <v>1891</v>
      </c>
      <c r="E1272" s="1080" t="s">
        <v>17</v>
      </c>
      <c r="F1272" s="1079"/>
      <c r="G1272" s="1081" t="str">
        <f>IF(B1272="insumo",_xlfn.XLOOKUP($D1272,Insumos!$B$1:$B$670,Insumos!$D$1:$D$670),"")</f>
        <v/>
      </c>
      <c r="H1272" s="1081" cm="1">
        <f t="array" ref="H1272">_xlfn.IFS(B1272="Serviço",SUMIFS(H1273:$H$2465,C1273:$C$2465,$C1272),B1272="Insumo",F1272*G1272,B1272="Etapa","")</f>
        <v>12.624093333333334</v>
      </c>
      <c r="I1272" s="1082" t="s">
        <v>872</v>
      </c>
    </row>
    <row r="1273" spans="1:9" hidden="1" outlineLevel="2" x14ac:dyDescent="0.25">
      <c r="A1273" s="1079">
        <f t="shared" si="51"/>
        <v>32</v>
      </c>
      <c r="B1273" s="1079" t="s">
        <v>1362</v>
      </c>
      <c r="C1273" s="1079" t="str">
        <f t="shared" si="52"/>
        <v xml:space="preserve">Regularização de Piso 2,00 cm </v>
      </c>
      <c r="D1273" s="1079" t="s">
        <v>1727</v>
      </c>
      <c r="E1273" s="1080" t="str">
        <f>_xlfn.XLOOKUP(D1273,Insumos!$B$1:$B$670,Insumos!$C$1:$C$670)</f>
        <v>M3</v>
      </c>
      <c r="F1273" s="1083">
        <v>2.2000000000000002E-2</v>
      </c>
      <c r="G1273" s="1081">
        <f>IF(B1273="insumo",_xlfn.XLOOKUP($D1273,Insumos!$B$1:$B$670,Insumos!$D$1:$D$670),"")</f>
        <v>550</v>
      </c>
      <c r="H1273" s="1081" cm="1">
        <f t="array" ref="H1273">_xlfn.IFS(B1273="Serviço",SUMIFS(H1274:$H$2465,C1274:$C$2465,$C1273),B1273="Insumo",F1273*G1273,B1273="Etapa","")</f>
        <v>12.100000000000001</v>
      </c>
      <c r="I1273" s="1082"/>
    </row>
    <row r="1274" spans="1:9" hidden="1" outlineLevel="2" x14ac:dyDescent="0.25">
      <c r="A1274" s="1079">
        <f t="shared" si="51"/>
        <v>35</v>
      </c>
      <c r="B1274" s="1079" t="s">
        <v>1362</v>
      </c>
      <c r="C1274" s="1079" t="str">
        <f t="shared" si="52"/>
        <v xml:space="preserve">Regularização de Piso 2,00 cm </v>
      </c>
      <c r="D1274" s="1079" t="s">
        <v>1783</v>
      </c>
      <c r="E1274" s="1080" t="str">
        <f>_xlfn.XLOOKUP(D1274,Insumos!$B$1:$B$670,Insumos!$C$1:$C$670)</f>
        <v>L</v>
      </c>
      <c r="F1274" s="1083">
        <v>1.4000000000000002E-2</v>
      </c>
      <c r="G1274" s="1081">
        <f>IF(B1274="insumo",_xlfn.XLOOKUP($D1274,Insumos!$B$1:$B$670,Insumos!$D$1:$D$670),"")</f>
        <v>19.34</v>
      </c>
      <c r="H1274" s="1081" cm="1">
        <f t="array" ref="H1274">_xlfn.IFS(B1274="Serviço",SUMIFS(H1275:$H$2465,C1275:$C$2465,$C1274),B1274="Insumo",F1274*G1274,B1274="Etapa","")</f>
        <v>0.27076000000000006</v>
      </c>
      <c r="I1274" s="1082"/>
    </row>
    <row r="1275" spans="1:9" hidden="1" outlineLevel="2" x14ac:dyDescent="0.25">
      <c r="A1275" s="1079">
        <f t="shared" si="51"/>
        <v>38</v>
      </c>
      <c r="B1275" s="1079" t="s">
        <v>1362</v>
      </c>
      <c r="C1275" s="1079" t="str">
        <f t="shared" si="52"/>
        <v xml:space="preserve">Regularização de Piso 2,00 cm </v>
      </c>
      <c r="D1275" s="1079" t="s">
        <v>1434</v>
      </c>
      <c r="E1275" s="1080" t="str">
        <f>_xlfn.XLOOKUP(D1275,Insumos!$B$1:$B$670,Insumos!$C$1:$C$670)</f>
        <v>KG</v>
      </c>
      <c r="F1275" s="1083">
        <v>0.33333333333333337</v>
      </c>
      <c r="G1275" s="1081">
        <f>IF(B1275="insumo",_xlfn.XLOOKUP($D1275,Insumos!$B$1:$B$670,Insumos!$D$1:$D$670),"")</f>
        <v>0.76</v>
      </c>
      <c r="H1275" s="1081" cm="1">
        <f t="array" ref="H1275">_xlfn.IFS(B1275="Serviço",SUMIFS(H1276:$H$2465,C1276:$C$2465,$C1275),B1275="Insumo",F1275*G1275,B1275="Etapa","")</f>
        <v>0.25333333333333335</v>
      </c>
      <c r="I1275" s="1082"/>
    </row>
    <row r="1276" spans="1:9" outlineLevel="1" collapsed="1" x14ac:dyDescent="0.25">
      <c r="A1276" s="1079">
        <f t="shared" si="51"/>
        <v>1</v>
      </c>
      <c r="B1276" s="1079" t="s">
        <v>471</v>
      </c>
      <c r="C1276" s="1079" t="str">
        <f t="shared" si="52"/>
        <v xml:space="preserve">Regularização de Piso 3,00 cm </v>
      </c>
      <c r="D1276" s="1079" t="s">
        <v>1892</v>
      </c>
      <c r="E1276" s="1080" t="s">
        <v>17</v>
      </c>
      <c r="F1276" s="1079"/>
      <c r="G1276" s="1081" t="str">
        <f>IF(B1276="insumo",_xlfn.XLOOKUP($D1276,Insumos!$B$1:$B$670,Insumos!$D$1:$D$670),"")</f>
        <v/>
      </c>
      <c r="H1276" s="1081" cm="1">
        <f t="array" ref="H1276">_xlfn.IFS(B1276="Serviço",SUMIFS(H1277:$H$2465,C1277:$C$2465,$C1276),B1276="Insumo",F1276*G1276,B1276="Etapa","")</f>
        <v>18.936140000000002</v>
      </c>
      <c r="I1276" s="1082" t="s">
        <v>872</v>
      </c>
    </row>
    <row r="1277" spans="1:9" hidden="1" outlineLevel="2" x14ac:dyDescent="0.25">
      <c r="A1277" s="1079">
        <f t="shared" si="51"/>
        <v>32</v>
      </c>
      <c r="B1277" s="1079" t="s">
        <v>1362</v>
      </c>
      <c r="C1277" s="1079" t="str">
        <f t="shared" si="52"/>
        <v xml:space="preserve">Regularização de Piso 3,00 cm </v>
      </c>
      <c r="D1277" s="1079" t="s">
        <v>1727</v>
      </c>
      <c r="E1277" s="1080" t="str">
        <f>_xlfn.XLOOKUP(D1277,Insumos!$B$1:$B$670,Insumos!$C$1:$C$670)</f>
        <v>M3</v>
      </c>
      <c r="F1277" s="1083">
        <v>3.3000000000000002E-2</v>
      </c>
      <c r="G1277" s="1081">
        <f>IF(B1277="insumo",_xlfn.XLOOKUP($D1277,Insumos!$B$1:$B$670,Insumos!$D$1:$D$670),"")</f>
        <v>550</v>
      </c>
      <c r="H1277" s="1081" cm="1">
        <f t="array" ref="H1277">_xlfn.IFS(B1277="Serviço",SUMIFS(H1278:$H$2465,C1278:$C$2465,$C1277),B1277="Insumo",F1277*G1277,B1277="Etapa","")</f>
        <v>18.150000000000002</v>
      </c>
      <c r="I1277" s="1082"/>
    </row>
    <row r="1278" spans="1:9" hidden="1" outlineLevel="2" x14ac:dyDescent="0.25">
      <c r="A1278" s="1079">
        <f t="shared" si="51"/>
        <v>35</v>
      </c>
      <c r="B1278" s="1079" t="s">
        <v>1362</v>
      </c>
      <c r="C1278" s="1079" t="str">
        <f t="shared" si="52"/>
        <v xml:space="preserve">Regularização de Piso 3,00 cm </v>
      </c>
      <c r="D1278" s="1079" t="s">
        <v>1783</v>
      </c>
      <c r="E1278" s="1080" t="str">
        <f>_xlfn.XLOOKUP(D1278,Insumos!$B$1:$B$670,Insumos!$C$1:$C$670)</f>
        <v>L</v>
      </c>
      <c r="F1278" s="1083">
        <f>0.007*3</f>
        <v>2.1000000000000001E-2</v>
      </c>
      <c r="G1278" s="1081">
        <f>IF(B1278="insumo",_xlfn.XLOOKUP($D1278,Insumos!$B$1:$B$670,Insumos!$D$1:$D$670),"")</f>
        <v>19.34</v>
      </c>
      <c r="H1278" s="1081" cm="1">
        <f t="array" ref="H1278">_xlfn.IFS(B1278="Serviço",SUMIFS(H1279:$H$2465,C1279:$C$2465,$C1278),B1278="Insumo",F1278*G1278,B1278="Etapa","")</f>
        <v>0.40614</v>
      </c>
      <c r="I1278" s="1082"/>
    </row>
    <row r="1279" spans="1:9" hidden="1" outlineLevel="2" x14ac:dyDescent="0.25">
      <c r="A1279" s="1079">
        <f t="shared" si="51"/>
        <v>38</v>
      </c>
      <c r="B1279" s="1079" t="s">
        <v>1362</v>
      </c>
      <c r="C1279" s="1079" t="str">
        <f t="shared" si="52"/>
        <v xml:space="preserve">Regularização de Piso 3,00 cm </v>
      </c>
      <c r="D1279" s="1079" t="s">
        <v>1434</v>
      </c>
      <c r="E1279" s="1080" t="str">
        <f>_xlfn.XLOOKUP(D1279,Insumos!$B$1:$B$670,Insumos!$C$1:$C$670)</f>
        <v>KG</v>
      </c>
      <c r="F1279" s="1083">
        <f>0.166666666666667*3</f>
        <v>0.500000000000001</v>
      </c>
      <c r="G1279" s="1081">
        <f>IF(B1279="insumo",_xlfn.XLOOKUP($D1279,Insumos!$B$1:$B$670,Insumos!$D$1:$D$670),"")</f>
        <v>0.76</v>
      </c>
      <c r="H1279" s="1081" cm="1">
        <f t="array" ref="H1279">_xlfn.IFS(B1279="Serviço",SUMIFS(H1280:$H$2465,C1280:$C$2465,$C1279),B1279="Insumo",F1279*G1279,B1279="Etapa","")</f>
        <v>0.38000000000000078</v>
      </c>
      <c r="I1279" s="1082"/>
    </row>
    <row r="1280" spans="1:9" outlineLevel="1" collapsed="1" x14ac:dyDescent="0.25">
      <c r="A1280" s="1079">
        <f t="shared" si="51"/>
        <v>1</v>
      </c>
      <c r="B1280" s="1079" t="s">
        <v>471</v>
      </c>
      <c r="C1280" s="1079" t="str">
        <f t="shared" si="52"/>
        <v xml:space="preserve">Regularização de Piso 4,00 cm </v>
      </c>
      <c r="D1280" s="1079" t="s">
        <v>1893</v>
      </c>
      <c r="E1280" s="1080" t="s">
        <v>17</v>
      </c>
      <c r="F1280" s="1079"/>
      <c r="G1280" s="1081" t="str">
        <f>IF(B1280="insumo",_xlfn.XLOOKUP($D1280,Insumos!$B$1:$B$670,Insumos!$D$1:$D$670),"")</f>
        <v/>
      </c>
      <c r="H1280" s="1081" cm="1">
        <f t="array" ref="H1280">_xlfn.IFS(B1280="Serviço",SUMIFS(H1281:$H$2465,C1281:$C$2465,$C1280),B1280="Insumo",F1280*G1280,B1280="Etapa","")</f>
        <v>24.148186666666668</v>
      </c>
      <c r="I1280" s="1082" t="s">
        <v>872</v>
      </c>
    </row>
    <row r="1281" spans="1:9" hidden="1" outlineLevel="2" x14ac:dyDescent="0.25">
      <c r="A1281" s="1079">
        <f t="shared" si="51"/>
        <v>32</v>
      </c>
      <c r="B1281" s="1079" t="s">
        <v>1362</v>
      </c>
      <c r="C1281" s="1079" t="str">
        <f t="shared" si="52"/>
        <v xml:space="preserve">Regularização de Piso 4,00 cm </v>
      </c>
      <c r="D1281" s="1079" t="s">
        <v>1727</v>
      </c>
      <c r="E1281" s="1080" t="str">
        <f>_xlfn.XLOOKUP(D1281,Insumos!$B$1:$B$670,Insumos!$C$1:$C$670)</f>
        <v>M3</v>
      </c>
      <c r="F1281" s="1083">
        <f>0.04*1.05</f>
        <v>4.2000000000000003E-2</v>
      </c>
      <c r="G1281" s="1081">
        <f>IF(B1281="insumo",_xlfn.XLOOKUP($D1281,Insumos!$B$1:$B$670,Insumos!$D$1:$D$670),"")</f>
        <v>550</v>
      </c>
      <c r="H1281" s="1081" cm="1">
        <f t="array" ref="H1281">_xlfn.IFS(B1281="Serviço",SUMIFS(H1282:$H$2465,C1282:$C$2465,$C1281),B1281="Insumo",F1281*G1281,B1281="Etapa","")</f>
        <v>23.1</v>
      </c>
      <c r="I1281" s="1082"/>
    </row>
    <row r="1282" spans="1:9" hidden="1" outlineLevel="2" x14ac:dyDescent="0.25">
      <c r="A1282" s="1079">
        <f t="shared" ref="A1282:A1345" si="53">COUNTIFS($D$2:$D$2465,D1282,$B$2:$B$2465,B1282)</f>
        <v>35</v>
      </c>
      <c r="B1282" s="1079" t="s">
        <v>1362</v>
      </c>
      <c r="C1282" s="1079" t="str">
        <f t="shared" si="52"/>
        <v xml:space="preserve">Regularização de Piso 4,00 cm </v>
      </c>
      <c r="D1282" s="1079" t="s">
        <v>1783</v>
      </c>
      <c r="E1282" s="1080" t="str">
        <f>_xlfn.XLOOKUP(D1282,Insumos!$B$1:$B$670,Insumos!$C$1:$C$670)</f>
        <v>L</v>
      </c>
      <c r="F1282" s="1083">
        <f>0.007*4</f>
        <v>2.8000000000000001E-2</v>
      </c>
      <c r="G1282" s="1081">
        <f>IF(B1282="insumo",_xlfn.XLOOKUP($D1282,Insumos!$B$1:$B$670,Insumos!$D$1:$D$670),"")</f>
        <v>19.34</v>
      </c>
      <c r="H1282" s="1081" cm="1">
        <f t="array" ref="H1282">_xlfn.IFS(B1282="Serviço",SUMIFS(H1283:$H$2465,C1283:$C$2465,$C1282),B1282="Insumo",F1282*G1282,B1282="Etapa","")</f>
        <v>0.54152</v>
      </c>
      <c r="I1282" s="1082"/>
    </row>
    <row r="1283" spans="1:9" hidden="1" outlineLevel="2" x14ac:dyDescent="0.25">
      <c r="A1283" s="1079">
        <f t="shared" si="53"/>
        <v>38</v>
      </c>
      <c r="B1283" s="1079" t="s">
        <v>1362</v>
      </c>
      <c r="C1283" s="1079" t="str">
        <f t="shared" si="52"/>
        <v xml:space="preserve">Regularização de Piso 4,00 cm </v>
      </c>
      <c r="D1283" s="1079" t="s">
        <v>1434</v>
      </c>
      <c r="E1283" s="1080" t="str">
        <f>_xlfn.XLOOKUP(D1283,Insumos!$B$1:$B$670,Insumos!$C$1:$C$670)</f>
        <v>KG</v>
      </c>
      <c r="F1283" s="1083">
        <f>0.166666666666667*4</f>
        <v>0.66666666666666796</v>
      </c>
      <c r="G1283" s="1081">
        <f>IF(B1283="insumo",_xlfn.XLOOKUP($D1283,Insumos!$B$1:$B$670,Insumos!$D$1:$D$670),"")</f>
        <v>0.76</v>
      </c>
      <c r="H1283" s="1081" cm="1">
        <f t="array" ref="H1283">_xlfn.IFS(B1283="Serviço",SUMIFS(H1284:$H$2465,C1284:$C$2465,$C1283),B1283="Insumo",F1283*G1283,B1283="Etapa","")</f>
        <v>0.50666666666666771</v>
      </c>
      <c r="I1283" s="1082"/>
    </row>
    <row r="1284" spans="1:9" outlineLevel="1" collapsed="1" x14ac:dyDescent="0.25">
      <c r="A1284" s="1079">
        <f t="shared" si="53"/>
        <v>1</v>
      </c>
      <c r="B1284" s="1079" t="s">
        <v>471</v>
      </c>
      <c r="C1284" s="1079" t="str">
        <f t="shared" si="52"/>
        <v xml:space="preserve">Regularização de Piso 5,00 cm </v>
      </c>
      <c r="D1284" s="1079" t="s">
        <v>1894</v>
      </c>
      <c r="E1284" s="1080" t="s">
        <v>17</v>
      </c>
      <c r="F1284" s="1079"/>
      <c r="G1284" s="1081" t="str">
        <f>IF(B1284="insumo",_xlfn.XLOOKUP($D1284,Insumos!$B$1:$B$670,Insumos!$D$1:$D$670),"")</f>
        <v/>
      </c>
      <c r="H1284" s="1081" cm="1">
        <f t="array" ref="H1284">_xlfn.IFS(B1284="Serviço",SUMIFS(H1285:$H$2465,C1285:$C$2465,$C1284),B1284="Insumo",F1284*G1284,B1284="Etapa","")</f>
        <v>30.185233333333336</v>
      </c>
      <c r="I1284" s="1082" t="s">
        <v>872</v>
      </c>
    </row>
    <row r="1285" spans="1:9" hidden="1" outlineLevel="2" x14ac:dyDescent="0.25">
      <c r="A1285" s="1079">
        <f t="shared" si="53"/>
        <v>32</v>
      </c>
      <c r="B1285" s="1079" t="s">
        <v>1362</v>
      </c>
      <c r="C1285" s="1079" t="str">
        <f t="shared" si="52"/>
        <v xml:space="preserve">Regularização de Piso 5,00 cm </v>
      </c>
      <c r="D1285" s="1079" t="s">
        <v>1727</v>
      </c>
      <c r="E1285" s="1080" t="str">
        <f>_xlfn.XLOOKUP(D1285,Insumos!$B$1:$B$670,Insumos!$C$1:$C$670)</f>
        <v>M3</v>
      </c>
      <c r="F1285" s="1083">
        <f>0.05*1.05</f>
        <v>5.2500000000000005E-2</v>
      </c>
      <c r="G1285" s="1081">
        <f>IF(B1285="insumo",_xlfn.XLOOKUP($D1285,Insumos!$B$1:$B$670,Insumos!$D$1:$D$670),"")</f>
        <v>550</v>
      </c>
      <c r="H1285" s="1081" cm="1">
        <f t="array" ref="H1285">_xlfn.IFS(B1285="Serviço",SUMIFS(H1286:$H$2465,C1286:$C$2465,$C1285),B1285="Insumo",F1285*G1285,B1285="Etapa","")</f>
        <v>28.875000000000004</v>
      </c>
      <c r="I1285" s="1082"/>
    </row>
    <row r="1286" spans="1:9" hidden="1" outlineLevel="2" x14ac:dyDescent="0.25">
      <c r="A1286" s="1079">
        <f t="shared" si="53"/>
        <v>35</v>
      </c>
      <c r="B1286" s="1079" t="s">
        <v>1362</v>
      </c>
      <c r="C1286" s="1079" t="str">
        <f t="shared" si="52"/>
        <v xml:space="preserve">Regularização de Piso 5,00 cm </v>
      </c>
      <c r="D1286" s="1079" t="s">
        <v>1783</v>
      </c>
      <c r="E1286" s="1080" t="str">
        <f>_xlfn.XLOOKUP(D1286,Insumos!$B$1:$B$670,Insumos!$C$1:$C$670)</f>
        <v>L</v>
      </c>
      <c r="F1286" s="1083">
        <f>0.007*5</f>
        <v>3.5000000000000003E-2</v>
      </c>
      <c r="G1286" s="1081">
        <f>IF(B1286="insumo",_xlfn.XLOOKUP($D1286,Insumos!$B$1:$B$670,Insumos!$D$1:$D$670),"")</f>
        <v>19.34</v>
      </c>
      <c r="H1286" s="1081" cm="1">
        <f t="array" ref="H1286">_xlfn.IFS(B1286="Serviço",SUMIFS(H1287:$H$2465,C1287:$C$2465,$C1286),B1286="Insumo",F1286*G1286,B1286="Etapa","")</f>
        <v>0.67690000000000006</v>
      </c>
      <c r="I1286" s="1082"/>
    </row>
    <row r="1287" spans="1:9" hidden="1" outlineLevel="2" x14ac:dyDescent="0.25">
      <c r="A1287" s="1079">
        <f t="shared" si="53"/>
        <v>38</v>
      </c>
      <c r="B1287" s="1079" t="s">
        <v>1362</v>
      </c>
      <c r="C1287" s="1079" t="str">
        <f t="shared" si="52"/>
        <v xml:space="preserve">Regularização de Piso 5,00 cm </v>
      </c>
      <c r="D1287" s="1079" t="s">
        <v>1434</v>
      </c>
      <c r="E1287" s="1080" t="str">
        <f>_xlfn.XLOOKUP(D1287,Insumos!$B$1:$B$670,Insumos!$C$1:$C$670)</f>
        <v>KG</v>
      </c>
      <c r="F1287" s="1083">
        <f>0.166666666666667*5</f>
        <v>0.83333333333333492</v>
      </c>
      <c r="G1287" s="1081">
        <f>IF(B1287="insumo",_xlfn.XLOOKUP($D1287,Insumos!$B$1:$B$670,Insumos!$D$1:$D$670),"")</f>
        <v>0.76</v>
      </c>
      <c r="H1287" s="1081" cm="1">
        <f t="array" ref="H1287">_xlfn.IFS(B1287="Serviço",SUMIFS(H1288:$H$2465,C1288:$C$2465,$C1287),B1287="Insumo",F1287*G1287,B1287="Etapa","")</f>
        <v>0.63333333333333452</v>
      </c>
      <c r="I1287" s="1082"/>
    </row>
    <row r="1288" spans="1:9" outlineLevel="1" collapsed="1" x14ac:dyDescent="0.25">
      <c r="A1288" s="1079">
        <f t="shared" si="53"/>
        <v>1</v>
      </c>
      <c r="B1288" s="1079" t="s">
        <v>471</v>
      </c>
      <c r="C1288" s="1079" t="str">
        <f t="shared" si="52"/>
        <v>Regularização de Piso 3,00 cm - argila expansiva</v>
      </c>
      <c r="D1288" s="1079" t="s">
        <v>1895</v>
      </c>
      <c r="E1288" s="1080" t="s">
        <v>17</v>
      </c>
      <c r="F1288" s="1079"/>
      <c r="G1288" s="1081" t="str">
        <f>IF(B1288="insumo",_xlfn.XLOOKUP($D1288,Insumos!$B$1:$B$670,Insumos!$D$1:$D$670),"")</f>
        <v/>
      </c>
      <c r="H1288" s="1081" cm="1">
        <f t="array" ref="H1288">_xlfn.IFS(B1288="Serviço",SUMIFS(H1289:$H$2465,C1289:$C$2465,$C1288),B1288="Insumo",F1288*G1288,B1288="Etapa","")</f>
        <v>23.124200000000002</v>
      </c>
      <c r="I1288" s="1082" t="s">
        <v>872</v>
      </c>
    </row>
    <row r="1289" spans="1:9" hidden="1" outlineLevel="2" x14ac:dyDescent="0.25">
      <c r="A1289" s="1079">
        <f t="shared" si="53"/>
        <v>32</v>
      </c>
      <c r="B1289" s="1079" t="s">
        <v>1362</v>
      </c>
      <c r="C1289" s="1079" t="str">
        <f t="shared" si="52"/>
        <v>Regularização de Piso 3,00 cm - argila expansiva</v>
      </c>
      <c r="D1289" s="1079" t="s">
        <v>1727</v>
      </c>
      <c r="E1289" s="1080" t="str">
        <f>_xlfn.XLOOKUP(D1289,Insumos!$B$1:$B$670,Insumos!$C$1:$C$670)</f>
        <v>M3</v>
      </c>
      <c r="F1289" s="1083">
        <v>3.3000000000000002E-2</v>
      </c>
      <c r="G1289" s="1081">
        <f>IF(B1289="insumo",_xlfn.XLOOKUP($D1289,Insumos!$B$1:$B$670,Insumos!$D$1:$D$670),"")</f>
        <v>550</v>
      </c>
      <c r="H1289" s="1081" cm="1">
        <f t="array" ref="H1289">_xlfn.IFS(B1289="Serviço",SUMIFS(H1290:$H$2465,C1290:$C$2465,$C1289),B1289="Insumo",F1289*G1289,B1289="Etapa","")</f>
        <v>18.150000000000002</v>
      </c>
      <c r="I1289" s="1082"/>
    </row>
    <row r="1290" spans="1:9" hidden="1" outlineLevel="2" x14ac:dyDescent="0.25">
      <c r="A1290" s="1079">
        <f t="shared" si="53"/>
        <v>2</v>
      </c>
      <c r="B1290" s="1079" t="s">
        <v>1362</v>
      </c>
      <c r="C1290" s="1079" t="str">
        <f t="shared" si="52"/>
        <v>Regularização de Piso 3,00 cm - argila expansiva</v>
      </c>
      <c r="D1290" s="1079" t="s">
        <v>1896</v>
      </c>
      <c r="E1290" s="1080" t="str">
        <f>_xlfn.XLOOKUP(D1290,Insumos!$B$1:$B$670,Insumos!$C$1:$C$670)</f>
        <v>KG</v>
      </c>
      <c r="F1290" s="1083">
        <v>1.56</v>
      </c>
      <c r="G1290" s="1081">
        <f>IF(B1290="insumo",_xlfn.XLOOKUP($D1290,Insumos!$B$1:$B$670,Insumos!$D$1:$D$670),"")</f>
        <v>2.9449999999999998</v>
      </c>
      <c r="H1290" s="1081" cm="1">
        <f t="array" ref="H1290">_xlfn.IFS(B1290="Serviço",SUMIFS(H1291:$H$2465,C1291:$C$2465,$C1290),B1290="Insumo",F1290*G1290,B1290="Etapa","")</f>
        <v>4.5941999999999998</v>
      </c>
      <c r="I1290" s="1082"/>
    </row>
    <row r="1291" spans="1:9" hidden="1" outlineLevel="2" x14ac:dyDescent="0.25">
      <c r="A1291" s="1079">
        <f t="shared" si="53"/>
        <v>38</v>
      </c>
      <c r="B1291" s="1079" t="s">
        <v>1362</v>
      </c>
      <c r="C1291" s="1079" t="str">
        <f t="shared" si="52"/>
        <v>Regularização de Piso 3,00 cm - argila expansiva</v>
      </c>
      <c r="D1291" s="1079" t="s">
        <v>1434</v>
      </c>
      <c r="E1291" s="1080" t="str">
        <f>_xlfn.XLOOKUP(D1291,Insumos!$B$1:$B$670,Insumos!$C$1:$C$670)</f>
        <v>KG</v>
      </c>
      <c r="F1291" s="1083">
        <v>0.5</v>
      </c>
      <c r="G1291" s="1081">
        <f>IF(B1291="insumo",_xlfn.XLOOKUP($D1291,Insumos!$B$1:$B$670,Insumos!$D$1:$D$670),"")</f>
        <v>0.76</v>
      </c>
      <c r="H1291" s="1081" cm="1">
        <f t="array" ref="H1291">_xlfn.IFS(B1291="Serviço",SUMIFS(H1292:$H$2465,C1292:$C$2465,$C1291),B1291="Insumo",F1291*G1291,B1291="Etapa","")</f>
        <v>0.38</v>
      </c>
      <c r="I1291" s="1082"/>
    </row>
    <row r="1292" spans="1:9" outlineLevel="1" x14ac:dyDescent="0.25">
      <c r="A1292" s="1079">
        <f t="shared" si="53"/>
        <v>1</v>
      </c>
      <c r="B1292" s="1079" t="s">
        <v>471</v>
      </c>
      <c r="C1292" s="1079" t="str">
        <f t="shared" si="52"/>
        <v>Revestimento de argila expandida, nas áreas externas - Material e Mão de Obra</v>
      </c>
      <c r="D1292" s="1079" t="s">
        <v>1897</v>
      </c>
      <c r="E1292" s="1080" t="s">
        <v>17</v>
      </c>
      <c r="F1292" s="1079"/>
      <c r="G1292" s="1081" t="str">
        <f>IF(B1292="insumo",_xlfn.XLOOKUP($D1292,Insumos!$B$1:$B$670,Insumos!$D$1:$D$670),"")</f>
        <v/>
      </c>
      <c r="H1292" s="1081" cm="1">
        <f t="array" ref="H1292">_xlfn.IFS(B1292="Serviço",SUMIFS(H1293:$H$2465,C1293:$C$2465,$C1292),B1292="Insumo",F1292*G1292,B1292="Etapa","")</f>
        <v>14.594200000000001</v>
      </c>
      <c r="I1292" s="1082" t="s">
        <v>872</v>
      </c>
    </row>
    <row r="1293" spans="1:9" outlineLevel="2" x14ac:dyDescent="0.25">
      <c r="A1293" s="1079">
        <f t="shared" si="53"/>
        <v>1</v>
      </c>
      <c r="B1293" s="1079" t="s">
        <v>1362</v>
      </c>
      <c r="C1293" s="1079" t="str">
        <f t="shared" si="52"/>
        <v>Revestimento de argila expandida, nas áreas externas - Material e Mão de Obra</v>
      </c>
      <c r="D1293" s="1079" t="s">
        <v>1898</v>
      </c>
      <c r="E1293" s="1080" t="str">
        <f>_xlfn.XLOOKUP(D1293,Insumos!$B$1:$B$670,Insumos!$C$1:$C$670)</f>
        <v>M2</v>
      </c>
      <c r="F1293" s="1083">
        <v>1</v>
      </c>
      <c r="G1293" s="1081">
        <f>IF(B1293="insumo",_xlfn.XLOOKUP($D1293,Insumos!$B$1:$B$670,Insumos!$D$1:$D$670),"")</f>
        <v>10</v>
      </c>
      <c r="H1293" s="1081" cm="1">
        <f t="array" ref="H1293">_xlfn.IFS(B1293="Serviço",SUMIFS(H1294:$H$2465,C1294:$C$2465,$C1293),B1293="Insumo",F1293*G1293,B1293="Etapa","")</f>
        <v>10</v>
      </c>
      <c r="I1293" s="1082"/>
    </row>
    <row r="1294" spans="1:9" outlineLevel="2" x14ac:dyDescent="0.25">
      <c r="A1294" s="1079">
        <f t="shared" si="53"/>
        <v>2</v>
      </c>
      <c r="B1294" s="1079" t="s">
        <v>1362</v>
      </c>
      <c r="C1294" s="1079" t="str">
        <f t="shared" si="52"/>
        <v>Revestimento de argila expandida, nas áreas externas - Material e Mão de Obra</v>
      </c>
      <c r="D1294" s="1079" t="s">
        <v>1896</v>
      </c>
      <c r="E1294" s="1080" t="str">
        <f>_xlfn.XLOOKUP(D1294,Insumos!$B$1:$B$670,Insumos!$C$1:$C$670)</f>
        <v>KG</v>
      </c>
      <c r="F1294" s="1083">
        <v>1.56</v>
      </c>
      <c r="G1294" s="1081">
        <f>IF(B1294="insumo",_xlfn.XLOOKUP($D1294,Insumos!$B$1:$B$670,Insumos!$D$1:$D$670),"")</f>
        <v>2.9449999999999998</v>
      </c>
      <c r="H1294" s="1081" cm="1">
        <f t="array" ref="H1294">_xlfn.IFS(B1294="Serviço",SUMIFS(H1295:$H$2465,C1295:$C$2465,$C1294),B1294="Insumo",F1294*G1294,B1294="Etapa","")</f>
        <v>4.5941999999999998</v>
      </c>
      <c r="I1294" s="1082"/>
    </row>
    <row r="1295" spans="1:9" outlineLevel="1" x14ac:dyDescent="0.25">
      <c r="A1295" s="1079">
        <f t="shared" si="53"/>
        <v>1</v>
      </c>
      <c r="B1295" s="1079" t="s">
        <v>471</v>
      </c>
      <c r="C1295" s="1079" t="str">
        <f t="shared" si="52"/>
        <v>Piso cimentado com argamassa de contrapiso usinada e acabamento vassourado</v>
      </c>
      <c r="D1295" s="1079" t="s">
        <v>1899</v>
      </c>
      <c r="E1295" s="1080" t="s">
        <v>17</v>
      </c>
      <c r="F1295" s="1079"/>
      <c r="G1295" s="1081" t="str">
        <f>IF(B1295="insumo",_xlfn.XLOOKUP($D1295,Insumos!$B$1:$B$670,Insumos!$D$1:$D$670),"")</f>
        <v/>
      </c>
      <c r="H1295" s="1081" cm="1">
        <f t="array" ref="H1295">_xlfn.IFS(B1295="Serviço",SUMIFS(H1296:$H$2465,C1296:$C$2465,$C1295),B1295="Insumo",F1295*G1295,B1295="Etapa","")</f>
        <v>30.774093333333337</v>
      </c>
      <c r="I1295" s="1082" t="s">
        <v>872</v>
      </c>
    </row>
    <row r="1296" spans="1:9" outlineLevel="2" x14ac:dyDescent="0.25">
      <c r="A1296" s="1079">
        <f t="shared" si="53"/>
        <v>32</v>
      </c>
      <c r="B1296" s="1079" t="s">
        <v>1362</v>
      </c>
      <c r="C1296" s="1079" t="str">
        <f t="shared" si="52"/>
        <v>Piso cimentado com argamassa de contrapiso usinada e acabamento vassourado</v>
      </c>
      <c r="D1296" s="1079" t="s">
        <v>1727</v>
      </c>
      <c r="E1296" s="1080" t="str">
        <f>_xlfn.XLOOKUP(D1296,Insumos!$B$1:$B$670,Insumos!$C$1:$C$670)</f>
        <v>M3</v>
      </c>
      <c r="F1296" s="1083">
        <f>0.05*1.1</f>
        <v>5.5000000000000007E-2</v>
      </c>
      <c r="G1296" s="1081">
        <f>IF(B1296="insumo",_xlfn.XLOOKUP($D1296,Insumos!$B$1:$B$670,Insumos!$D$1:$D$670),"")</f>
        <v>550</v>
      </c>
      <c r="H1296" s="1081" cm="1">
        <f t="array" ref="H1296">_xlfn.IFS(B1296="Serviço",SUMIFS(H1297:$H$2465,C1297:$C$2465,$C1296),B1296="Insumo",F1296*G1296,B1296="Etapa","")</f>
        <v>30.250000000000004</v>
      </c>
      <c r="I1296" s="1082"/>
    </row>
    <row r="1297" spans="1:9" outlineLevel="2" x14ac:dyDescent="0.25">
      <c r="A1297" s="1079">
        <f t="shared" si="53"/>
        <v>35</v>
      </c>
      <c r="B1297" s="1079" t="s">
        <v>1362</v>
      </c>
      <c r="C1297" s="1079" t="str">
        <f t="shared" si="52"/>
        <v>Piso cimentado com argamassa de contrapiso usinada e acabamento vassourado</v>
      </c>
      <c r="D1297" s="1079" t="s">
        <v>1783</v>
      </c>
      <c r="E1297" s="1080" t="str">
        <f>_xlfn.XLOOKUP(D1297,Insumos!$B$1:$B$670,Insumos!$C$1:$C$670)</f>
        <v>L</v>
      </c>
      <c r="F1297" s="1083">
        <v>1.4000000000000002E-2</v>
      </c>
      <c r="G1297" s="1081">
        <f>IF(B1297="insumo",_xlfn.XLOOKUP($D1297,Insumos!$B$1:$B$670,Insumos!$D$1:$D$670),"")</f>
        <v>19.34</v>
      </c>
      <c r="H1297" s="1081" cm="1">
        <f t="array" ref="H1297">_xlfn.IFS(B1297="Serviço",SUMIFS(H1298:$H$2465,C1298:$C$2465,$C1297),B1297="Insumo",F1297*G1297,B1297="Etapa","")</f>
        <v>0.27076000000000006</v>
      </c>
      <c r="I1297" s="1082"/>
    </row>
    <row r="1298" spans="1:9" outlineLevel="2" x14ac:dyDescent="0.25">
      <c r="A1298" s="1079">
        <f t="shared" si="53"/>
        <v>38</v>
      </c>
      <c r="B1298" s="1079" t="s">
        <v>1362</v>
      </c>
      <c r="C1298" s="1079" t="str">
        <f t="shared" ref="C1298:C1361" si="54">IF(B1298="serviço",D1298,C1297)</f>
        <v>Piso cimentado com argamassa de contrapiso usinada e acabamento vassourado</v>
      </c>
      <c r="D1298" s="1079" t="s">
        <v>1434</v>
      </c>
      <c r="E1298" s="1080" t="str">
        <f>_xlfn.XLOOKUP(D1298,Insumos!$B$1:$B$670,Insumos!$C$1:$C$670)</f>
        <v>KG</v>
      </c>
      <c r="F1298" s="1083">
        <v>0.33333333333333337</v>
      </c>
      <c r="G1298" s="1081">
        <f>IF(B1298="insumo",_xlfn.XLOOKUP($D1298,Insumos!$B$1:$B$670,Insumos!$D$1:$D$670),"")</f>
        <v>0.76</v>
      </c>
      <c r="H1298" s="1081" cm="1">
        <f t="array" ref="H1298">_xlfn.IFS(B1298="Serviço",SUMIFS(H1299:$H$2465,C1299:$C$2465,$C1298),B1298="Insumo",F1298*G1298,B1298="Etapa","")</f>
        <v>0.25333333333333335</v>
      </c>
      <c r="I1298" s="1082"/>
    </row>
    <row r="1299" spans="1:9" outlineLevel="1" collapsed="1" x14ac:dyDescent="0.25">
      <c r="A1299" s="1079">
        <f t="shared" si="53"/>
        <v>1</v>
      </c>
      <c r="B1299" s="1079" t="s">
        <v>471</v>
      </c>
      <c r="C1299" s="1079" t="str">
        <f t="shared" si="54"/>
        <v xml:space="preserve">Piso de concreto polido, espessura 2cm </v>
      </c>
      <c r="D1299" s="1079" t="s">
        <v>1900</v>
      </c>
      <c r="E1299" s="1080" t="s">
        <v>17</v>
      </c>
      <c r="F1299" s="1079"/>
      <c r="G1299" s="1081" t="str">
        <f>IF(B1299="insumo",_xlfn.XLOOKUP($D1299,Insumos!$B$1:$B$670,Insumos!$D$1:$D$670),"")</f>
        <v/>
      </c>
      <c r="H1299" s="1081" cm="1">
        <f t="array" ref="H1299">_xlfn.IFS(B1299="Serviço",SUMIFS(H1300:$H$2465,C1300:$C$2465,$C1299),B1299="Insumo",F1299*G1299,B1299="Etapa","")</f>
        <v>59.143000000000001</v>
      </c>
      <c r="I1299" s="1082" t="s">
        <v>872</v>
      </c>
    </row>
    <row r="1300" spans="1:9" hidden="1" outlineLevel="2" x14ac:dyDescent="0.25">
      <c r="A1300" s="1079">
        <f t="shared" si="53"/>
        <v>6</v>
      </c>
      <c r="B1300" s="1079" t="s">
        <v>1362</v>
      </c>
      <c r="C1300" s="1079" t="str">
        <f t="shared" si="54"/>
        <v xml:space="preserve">Piso de concreto polido, espessura 2cm </v>
      </c>
      <c r="D1300" s="1079" t="s">
        <v>1516</v>
      </c>
      <c r="E1300" s="1080" t="str">
        <f>_xlfn.XLOOKUP(D1300,Insumos!$B$1:$B$670,Insumos!$C$1:$C$670)</f>
        <v>M3</v>
      </c>
      <c r="F1300" s="1083">
        <v>2.4299999999999999E-2</v>
      </c>
      <c r="G1300" s="1081">
        <f>IF(B1300="insumo",_xlfn.XLOOKUP($D1300,Insumos!$B$1:$B$670,Insumos!$D$1:$D$670),"")</f>
        <v>510</v>
      </c>
      <c r="H1300" s="1081" cm="1">
        <f t="array" ref="H1300">_xlfn.IFS(B1300="Serviço",SUMIFS(H1301:$H$2465,C1301:$C$2465,$C1300),B1300="Insumo",F1300*G1300,B1300="Etapa","")</f>
        <v>12.392999999999999</v>
      </c>
      <c r="I1300" s="1082"/>
    </row>
    <row r="1301" spans="1:9" hidden="1" outlineLevel="2" x14ac:dyDescent="0.25">
      <c r="A1301" s="1079">
        <f t="shared" si="53"/>
        <v>4</v>
      </c>
      <c r="B1301" s="1079" t="s">
        <v>1362</v>
      </c>
      <c r="C1301" s="1079" t="str">
        <f t="shared" si="54"/>
        <v xml:space="preserve">Piso de concreto polido, espessura 2cm </v>
      </c>
      <c r="D1301" s="1079" t="s">
        <v>1901</v>
      </c>
      <c r="E1301" s="1080" t="str">
        <f>_xlfn.XLOOKUP(D1301,Insumos!$B$1:$B$670,Insumos!$C$1:$C$670)</f>
        <v>KG</v>
      </c>
      <c r="F1301" s="1083">
        <v>5</v>
      </c>
      <c r="G1301" s="1081">
        <f>IF(B1301="insumo",_xlfn.XLOOKUP($D1301,Insumos!$B$1:$B$670,Insumos!$D$1:$D$670),"")</f>
        <v>9.35</v>
      </c>
      <c r="H1301" s="1081" cm="1">
        <f t="array" ref="H1301">_xlfn.IFS(B1301="Serviço",SUMIFS(H1302:$H$2465,C1302:$C$2465,$C1301),B1301="Insumo",F1301*G1301,B1301="Etapa","")</f>
        <v>46.75</v>
      </c>
      <c r="I1301" s="1082"/>
    </row>
    <row r="1302" spans="1:9" outlineLevel="1" collapsed="1" x14ac:dyDescent="0.25">
      <c r="A1302" s="1079">
        <f t="shared" si="53"/>
        <v>1</v>
      </c>
      <c r="B1302" s="1079" t="s">
        <v>471</v>
      </c>
      <c r="C1302" s="1079" t="str">
        <f t="shared" si="54"/>
        <v xml:space="preserve">Piso de concreto polido, espessura 3cm </v>
      </c>
      <c r="D1302" s="1079" t="s">
        <v>1902</v>
      </c>
      <c r="E1302" s="1080" t="s">
        <v>17</v>
      </c>
      <c r="F1302" s="1079"/>
      <c r="G1302" s="1081" t="str">
        <f>IF(B1302="insumo",_xlfn.XLOOKUP($D1302,Insumos!$B$1:$B$670,Insumos!$D$1:$D$670),"")</f>
        <v/>
      </c>
      <c r="H1302" s="1081" cm="1">
        <f t="array" ref="H1302">_xlfn.IFS(B1302="Serviço",SUMIFS(H1303:$H$2465,C1303:$C$2465,$C1302),B1302="Insumo",F1302*G1302,B1302="Etapa","")</f>
        <v>88.714500000000001</v>
      </c>
      <c r="I1302" s="1082" t="s">
        <v>872</v>
      </c>
    </row>
    <row r="1303" spans="1:9" hidden="1" outlineLevel="2" x14ac:dyDescent="0.25">
      <c r="A1303" s="1079">
        <f t="shared" si="53"/>
        <v>6</v>
      </c>
      <c r="B1303" s="1079" t="s">
        <v>1362</v>
      </c>
      <c r="C1303" s="1079" t="str">
        <f t="shared" si="54"/>
        <v xml:space="preserve">Piso de concreto polido, espessura 3cm </v>
      </c>
      <c r="D1303" s="1079" t="s">
        <v>1516</v>
      </c>
      <c r="E1303" s="1080" t="str">
        <f>_xlfn.XLOOKUP(D1303,Insumos!$B$1:$B$670,Insumos!$C$1:$C$670)</f>
        <v>M3</v>
      </c>
      <c r="F1303" s="1083">
        <f>0.0243*3/2</f>
        <v>3.6449999999999996E-2</v>
      </c>
      <c r="G1303" s="1081">
        <f>IF(B1303="insumo",_xlfn.XLOOKUP($D1303,Insumos!$B$1:$B$670,Insumos!$D$1:$D$670),"")</f>
        <v>510</v>
      </c>
      <c r="H1303" s="1081" cm="1">
        <f t="array" ref="H1303">_xlfn.IFS(B1303="Serviço",SUMIFS(H1304:$H$2465,C1304:$C$2465,$C1303),B1303="Insumo",F1303*G1303,B1303="Etapa","")</f>
        <v>18.589499999999997</v>
      </c>
      <c r="I1303" s="1082"/>
    </row>
    <row r="1304" spans="1:9" hidden="1" outlineLevel="2" x14ac:dyDescent="0.25">
      <c r="A1304" s="1079">
        <f t="shared" si="53"/>
        <v>4</v>
      </c>
      <c r="B1304" s="1079" t="s">
        <v>1362</v>
      </c>
      <c r="C1304" s="1079" t="str">
        <f t="shared" si="54"/>
        <v xml:space="preserve">Piso de concreto polido, espessura 3cm </v>
      </c>
      <c r="D1304" s="1079" t="s">
        <v>1901</v>
      </c>
      <c r="E1304" s="1080" t="str">
        <f>_xlfn.XLOOKUP(D1304,Insumos!$B$1:$B$670,Insumos!$C$1:$C$670)</f>
        <v>KG</v>
      </c>
      <c r="F1304" s="1083">
        <f>5*3/2</f>
        <v>7.5</v>
      </c>
      <c r="G1304" s="1081">
        <f>IF(B1304="insumo",_xlfn.XLOOKUP($D1304,Insumos!$B$1:$B$670,Insumos!$D$1:$D$670),"")</f>
        <v>9.35</v>
      </c>
      <c r="H1304" s="1081" cm="1">
        <f t="array" ref="H1304">_xlfn.IFS(B1304="Serviço",SUMIFS(H1305:$H$2465,C1305:$C$2465,$C1304),B1304="Insumo",F1304*G1304,B1304="Etapa","")</f>
        <v>70.125</v>
      </c>
      <c r="I1304" s="1082"/>
    </row>
    <row r="1305" spans="1:9" outlineLevel="1" collapsed="1" x14ac:dyDescent="0.25">
      <c r="A1305" s="1079">
        <f t="shared" si="53"/>
        <v>1</v>
      </c>
      <c r="B1305" s="1079" t="s">
        <v>471</v>
      </c>
      <c r="C1305" s="1079" t="str">
        <f t="shared" si="54"/>
        <v xml:space="preserve">Piso concreto Queimado </v>
      </c>
      <c r="D1305" s="1079" t="s">
        <v>1903</v>
      </c>
      <c r="E1305" s="1080" t="s">
        <v>17</v>
      </c>
      <c r="F1305" s="1079"/>
      <c r="G1305" s="1081" t="str">
        <f>IF(B1305="insumo",_xlfn.XLOOKUP($D1305,Insumos!$B$1:$B$670,Insumos!$D$1:$D$670),"")</f>
        <v/>
      </c>
      <c r="H1305" s="1081" cm="1">
        <f t="array" ref="H1305">_xlfn.IFS(B1305="Serviço",SUMIFS(H1306:$H$2465,C1306:$C$2465,$C1305),B1305="Insumo",F1305*G1305,B1305="Etapa","")</f>
        <v>12.624093333333334</v>
      </c>
      <c r="I1305" s="1082" t="s">
        <v>872</v>
      </c>
    </row>
    <row r="1306" spans="1:9" hidden="1" outlineLevel="2" x14ac:dyDescent="0.25">
      <c r="A1306" s="1079">
        <f t="shared" si="53"/>
        <v>32</v>
      </c>
      <c r="B1306" s="1079" t="s">
        <v>1362</v>
      </c>
      <c r="C1306" s="1079" t="str">
        <f t="shared" si="54"/>
        <v xml:space="preserve">Piso concreto Queimado </v>
      </c>
      <c r="D1306" s="1079" t="s">
        <v>1727</v>
      </c>
      <c r="E1306" s="1080" t="str">
        <f>_xlfn.XLOOKUP(D1306,Insumos!$B$1:$B$670,Insumos!$C$1:$C$670)</f>
        <v>M3</v>
      </c>
      <c r="F1306" s="1083">
        <v>2.2000000000000002E-2</v>
      </c>
      <c r="G1306" s="1081">
        <f>IF(B1306="insumo",_xlfn.XLOOKUP($D1306,Insumos!$B$1:$B$670,Insumos!$D$1:$D$670),"")</f>
        <v>550</v>
      </c>
      <c r="H1306" s="1081" cm="1">
        <f t="array" ref="H1306">_xlfn.IFS(B1306="Serviço",SUMIFS(H1307:$H$2465,C1307:$C$2465,$C1306),B1306="Insumo",F1306*G1306,B1306="Etapa","")</f>
        <v>12.100000000000001</v>
      </c>
      <c r="I1306" s="1082"/>
    </row>
    <row r="1307" spans="1:9" hidden="1" outlineLevel="2" x14ac:dyDescent="0.25">
      <c r="A1307" s="1079">
        <f t="shared" si="53"/>
        <v>35</v>
      </c>
      <c r="B1307" s="1079" t="s">
        <v>1362</v>
      </c>
      <c r="C1307" s="1079" t="str">
        <f t="shared" si="54"/>
        <v xml:space="preserve">Piso concreto Queimado </v>
      </c>
      <c r="D1307" s="1079" t="s">
        <v>1783</v>
      </c>
      <c r="E1307" s="1080" t="str">
        <f>_xlfn.XLOOKUP(D1307,Insumos!$B$1:$B$670,Insumos!$C$1:$C$670)</f>
        <v>L</v>
      </c>
      <c r="F1307" s="1083">
        <v>1.4000000000000002E-2</v>
      </c>
      <c r="G1307" s="1081">
        <f>IF(B1307="insumo",_xlfn.XLOOKUP($D1307,Insumos!$B$1:$B$670,Insumos!$D$1:$D$670),"")</f>
        <v>19.34</v>
      </c>
      <c r="H1307" s="1081" cm="1">
        <f t="array" ref="H1307">_xlfn.IFS(B1307="Serviço",SUMIFS(H1308:$H$2465,C1308:$C$2465,$C1307),B1307="Insumo",F1307*G1307,B1307="Etapa","")</f>
        <v>0.27076000000000006</v>
      </c>
      <c r="I1307" s="1082"/>
    </row>
    <row r="1308" spans="1:9" hidden="1" outlineLevel="2" x14ac:dyDescent="0.25">
      <c r="A1308" s="1079">
        <f t="shared" si="53"/>
        <v>38</v>
      </c>
      <c r="B1308" s="1079" t="s">
        <v>1362</v>
      </c>
      <c r="C1308" s="1079" t="str">
        <f t="shared" si="54"/>
        <v xml:space="preserve">Piso concreto Queimado </v>
      </c>
      <c r="D1308" s="1079" t="s">
        <v>1434</v>
      </c>
      <c r="E1308" s="1080" t="str">
        <f>_xlfn.XLOOKUP(D1308,Insumos!$B$1:$B$670,Insumos!$C$1:$C$670)</f>
        <v>KG</v>
      </c>
      <c r="F1308" s="1083">
        <v>0.33333333333333337</v>
      </c>
      <c r="G1308" s="1081">
        <f>IF(B1308="insumo",_xlfn.XLOOKUP($D1308,Insumos!$B$1:$B$670,Insumos!$D$1:$D$670),"")</f>
        <v>0.76</v>
      </c>
      <c r="H1308" s="1081" cm="1">
        <f t="array" ref="H1308">_xlfn.IFS(B1308="Serviço",SUMIFS(H1309:$H$2465,C1309:$C$2465,$C1308),B1308="Insumo",F1308*G1308,B1308="Etapa","")</f>
        <v>0.25333333333333335</v>
      </c>
      <c r="I1308" s="1082"/>
    </row>
    <row r="1309" spans="1:9" outlineLevel="1" collapsed="1" x14ac:dyDescent="0.25">
      <c r="A1309" s="1079">
        <f t="shared" si="53"/>
        <v>1</v>
      </c>
      <c r="B1309" s="1079" t="s">
        <v>471</v>
      </c>
      <c r="C1309" s="1079" t="str">
        <f t="shared" si="54"/>
        <v>Piso cimentado acabamento rústico 6cm</v>
      </c>
      <c r="D1309" s="1079" t="s">
        <v>1904</v>
      </c>
      <c r="E1309" s="1080" t="s">
        <v>17</v>
      </c>
      <c r="F1309" s="1079"/>
      <c r="G1309" s="1081" t="str">
        <f>IF(B1309="insumo",_xlfn.XLOOKUP($D1309,Insumos!$B$1:$B$670,Insumos!$D$1:$D$670),"")</f>
        <v/>
      </c>
      <c r="H1309" s="1081" cm="1">
        <f t="array" ref="H1309">_xlfn.IFS(B1309="Serviço",SUMIFS(H1310:$H$2465,C1310:$C$2465,$C1309),B1309="Insumo",F1309*G1309,B1309="Etapa","")</f>
        <v>33</v>
      </c>
      <c r="I1309" s="1082" t="s">
        <v>872</v>
      </c>
    </row>
    <row r="1310" spans="1:9" hidden="1" outlineLevel="2" x14ac:dyDescent="0.25">
      <c r="A1310" s="1079">
        <f t="shared" si="53"/>
        <v>32</v>
      </c>
      <c r="B1310" s="1079" t="s">
        <v>1362</v>
      </c>
      <c r="C1310" s="1079" t="str">
        <f t="shared" si="54"/>
        <v>Piso cimentado acabamento rústico 6cm</v>
      </c>
      <c r="D1310" s="1079" t="s">
        <v>1727</v>
      </c>
      <c r="E1310" s="1080" t="str">
        <f>_xlfn.XLOOKUP(D1310,Insumos!$B$1:$B$670,Insumos!$C$1:$C$670)</f>
        <v>M3</v>
      </c>
      <c r="F1310" s="1083">
        <v>0.06</v>
      </c>
      <c r="G1310" s="1081">
        <f>IF(B1310="insumo",_xlfn.XLOOKUP($D1310,Insumos!$B$1:$B$670,Insumos!$D$1:$D$670),"")</f>
        <v>550</v>
      </c>
      <c r="H1310" s="1081" cm="1">
        <f t="array" ref="H1310">_xlfn.IFS(B1310="Serviço",SUMIFS(H1311:$H$2465,C1311:$C$2465,$C1310),B1310="Insumo",F1310*G1310,B1310="Etapa","")</f>
        <v>33</v>
      </c>
      <c r="I1310" s="1082"/>
    </row>
    <row r="1311" spans="1:9" outlineLevel="1" collapsed="1" x14ac:dyDescent="0.25">
      <c r="A1311" s="1079">
        <f t="shared" si="53"/>
        <v>1</v>
      </c>
      <c r="B1311" s="1079" t="s">
        <v>471</v>
      </c>
      <c r="C1311" s="1079" t="str">
        <f t="shared" si="54"/>
        <v>Piso de concreto, acabamento desempenado, espessura 6 cm</v>
      </c>
      <c r="D1311" s="1079" t="s">
        <v>1905</v>
      </c>
      <c r="E1311" s="1080" t="s">
        <v>17</v>
      </c>
      <c r="F1311" s="1079"/>
      <c r="G1311" s="1081" t="str">
        <f>IF(B1311="insumo",_xlfn.XLOOKUP($D1311,Insumos!$B$1:$B$670,Insumos!$D$1:$D$670),"")</f>
        <v/>
      </c>
      <c r="H1311" s="1081" cm="1">
        <f t="array" ref="H1311">_xlfn.IFS(B1311="Serviço",SUMIFS(H1312:$H$2465,C1312:$C$2465,$C1311),B1311="Insumo",F1311*G1311,B1311="Etapa","")</f>
        <v>182.79599999999999</v>
      </c>
      <c r="I1311" s="1082" t="s">
        <v>872</v>
      </c>
    </row>
    <row r="1312" spans="1:9" hidden="1" outlineLevel="2" x14ac:dyDescent="0.25">
      <c r="A1312" s="1079">
        <f t="shared" si="53"/>
        <v>15</v>
      </c>
      <c r="B1312" s="1079" t="s">
        <v>1362</v>
      </c>
      <c r="C1312" s="1079" t="str">
        <f t="shared" si="54"/>
        <v>Piso de concreto, acabamento desempenado, espessura 6 cm</v>
      </c>
      <c r="D1312" s="1079" t="s">
        <v>1402</v>
      </c>
      <c r="E1312" s="1080" t="str">
        <f>_xlfn.XLOOKUP(D1312,Insumos!$B$1:$B$670,Insumos!$C$1:$C$670)</f>
        <v>M3</v>
      </c>
      <c r="F1312" s="1083">
        <v>1.125E-2</v>
      </c>
      <c r="G1312" s="1081">
        <f>IF(B1312="insumo",_xlfn.XLOOKUP($D1312,Insumos!$B$1:$B$670,Insumos!$D$1:$D$670),"")</f>
        <v>1350</v>
      </c>
      <c r="H1312" s="1081" cm="1">
        <f t="array" ref="H1312">_xlfn.IFS(B1312="Serviço",SUMIFS(H1313:$H$2465,C1313:$C$2465,$C1312),B1312="Insumo",F1312*G1312,B1312="Etapa","")</f>
        <v>15.1875</v>
      </c>
      <c r="I1312" s="1082"/>
    </row>
    <row r="1313" spans="1:9" hidden="1" outlineLevel="2" x14ac:dyDescent="0.25">
      <c r="A1313" s="1079">
        <f t="shared" si="53"/>
        <v>9</v>
      </c>
      <c r="B1313" s="1079" t="s">
        <v>1362</v>
      </c>
      <c r="C1313" s="1079" t="str">
        <f t="shared" si="54"/>
        <v>Piso de concreto, acabamento desempenado, espessura 6 cm</v>
      </c>
      <c r="D1313" s="1079" t="s">
        <v>1365</v>
      </c>
      <c r="E1313" s="1080" t="str">
        <f>_xlfn.XLOOKUP(D1313,Insumos!$B$1:$B$670,Insumos!$C$1:$C$670)</f>
        <v>M3</v>
      </c>
      <c r="F1313" s="1083">
        <v>7.2900000000000006E-2</v>
      </c>
      <c r="G1313" s="1081">
        <f>IF(B1313="insumo",_xlfn.XLOOKUP($D1313,Insumos!$B$1:$B$670,Insumos!$D$1:$D$670),"")</f>
        <v>490</v>
      </c>
      <c r="H1313" s="1081" cm="1">
        <f t="array" ref="H1313">_xlfn.IFS(B1313="Serviço",SUMIFS(H1314:$H$2465,C1314:$C$2465,$C1313),B1313="Insumo",F1313*G1313,B1313="Etapa","")</f>
        <v>35.721000000000004</v>
      </c>
      <c r="I1313" s="1082"/>
    </row>
    <row r="1314" spans="1:9" hidden="1" outlineLevel="2" x14ac:dyDescent="0.25">
      <c r="A1314" s="1079">
        <f t="shared" si="53"/>
        <v>1</v>
      </c>
      <c r="B1314" s="1079" t="s">
        <v>1362</v>
      </c>
      <c r="C1314" s="1079" t="str">
        <f t="shared" si="54"/>
        <v>Piso de concreto, acabamento desempenado, espessura 6 cm</v>
      </c>
      <c r="D1314" s="1079" t="s">
        <v>1906</v>
      </c>
      <c r="E1314" s="1080" t="str">
        <f>_xlfn.XLOOKUP(D1314,Insumos!$B$1:$B$670,Insumos!$C$1:$C$670)</f>
        <v>M3</v>
      </c>
      <c r="F1314" s="1083">
        <v>1.8749999999999999E-2</v>
      </c>
      <c r="G1314" s="1081">
        <f>IF(B1314="insumo",_xlfn.XLOOKUP($D1314,Insumos!$B$1:$B$670,Insumos!$D$1:$D$670),"")</f>
        <v>1050</v>
      </c>
      <c r="H1314" s="1081" cm="1">
        <f t="array" ref="H1314">_xlfn.IFS(B1314="Serviço",SUMIFS(H1315:$H$2465,C1315:$C$2465,$C1314),B1314="Insumo",F1314*G1314,B1314="Etapa","")</f>
        <v>19.6875</v>
      </c>
      <c r="I1314" s="1082"/>
    </row>
    <row r="1315" spans="1:9" hidden="1" outlineLevel="2" x14ac:dyDescent="0.25">
      <c r="A1315" s="1079">
        <f t="shared" si="53"/>
        <v>4</v>
      </c>
      <c r="B1315" s="1079" t="s">
        <v>1362</v>
      </c>
      <c r="C1315" s="1079" t="str">
        <f t="shared" si="54"/>
        <v>Piso de concreto, acabamento desempenado, espessura 6 cm</v>
      </c>
      <c r="D1315" s="1079" t="s">
        <v>1901</v>
      </c>
      <c r="E1315" s="1080" t="str">
        <f>_xlfn.XLOOKUP(D1315,Insumos!$B$1:$B$670,Insumos!$C$1:$C$670)</f>
        <v>KG</v>
      </c>
      <c r="F1315" s="1083">
        <v>12</v>
      </c>
      <c r="G1315" s="1081">
        <f>IF(B1315="insumo",_xlfn.XLOOKUP($D1315,Insumos!$B$1:$B$670,Insumos!$D$1:$D$670),"")</f>
        <v>9.35</v>
      </c>
      <c r="H1315" s="1081" cm="1">
        <f t="array" ref="H1315">_xlfn.IFS(B1315="Serviço",SUMIFS(H1316:$H$2465,C1316:$C$2465,$C1315),B1315="Insumo",F1315*G1315,B1315="Etapa","")</f>
        <v>112.19999999999999</v>
      </c>
      <c r="I1315" s="1082"/>
    </row>
    <row r="1316" spans="1:9" outlineLevel="1" x14ac:dyDescent="0.25">
      <c r="A1316" s="1079">
        <f t="shared" si="53"/>
        <v>1</v>
      </c>
      <c r="B1316" s="1079" t="s">
        <v>471</v>
      </c>
      <c r="C1316" s="1079" t="str">
        <f t="shared" si="54"/>
        <v>Piso de concreto, acabamento estampado, espessura 6 cm</v>
      </c>
      <c r="D1316" s="1079" t="s">
        <v>1907</v>
      </c>
      <c r="E1316" s="1080" t="s">
        <v>17</v>
      </c>
      <c r="F1316" s="1079"/>
      <c r="G1316" s="1081" t="str">
        <f>IF(B1316="insumo",_xlfn.XLOOKUP($D1316,Insumos!$B$1:$B$670,Insumos!$D$1:$D$670),"")</f>
        <v/>
      </c>
      <c r="H1316" s="1081" cm="1">
        <f t="array" ref="H1316">_xlfn.IFS(B1316="Serviço",SUMIFS(H1317:$H$2465,C1317:$C$2465,$C1316),B1316="Insumo",F1316*G1316,B1316="Etapa","")</f>
        <v>77.366820666666669</v>
      </c>
      <c r="I1316" s="1082" t="s">
        <v>872</v>
      </c>
    </row>
    <row r="1317" spans="1:9" outlineLevel="2" x14ac:dyDescent="0.25">
      <c r="A1317" s="1079">
        <f t="shared" si="53"/>
        <v>15</v>
      </c>
      <c r="B1317" s="1079" t="s">
        <v>1362</v>
      </c>
      <c r="C1317" s="1079" t="str">
        <f t="shared" si="54"/>
        <v>Piso de concreto, acabamento estampado, espessura 6 cm</v>
      </c>
      <c r="D1317" s="1079" t="s">
        <v>1402</v>
      </c>
      <c r="E1317" s="1080" t="str">
        <f>_xlfn.XLOOKUP(D1317,Insumos!$B$1:$B$670,Insumos!$C$1:$C$670)</f>
        <v>M3</v>
      </c>
      <c r="F1317" s="1083">
        <v>4.4999999999999997E-3</v>
      </c>
      <c r="G1317" s="1081">
        <f>IF(B1317="insumo",_xlfn.XLOOKUP($D1317,Insumos!$B$1:$B$670,Insumos!$D$1:$D$670),"")</f>
        <v>1350</v>
      </c>
      <c r="H1317" s="1081" cm="1">
        <f t="array" ref="H1317">_xlfn.IFS(B1317="Serviço",SUMIFS(H1318:$H$2465,C1318:$C$2465,$C1317),B1317="Insumo",F1317*G1317,B1317="Etapa","")</f>
        <v>6.0749999999999993</v>
      </c>
      <c r="I1317" s="1082"/>
    </row>
    <row r="1318" spans="1:9" outlineLevel="2" x14ac:dyDescent="0.25">
      <c r="A1318" s="1079">
        <f t="shared" si="53"/>
        <v>9</v>
      </c>
      <c r="B1318" s="1079" t="s">
        <v>1362</v>
      </c>
      <c r="C1318" s="1079" t="str">
        <f t="shared" si="54"/>
        <v>Piso de concreto, acabamento estampado, espessura 6 cm</v>
      </c>
      <c r="D1318" s="1079" t="s">
        <v>1365</v>
      </c>
      <c r="E1318" s="1080" t="str">
        <f>_xlfn.XLOOKUP(D1318,Insumos!$B$1:$B$670,Insumos!$C$1:$C$670)</f>
        <v>M3</v>
      </c>
      <c r="F1318" s="1083">
        <v>7.3899999999999993E-2</v>
      </c>
      <c r="G1318" s="1081">
        <f>IF(B1318="insumo",_xlfn.XLOOKUP($D1318,Insumos!$B$1:$B$670,Insumos!$D$1:$D$670),"")</f>
        <v>490</v>
      </c>
      <c r="H1318" s="1081" cm="1">
        <f t="array" ref="H1318">_xlfn.IFS(B1318="Serviço",SUMIFS(H1319:$H$2465,C1319:$C$2465,$C1318),B1318="Insumo",F1318*G1318,B1318="Etapa","")</f>
        <v>36.210999999999999</v>
      </c>
      <c r="I1318" s="1082"/>
    </row>
    <row r="1319" spans="1:9" outlineLevel="2" x14ac:dyDescent="0.25">
      <c r="A1319" s="1079">
        <f t="shared" si="53"/>
        <v>1</v>
      </c>
      <c r="B1319" s="1079" t="s">
        <v>1362</v>
      </c>
      <c r="C1319" s="1079" t="str">
        <f t="shared" si="54"/>
        <v>Piso de concreto, acabamento estampado, espessura 6 cm</v>
      </c>
      <c r="D1319" s="1079" t="s">
        <v>1908</v>
      </c>
      <c r="E1319" s="1080" t="str">
        <f>_xlfn.XLOOKUP(D1319,Insumos!$B$1:$B$670,Insumos!$C$1:$C$670)</f>
        <v>KG</v>
      </c>
      <c r="F1319" s="1083">
        <v>6.6699999999999995E-2</v>
      </c>
      <c r="G1319" s="1081">
        <f>IF(B1319="insumo",_xlfn.XLOOKUP($D1319,Insumos!$B$1:$B$670,Insumos!$D$1:$D$670),"")</f>
        <v>21.666666666666668</v>
      </c>
      <c r="H1319" s="1081" cm="1">
        <f t="array" ref="H1319">_xlfn.IFS(B1319="Serviço",SUMIFS(H1320:$H$2465,C1320:$C$2465,$C1319),B1319="Insumo",F1319*G1319,B1319="Etapa","")</f>
        <v>1.4451666666666667</v>
      </c>
      <c r="I1319" s="1082"/>
    </row>
    <row r="1320" spans="1:9" outlineLevel="2" x14ac:dyDescent="0.25">
      <c r="A1320" s="1079">
        <f t="shared" si="53"/>
        <v>1</v>
      </c>
      <c r="B1320" s="1079" t="s">
        <v>1362</v>
      </c>
      <c r="C1320" s="1079" t="str">
        <f t="shared" si="54"/>
        <v>Piso de concreto, acabamento estampado, espessura 6 cm</v>
      </c>
      <c r="D1320" s="1079" t="s">
        <v>1909</v>
      </c>
      <c r="E1320" s="1080" t="str">
        <f>_xlfn.XLOOKUP(D1320,Insumos!$B$1:$B$670,Insumos!$C$1:$C$670)</f>
        <v>M2</v>
      </c>
      <c r="F1320" s="1083">
        <v>2.5000000000000001E-3</v>
      </c>
      <c r="G1320" s="1081">
        <f>IF(B1320="insumo",_xlfn.XLOOKUP($D1320,Insumos!$B$1:$B$670,Insumos!$D$1:$D$670),"")</f>
        <v>650</v>
      </c>
      <c r="H1320" s="1081" cm="1">
        <f t="array" ref="H1320">_xlfn.IFS(B1320="Serviço",SUMIFS(H1321:$H$2465,C1321:$C$2465,$C1320),B1320="Insumo",F1320*G1320,B1320="Etapa","")</f>
        <v>1.625</v>
      </c>
      <c r="I1320" s="1082"/>
    </row>
    <row r="1321" spans="1:9" outlineLevel="2" x14ac:dyDescent="0.25">
      <c r="A1321" s="1079">
        <f t="shared" si="53"/>
        <v>33</v>
      </c>
      <c r="B1321" s="1079" t="s">
        <v>1362</v>
      </c>
      <c r="C1321" s="1079" t="str">
        <f t="shared" si="54"/>
        <v>Piso de concreto, acabamento estampado, espessura 6 cm</v>
      </c>
      <c r="D1321" s="1079" t="s">
        <v>1375</v>
      </c>
      <c r="E1321" s="1080" t="str">
        <f>_xlfn.XLOOKUP(D1321,Insumos!$B$1:$B$670,Insumos!$C$1:$C$670)</f>
        <v>KG</v>
      </c>
      <c r="F1321" s="1083">
        <v>2.4E-2</v>
      </c>
      <c r="G1321" s="1081">
        <f>IF(B1321="insumo",_xlfn.XLOOKUP($D1321,Insumos!$B$1:$B$670,Insumos!$D$1:$D$670),"")</f>
        <v>18.13</v>
      </c>
      <c r="H1321" s="1081" cm="1">
        <f t="array" ref="H1321">_xlfn.IFS(B1321="Serviço",SUMIFS(H1322:$H$2465,C1322:$C$2465,$C1321),B1321="Insumo",F1321*G1321,B1321="Etapa","")</f>
        <v>0.43512000000000001</v>
      </c>
      <c r="I1321" s="1082"/>
    </row>
    <row r="1322" spans="1:9" outlineLevel="2" x14ac:dyDescent="0.25">
      <c r="A1322" s="1079">
        <f t="shared" si="53"/>
        <v>1</v>
      </c>
      <c r="B1322" s="1079" t="s">
        <v>1362</v>
      </c>
      <c r="C1322" s="1079" t="str">
        <f t="shared" si="54"/>
        <v>Piso de concreto, acabamento estampado, espessura 6 cm</v>
      </c>
      <c r="D1322" s="1079" t="s">
        <v>1910</v>
      </c>
      <c r="E1322" s="1080" t="str">
        <f>_xlfn.XLOOKUP(D1322,Insumos!$B$1:$B$670,Insumos!$C$1:$C$670)</f>
        <v>KG</v>
      </c>
      <c r="F1322" s="1083">
        <v>1.7391000000000001</v>
      </c>
      <c r="G1322" s="1081">
        <f>IF(B1322="insumo",_xlfn.XLOOKUP($D1322,Insumos!$B$1:$B$670,Insumos!$D$1:$D$670),"")</f>
        <v>15.780000000000001</v>
      </c>
      <c r="H1322" s="1081" cm="1">
        <f t="array" ref="H1322">_xlfn.IFS(B1322="Serviço",SUMIFS(H1323:$H$2465,C1323:$C$2465,$C1322),B1322="Insumo",F1322*G1322,B1322="Etapa","")</f>
        <v>27.442998000000003</v>
      </c>
      <c r="I1322" s="1082"/>
    </row>
    <row r="1323" spans="1:9" outlineLevel="2" x14ac:dyDescent="0.25">
      <c r="A1323" s="1079">
        <f t="shared" si="53"/>
        <v>1</v>
      </c>
      <c r="B1323" s="1079" t="s">
        <v>1362</v>
      </c>
      <c r="C1323" s="1079" t="str">
        <f t="shared" si="54"/>
        <v>Piso de concreto, acabamento estampado, espessura 6 cm</v>
      </c>
      <c r="D1323" s="1079" t="s">
        <v>1911</v>
      </c>
      <c r="E1323" s="1080" t="str">
        <f>_xlfn.XLOOKUP(D1323,Insumos!$B$1:$B$670,Insumos!$C$1:$C$670)</f>
        <v>L</v>
      </c>
      <c r="F1323" s="1083">
        <v>0.1636</v>
      </c>
      <c r="G1323" s="1081">
        <f>IF(B1323="insumo",_xlfn.XLOOKUP($D1323,Insumos!$B$1:$B$670,Insumos!$D$1:$D$670),"")</f>
        <v>25.26</v>
      </c>
      <c r="H1323" s="1081" cm="1">
        <f t="array" ref="H1323">_xlfn.IFS(B1323="Serviço",SUMIFS(H1324:$H$2465,C1324:$C$2465,$C1323),B1323="Insumo",F1323*G1323,B1323="Etapa","")</f>
        <v>4.132536</v>
      </c>
      <c r="I1323" s="1082"/>
    </row>
    <row r="1324" spans="1:9" outlineLevel="1" collapsed="1" x14ac:dyDescent="0.25">
      <c r="A1324" s="1079">
        <f t="shared" si="53"/>
        <v>1</v>
      </c>
      <c r="B1324" s="1079" t="s">
        <v>471</v>
      </c>
      <c r="C1324" s="1079" t="str">
        <f t="shared" si="54"/>
        <v>Lapidação de piso com lixas diamantadas</v>
      </c>
      <c r="D1324" s="1079" t="s">
        <v>1912</v>
      </c>
      <c r="E1324" s="1080" t="s">
        <v>17</v>
      </c>
      <c r="F1324" s="1079"/>
      <c r="G1324" s="1081" t="str">
        <f>IF(B1324="insumo",_xlfn.XLOOKUP($D1324,Insumos!$B$1:$B$670,Insumos!$D$1:$D$670),"")</f>
        <v/>
      </c>
      <c r="H1324" s="1081" cm="1">
        <f t="array" ref="H1324">_xlfn.IFS(B1324="Serviço",SUMIFS(H1325:$H$2465,C1325:$C$2465,$C1324),B1324="Insumo",F1324*G1324,B1324="Etapa","")</f>
        <v>75</v>
      </c>
      <c r="I1324" s="1082" t="s">
        <v>872</v>
      </c>
    </row>
    <row r="1325" spans="1:9" hidden="1" outlineLevel="2" x14ac:dyDescent="0.25">
      <c r="A1325" s="1079">
        <f t="shared" si="53"/>
        <v>1</v>
      </c>
      <c r="B1325" s="1079" t="s">
        <v>1362</v>
      </c>
      <c r="C1325" s="1079" t="str">
        <f t="shared" si="54"/>
        <v>Lapidação de piso com lixas diamantadas</v>
      </c>
      <c r="D1325" s="1079" t="s">
        <v>1912</v>
      </c>
      <c r="E1325" s="1080" t="str">
        <f>_xlfn.XLOOKUP(D1325,Insumos!$B$1:$B$670,Insumos!$C$1:$C$670)</f>
        <v>M2</v>
      </c>
      <c r="F1325" s="1083">
        <v>1</v>
      </c>
      <c r="G1325" s="1081">
        <f>IF(B1325="insumo",_xlfn.XLOOKUP($D1325,Insumos!$B$1:$B$670,Insumos!$D$1:$D$670),"")</f>
        <v>75</v>
      </c>
      <c r="H1325" s="1081" cm="1">
        <f t="array" ref="H1325">_xlfn.IFS(B1325="Serviço",SUMIFS(H1326:$H$2465,C1326:$C$2465,$C1325),B1325="Insumo",F1325*G1325,B1325="Etapa","")</f>
        <v>75</v>
      </c>
      <c r="I1325" s="1082"/>
    </row>
    <row r="1326" spans="1:9" outlineLevel="1" collapsed="1" x14ac:dyDescent="0.25">
      <c r="A1326" s="1079">
        <f t="shared" si="53"/>
        <v>1</v>
      </c>
      <c r="B1326" s="1079" t="s">
        <v>471</v>
      </c>
      <c r="C1326" s="1079" t="str">
        <f t="shared" si="54"/>
        <v>Enchimento de piso - com areia média - Material e Mão de obra</v>
      </c>
      <c r="D1326" s="1079" t="s">
        <v>1913</v>
      </c>
      <c r="E1326" s="1080" t="s">
        <v>17</v>
      </c>
      <c r="F1326" s="1079"/>
      <c r="G1326" s="1081" t="str">
        <f>IF(B1326="insumo",_xlfn.XLOOKUP($D1326,Insumos!$B$1:$B$670,Insumos!$D$1:$D$670),"")</f>
        <v/>
      </c>
      <c r="H1326" s="1081" cm="1">
        <f t="array" ref="H1326">_xlfn.IFS(B1326="Serviço",SUMIFS(H1327:$H$2465,C1327:$C$2465,$C1326),B1326="Insumo",F1326*G1326,B1326="Etapa","")</f>
        <v>189.29999999999998</v>
      </c>
      <c r="I1326" s="1082" t="s">
        <v>872</v>
      </c>
    </row>
    <row r="1327" spans="1:9" hidden="1" outlineLevel="2" x14ac:dyDescent="0.25">
      <c r="A1327" s="1079">
        <f t="shared" si="53"/>
        <v>1</v>
      </c>
      <c r="B1327" s="1079" t="s">
        <v>1362</v>
      </c>
      <c r="C1327" s="1079" t="str">
        <f t="shared" si="54"/>
        <v>Enchimento de piso - com areia média - Material e Mão de obra</v>
      </c>
      <c r="D1327" s="1079" t="s">
        <v>1914</v>
      </c>
      <c r="E1327" s="1080" t="str">
        <f>_xlfn.XLOOKUP(D1327,Insumos!$B$1:$B$670,Insumos!$C$1:$C$670)</f>
        <v>M2</v>
      </c>
      <c r="F1327" s="1083">
        <v>1</v>
      </c>
      <c r="G1327" s="1081">
        <f>IF(B1327="insumo",_xlfn.XLOOKUP($D1327,Insumos!$B$1:$B$670,Insumos!$D$1:$D$670),"")</f>
        <v>16.75</v>
      </c>
      <c r="H1327" s="1081" cm="1">
        <f t="array" ref="H1327">_xlfn.IFS(B1327="Serviço",SUMIFS(H1328:$H$2465,C1328:$C$2465,$C1327),B1327="Insumo",F1327*G1327,B1327="Etapa","")</f>
        <v>16.75</v>
      </c>
      <c r="I1327" s="1082"/>
    </row>
    <row r="1328" spans="1:9" hidden="1" outlineLevel="2" x14ac:dyDescent="0.25">
      <c r="A1328" s="1079">
        <f t="shared" si="53"/>
        <v>7</v>
      </c>
      <c r="B1328" s="1079" t="s">
        <v>1362</v>
      </c>
      <c r="C1328" s="1079" t="str">
        <f t="shared" si="54"/>
        <v>Enchimento de piso - com areia média - Material e Mão de obra</v>
      </c>
      <c r="D1328" s="1079" t="s">
        <v>1726</v>
      </c>
      <c r="E1328" s="1080" t="str">
        <f>_xlfn.XLOOKUP(D1328,Insumos!$B$1:$B$670,Insumos!$C$1:$C$670)</f>
        <v>M3</v>
      </c>
      <c r="F1328" s="1083">
        <v>1.19</v>
      </c>
      <c r="G1328" s="1081">
        <f>IF(B1328="insumo",_xlfn.XLOOKUP($D1328,Insumos!$B$1:$B$670,Insumos!$D$1:$D$670),"")</f>
        <v>145</v>
      </c>
      <c r="H1328" s="1081" cm="1">
        <f t="array" ref="H1328">_xlfn.IFS(B1328="Serviço",SUMIFS(H1329:$H$2465,C1329:$C$2465,$C1328),B1328="Insumo",F1328*G1328,B1328="Etapa","")</f>
        <v>172.54999999999998</v>
      </c>
      <c r="I1328" s="1082"/>
    </row>
    <row r="1329" spans="1:9" outlineLevel="1" collapsed="1" x14ac:dyDescent="0.25">
      <c r="A1329" s="1079">
        <f t="shared" si="53"/>
        <v>1</v>
      </c>
      <c r="B1329" s="1079" t="s">
        <v>471</v>
      </c>
      <c r="C1329" s="1079" t="str">
        <f t="shared" si="54"/>
        <v xml:space="preserve">Deck de madeira - material e mão de obra </v>
      </c>
      <c r="D1329" s="1079" t="s">
        <v>1915</v>
      </c>
      <c r="E1329" s="1080" t="s">
        <v>17</v>
      </c>
      <c r="F1329" s="1079"/>
      <c r="G1329" s="1081" t="str">
        <f>IF(B1329="insumo",_xlfn.XLOOKUP($D1329,Insumos!$B$1:$B$670,Insumos!$D$1:$D$670),"")</f>
        <v/>
      </c>
      <c r="H1329" s="1081" cm="1">
        <f t="array" ref="H1329">_xlfn.IFS(B1329="Serviço",SUMIFS(H1330:$H$2465,C1330:$C$2465,$C1329),B1329="Insumo",F1329*G1329,B1329="Etapa","")</f>
        <v>822.7</v>
      </c>
      <c r="I1329" s="1082" t="s">
        <v>872</v>
      </c>
    </row>
    <row r="1330" spans="1:9" hidden="1" outlineLevel="2" x14ac:dyDescent="0.25">
      <c r="A1330" s="1079">
        <f t="shared" si="53"/>
        <v>1</v>
      </c>
      <c r="B1330" s="1079" t="s">
        <v>1362</v>
      </c>
      <c r="C1330" s="1079" t="str">
        <f t="shared" si="54"/>
        <v xml:space="preserve">Deck de madeira - material e mão de obra </v>
      </c>
      <c r="D1330" s="1079" t="s">
        <v>1916</v>
      </c>
      <c r="E1330" s="1080" t="str">
        <f>_xlfn.XLOOKUP(D1330,Insumos!$B$1:$B$670,Insumos!$C$1:$C$670)</f>
        <v>M2</v>
      </c>
      <c r="F1330" s="1083">
        <v>1.1000000000000001</v>
      </c>
      <c r="G1330" s="1081">
        <f>IF(B1330="insumo",_xlfn.XLOOKUP($D1330,Insumos!$B$1:$B$670,Insumos!$D$1:$D$670),"")</f>
        <v>557</v>
      </c>
      <c r="H1330" s="1081" cm="1">
        <f t="array" ref="H1330">_xlfn.IFS(B1330="Serviço",SUMIFS(H1331:$H$2465,C1331:$C$2465,$C1330),B1330="Insumo",F1330*G1330,B1330="Etapa","")</f>
        <v>612.70000000000005</v>
      </c>
      <c r="I1330" s="1082"/>
    </row>
    <row r="1331" spans="1:9" hidden="1" outlineLevel="2" x14ac:dyDescent="0.25">
      <c r="A1331" s="1079">
        <f t="shared" si="53"/>
        <v>1</v>
      </c>
      <c r="B1331" s="1079" t="s">
        <v>1362</v>
      </c>
      <c r="C1331" s="1079" t="str">
        <f t="shared" si="54"/>
        <v xml:space="preserve">Deck de madeira - material e mão de obra </v>
      </c>
      <c r="D1331" s="1079" t="s">
        <v>1917</v>
      </c>
      <c r="E1331" s="1080" t="str">
        <f>_xlfn.XLOOKUP(D1331,Insumos!$B$1:$B$670,Insumos!$C$1:$C$670)</f>
        <v>M2</v>
      </c>
      <c r="F1331" s="1083">
        <v>1</v>
      </c>
      <c r="G1331" s="1081">
        <f>IF(B1331="insumo",_xlfn.XLOOKUP($D1331,Insumos!$B$1:$B$670,Insumos!$D$1:$D$670),"")</f>
        <v>210</v>
      </c>
      <c r="H1331" s="1081" cm="1">
        <f t="array" ref="H1331">_xlfn.IFS(B1331="Serviço",SUMIFS(H1332:$H$2465,C1332:$C$2465,$C1331),B1331="Insumo",F1331*G1331,B1331="Etapa","")</f>
        <v>210</v>
      </c>
      <c r="I1331" s="1082"/>
    </row>
    <row r="1332" spans="1:9" outlineLevel="1" collapsed="1" x14ac:dyDescent="0.25">
      <c r="A1332" s="1079">
        <f t="shared" si="53"/>
        <v>1</v>
      </c>
      <c r="B1332" s="1079" t="s">
        <v>471</v>
      </c>
      <c r="C1332" s="1079" t="str">
        <f t="shared" si="54"/>
        <v>Pisos Para Academia Emborrachado</v>
      </c>
      <c r="D1332" s="1097" t="s">
        <v>1918</v>
      </c>
      <c r="E1332" s="1080" t="s">
        <v>17</v>
      </c>
      <c r="F1332" s="1097"/>
      <c r="G1332" s="1098" t="str">
        <f>IF(B1332="insumo",_xlfn.XLOOKUP($D1332,Insumos!$B$1:$B$670,Insumos!$D$1:$D$670),"")</f>
        <v/>
      </c>
      <c r="H1332" s="1098" cm="1">
        <f t="array" ref="H1332">_xlfn.IFS(B1332="Serviço",SUMIFS(H1333:$H$2465,C1333:$C$2465,$C1332),B1332="Insumo",F1332*G1332,B1332="Etapa","")</f>
        <v>138.4</v>
      </c>
      <c r="I1332" s="1099" t="s">
        <v>872</v>
      </c>
    </row>
    <row r="1333" spans="1:9" hidden="1" outlineLevel="2" x14ac:dyDescent="0.25">
      <c r="A1333" s="1079">
        <f t="shared" si="53"/>
        <v>1</v>
      </c>
      <c r="B1333" s="1079" t="s">
        <v>1362</v>
      </c>
      <c r="C1333" s="1079" t="str">
        <f t="shared" si="54"/>
        <v>Pisos Para Academia Emborrachado</v>
      </c>
      <c r="D1333" s="1079" t="s">
        <v>1919</v>
      </c>
      <c r="E1333" s="1080" t="str">
        <f>_xlfn.XLOOKUP(D1333,Insumos!$B$1:$B$670,Insumos!$C$1:$C$670)</f>
        <v>M2</v>
      </c>
      <c r="F1333" s="1083">
        <v>1</v>
      </c>
      <c r="G1333" s="1081">
        <f>IF(B1333="insumo",_xlfn.XLOOKUP($D1333,Insumos!$B$1:$B$670,Insumos!$D$1:$D$670),"")</f>
        <v>138.4</v>
      </c>
      <c r="H1333" s="1081" cm="1">
        <f t="array" ref="H1333">_xlfn.IFS(B1333="Serviço",SUMIFS(H1334:$H$2465,C1334:$C$2465,$C1333),B1333="Insumo",F1333*G1333,B1333="Etapa","")</f>
        <v>138.4</v>
      </c>
      <c r="I1333" s="1082"/>
    </row>
    <row r="1334" spans="1:9" outlineLevel="1" collapsed="1" x14ac:dyDescent="0.25">
      <c r="A1334" s="1079">
        <f t="shared" si="53"/>
        <v>1</v>
      </c>
      <c r="B1334" s="1079" t="s">
        <v>471</v>
      </c>
      <c r="C1334" s="1079" t="str">
        <f t="shared" si="54"/>
        <v>Revestimento de piso carpet - Material e Mão de Obra</v>
      </c>
      <c r="D1334" s="1097" t="s">
        <v>1920</v>
      </c>
      <c r="E1334" s="1080" t="s">
        <v>17</v>
      </c>
      <c r="F1334" s="1097"/>
      <c r="G1334" s="1098" t="str">
        <f>IF(B1334="insumo",_xlfn.XLOOKUP($D1334,Insumos!$B$1:$B$670,Insumos!$D$1:$D$670),"")</f>
        <v/>
      </c>
      <c r="H1334" s="1098" cm="1">
        <f t="array" ref="H1334">_xlfn.IFS(B1334="Serviço",SUMIFS(H1335:$H$2465,C1335:$C$2465,$C1334),B1334="Insumo",F1334*G1334,B1334="Etapa","")</f>
        <v>342.63975903614454</v>
      </c>
      <c r="I1334" s="1099" t="s">
        <v>872</v>
      </c>
    </row>
    <row r="1335" spans="1:9" hidden="1" outlineLevel="2" x14ac:dyDescent="0.25">
      <c r="A1335" s="1079">
        <f t="shared" si="53"/>
        <v>1</v>
      </c>
      <c r="B1335" s="1079" t="s">
        <v>1362</v>
      </c>
      <c r="C1335" s="1079" t="str">
        <f t="shared" si="54"/>
        <v>Revestimento de piso carpet - Material e Mão de Obra</v>
      </c>
      <c r="D1335" s="1079" t="s">
        <v>1920</v>
      </c>
      <c r="E1335" s="1080" t="str">
        <f>_xlfn.XLOOKUP(D1335,Insumos!$B$1:$B$670,Insumos!$C$1:$C$670)</f>
        <v>M2</v>
      </c>
      <c r="F1335" s="1083">
        <v>1</v>
      </c>
      <c r="G1335" s="1081">
        <f>IF(B1335="insumo",_xlfn.XLOOKUP($D1335,Insumos!$B$1:$B$670,Insumos!$D$1:$D$670),"")</f>
        <v>342.63975903614454</v>
      </c>
      <c r="H1335" s="1081" cm="1">
        <f t="array" ref="H1335">_xlfn.IFS(B1335="Serviço",SUMIFS(H1336:$H$2465,C1336:$C$2465,$C1335),B1335="Insumo",F1335*G1335,B1335="Etapa","")</f>
        <v>342.63975903614454</v>
      </c>
      <c r="I1335" s="1082"/>
    </row>
    <row r="1336" spans="1:9" outlineLevel="1" collapsed="1" x14ac:dyDescent="0.25">
      <c r="A1336" s="1079">
        <f t="shared" si="53"/>
        <v>1</v>
      </c>
      <c r="B1336" s="1079" t="s">
        <v>471</v>
      </c>
      <c r="C1336" s="1079" t="str">
        <f t="shared" si="54"/>
        <v>Gradil metálico - Material e Mão de obra</v>
      </c>
      <c r="D1336" s="1097" t="s">
        <v>1921</v>
      </c>
      <c r="E1336" s="1080" t="s">
        <v>17</v>
      </c>
      <c r="F1336" s="1097"/>
      <c r="G1336" s="1098" t="str">
        <f>IF(B1336="insumo",_xlfn.XLOOKUP($D1336,Insumos!$B$1:$B$670,Insumos!$D$1:$D$670),"")</f>
        <v/>
      </c>
      <c r="H1336" s="1098" cm="1">
        <f t="array" ref="H1336">_xlfn.IFS(B1336="Serviço",SUMIFS(H1337:$H$2465,C1337:$C$2465,$C1336),B1336="Insumo",F1336*G1336,B1336="Etapa","")</f>
        <v>1036.9504748982358</v>
      </c>
      <c r="I1336" s="1099" t="s">
        <v>872</v>
      </c>
    </row>
    <row r="1337" spans="1:9" hidden="1" outlineLevel="2" x14ac:dyDescent="0.25">
      <c r="A1337" s="1079">
        <f t="shared" si="53"/>
        <v>1</v>
      </c>
      <c r="B1337" s="1079" t="s">
        <v>1362</v>
      </c>
      <c r="C1337" s="1079" t="str">
        <f t="shared" si="54"/>
        <v>Gradil metálico - Material e Mão de obra</v>
      </c>
      <c r="D1337" s="1079" t="s">
        <v>1922</v>
      </c>
      <c r="E1337" s="1080" t="str">
        <f>_xlfn.XLOOKUP(D1337,Insumos!$B$1:$B$670,Insumos!$C$1:$C$670)</f>
        <v>M2</v>
      </c>
      <c r="F1337" s="1083">
        <v>1</v>
      </c>
      <c r="G1337" s="1081">
        <f>IF(B1337="insumo",_xlfn.XLOOKUP($D1337,Insumos!$B$1:$B$670,Insumos!$D$1:$D$670),"")</f>
        <v>1036.9504748982358</v>
      </c>
      <c r="H1337" s="1081" cm="1">
        <f t="array" ref="H1337">_xlfn.IFS(B1337="Serviço",SUMIFS(H1338:$H$2465,C1338:$C$2465,$C1337),B1337="Insumo",F1337*G1337,B1337="Etapa","")</f>
        <v>1036.9504748982358</v>
      </c>
      <c r="I1337" s="1082"/>
    </row>
    <row r="1338" spans="1:9" outlineLevel="1" collapsed="1" x14ac:dyDescent="0.25">
      <c r="A1338" s="1079">
        <f t="shared" si="53"/>
        <v>1</v>
      </c>
      <c r="B1338" s="1079" t="s">
        <v>471</v>
      </c>
      <c r="C1338" s="1079" t="str">
        <f t="shared" si="54"/>
        <v>Gradil metálico para Piso - Material e Mão de obra</v>
      </c>
      <c r="D1338" s="1097" t="s">
        <v>1923</v>
      </c>
      <c r="E1338" s="1080" t="s">
        <v>17</v>
      </c>
      <c r="F1338" s="1097"/>
      <c r="G1338" s="1098" t="str">
        <f>IF(B1338="insumo",_xlfn.XLOOKUP($D1338,Insumos!$B$1:$B$670,Insumos!$D$1:$D$670),"")</f>
        <v/>
      </c>
      <c r="H1338" s="1098" cm="1">
        <f t="array" ref="H1338">_xlfn.IFS(B1338="Serviço",SUMIFS(H1339:$H$2465,C1339:$C$2465,$C1338),B1338="Insumo",F1338*G1338,B1338="Etapa","")</f>
        <v>568.92672413793116</v>
      </c>
      <c r="I1338" s="1099" t="s">
        <v>872</v>
      </c>
    </row>
    <row r="1339" spans="1:9" hidden="1" outlineLevel="2" x14ac:dyDescent="0.25">
      <c r="A1339" s="1079">
        <f t="shared" si="53"/>
        <v>1</v>
      </c>
      <c r="B1339" s="1079" t="s">
        <v>1362</v>
      </c>
      <c r="C1339" s="1079" t="str">
        <f t="shared" si="54"/>
        <v>Gradil metálico para Piso - Material e Mão de obra</v>
      </c>
      <c r="D1339" s="1079" t="s">
        <v>1924</v>
      </c>
      <c r="E1339" s="1080" t="str">
        <f>_xlfn.XLOOKUP(D1339,Insumos!$B$1:$B$670,Insumos!$C$1:$C$670)</f>
        <v>M2</v>
      </c>
      <c r="F1339" s="1083">
        <v>1</v>
      </c>
      <c r="G1339" s="1081">
        <f>IF(B1339="insumo",_xlfn.XLOOKUP($D1339,Insumos!$B$1:$B$670,Insumos!$D$1:$D$670),"")</f>
        <v>568.92672413793116</v>
      </c>
      <c r="H1339" s="1081" cm="1">
        <f t="array" ref="H1339">_xlfn.IFS(B1339="Serviço",SUMIFS(H1340:$H$2465,C1340:$C$2465,$C1339),B1339="Insumo",F1339*G1339,B1339="Etapa","")</f>
        <v>568.92672413793116</v>
      </c>
      <c r="I1339" s="1082"/>
    </row>
    <row r="1340" spans="1:9" outlineLevel="1" collapsed="1" x14ac:dyDescent="0.25">
      <c r="A1340" s="1079">
        <f t="shared" si="53"/>
        <v>1</v>
      </c>
      <c r="B1340" s="1079" t="s">
        <v>471</v>
      </c>
      <c r="C1340" s="1079" t="str">
        <f t="shared" si="54"/>
        <v>Piso elevado - Material e Mão de obra</v>
      </c>
      <c r="D1340" s="1079" t="s">
        <v>1925</v>
      </c>
      <c r="E1340" s="1080" t="s">
        <v>17</v>
      </c>
      <c r="F1340" s="1079"/>
      <c r="G1340" s="1081" t="str">
        <f>IF(B1340="insumo",_xlfn.XLOOKUP($D1340,Insumos!$B$1:$B$670,Insumos!$D$1:$D$670),"")</f>
        <v/>
      </c>
      <c r="H1340" s="1081" cm="1">
        <f t="array" ref="H1340">_xlfn.IFS(B1340="Serviço",SUMIFS(H1341:$H$2465,C1341:$C$2465,$C1340),B1340="Insumo",F1340*G1340,B1340="Etapa","")</f>
        <v>296.7</v>
      </c>
      <c r="I1340" s="1082" t="s">
        <v>872</v>
      </c>
    </row>
    <row r="1341" spans="1:9" hidden="1" outlineLevel="2" x14ac:dyDescent="0.25">
      <c r="A1341" s="1079">
        <f t="shared" si="53"/>
        <v>1</v>
      </c>
      <c r="B1341" s="1079" t="s">
        <v>1362</v>
      </c>
      <c r="C1341" s="1079" t="str">
        <f t="shared" si="54"/>
        <v>Piso elevado - Material e Mão de obra</v>
      </c>
      <c r="D1341" s="1079" t="s">
        <v>1926</v>
      </c>
      <c r="E1341" s="1080" t="str">
        <f>_xlfn.XLOOKUP(D1341,Insumos!$B$1:$B$670,Insumos!$C$1:$C$670)</f>
        <v>M2</v>
      </c>
      <c r="F1341" s="1083">
        <v>1</v>
      </c>
      <c r="G1341" s="1081">
        <f>IF(B1341="insumo",_xlfn.XLOOKUP($D1341,Insumos!$B$1:$B$670,Insumos!$D$1:$D$670),"")</f>
        <v>146.69999999999999</v>
      </c>
      <c r="H1341" s="1081" cm="1">
        <f t="array" ref="H1341">_xlfn.IFS(B1341="Serviço",SUMIFS(H1342:$H$2465,C1342:$C$2465,$C1341),B1341="Insumo",F1341*G1341,B1341="Etapa","")</f>
        <v>146.69999999999999</v>
      </c>
      <c r="I1341" s="1082"/>
    </row>
    <row r="1342" spans="1:9" hidden="1" outlineLevel="2" x14ac:dyDescent="0.25">
      <c r="A1342" s="1079">
        <f t="shared" si="53"/>
        <v>1</v>
      </c>
      <c r="B1342" s="1079" t="s">
        <v>1362</v>
      </c>
      <c r="C1342" s="1079" t="str">
        <f t="shared" si="54"/>
        <v>Piso elevado - Material e Mão de obra</v>
      </c>
      <c r="D1342" s="1079" t="s">
        <v>1927</v>
      </c>
      <c r="E1342" s="1080" t="str">
        <f>_xlfn.XLOOKUP(D1342,Insumos!$B$1:$B$670,Insumos!$C$1:$C$670)</f>
        <v>M2</v>
      </c>
      <c r="F1342" s="1083">
        <v>1</v>
      </c>
      <c r="G1342" s="1081">
        <f>IF(B1342="insumo",_xlfn.XLOOKUP($D1342,Insumos!$B$1:$B$670,Insumos!$D$1:$D$670),"")</f>
        <v>150</v>
      </c>
      <c r="H1342" s="1081" cm="1">
        <f t="array" ref="H1342">_xlfn.IFS(B1342="Serviço",SUMIFS(H1343:$H$2465,C1343:$C$2465,$C1342),B1342="Insumo",F1342*G1342,B1342="Etapa","")</f>
        <v>150</v>
      </c>
      <c r="I1342" s="1082"/>
    </row>
    <row r="1343" spans="1:9" outlineLevel="1" collapsed="1" x14ac:dyDescent="0.25">
      <c r="A1343" s="1079">
        <f t="shared" si="53"/>
        <v>1</v>
      </c>
      <c r="B1343" s="1079" t="s">
        <v>471</v>
      </c>
      <c r="C1343" s="1079" t="str">
        <f t="shared" si="54"/>
        <v>Filete metálico - divisória entre pisos</v>
      </c>
      <c r="D1343" s="1079" t="s">
        <v>1928</v>
      </c>
      <c r="E1343" s="1080" t="s">
        <v>281</v>
      </c>
      <c r="F1343" s="1079"/>
      <c r="G1343" s="1081" t="str">
        <f>IF(B1343="insumo",_xlfn.XLOOKUP($D1343,Insumos!$B$1:$B$670,Insumos!$D$1:$D$670),"")</f>
        <v/>
      </c>
      <c r="H1343" s="1081" cm="1">
        <f t="array" ref="H1343">_xlfn.IFS(B1343="Serviço",SUMIFS(H1344:$H$2465,C1344:$C$2465,$C1343),B1343="Insumo",F1343*G1343,B1343="Etapa","")</f>
        <v>133.33333333333334</v>
      </c>
      <c r="I1343" s="1082" t="s">
        <v>872</v>
      </c>
    </row>
    <row r="1344" spans="1:9" hidden="1" outlineLevel="2" x14ac:dyDescent="0.25">
      <c r="A1344" s="1079">
        <f t="shared" si="53"/>
        <v>1</v>
      </c>
      <c r="B1344" s="1079" t="s">
        <v>1362</v>
      </c>
      <c r="C1344" s="1079" t="str">
        <f t="shared" si="54"/>
        <v>Filete metálico - divisória entre pisos</v>
      </c>
      <c r="D1344" s="1079" t="s">
        <v>1928</v>
      </c>
      <c r="E1344" s="1080" t="str">
        <f>_xlfn.XLOOKUP(D1344,Insumos!$B$1:$B$670,Insumos!$C$1:$C$670)</f>
        <v>M</v>
      </c>
      <c r="F1344" s="1083">
        <v>1</v>
      </c>
      <c r="G1344" s="1081">
        <f>IF(B1344="insumo",_xlfn.XLOOKUP($D1344,Insumos!$B$1:$B$670,Insumos!$D$1:$D$670),"")</f>
        <v>133.33333333333334</v>
      </c>
      <c r="H1344" s="1081" cm="1">
        <f t="array" ref="H1344">_xlfn.IFS(B1344="Serviço",SUMIFS(H1345:$H$2465,C1345:$C$2465,$C1344),B1344="Insumo",F1344*G1344,B1344="Etapa","")</f>
        <v>133.33333333333334</v>
      </c>
      <c r="I1344" s="1082"/>
    </row>
    <row r="1345" spans="1:9" outlineLevel="1" collapsed="1" x14ac:dyDescent="0.25">
      <c r="A1345" s="1079">
        <f t="shared" si="53"/>
        <v>1</v>
      </c>
      <c r="B1345" s="1079" t="s">
        <v>471</v>
      </c>
      <c r="C1345" s="1079" t="str">
        <f t="shared" si="54"/>
        <v>Filete metálico - divisória entre pisos - aluminio escovado</v>
      </c>
      <c r="D1345" s="1079" t="s">
        <v>1929</v>
      </c>
      <c r="E1345" s="1080" t="s">
        <v>1</v>
      </c>
      <c r="F1345" s="1079"/>
      <c r="G1345" s="1081" t="str">
        <f>IF(B1345="insumo",_xlfn.XLOOKUP($D1345,Insumos!$B$1:$B$670,Insumos!$D$1:$D$670),"")</f>
        <v/>
      </c>
      <c r="H1345" s="1081" cm="1">
        <f t="array" ref="H1345">_xlfn.IFS(B1345="Serviço",SUMIFS(H1346:$H$2465,C1346:$C$2465,$C1345),B1345="Insumo",F1345*G1345,B1345="Etapa","")</f>
        <v>133.33333333333334</v>
      </c>
      <c r="I1345" s="1082" t="s">
        <v>872</v>
      </c>
    </row>
    <row r="1346" spans="1:9" hidden="1" outlineLevel="2" x14ac:dyDescent="0.25">
      <c r="A1346" s="1079">
        <f t="shared" ref="A1346:A1409" si="55">COUNTIFS($D$2:$D$2465,D1346,$B$2:$B$2465,B1346)</f>
        <v>1</v>
      </c>
      <c r="B1346" s="1079" t="s">
        <v>1362</v>
      </c>
      <c r="C1346" s="1079" t="str">
        <f t="shared" si="54"/>
        <v>Filete metálico - divisória entre pisos - aluminio escovado</v>
      </c>
      <c r="D1346" s="1079" t="s">
        <v>1929</v>
      </c>
      <c r="E1346" s="1080" t="str">
        <f>_xlfn.XLOOKUP(D1346,Insumos!$B$1:$B$670,Insumos!$C$1:$C$670)</f>
        <v>M2</v>
      </c>
      <c r="F1346" s="1083">
        <f>1*0.07</f>
        <v>7.0000000000000007E-2</v>
      </c>
      <c r="G1346" s="1081">
        <f>IF(B1346="insumo",_xlfn.XLOOKUP($D1346,Insumos!$B$1:$B$670,Insumos!$D$1:$D$670),"")</f>
        <v>1904.7619047619048</v>
      </c>
      <c r="H1346" s="1081" cm="1">
        <f t="array" ref="H1346">_xlfn.IFS(B1346="Serviço",SUMIFS(H1347:$H$2465,C1347:$C$2465,$C1346),B1346="Insumo",F1346*G1346,B1346="Etapa","")</f>
        <v>133.33333333333334</v>
      </c>
      <c r="I1346" s="1082"/>
    </row>
    <row r="1347" spans="1:9" outlineLevel="1" collapsed="1" x14ac:dyDescent="0.25">
      <c r="A1347" s="1079">
        <f t="shared" si="55"/>
        <v>1</v>
      </c>
      <c r="B1347" s="1079" t="s">
        <v>471</v>
      </c>
      <c r="C1347" s="1079" t="str">
        <f t="shared" si="54"/>
        <v>Revestimento de piso em grama</v>
      </c>
      <c r="D1347" s="1079" t="s">
        <v>1333</v>
      </c>
      <c r="E1347" s="1080" t="s">
        <v>17</v>
      </c>
      <c r="F1347" s="1079"/>
      <c r="G1347" s="1081" t="str">
        <f>IF(B1347="insumo",_xlfn.XLOOKUP($D1347,Insumos!$B$1:$B$670,Insumos!$D$1:$D$670),"")</f>
        <v/>
      </c>
      <c r="H1347" s="1081" cm="1">
        <f t="array" ref="H1347">_xlfn.IFS(B1347="Serviço",SUMIFS(H1348:$H$2465,C1348:$C$2465,$C1347),B1347="Insumo",F1347*G1347,B1347="Etapa","")</f>
        <v>13.476141999999999</v>
      </c>
      <c r="I1347" s="1082" t="s">
        <v>872</v>
      </c>
    </row>
    <row r="1348" spans="1:9" hidden="1" outlineLevel="2" x14ac:dyDescent="0.25">
      <c r="A1348" s="1079">
        <f t="shared" si="55"/>
        <v>1</v>
      </c>
      <c r="B1348" s="1079" t="s">
        <v>1362</v>
      </c>
      <c r="C1348" s="1079" t="str">
        <f t="shared" si="54"/>
        <v>Revestimento de piso em grama</v>
      </c>
      <c r="D1348" s="1079" t="s">
        <v>1930</v>
      </c>
      <c r="E1348" s="1080" t="str">
        <f>_xlfn.XLOOKUP(D1348,Insumos!$B$1:$B$670,Insumos!$C$1:$C$670)</f>
        <v>M3</v>
      </c>
      <c r="F1348" s="1083">
        <v>4.4600000000000001E-2</v>
      </c>
      <c r="G1348" s="1081">
        <f>IF(B1348="insumo",_xlfn.XLOOKUP($D1348,Insumos!$B$1:$B$670,Insumos!$D$1:$D$670),"")</f>
        <v>143.57</v>
      </c>
      <c r="H1348" s="1081" cm="1">
        <f t="array" ref="H1348">_xlfn.IFS(B1348="Serviço",SUMIFS(H1349:$H$2465,C1349:$C$2465,$C1348),B1348="Insumo",F1348*G1348,B1348="Etapa","")</f>
        <v>6.4032219999999995</v>
      </c>
      <c r="I1348" s="1082"/>
    </row>
    <row r="1349" spans="1:9" hidden="1" outlineLevel="2" x14ac:dyDescent="0.25">
      <c r="A1349" s="1079">
        <f t="shared" si="55"/>
        <v>1</v>
      </c>
      <c r="B1349" s="1079" t="s">
        <v>1362</v>
      </c>
      <c r="C1349" s="1079" t="str">
        <f t="shared" si="54"/>
        <v>Revestimento de piso em grama</v>
      </c>
      <c r="D1349" s="1079" t="s">
        <v>1931</v>
      </c>
      <c r="E1349" s="1080" t="str">
        <f>_xlfn.XLOOKUP(D1349,Insumos!$B$1:$B$670,Insumos!$C$1:$C$670)</f>
        <v>M2</v>
      </c>
      <c r="F1349" s="1083">
        <v>0.63719999999999999</v>
      </c>
      <c r="G1349" s="1081">
        <f>IF(B1349="insumo",_xlfn.XLOOKUP($D1349,Insumos!$B$1:$B$670,Insumos!$D$1:$D$670),"")</f>
        <v>11.1</v>
      </c>
      <c r="H1349" s="1081" cm="1">
        <f t="array" ref="H1349">_xlfn.IFS(B1349="Serviço",SUMIFS(H1350:$H$2465,C1350:$C$2465,$C1349),B1349="Insumo",F1349*G1349,B1349="Etapa","")</f>
        <v>7.0729199999999999</v>
      </c>
      <c r="I1349" s="1082"/>
    </row>
    <row r="1350" spans="1:9" outlineLevel="1" collapsed="1" x14ac:dyDescent="0.25">
      <c r="A1350" s="1079">
        <f t="shared" si="55"/>
        <v>1</v>
      </c>
      <c r="B1350" s="1079" t="s">
        <v>471</v>
      </c>
      <c r="C1350" s="1079" t="str">
        <f t="shared" si="54"/>
        <v>Revestimento em Porcelanato amadeirado 19x117cm para Piso, rejunte cimentício, aplicação em áreas comuns internas</v>
      </c>
      <c r="D1350" s="1079" t="s">
        <v>1932</v>
      </c>
      <c r="E1350" s="1080" t="s">
        <v>17</v>
      </c>
      <c r="F1350" s="1079"/>
      <c r="G1350" s="1081" t="str">
        <f>IF(B1350="insumo",_xlfn.XLOOKUP($D1350,Insumos!$B$1:$B$670,Insumos!$D$1:$D$670),"")</f>
        <v/>
      </c>
      <c r="H1350" s="1081" cm="1">
        <f t="array" ref="H1350">_xlfn.IFS(B1350="Serviço",SUMIFS(H1351:$H$2465,C1351:$C$2465,$C1350),B1350="Insumo",F1350*G1350,B1350="Etapa","")</f>
        <v>143.47900000000001</v>
      </c>
      <c r="I1350" s="1082" t="s">
        <v>872</v>
      </c>
    </row>
    <row r="1351" spans="1:9" hidden="1" outlineLevel="2" x14ac:dyDescent="0.25">
      <c r="A1351" s="1079">
        <f t="shared" si="55"/>
        <v>3</v>
      </c>
      <c r="B1351" s="1079" t="s">
        <v>1362</v>
      </c>
      <c r="C1351" s="1079" t="str">
        <f t="shared" si="54"/>
        <v>Revestimento em Porcelanato amadeirado 19x117cm para Piso, rejunte cimentício, aplicação em áreas comuns internas</v>
      </c>
      <c r="D1351" s="1079" t="s">
        <v>1933</v>
      </c>
      <c r="E1351" s="1080" t="str">
        <f>_xlfn.XLOOKUP(D1351,Insumos!$B$1:$B$670,Insumos!$C$1:$C$670)</f>
        <v>M2</v>
      </c>
      <c r="F1351" s="1095">
        <v>1.1000000000000001</v>
      </c>
      <c r="G1351" s="1081">
        <f>IF(B1351="insumo",_xlfn.XLOOKUP($D1351,Insumos!$B$1:$B$670,Insumos!$D$1:$D$670),"")</f>
        <v>109.89</v>
      </c>
      <c r="H1351" s="1081" cm="1">
        <f t="array" ref="H1351">_xlfn.IFS(B1351="Serviço",SUMIFS(H1352:$H$2465,C1352:$C$2465,$C1351),B1351="Insumo",F1351*G1351,B1351="Etapa","")</f>
        <v>120.879</v>
      </c>
      <c r="I1351" s="1082"/>
    </row>
    <row r="1352" spans="1:9" hidden="1" outlineLevel="2" x14ac:dyDescent="0.25">
      <c r="A1352" s="1079">
        <f t="shared" si="55"/>
        <v>87</v>
      </c>
      <c r="B1352" s="1079" t="s">
        <v>1362</v>
      </c>
      <c r="C1352" s="1079" t="str">
        <f t="shared" si="54"/>
        <v>Revestimento em Porcelanato amadeirado 19x117cm para Piso, rejunte cimentício, aplicação em áreas comuns internas</v>
      </c>
      <c r="D1352" s="1079" t="s">
        <v>1762</v>
      </c>
      <c r="E1352" s="1080" t="str">
        <f>_xlfn.XLOOKUP(D1352,Insumos!$B$1:$B$670,Insumos!$C$1:$C$670)</f>
        <v>KG</v>
      </c>
      <c r="F1352" s="1095">
        <v>8.8000000000000007</v>
      </c>
      <c r="G1352" s="1081">
        <f>IF(B1352="insumo",_xlfn.XLOOKUP($D1352,Insumos!$B$1:$B$670,Insumos!$D$1:$D$670),"")</f>
        <v>2.5499999999999998</v>
      </c>
      <c r="H1352" s="1081" cm="1">
        <f t="array" ref="H1352">_xlfn.IFS(B1352="Serviço",SUMIFS(H1353:$H$2465,C1353:$C$2465,$C1352),B1352="Insumo",F1352*G1352,B1352="Etapa","")</f>
        <v>22.44</v>
      </c>
      <c r="I1352" s="1082"/>
    </row>
    <row r="1353" spans="1:9" hidden="1" outlineLevel="2" x14ac:dyDescent="0.25">
      <c r="A1353" s="1079">
        <f t="shared" si="55"/>
        <v>56</v>
      </c>
      <c r="B1353" s="1079" t="s">
        <v>1362</v>
      </c>
      <c r="C1353" s="1079" t="str">
        <f t="shared" si="54"/>
        <v>Revestimento em Porcelanato amadeirado 19x117cm para Piso, rejunte cimentício, aplicação em áreas comuns internas</v>
      </c>
      <c r="D1353" s="1079" t="s">
        <v>1786</v>
      </c>
      <c r="E1353" s="1080" t="str">
        <f>_xlfn.XLOOKUP(D1353,Insumos!$B$1:$B$670,Insumos!$C$1:$C$670)</f>
        <v>UN</v>
      </c>
      <c r="F1353" s="1095">
        <v>2</v>
      </c>
      <c r="G1353" s="1081">
        <f>IF(B1353="insumo",_xlfn.XLOOKUP($D1353,Insumos!$B$1:$B$670,Insumos!$D$1:$D$670),"")</f>
        <v>0.08</v>
      </c>
      <c r="H1353" s="1081" cm="1">
        <f t="array" ref="H1353">_xlfn.IFS(B1353="Serviço",SUMIFS(H1354:$H$2465,C1354:$C$2465,$C1353),B1353="Insumo",F1353*G1353,B1353="Etapa","")</f>
        <v>0.16</v>
      </c>
      <c r="I1353" s="1082"/>
    </row>
    <row r="1354" spans="1:9" outlineLevel="1" collapsed="1" x14ac:dyDescent="0.25">
      <c r="A1354" s="1079">
        <f t="shared" si="55"/>
        <v>1</v>
      </c>
      <c r="B1354" s="1079" t="s">
        <v>471</v>
      </c>
      <c r="C1354" s="1079" t="str">
        <f t="shared" si="54"/>
        <v>Revestimento de Piso de granito siena</v>
      </c>
      <c r="D1354" s="1079" t="s">
        <v>1934</v>
      </c>
      <c r="E1354" s="1080" t="s">
        <v>17</v>
      </c>
      <c r="F1354" s="1079"/>
      <c r="G1354" s="1081" t="str">
        <f>IF(B1354="insumo",_xlfn.XLOOKUP($D1354,Insumos!$B$1:$B$670,Insumos!$D$1:$D$670),"")</f>
        <v/>
      </c>
      <c r="H1354" s="1081" cm="1">
        <f t="array" ref="H1354">_xlfn.IFS(B1354="Serviço",SUMIFS(H1355:$H$2465,C1355:$C$2465,$C1354),B1354="Insumo",F1354*G1354,B1354="Etapa","")</f>
        <v>856.10500000000013</v>
      </c>
      <c r="I1354" s="1082" t="s">
        <v>872</v>
      </c>
    </row>
    <row r="1355" spans="1:9" hidden="1" outlineLevel="2" x14ac:dyDescent="0.25">
      <c r="A1355" s="1079">
        <f t="shared" si="55"/>
        <v>2</v>
      </c>
      <c r="B1355" s="1079" t="s">
        <v>1362</v>
      </c>
      <c r="C1355" s="1079" t="str">
        <f t="shared" si="54"/>
        <v>Revestimento de Piso de granito siena</v>
      </c>
      <c r="D1355" s="1079" t="s">
        <v>1935</v>
      </c>
      <c r="E1355" s="1080" t="str">
        <f>_xlfn.XLOOKUP(D1355,Insumos!$B$1:$B$670,Insumos!$C$1:$C$670)</f>
        <v>M2</v>
      </c>
      <c r="F1355" s="1095">
        <v>1.1000000000000001</v>
      </c>
      <c r="G1355" s="1081">
        <f>IF(B1355="insumo",_xlfn.XLOOKUP($D1355,Insumos!$B$1:$B$670,Insumos!$D$1:$D$670),"")</f>
        <v>750</v>
      </c>
      <c r="H1355" s="1081" cm="1">
        <f t="array" ref="H1355">_xlfn.IFS(B1355="Serviço",SUMIFS(H1356:$H$2465,C1356:$C$2465,$C1355),B1355="Insumo",F1355*G1355,B1355="Etapa","")</f>
        <v>825.00000000000011</v>
      </c>
      <c r="I1355" s="1082"/>
    </row>
    <row r="1356" spans="1:9" hidden="1" outlineLevel="2" x14ac:dyDescent="0.25">
      <c r="A1356" s="1079">
        <f t="shared" si="55"/>
        <v>87</v>
      </c>
      <c r="B1356" s="1079" t="s">
        <v>1362</v>
      </c>
      <c r="C1356" s="1079" t="str">
        <f t="shared" si="54"/>
        <v>Revestimento de Piso de granito siena</v>
      </c>
      <c r="D1356" s="1079" t="s">
        <v>1762</v>
      </c>
      <c r="E1356" s="1080" t="str">
        <f>_xlfn.XLOOKUP(D1356,Insumos!$B$1:$B$670,Insumos!$C$1:$C$670)</f>
        <v>KG</v>
      </c>
      <c r="F1356" s="1095">
        <v>8.8000000000000007</v>
      </c>
      <c r="G1356" s="1081">
        <f>IF(B1356="insumo",_xlfn.XLOOKUP($D1356,Insumos!$B$1:$B$670,Insumos!$D$1:$D$670),"")</f>
        <v>2.5499999999999998</v>
      </c>
      <c r="H1356" s="1081" cm="1">
        <f t="array" ref="H1356">_xlfn.IFS(B1356="Serviço",SUMIFS(H1357:$H$2465,C1357:$C$2465,$C1356),B1356="Insumo",F1356*G1356,B1356="Etapa","")</f>
        <v>22.44</v>
      </c>
      <c r="I1356" s="1082"/>
    </row>
    <row r="1357" spans="1:9" hidden="1" outlineLevel="2" x14ac:dyDescent="0.25">
      <c r="A1357" s="1079">
        <f t="shared" si="55"/>
        <v>15</v>
      </c>
      <c r="B1357" s="1079" t="s">
        <v>1362</v>
      </c>
      <c r="C1357" s="1079" t="str">
        <f t="shared" si="54"/>
        <v>Revestimento de Piso de granito siena</v>
      </c>
      <c r="D1357" s="1079" t="s">
        <v>1819</v>
      </c>
      <c r="E1357" s="1080" t="str">
        <f>_xlfn.XLOOKUP(D1357,Insumos!$B$1:$B$670,Insumos!$C$1:$C$670)</f>
        <v>UN</v>
      </c>
      <c r="F1357" s="1095">
        <v>0.5</v>
      </c>
      <c r="G1357" s="1081">
        <f>IF(B1357="insumo",_xlfn.XLOOKUP($D1357,Insumos!$B$1:$B$670,Insumos!$D$1:$D$670),"")</f>
        <v>17.329999999999998</v>
      </c>
      <c r="H1357" s="1081" cm="1">
        <f t="array" ref="H1357">_xlfn.IFS(B1357="Serviço",SUMIFS(H1358:$H$2465,C1358:$C$2465,$C1357),B1357="Insumo",F1357*G1357,B1357="Etapa","")</f>
        <v>8.6649999999999991</v>
      </c>
      <c r="I1357" s="1082"/>
    </row>
    <row r="1358" spans="1:9" outlineLevel="1" collapsed="1" x14ac:dyDescent="0.25">
      <c r="A1358" s="1079">
        <f t="shared" si="55"/>
        <v>1</v>
      </c>
      <c r="B1358" s="1079" t="s">
        <v>471</v>
      </c>
      <c r="C1358" s="1079" t="str">
        <f t="shared" si="54"/>
        <v>Revestimento de Piso de mosaico granitinho branco</v>
      </c>
      <c r="D1358" s="1079" t="s">
        <v>1936</v>
      </c>
      <c r="E1358" s="1080" t="s">
        <v>17</v>
      </c>
      <c r="F1358" s="1079"/>
      <c r="G1358" s="1081" t="str">
        <f>IF(B1358="insumo",_xlfn.XLOOKUP($D1358,Insumos!$B$1:$B$670,Insumos!$D$1:$D$670),"")</f>
        <v/>
      </c>
      <c r="H1358" s="1081" cm="1">
        <f t="array" ref="H1358">_xlfn.IFS(B1358="Serviço",SUMIFS(H1359:$H$2465,C1359:$C$2465,$C1358),B1358="Insumo",F1358*G1358,B1358="Etapa","")</f>
        <v>158.815</v>
      </c>
      <c r="I1358" s="1082" t="s">
        <v>872</v>
      </c>
    </row>
    <row r="1359" spans="1:9" hidden="1" outlineLevel="2" x14ac:dyDescent="0.25">
      <c r="A1359" s="1079">
        <f t="shared" si="55"/>
        <v>1</v>
      </c>
      <c r="B1359" s="1079" t="s">
        <v>1362</v>
      </c>
      <c r="C1359" s="1079" t="str">
        <f t="shared" si="54"/>
        <v>Revestimento de Piso de mosaico granitinho branco</v>
      </c>
      <c r="D1359" s="1079" t="s">
        <v>1937</v>
      </c>
      <c r="E1359" s="1080" t="str">
        <f>_xlfn.XLOOKUP(D1359,Insumos!$B$1:$B$670,Insumos!$C$1:$C$670)</f>
        <v>M2</v>
      </c>
      <c r="F1359" s="1095">
        <v>1.1000000000000001</v>
      </c>
      <c r="G1359" s="1081">
        <f>IF(B1359="insumo",_xlfn.XLOOKUP($D1359,Insumos!$B$1:$B$670,Insumos!$D$1:$D$670),"")</f>
        <v>116.1</v>
      </c>
      <c r="H1359" s="1081" cm="1">
        <f t="array" ref="H1359">_xlfn.IFS(B1359="Serviço",SUMIFS(H1360:$H$2465,C1360:$C$2465,$C1359),B1359="Insumo",F1359*G1359,B1359="Etapa","")</f>
        <v>127.71000000000001</v>
      </c>
      <c r="I1359" s="1082"/>
    </row>
    <row r="1360" spans="1:9" hidden="1" outlineLevel="2" x14ac:dyDescent="0.25">
      <c r="A1360" s="1079">
        <f t="shared" si="55"/>
        <v>87</v>
      </c>
      <c r="B1360" s="1079" t="s">
        <v>1362</v>
      </c>
      <c r="C1360" s="1079" t="str">
        <f t="shared" si="54"/>
        <v>Revestimento de Piso de mosaico granitinho branco</v>
      </c>
      <c r="D1360" s="1079" t="s">
        <v>1762</v>
      </c>
      <c r="E1360" s="1080" t="str">
        <f>_xlfn.XLOOKUP(D1360,Insumos!$B$1:$B$670,Insumos!$C$1:$C$670)</f>
        <v>KG</v>
      </c>
      <c r="F1360" s="1095">
        <v>8.8000000000000007</v>
      </c>
      <c r="G1360" s="1081">
        <f>IF(B1360="insumo",_xlfn.XLOOKUP($D1360,Insumos!$B$1:$B$670,Insumos!$D$1:$D$670),"")</f>
        <v>2.5499999999999998</v>
      </c>
      <c r="H1360" s="1081" cm="1">
        <f t="array" ref="H1360">_xlfn.IFS(B1360="Serviço",SUMIFS(H1361:$H$2465,C1361:$C$2465,$C1360),B1360="Insumo",F1360*G1360,B1360="Etapa","")</f>
        <v>22.44</v>
      </c>
      <c r="I1360" s="1082"/>
    </row>
    <row r="1361" spans="1:9" hidden="1" outlineLevel="2" x14ac:dyDescent="0.25">
      <c r="A1361" s="1079">
        <f t="shared" si="55"/>
        <v>15</v>
      </c>
      <c r="B1361" s="1079" t="s">
        <v>1362</v>
      </c>
      <c r="C1361" s="1079" t="str">
        <f t="shared" si="54"/>
        <v>Revestimento de Piso de mosaico granitinho branco</v>
      </c>
      <c r="D1361" s="1079" t="s">
        <v>1819</v>
      </c>
      <c r="E1361" s="1080" t="str">
        <f>_xlfn.XLOOKUP(D1361,Insumos!$B$1:$B$670,Insumos!$C$1:$C$670)</f>
        <v>UN</v>
      </c>
      <c r="F1361" s="1095">
        <v>0.5</v>
      </c>
      <c r="G1361" s="1081">
        <f>IF(B1361="insumo",_xlfn.XLOOKUP($D1361,Insumos!$B$1:$B$670,Insumos!$D$1:$D$670),"")</f>
        <v>17.329999999999998</v>
      </c>
      <c r="H1361" s="1081" cm="1">
        <f t="array" ref="H1361">_xlfn.IFS(B1361="Serviço",SUMIFS(H1362:$H$2465,C1362:$C$2465,$C1361),B1361="Insumo",F1361*G1361,B1361="Etapa","")</f>
        <v>8.6649999999999991</v>
      </c>
      <c r="I1361" s="1082"/>
    </row>
    <row r="1362" spans="1:9" outlineLevel="1" collapsed="1" x14ac:dyDescent="0.25">
      <c r="A1362" s="1079">
        <f t="shared" si="55"/>
        <v>1</v>
      </c>
      <c r="B1362" s="1079" t="s">
        <v>471</v>
      </c>
      <c r="C1362" s="1079" t="str">
        <f t="shared" ref="C1362:C1425" si="56">IF(B1362="serviço",D1362,C1361)</f>
        <v>Revestimento de Piso intertravado de mosaico granitinho cinza</v>
      </c>
      <c r="D1362" s="1079" t="s">
        <v>1938</v>
      </c>
      <c r="E1362" s="1080" t="s">
        <v>17</v>
      </c>
      <c r="F1362" s="1079"/>
      <c r="G1362" s="1081" t="str">
        <f>IF(B1362="insumo",_xlfn.XLOOKUP($D1362,Insumos!$B$1:$B$670,Insumos!$D$1:$D$670),"")</f>
        <v/>
      </c>
      <c r="H1362" s="1081" cm="1">
        <f t="array" ref="H1362">_xlfn.IFS(B1362="Serviço",SUMIFS(H1363:$H$2465,C1363:$C$2465,$C1362),B1362="Insumo",F1362*G1362,B1362="Etapa","")</f>
        <v>71.760999999999996</v>
      </c>
      <c r="I1362" s="1082" t="s">
        <v>872</v>
      </c>
    </row>
    <row r="1363" spans="1:9" hidden="1" outlineLevel="2" x14ac:dyDescent="0.25">
      <c r="A1363" s="1079">
        <f t="shared" si="55"/>
        <v>1</v>
      </c>
      <c r="B1363" s="1079" t="s">
        <v>1362</v>
      </c>
      <c r="C1363" s="1079" t="str">
        <f t="shared" si="56"/>
        <v>Revestimento de Piso intertravado de mosaico granitinho cinza</v>
      </c>
      <c r="D1363" s="1079" t="s">
        <v>1939</v>
      </c>
      <c r="E1363" s="1080" t="str">
        <f>_xlfn.XLOOKUP(D1363,Insumos!$B$1:$B$670,Insumos!$C$1:$C$670)</f>
        <v>M2</v>
      </c>
      <c r="F1363" s="1095">
        <v>1.1000000000000001</v>
      </c>
      <c r="G1363" s="1081">
        <f>IF(B1363="insumo",_xlfn.XLOOKUP($D1363,Insumos!$B$1:$B$670,Insumos!$D$1:$D$670),"")</f>
        <v>36.96</v>
      </c>
      <c r="H1363" s="1081" cm="1">
        <f t="array" ref="H1363">_xlfn.IFS(B1363="Serviço",SUMIFS(H1364:$H$2465,C1364:$C$2465,$C1363),B1363="Insumo",F1363*G1363,B1363="Etapa","")</f>
        <v>40.656000000000006</v>
      </c>
      <c r="I1363" s="1082"/>
    </row>
    <row r="1364" spans="1:9" hidden="1" outlineLevel="2" x14ac:dyDescent="0.25">
      <c r="A1364" s="1079">
        <f t="shared" si="55"/>
        <v>87</v>
      </c>
      <c r="B1364" s="1079" t="s">
        <v>1362</v>
      </c>
      <c r="C1364" s="1079" t="str">
        <f t="shared" si="56"/>
        <v>Revestimento de Piso intertravado de mosaico granitinho cinza</v>
      </c>
      <c r="D1364" s="1079" t="s">
        <v>1762</v>
      </c>
      <c r="E1364" s="1080" t="str">
        <f>_xlfn.XLOOKUP(D1364,Insumos!$B$1:$B$670,Insumos!$C$1:$C$670)</f>
        <v>KG</v>
      </c>
      <c r="F1364" s="1095">
        <v>8.8000000000000007</v>
      </c>
      <c r="G1364" s="1081">
        <f>IF(B1364="insumo",_xlfn.XLOOKUP($D1364,Insumos!$B$1:$B$670,Insumos!$D$1:$D$670),"")</f>
        <v>2.5499999999999998</v>
      </c>
      <c r="H1364" s="1081" cm="1">
        <f t="array" ref="H1364">_xlfn.IFS(B1364="Serviço",SUMIFS(H1365:$H$2465,C1365:$C$2465,$C1364),B1364="Insumo",F1364*G1364,B1364="Etapa","")</f>
        <v>22.44</v>
      </c>
      <c r="I1364" s="1082"/>
    </row>
    <row r="1365" spans="1:9" hidden="1" outlineLevel="2" x14ac:dyDescent="0.25">
      <c r="A1365" s="1079">
        <f t="shared" si="55"/>
        <v>15</v>
      </c>
      <c r="B1365" s="1079" t="s">
        <v>1362</v>
      </c>
      <c r="C1365" s="1079" t="str">
        <f t="shared" si="56"/>
        <v>Revestimento de Piso intertravado de mosaico granitinho cinza</v>
      </c>
      <c r="D1365" s="1079" t="s">
        <v>1819</v>
      </c>
      <c r="E1365" s="1080" t="str">
        <f>_xlfn.XLOOKUP(D1365,Insumos!$B$1:$B$670,Insumos!$C$1:$C$670)</f>
        <v>UN</v>
      </c>
      <c r="F1365" s="1095">
        <v>0.5</v>
      </c>
      <c r="G1365" s="1081">
        <f>IF(B1365="insumo",_xlfn.XLOOKUP($D1365,Insumos!$B$1:$B$670,Insumos!$D$1:$D$670),"")</f>
        <v>17.329999999999998</v>
      </c>
      <c r="H1365" s="1081" cm="1">
        <f t="array" ref="H1365">_xlfn.IFS(B1365="Serviço",SUMIFS(H1366:$H$2465,C1366:$C$2465,$C1365),B1365="Insumo",F1365*G1365,B1365="Etapa","")</f>
        <v>8.6649999999999991</v>
      </c>
      <c r="I1365" s="1082"/>
    </row>
    <row r="1366" spans="1:9" outlineLevel="1" x14ac:dyDescent="0.25">
      <c r="A1366" s="1079">
        <f t="shared" si="55"/>
        <v>1</v>
      </c>
      <c r="B1366" s="1079" t="s">
        <v>471</v>
      </c>
      <c r="C1366" s="1079" t="str">
        <f t="shared" si="56"/>
        <v>Revestimento em Porcelanato amadeirado 19x117cm para Piso, rejunte acrilico, aplicação em áreas comuns externas</v>
      </c>
      <c r="D1366" s="1079" t="s">
        <v>1940</v>
      </c>
      <c r="E1366" s="1080" t="s">
        <v>17</v>
      </c>
      <c r="F1366" s="1079"/>
      <c r="G1366" s="1081" t="str">
        <f>IF(B1366="insumo",_xlfn.XLOOKUP($D1366,Insumos!$B$1:$B$670,Insumos!$D$1:$D$670),"")</f>
        <v/>
      </c>
      <c r="H1366" s="1081" cm="1">
        <f t="array" ref="H1366">_xlfn.IFS(B1366="Serviço",SUMIFS(H1367:$H$2465,C1367:$C$2465,$C1366),B1366="Insumo",F1366*G1366,B1366="Etapa","")</f>
        <v>144.35500000000002</v>
      </c>
      <c r="I1366" s="1082" t="s">
        <v>872</v>
      </c>
    </row>
    <row r="1367" spans="1:9" outlineLevel="2" x14ac:dyDescent="0.25">
      <c r="A1367" s="1079">
        <f t="shared" si="55"/>
        <v>3</v>
      </c>
      <c r="B1367" s="1079" t="s">
        <v>1362</v>
      </c>
      <c r="C1367" s="1079" t="str">
        <f t="shared" si="56"/>
        <v>Revestimento em Porcelanato amadeirado 19x117cm para Piso, rejunte acrilico, aplicação em áreas comuns externas</v>
      </c>
      <c r="D1367" s="1079" t="s">
        <v>1933</v>
      </c>
      <c r="E1367" s="1080" t="s">
        <v>17</v>
      </c>
      <c r="F1367" s="1095">
        <v>1.1000000000000001</v>
      </c>
      <c r="G1367" s="1081">
        <f>IF(B1367="insumo",_xlfn.XLOOKUP($D1367,Insumos!$B$1:$B$670,Insumos!$D$1:$D$670),"")</f>
        <v>109.89</v>
      </c>
      <c r="H1367" s="1081" cm="1">
        <f t="array" ref="H1367">_xlfn.IFS(B1367="Serviço",SUMIFS(H1368:$H$2465,C1368:$C$2465,$C1367),B1367="Insumo",F1367*G1367,B1367="Etapa","")</f>
        <v>120.879</v>
      </c>
      <c r="I1367" s="1082"/>
    </row>
    <row r="1368" spans="1:9" outlineLevel="2" x14ac:dyDescent="0.25">
      <c r="A1368" s="1079">
        <f t="shared" si="55"/>
        <v>87</v>
      </c>
      <c r="B1368" s="1079" t="s">
        <v>1362</v>
      </c>
      <c r="C1368" s="1079" t="str">
        <f t="shared" si="56"/>
        <v>Revestimento em Porcelanato amadeirado 19x117cm para Piso, rejunte acrilico, aplicação em áreas comuns externas</v>
      </c>
      <c r="D1368" s="1079" t="s">
        <v>1762</v>
      </c>
      <c r="E1368" s="1080" t="s">
        <v>1481</v>
      </c>
      <c r="F1368" s="1095">
        <v>8.8000000000000007</v>
      </c>
      <c r="G1368" s="1081">
        <f>IF(B1368="insumo",_xlfn.XLOOKUP($D1368,Insumos!$B$1:$B$670,Insumos!$D$1:$D$670),"")</f>
        <v>2.5499999999999998</v>
      </c>
      <c r="H1368" s="1081" cm="1">
        <f t="array" ref="H1368">_xlfn.IFS(B1368="Serviço",SUMIFS(H1369:$H$2465,C1369:$C$2465,$C1368),B1368="Insumo",F1368*G1368,B1368="Etapa","")</f>
        <v>22.44</v>
      </c>
      <c r="I1368" s="1082"/>
    </row>
    <row r="1369" spans="1:9" outlineLevel="2" x14ac:dyDescent="0.25">
      <c r="A1369" s="1079">
        <f t="shared" si="55"/>
        <v>56</v>
      </c>
      <c r="B1369" s="1079" t="s">
        <v>1362</v>
      </c>
      <c r="C1369" s="1079" t="str">
        <f t="shared" si="56"/>
        <v>Revestimento em Porcelanato amadeirado 19x117cm para Piso, rejunte acrilico, aplicação em áreas comuns externas</v>
      </c>
      <c r="D1369" s="1079" t="s">
        <v>1786</v>
      </c>
      <c r="E1369" s="1080" t="s">
        <v>491</v>
      </c>
      <c r="F1369" s="1095">
        <v>2</v>
      </c>
      <c r="G1369" s="1081">
        <f>IF(B1369="insumo",_xlfn.XLOOKUP($D1369,Insumos!$B$1:$B$670,Insumos!$D$1:$D$670),"")</f>
        <v>0.08</v>
      </c>
      <c r="H1369" s="1081" cm="1">
        <f t="array" ref="H1369">_xlfn.IFS(B1369="Serviço",SUMIFS(H1370:$H$2465,C1370:$C$2465,$C1369),B1369="Insumo",F1369*G1369,B1369="Etapa","")</f>
        <v>0.16</v>
      </c>
      <c r="I1369" s="1082"/>
    </row>
    <row r="1370" spans="1:9" outlineLevel="2" x14ac:dyDescent="0.25">
      <c r="A1370" s="1079">
        <f t="shared" si="55"/>
        <v>13</v>
      </c>
      <c r="B1370" s="1079" t="s">
        <v>1362</v>
      </c>
      <c r="C1370" s="1079" t="str">
        <f t="shared" si="56"/>
        <v>Revestimento em Porcelanato amadeirado 19x117cm para Piso, rejunte acrilico, aplicação em áreas comuns externas</v>
      </c>
      <c r="D1370" s="1079" t="s">
        <v>1789</v>
      </c>
      <c r="E1370" s="1080" t="s">
        <v>1481</v>
      </c>
      <c r="F1370" s="1095">
        <v>0.02</v>
      </c>
      <c r="G1370" s="1081">
        <f>IF(B1370="insumo",_xlfn.XLOOKUP($D1370,Insumos!$B$1:$B$670,Insumos!$D$1:$D$670),"")</f>
        <v>43.8</v>
      </c>
      <c r="H1370" s="1081" cm="1">
        <f t="array" ref="H1370">_xlfn.IFS(B1370="Serviço",SUMIFS(H1371:$H$2465,C1371:$C$2465,$C1370),B1370="Insumo",F1370*G1370,B1370="Etapa","")</f>
        <v>0.876</v>
      </c>
      <c r="I1370" s="1082"/>
    </row>
    <row r="1371" spans="1:9" outlineLevel="1" x14ac:dyDescent="0.25">
      <c r="A1371" s="1079">
        <f t="shared" si="55"/>
        <v>1</v>
      </c>
      <c r="B1371" s="1079" t="s">
        <v>471</v>
      </c>
      <c r="C1371" s="1079" t="str">
        <f t="shared" si="56"/>
        <v>Revestimento de Piso Interno de Porcelanato Polido, Placa 60x60cm</v>
      </c>
      <c r="D1371" s="1079" t="s">
        <v>1941</v>
      </c>
      <c r="E1371" s="1080" t="s">
        <v>17</v>
      </c>
      <c r="F1371" s="1079"/>
      <c r="G1371" s="1081" t="str">
        <f>IF(B1371="insumo",_xlfn.XLOOKUP($D1371,Insumos!$B$1:$B$670,Insumos!$D$1:$D$670),"")</f>
        <v/>
      </c>
      <c r="H1371" s="1081" cm="1">
        <f t="array" ref="H1371">_xlfn.IFS(B1371="Serviço",SUMIFS(H1372:$H$2465,C1372:$C$2465,$C1371),B1371="Insumo",F1371*G1371,B1371="Etapa","")</f>
        <v>121.63300000000001</v>
      </c>
      <c r="I1371" s="1082" t="s">
        <v>872</v>
      </c>
    </row>
    <row r="1372" spans="1:9" outlineLevel="2" x14ac:dyDescent="0.25">
      <c r="A1372" s="1079">
        <f t="shared" si="55"/>
        <v>3</v>
      </c>
      <c r="B1372" s="1079" t="s">
        <v>1362</v>
      </c>
      <c r="C1372" s="1079" t="str">
        <f t="shared" si="56"/>
        <v>Revestimento de Piso Interno de Porcelanato Polido, Placa 60x60cm</v>
      </c>
      <c r="D1372" s="1079" t="s">
        <v>1942</v>
      </c>
      <c r="E1372" s="1080" t="s">
        <v>17</v>
      </c>
      <c r="F1372" s="1095">
        <v>1.1000000000000001</v>
      </c>
      <c r="G1372" s="1081">
        <f>IF(B1372="insumo",_xlfn.XLOOKUP($D1372,Insumos!$B$1:$B$670,Insumos!$D$1:$D$670),"")</f>
        <v>89.9</v>
      </c>
      <c r="H1372" s="1081" cm="1">
        <f t="array" ref="H1372">_xlfn.IFS(B1372="Serviço",SUMIFS(H1373:$H$2465,C1373:$C$2465,$C1372),B1372="Insumo",F1372*G1372,B1372="Etapa","")</f>
        <v>98.890000000000015</v>
      </c>
      <c r="I1372" s="1082"/>
    </row>
    <row r="1373" spans="1:9" outlineLevel="2" x14ac:dyDescent="0.25">
      <c r="A1373" s="1079">
        <f t="shared" si="55"/>
        <v>87</v>
      </c>
      <c r="B1373" s="1079" t="s">
        <v>1362</v>
      </c>
      <c r="C1373" s="1079" t="str">
        <f t="shared" si="56"/>
        <v>Revestimento de Piso Interno de Porcelanato Polido, Placa 60x60cm</v>
      </c>
      <c r="D1373" s="1079" t="s">
        <v>1762</v>
      </c>
      <c r="E1373" s="1080" t="s">
        <v>1481</v>
      </c>
      <c r="F1373" s="1095">
        <v>8.8000000000000007</v>
      </c>
      <c r="G1373" s="1081">
        <f>IF(B1373="insumo",_xlfn.XLOOKUP($D1373,Insumos!$B$1:$B$670,Insumos!$D$1:$D$670),"")</f>
        <v>2.5499999999999998</v>
      </c>
      <c r="H1373" s="1081" cm="1">
        <f t="array" ref="H1373">_xlfn.IFS(B1373="Serviço",SUMIFS(H1374:$H$2465,C1374:$C$2465,$C1373),B1373="Insumo",F1373*G1373,B1373="Etapa","")</f>
        <v>22.44</v>
      </c>
      <c r="I1373" s="1082"/>
    </row>
    <row r="1374" spans="1:9" outlineLevel="2" x14ac:dyDescent="0.25">
      <c r="A1374" s="1079">
        <f t="shared" si="55"/>
        <v>56</v>
      </c>
      <c r="B1374" s="1079" t="s">
        <v>1362</v>
      </c>
      <c r="C1374" s="1079" t="str">
        <f t="shared" si="56"/>
        <v>Revestimento de Piso Interno de Porcelanato Polido, Placa 60x60cm</v>
      </c>
      <c r="D1374" s="1079" t="s">
        <v>1786</v>
      </c>
      <c r="E1374" s="1080" t="s">
        <v>491</v>
      </c>
      <c r="F1374" s="1095">
        <v>1</v>
      </c>
      <c r="G1374" s="1081">
        <f>IF(B1374="insumo",_xlfn.XLOOKUP($D1374,Insumos!$B$1:$B$670,Insumos!$D$1:$D$670),"")</f>
        <v>0.08</v>
      </c>
      <c r="H1374" s="1081" cm="1">
        <f t="array" ref="H1374">_xlfn.IFS(B1374="Serviço",SUMIFS(H1375:$H$2465,C1375:$C$2465,$C1374),B1374="Insumo",F1374*G1374,B1374="Etapa","")</f>
        <v>0.08</v>
      </c>
      <c r="I1374" s="1082"/>
    </row>
    <row r="1375" spans="1:9" outlineLevel="2" x14ac:dyDescent="0.25">
      <c r="A1375" s="1079">
        <f t="shared" si="55"/>
        <v>50</v>
      </c>
      <c r="B1375" s="1079" t="s">
        <v>1362</v>
      </c>
      <c r="C1375" s="1079" t="str">
        <f t="shared" si="56"/>
        <v>Revestimento de Piso Interno de Porcelanato Polido, Placa 60x60cm</v>
      </c>
      <c r="D1375" s="1079" t="s">
        <v>1787</v>
      </c>
      <c r="E1375" s="1080" t="s">
        <v>1481</v>
      </c>
      <c r="F1375" s="1095">
        <v>0.02</v>
      </c>
      <c r="G1375" s="1081">
        <f>IF(B1375="insumo",_xlfn.XLOOKUP($D1375,Insumos!$B$1:$B$670,Insumos!$D$1:$D$670),"")</f>
        <v>11.15</v>
      </c>
      <c r="H1375" s="1081" cm="1">
        <f t="array" ref="H1375">_xlfn.IFS(B1375="Serviço",SUMIFS(H1376:$H$2465,C1376:$C$2465,$C1375),B1375="Insumo",F1375*G1375,B1375="Etapa","")</f>
        <v>0.223</v>
      </c>
      <c r="I1375" s="1082"/>
    </row>
    <row r="1376" spans="1:9" outlineLevel="1" collapsed="1" x14ac:dyDescent="0.25">
      <c r="A1376" s="1079">
        <f t="shared" si="55"/>
        <v>1</v>
      </c>
      <c r="B1376" s="1079" t="s">
        <v>471</v>
      </c>
      <c r="C1376" s="1079" t="str">
        <f t="shared" si="56"/>
        <v>Revestimento de Piso Externo de Porcelanato Polido, Placa 60x60cm</v>
      </c>
      <c r="D1376" s="1079" t="s">
        <v>1943</v>
      </c>
      <c r="E1376" s="1080" t="s">
        <v>17</v>
      </c>
      <c r="F1376" s="1079"/>
      <c r="G1376" s="1081" t="str">
        <f>IF(B1376="insumo",_xlfn.XLOOKUP($D1376,Insumos!$B$1:$B$670,Insumos!$D$1:$D$670),"")</f>
        <v/>
      </c>
      <c r="H1376" s="1081" cm="1">
        <f t="array" ref="H1376">_xlfn.IFS(B1376="Serviço",SUMIFS(H1377:$H$2465,C1377:$C$2465,$C1376),B1376="Insumo",F1376*G1376,B1376="Etapa","")</f>
        <v>121.63300000000001</v>
      </c>
      <c r="I1376" s="1082" t="s">
        <v>872</v>
      </c>
    </row>
    <row r="1377" spans="1:9" hidden="1" outlineLevel="2" x14ac:dyDescent="0.25">
      <c r="A1377" s="1079">
        <f t="shared" si="55"/>
        <v>3</v>
      </c>
      <c r="B1377" s="1079" t="s">
        <v>1362</v>
      </c>
      <c r="C1377" s="1079" t="str">
        <f t="shared" si="56"/>
        <v>Revestimento de Piso Externo de Porcelanato Polido, Placa 60x60cm</v>
      </c>
      <c r="D1377" s="1079" t="s">
        <v>1942</v>
      </c>
      <c r="E1377" s="1080" t="s">
        <v>17</v>
      </c>
      <c r="F1377" s="1095">
        <v>1.1000000000000001</v>
      </c>
      <c r="G1377" s="1081">
        <f>IF(B1377="insumo",_xlfn.XLOOKUP($D1377,Insumos!$B$1:$B$670,Insumos!$D$1:$D$670),"")</f>
        <v>89.9</v>
      </c>
      <c r="H1377" s="1081" cm="1">
        <f t="array" ref="H1377">_xlfn.IFS(B1377="Serviço",SUMIFS(H1378:$H$2465,C1378:$C$2465,$C1377),B1377="Insumo",F1377*G1377,B1377="Etapa","")</f>
        <v>98.890000000000015</v>
      </c>
      <c r="I1377" s="1082"/>
    </row>
    <row r="1378" spans="1:9" hidden="1" outlineLevel="2" x14ac:dyDescent="0.25">
      <c r="A1378" s="1079">
        <f t="shared" si="55"/>
        <v>87</v>
      </c>
      <c r="B1378" s="1079" t="s">
        <v>1362</v>
      </c>
      <c r="C1378" s="1079" t="str">
        <f t="shared" si="56"/>
        <v>Revestimento de Piso Externo de Porcelanato Polido, Placa 60x60cm</v>
      </c>
      <c r="D1378" s="1079" t="s">
        <v>1762</v>
      </c>
      <c r="E1378" s="1080" t="s">
        <v>1481</v>
      </c>
      <c r="F1378" s="1095">
        <v>8.8000000000000007</v>
      </c>
      <c r="G1378" s="1081">
        <f>IF(B1378="insumo",_xlfn.XLOOKUP($D1378,Insumos!$B$1:$B$670,Insumos!$D$1:$D$670),"")</f>
        <v>2.5499999999999998</v>
      </c>
      <c r="H1378" s="1081" cm="1">
        <f t="array" ref="H1378">_xlfn.IFS(B1378="Serviço",SUMIFS(H1379:$H$2465,C1379:$C$2465,$C1378),B1378="Insumo",F1378*G1378,B1378="Etapa","")</f>
        <v>22.44</v>
      </c>
      <c r="I1378" s="1082"/>
    </row>
    <row r="1379" spans="1:9" hidden="1" outlineLevel="2" x14ac:dyDescent="0.25">
      <c r="A1379" s="1079">
        <f t="shared" si="55"/>
        <v>56</v>
      </c>
      <c r="B1379" s="1079" t="s">
        <v>1362</v>
      </c>
      <c r="C1379" s="1079" t="str">
        <f t="shared" si="56"/>
        <v>Revestimento de Piso Externo de Porcelanato Polido, Placa 60x60cm</v>
      </c>
      <c r="D1379" s="1079" t="s">
        <v>1786</v>
      </c>
      <c r="E1379" s="1080" t="s">
        <v>491</v>
      </c>
      <c r="F1379" s="1095">
        <v>1</v>
      </c>
      <c r="G1379" s="1081">
        <f>IF(B1379="insumo",_xlfn.XLOOKUP($D1379,Insumos!$B$1:$B$670,Insumos!$D$1:$D$670),"")</f>
        <v>0.08</v>
      </c>
      <c r="H1379" s="1081" cm="1">
        <f t="array" ref="H1379">_xlfn.IFS(B1379="Serviço",SUMIFS(H1380:$H$2465,C1380:$C$2465,$C1379),B1379="Insumo",F1379*G1379,B1379="Etapa","")</f>
        <v>0.08</v>
      </c>
      <c r="I1379" s="1082"/>
    </row>
    <row r="1380" spans="1:9" hidden="1" outlineLevel="2" x14ac:dyDescent="0.25">
      <c r="A1380" s="1079">
        <f t="shared" si="55"/>
        <v>50</v>
      </c>
      <c r="B1380" s="1079" t="s">
        <v>1362</v>
      </c>
      <c r="C1380" s="1079" t="str">
        <f t="shared" si="56"/>
        <v>Revestimento de Piso Externo de Porcelanato Polido, Placa 60x60cm</v>
      </c>
      <c r="D1380" s="1079" t="s">
        <v>1787</v>
      </c>
      <c r="E1380" s="1080" t="s">
        <v>1481</v>
      </c>
      <c r="F1380" s="1095">
        <v>0.02</v>
      </c>
      <c r="G1380" s="1081">
        <f>IF(B1380="insumo",_xlfn.XLOOKUP($D1380,Insumos!$B$1:$B$670,Insumos!$D$1:$D$670),"")</f>
        <v>11.15</v>
      </c>
      <c r="H1380" s="1081" cm="1">
        <f t="array" ref="H1380">_xlfn.IFS(B1380="Serviço",SUMIFS(H1381:$H$2465,C1381:$C$2465,$C1380),B1380="Insumo",F1380*G1380,B1380="Etapa","")</f>
        <v>0.223</v>
      </c>
      <c r="I1380" s="1082"/>
    </row>
    <row r="1381" spans="1:9" outlineLevel="1" x14ac:dyDescent="0.25">
      <c r="A1381" s="1079">
        <f t="shared" si="55"/>
        <v>1</v>
      </c>
      <c r="B1381" s="1079" t="s">
        <v>471</v>
      </c>
      <c r="C1381" s="1079" t="str">
        <f t="shared" si="56"/>
        <v>Revestimento em Cerâmicas Pisos Internos, 60x 60cm com Junta de 3mm</v>
      </c>
      <c r="D1381" s="1079" t="s">
        <v>1944</v>
      </c>
      <c r="E1381" s="1080" t="s">
        <v>17</v>
      </c>
      <c r="F1381" s="1079"/>
      <c r="G1381" s="1096" t="s">
        <v>482</v>
      </c>
      <c r="H1381" s="1096" cm="1">
        <f t="array" ref="H1381">_xlfn.IFS(B1381="Serviço",SUMIFS(H1382:$H$2465,C1382:$C$2465,$C1381),B1381="Insumo",F1381*G1381,B1381="Etapa","")</f>
        <v>52.478999999999999</v>
      </c>
      <c r="I1381" s="1082" t="s">
        <v>872</v>
      </c>
    </row>
    <row r="1382" spans="1:9" outlineLevel="2" x14ac:dyDescent="0.25">
      <c r="A1382" s="1079">
        <f t="shared" si="55"/>
        <v>2</v>
      </c>
      <c r="B1382" s="1079" t="s">
        <v>1362</v>
      </c>
      <c r="C1382" s="1079" t="str">
        <f t="shared" si="56"/>
        <v>Revestimento em Cerâmicas Pisos Internos, 60x 60cm com Junta de 3mm</v>
      </c>
      <c r="D1382" s="1079" t="s">
        <v>1945</v>
      </c>
      <c r="E1382" s="1080" t="s">
        <v>17</v>
      </c>
      <c r="F1382" s="1095">
        <v>1.1000000000000001</v>
      </c>
      <c r="G1382" s="1096">
        <v>39.64</v>
      </c>
      <c r="H1382" s="1096" cm="1">
        <f t="array" ref="H1382">_xlfn.IFS(B1382="Serviço",SUMIFS(H1383:$H$2465,C1383:$C$2465,$C1382),B1382="Insumo",F1382*G1382,B1382="Etapa","")</f>
        <v>43.604000000000006</v>
      </c>
      <c r="I1382" s="1082"/>
    </row>
    <row r="1383" spans="1:9" outlineLevel="2" x14ac:dyDescent="0.25">
      <c r="A1383" s="1079">
        <f t="shared" si="55"/>
        <v>6</v>
      </c>
      <c r="B1383" s="1079" t="s">
        <v>1362</v>
      </c>
      <c r="C1383" s="1079" t="str">
        <f t="shared" si="56"/>
        <v>Revestimento em Cerâmicas Pisos Internos, 60x 60cm com Junta de 3mm</v>
      </c>
      <c r="D1383" s="1079" t="s">
        <v>1946</v>
      </c>
      <c r="E1383" s="1080" t="s">
        <v>1481</v>
      </c>
      <c r="F1383" s="1095">
        <v>8.8000000000000007</v>
      </c>
      <c r="G1383" s="1096">
        <v>0.97750000000000004</v>
      </c>
      <c r="H1383" s="1096" cm="1">
        <f t="array" ref="H1383">_xlfn.IFS(B1383="Serviço",SUMIFS(H1384:$H$2465,C1384:$C$2465,$C1383),B1383="Insumo",F1383*G1383,B1383="Etapa","")</f>
        <v>8.6020000000000003</v>
      </c>
      <c r="I1383" s="1082"/>
    </row>
    <row r="1384" spans="1:9" outlineLevel="2" x14ac:dyDescent="0.25">
      <c r="A1384" s="1079">
        <f t="shared" si="55"/>
        <v>8</v>
      </c>
      <c r="B1384" s="1079" t="s">
        <v>1362</v>
      </c>
      <c r="C1384" s="1079" t="str">
        <f t="shared" si="56"/>
        <v>Revestimento em Cerâmicas Pisos Internos, 60x 60cm com Junta de 3mm</v>
      </c>
      <c r="D1384" s="1079" t="s">
        <v>1802</v>
      </c>
      <c r="E1384" s="1080" t="s">
        <v>491</v>
      </c>
      <c r="F1384" s="1095">
        <v>1</v>
      </c>
      <c r="G1384" s="1096">
        <v>0.05</v>
      </c>
      <c r="H1384" s="1096" cm="1">
        <f t="array" ref="H1384">_xlfn.IFS(B1384="Serviço",SUMIFS(H1385:$H$2465,C1385:$C$2465,$C1384),B1384="Insumo",F1384*G1384,B1384="Etapa","")</f>
        <v>0.05</v>
      </c>
      <c r="I1384" s="1082"/>
    </row>
    <row r="1385" spans="1:9" outlineLevel="2" x14ac:dyDescent="0.25">
      <c r="A1385" s="1079">
        <f t="shared" si="55"/>
        <v>50</v>
      </c>
      <c r="B1385" s="1079" t="s">
        <v>1362</v>
      </c>
      <c r="C1385" s="1079" t="str">
        <f t="shared" si="56"/>
        <v>Revestimento em Cerâmicas Pisos Internos, 60x 60cm com Junta de 3mm</v>
      </c>
      <c r="D1385" s="1079" t="s">
        <v>1787</v>
      </c>
      <c r="E1385" s="1080" t="s">
        <v>1481</v>
      </c>
      <c r="F1385" s="1095">
        <v>0.02</v>
      </c>
      <c r="G1385" s="1096">
        <v>11.15</v>
      </c>
      <c r="H1385" s="1096" cm="1">
        <f t="array" ref="H1385">_xlfn.IFS(B1385="Serviço",SUMIFS(H1386:$H$2465,C1386:$C$2465,$C1385),B1385="Insumo",F1385*G1385,B1385="Etapa","")</f>
        <v>0.223</v>
      </c>
      <c r="I1385" s="1082"/>
    </row>
    <row r="1386" spans="1:9" outlineLevel="1" x14ac:dyDescent="0.25">
      <c r="A1386" s="1079">
        <f t="shared" si="55"/>
        <v>1</v>
      </c>
      <c r="B1386" s="1079" t="s">
        <v>471</v>
      </c>
      <c r="C1386" s="1079" t="str">
        <f t="shared" si="56"/>
        <v>Revestimento em Cerâmicas Pisos Externos, 60x 60cm com Junta de 3mm</v>
      </c>
      <c r="D1386" s="1079" t="s">
        <v>1947</v>
      </c>
      <c r="E1386" s="1080" t="s">
        <v>17</v>
      </c>
      <c r="F1386" s="1079"/>
      <c r="G1386" s="1096" t="s">
        <v>482</v>
      </c>
      <c r="H1386" s="1096" cm="1">
        <f t="array" ref="H1386">_xlfn.IFS(B1386="Serviço",SUMIFS(H1387:$H$2465,C1387:$C$2465,$C1386),B1386="Insumo",F1386*G1386,B1386="Etapa","")</f>
        <v>52.478999999999999</v>
      </c>
      <c r="I1386" s="1082" t="s">
        <v>872</v>
      </c>
    </row>
    <row r="1387" spans="1:9" outlineLevel="2" x14ac:dyDescent="0.25">
      <c r="A1387" s="1079">
        <f t="shared" si="55"/>
        <v>2</v>
      </c>
      <c r="B1387" s="1079" t="s">
        <v>1362</v>
      </c>
      <c r="C1387" s="1079" t="str">
        <f t="shared" si="56"/>
        <v>Revestimento em Cerâmicas Pisos Externos, 60x 60cm com Junta de 3mm</v>
      </c>
      <c r="D1387" s="1079" t="s">
        <v>1945</v>
      </c>
      <c r="E1387" s="1080" t="s">
        <v>17</v>
      </c>
      <c r="F1387" s="1095">
        <v>1.1000000000000001</v>
      </c>
      <c r="G1387" s="1096">
        <v>39.64</v>
      </c>
      <c r="H1387" s="1096" cm="1">
        <f t="array" ref="H1387">_xlfn.IFS(B1387="Serviço",SUMIFS(H1388:$H$2465,C1388:$C$2465,$C1387),B1387="Insumo",F1387*G1387,B1387="Etapa","")</f>
        <v>43.604000000000006</v>
      </c>
      <c r="I1387" s="1082"/>
    </row>
    <row r="1388" spans="1:9" outlineLevel="2" x14ac:dyDescent="0.25">
      <c r="A1388" s="1079">
        <f t="shared" si="55"/>
        <v>6</v>
      </c>
      <c r="B1388" s="1079" t="s">
        <v>1362</v>
      </c>
      <c r="C1388" s="1079" t="str">
        <f t="shared" si="56"/>
        <v>Revestimento em Cerâmicas Pisos Externos, 60x 60cm com Junta de 3mm</v>
      </c>
      <c r="D1388" s="1079" t="s">
        <v>1946</v>
      </c>
      <c r="E1388" s="1080" t="s">
        <v>1481</v>
      </c>
      <c r="F1388" s="1095">
        <v>8.8000000000000007</v>
      </c>
      <c r="G1388" s="1096">
        <v>0.97750000000000004</v>
      </c>
      <c r="H1388" s="1096" cm="1">
        <f t="array" ref="H1388">_xlfn.IFS(B1388="Serviço",SUMIFS(H1389:$H$2465,C1389:$C$2465,$C1388),B1388="Insumo",F1388*G1388,B1388="Etapa","")</f>
        <v>8.6020000000000003</v>
      </c>
      <c r="I1388" s="1082"/>
    </row>
    <row r="1389" spans="1:9" outlineLevel="2" x14ac:dyDescent="0.25">
      <c r="A1389" s="1079">
        <f t="shared" si="55"/>
        <v>8</v>
      </c>
      <c r="B1389" s="1079" t="s">
        <v>1362</v>
      </c>
      <c r="C1389" s="1079" t="str">
        <f t="shared" si="56"/>
        <v>Revestimento em Cerâmicas Pisos Externos, 60x 60cm com Junta de 3mm</v>
      </c>
      <c r="D1389" s="1079" t="s">
        <v>1802</v>
      </c>
      <c r="E1389" s="1080" t="s">
        <v>491</v>
      </c>
      <c r="F1389" s="1095">
        <v>1</v>
      </c>
      <c r="G1389" s="1096">
        <v>0.05</v>
      </c>
      <c r="H1389" s="1096" cm="1">
        <f t="array" ref="H1389">_xlfn.IFS(B1389="Serviço",SUMIFS(H1390:$H$2465,C1390:$C$2465,$C1389),B1389="Insumo",F1389*G1389,B1389="Etapa","")</f>
        <v>0.05</v>
      </c>
      <c r="I1389" s="1082"/>
    </row>
    <row r="1390" spans="1:9" outlineLevel="2" x14ac:dyDescent="0.25">
      <c r="A1390" s="1079">
        <f t="shared" si="55"/>
        <v>50</v>
      </c>
      <c r="B1390" s="1079" t="s">
        <v>1362</v>
      </c>
      <c r="C1390" s="1079" t="str">
        <f t="shared" si="56"/>
        <v>Revestimento em Cerâmicas Pisos Externos, 60x 60cm com Junta de 3mm</v>
      </c>
      <c r="D1390" s="1079" t="s">
        <v>1787</v>
      </c>
      <c r="E1390" s="1080" t="s">
        <v>1481</v>
      </c>
      <c r="F1390" s="1095">
        <v>0.02</v>
      </c>
      <c r="G1390" s="1096">
        <v>11.15</v>
      </c>
      <c r="H1390" s="1096" cm="1">
        <f t="array" ref="H1390">_xlfn.IFS(B1390="Serviço",SUMIFS(H1391:$H$2465,C1391:$C$2465,$C1390),B1390="Insumo",F1390*G1390,B1390="Etapa","")</f>
        <v>0.223</v>
      </c>
      <c r="I1390" s="1082"/>
    </row>
    <row r="1391" spans="1:9" outlineLevel="1" collapsed="1" x14ac:dyDescent="0.25">
      <c r="A1391" s="1079">
        <f t="shared" si="55"/>
        <v>1</v>
      </c>
      <c r="B1391" s="1079" t="s">
        <v>471</v>
      </c>
      <c r="C1391" s="1079" t="str">
        <f t="shared" si="56"/>
        <v>Revestimento em Porcelanato Piso Externo, 90x 90cm com Junta de 3mm</v>
      </c>
      <c r="D1391" s="1079" t="s">
        <v>1948</v>
      </c>
      <c r="E1391" s="1080" t="s">
        <v>17</v>
      </c>
      <c r="F1391" s="1079"/>
      <c r="G1391" s="1081" t="str">
        <f>IF(B1391="insumo",_xlfn.XLOOKUP($D1391,Insumos!$B$1:$B$670,Insumos!$D$1:$D$670),"")</f>
        <v/>
      </c>
      <c r="H1391" s="1081" cm="1">
        <f t="array" ref="H1391">_xlfn.IFS(B1391="Serviço",SUMIFS(H1392:$H$2465,C1392:$C$2465,$C1391),B1391="Insumo",F1391*G1391,B1391="Etapa","")</f>
        <v>219.60800000000003</v>
      </c>
      <c r="I1391" s="1082" t="s">
        <v>872</v>
      </c>
    </row>
    <row r="1392" spans="1:9" hidden="1" outlineLevel="2" x14ac:dyDescent="0.25">
      <c r="A1392" s="1079">
        <f t="shared" si="55"/>
        <v>1</v>
      </c>
      <c r="B1392" s="1079" t="s">
        <v>1362</v>
      </c>
      <c r="C1392" s="1079" t="str">
        <f t="shared" si="56"/>
        <v>Revestimento em Porcelanato Piso Externo, 90x 90cm com Junta de 3mm</v>
      </c>
      <c r="D1392" s="1079" t="s">
        <v>1949</v>
      </c>
      <c r="E1392" s="1080" t="str">
        <f>_xlfn.XLOOKUP(D1392,Insumos!$B$1:$B$670,Insumos!$C$1:$C$670)</f>
        <v>M2</v>
      </c>
      <c r="F1392" s="1095">
        <v>1.1000000000000001</v>
      </c>
      <c r="G1392" s="1081">
        <f>IF(B1392="insumo",_xlfn.XLOOKUP($D1392,Insumos!$B$1:$B$670,Insumos!$D$1:$D$670),"")</f>
        <v>178.8</v>
      </c>
      <c r="H1392" s="1081" cm="1">
        <f t="array" ref="H1392">_xlfn.IFS(B1392="Serviço",SUMIFS(H1393:$H$2465,C1393:$C$2465,$C1392),B1392="Insumo",F1392*G1392,B1392="Etapa","")</f>
        <v>196.68000000000004</v>
      </c>
      <c r="I1392" s="1082"/>
    </row>
    <row r="1393" spans="1:9" hidden="1" outlineLevel="2" x14ac:dyDescent="0.25">
      <c r="A1393" s="1079">
        <f t="shared" si="55"/>
        <v>87</v>
      </c>
      <c r="B1393" s="1079" t="s">
        <v>1362</v>
      </c>
      <c r="C1393" s="1079" t="str">
        <f t="shared" si="56"/>
        <v>Revestimento em Porcelanato Piso Externo, 90x 90cm com Junta de 3mm</v>
      </c>
      <c r="D1393" s="1079" t="s">
        <v>1762</v>
      </c>
      <c r="E1393" s="1080" t="str">
        <f>_xlfn.XLOOKUP(D1393,Insumos!$B$1:$B$670,Insumos!$C$1:$C$670)</f>
        <v>KG</v>
      </c>
      <c r="F1393" s="1095">
        <v>8.8000000000000007</v>
      </c>
      <c r="G1393" s="1081">
        <f>IF(B1393="insumo",_xlfn.XLOOKUP($D1393,Insumos!$B$1:$B$670,Insumos!$D$1:$D$670),"")</f>
        <v>2.5499999999999998</v>
      </c>
      <c r="H1393" s="1081" cm="1">
        <f t="array" ref="H1393">_xlfn.IFS(B1393="Serviço",SUMIFS(H1394:$H$2465,C1394:$C$2465,$C1393),B1393="Insumo",F1393*G1393,B1393="Etapa","")</f>
        <v>22.44</v>
      </c>
      <c r="I1393" s="1082"/>
    </row>
    <row r="1394" spans="1:9" hidden="1" outlineLevel="2" x14ac:dyDescent="0.25">
      <c r="A1394" s="1079">
        <f t="shared" si="55"/>
        <v>8</v>
      </c>
      <c r="B1394" s="1079" t="s">
        <v>1362</v>
      </c>
      <c r="C1394" s="1079" t="str">
        <f t="shared" si="56"/>
        <v>Revestimento em Porcelanato Piso Externo, 90x 90cm com Junta de 3mm</v>
      </c>
      <c r="D1394" s="1079" t="s">
        <v>1802</v>
      </c>
      <c r="E1394" s="1080" t="str">
        <f>_xlfn.XLOOKUP(D1394,Insumos!$B$1:$B$670,Insumos!$C$1:$C$670)</f>
        <v>UN</v>
      </c>
      <c r="F1394" s="1095">
        <v>1</v>
      </c>
      <c r="G1394" s="1081">
        <f>IF(B1394="insumo",_xlfn.XLOOKUP($D1394,Insumos!$B$1:$B$670,Insumos!$D$1:$D$670),"")</f>
        <v>0.05</v>
      </c>
      <c r="H1394" s="1081" cm="1">
        <f t="array" ref="H1394">_xlfn.IFS(B1394="Serviço",SUMIFS(H1395:$H$2465,C1395:$C$2465,$C1394),B1394="Insumo",F1394*G1394,B1394="Etapa","")</f>
        <v>0.05</v>
      </c>
      <c r="I1394" s="1082"/>
    </row>
    <row r="1395" spans="1:9" hidden="1" outlineLevel="2" x14ac:dyDescent="0.25">
      <c r="A1395" s="1079">
        <f t="shared" si="55"/>
        <v>13</v>
      </c>
      <c r="B1395" s="1079" t="s">
        <v>1362</v>
      </c>
      <c r="C1395" s="1079" t="str">
        <f t="shared" si="56"/>
        <v>Revestimento em Porcelanato Piso Externo, 90x 90cm com Junta de 3mm</v>
      </c>
      <c r="D1395" s="1079" t="s">
        <v>1950</v>
      </c>
      <c r="E1395" s="1080" t="str">
        <f>_xlfn.XLOOKUP(D1395,Insumos!$B$1:$B$670,Insumos!$C$1:$C$670)</f>
        <v>KG</v>
      </c>
      <c r="F1395" s="1095">
        <v>0.01</v>
      </c>
      <c r="G1395" s="1081">
        <f>IF(B1395="insumo",_xlfn.XLOOKUP($D1395,Insumos!$B$1:$B$670,Insumos!$D$1:$D$670),"")</f>
        <v>43.8</v>
      </c>
      <c r="H1395" s="1081" cm="1">
        <f t="array" ref="H1395">_xlfn.IFS(B1395="Serviço",SUMIFS(H1396:$H$2465,C1396:$C$2465,$C1395),B1395="Insumo",F1395*G1395,B1395="Etapa","")</f>
        <v>0.438</v>
      </c>
      <c r="I1395" s="1082"/>
    </row>
    <row r="1396" spans="1:9" outlineLevel="1" collapsed="1" x14ac:dyDescent="0.25">
      <c r="A1396" s="1079">
        <f t="shared" si="55"/>
        <v>1</v>
      </c>
      <c r="B1396" s="1079" t="s">
        <v>471</v>
      </c>
      <c r="C1396" s="1079" t="str">
        <f t="shared" si="56"/>
        <v>Revestimento de Piso Porcelanato Polido, Placa 60x60cm</v>
      </c>
      <c r="D1396" s="1079" t="s">
        <v>1308</v>
      </c>
      <c r="E1396" s="1080" t="s">
        <v>17</v>
      </c>
      <c r="F1396" s="1079"/>
      <c r="G1396" s="1081" t="str">
        <f>IF(B1396="insumo",_xlfn.XLOOKUP($D1396,Insumos!$B$1:$B$670,Insumos!$D$1:$D$670),"")</f>
        <v/>
      </c>
      <c r="H1396" s="1081" cm="1">
        <f t="array" ref="H1396">_xlfn.IFS(B1396="Serviço",SUMIFS(H1397:$H$2465,C1397:$C$2465,$C1396),B1396="Insumo",F1396*G1396,B1396="Etapa","")</f>
        <v>121.63300000000001</v>
      </c>
      <c r="I1396" s="1082" t="s">
        <v>872</v>
      </c>
    </row>
    <row r="1397" spans="1:9" hidden="1" outlineLevel="2" x14ac:dyDescent="0.25">
      <c r="A1397" s="1079">
        <f t="shared" si="55"/>
        <v>3</v>
      </c>
      <c r="B1397" s="1079" t="s">
        <v>1362</v>
      </c>
      <c r="C1397" s="1079" t="str">
        <f t="shared" si="56"/>
        <v>Revestimento de Piso Porcelanato Polido, Placa 60x60cm</v>
      </c>
      <c r="D1397" s="1079" t="s">
        <v>1942</v>
      </c>
      <c r="E1397" s="1080" t="str">
        <f>_xlfn.XLOOKUP(D1397,Insumos!$B$1:$B$670,Insumos!$C$1:$C$670)</f>
        <v>M2</v>
      </c>
      <c r="F1397" s="1095">
        <v>1.1000000000000001</v>
      </c>
      <c r="G1397" s="1081">
        <f>IF(B1397="insumo",_xlfn.XLOOKUP($D1397,Insumos!$B$1:$B$670,Insumos!$D$1:$D$670),"")</f>
        <v>89.9</v>
      </c>
      <c r="H1397" s="1081" cm="1">
        <f t="array" ref="H1397">_xlfn.IFS(B1397="Serviço",SUMIFS(H1398:$H$2465,C1398:$C$2465,$C1397),B1397="Insumo",F1397*G1397,B1397="Etapa","")</f>
        <v>98.890000000000015</v>
      </c>
      <c r="I1397" s="1082"/>
    </row>
    <row r="1398" spans="1:9" hidden="1" outlineLevel="2" x14ac:dyDescent="0.25">
      <c r="A1398" s="1079">
        <f t="shared" si="55"/>
        <v>87</v>
      </c>
      <c r="B1398" s="1079" t="s">
        <v>1362</v>
      </c>
      <c r="C1398" s="1079" t="str">
        <f t="shared" si="56"/>
        <v>Revestimento de Piso Porcelanato Polido, Placa 60x60cm</v>
      </c>
      <c r="D1398" s="1079" t="s">
        <v>1762</v>
      </c>
      <c r="E1398" s="1080" t="str">
        <f>_xlfn.XLOOKUP(D1398,Insumos!$B$1:$B$670,Insumos!$C$1:$C$670)</f>
        <v>KG</v>
      </c>
      <c r="F1398" s="1095">
        <v>8.8000000000000007</v>
      </c>
      <c r="G1398" s="1081">
        <f>IF(B1398="insumo",_xlfn.XLOOKUP($D1398,Insumos!$B$1:$B$670,Insumos!$D$1:$D$670),"")</f>
        <v>2.5499999999999998</v>
      </c>
      <c r="H1398" s="1081" cm="1">
        <f t="array" ref="H1398">_xlfn.IFS(B1398="Serviço",SUMIFS(H1399:$H$2465,C1399:$C$2465,$C1398),B1398="Insumo",F1398*G1398,B1398="Etapa","")</f>
        <v>22.44</v>
      </c>
      <c r="I1398" s="1082"/>
    </row>
    <row r="1399" spans="1:9" hidden="1" outlineLevel="2" x14ac:dyDescent="0.25">
      <c r="A1399" s="1079">
        <f t="shared" si="55"/>
        <v>56</v>
      </c>
      <c r="B1399" s="1079" t="s">
        <v>1362</v>
      </c>
      <c r="C1399" s="1079" t="str">
        <f t="shared" si="56"/>
        <v>Revestimento de Piso Porcelanato Polido, Placa 60x60cm</v>
      </c>
      <c r="D1399" s="1079" t="s">
        <v>1786</v>
      </c>
      <c r="E1399" s="1080" t="str">
        <f>_xlfn.XLOOKUP(D1399,Insumos!$B$1:$B$670,Insumos!$C$1:$C$670)</f>
        <v>UN</v>
      </c>
      <c r="F1399" s="1095">
        <v>1</v>
      </c>
      <c r="G1399" s="1081">
        <f>IF(B1399="insumo",_xlfn.XLOOKUP($D1399,Insumos!$B$1:$B$670,Insumos!$D$1:$D$670),"")</f>
        <v>0.08</v>
      </c>
      <c r="H1399" s="1081" cm="1">
        <f t="array" ref="H1399">_xlfn.IFS(B1399="Serviço",SUMIFS(H1400:$H$2465,C1400:$C$2465,$C1399),B1399="Insumo",F1399*G1399,B1399="Etapa","")</f>
        <v>0.08</v>
      </c>
      <c r="I1399" s="1082"/>
    </row>
    <row r="1400" spans="1:9" hidden="1" outlineLevel="2" x14ac:dyDescent="0.25">
      <c r="A1400" s="1079">
        <f t="shared" si="55"/>
        <v>50</v>
      </c>
      <c r="B1400" s="1079" t="s">
        <v>1362</v>
      </c>
      <c r="C1400" s="1079" t="str">
        <f t="shared" si="56"/>
        <v>Revestimento de Piso Porcelanato Polido, Placa 60x60cm</v>
      </c>
      <c r="D1400" s="1079" t="s">
        <v>1787</v>
      </c>
      <c r="E1400" s="1080" t="str">
        <f>_xlfn.XLOOKUP(D1400,Insumos!$B$1:$B$670,Insumos!$C$1:$C$670)</f>
        <v>KG</v>
      </c>
      <c r="F1400" s="1095">
        <v>0.02</v>
      </c>
      <c r="G1400" s="1081">
        <f>IF(B1400="insumo",_xlfn.XLOOKUP($D1400,Insumos!$B$1:$B$670,Insumos!$D$1:$D$670),"")</f>
        <v>11.15</v>
      </c>
      <c r="H1400" s="1081" cm="1">
        <f t="array" ref="H1400">_xlfn.IFS(B1400="Serviço",SUMIFS(H1401:$H$2465,C1401:$C$2465,$C1400),B1400="Insumo",F1400*G1400,B1400="Etapa","")</f>
        <v>0.223</v>
      </c>
      <c r="I1400" s="1082"/>
    </row>
    <row r="1401" spans="1:9" outlineLevel="1" collapsed="1" x14ac:dyDescent="0.25">
      <c r="A1401" s="1079">
        <f t="shared" si="55"/>
        <v>1</v>
      </c>
      <c r="B1401" s="1079" t="s">
        <v>471</v>
      </c>
      <c r="C1401" s="1079" t="str">
        <f t="shared" si="56"/>
        <v>Revestimento de Piso Porcelanato Polido, Placa 90x90cm</v>
      </c>
      <c r="D1401" s="1079" t="s">
        <v>1951</v>
      </c>
      <c r="E1401" s="1080" t="s">
        <v>17</v>
      </c>
      <c r="F1401" s="1079"/>
      <c r="G1401" s="1081" t="str">
        <f>IF(B1401="insumo",_xlfn.XLOOKUP($D1401,Insumos!$B$1:$B$670,Insumos!$D$1:$D$670),"")</f>
        <v/>
      </c>
      <c r="H1401" s="1081" cm="1">
        <f t="array" ref="H1401">_xlfn.IFS(B1401="Serviço",SUMIFS(H1402:$H$2465,C1402:$C$2465,$C1401),B1401="Insumo",F1401*G1401,B1401="Etapa","")</f>
        <v>112.83150000000001</v>
      </c>
      <c r="I1401" s="1082" t="s">
        <v>872</v>
      </c>
    </row>
    <row r="1402" spans="1:9" hidden="1" outlineLevel="2" x14ac:dyDescent="0.25">
      <c r="A1402" s="1079">
        <f t="shared" si="55"/>
        <v>5</v>
      </c>
      <c r="B1402" s="1079" t="s">
        <v>1362</v>
      </c>
      <c r="C1402" s="1079" t="str">
        <f t="shared" si="56"/>
        <v>Revestimento de Piso Porcelanato Polido, Placa 90x90cm</v>
      </c>
      <c r="D1402" s="1079" t="s">
        <v>1952</v>
      </c>
      <c r="E1402" s="1080" t="str">
        <f>_xlfn.XLOOKUP(D1402,Insumos!$B$1:$B$670,Insumos!$C$1:$C$670)</f>
        <v>M2</v>
      </c>
      <c r="F1402" s="1095">
        <v>1.1000000000000001</v>
      </c>
      <c r="G1402" s="1081">
        <f>IF(B1402="insumo",_xlfn.XLOOKUP($D1402,Insumos!$B$1:$B$670,Insumos!$D$1:$D$670),"")</f>
        <v>82</v>
      </c>
      <c r="H1402" s="1081" cm="1">
        <f t="array" ref="H1402">_xlfn.IFS(B1402="Serviço",SUMIFS(H1403:$H$2465,C1403:$C$2465,$C1402),B1402="Insumo",F1402*G1402,B1402="Etapa","")</f>
        <v>90.2</v>
      </c>
      <c r="I1402" s="1082"/>
    </row>
    <row r="1403" spans="1:9" hidden="1" outlineLevel="2" x14ac:dyDescent="0.25">
      <c r="A1403" s="1079">
        <f t="shared" si="55"/>
        <v>87</v>
      </c>
      <c r="B1403" s="1079" t="s">
        <v>1362</v>
      </c>
      <c r="C1403" s="1079" t="str">
        <f t="shared" si="56"/>
        <v>Revestimento de Piso Porcelanato Polido, Placa 90x90cm</v>
      </c>
      <c r="D1403" s="1079" t="s">
        <v>1762</v>
      </c>
      <c r="E1403" s="1080" t="str">
        <f>_xlfn.XLOOKUP(D1403,Insumos!$B$1:$B$670,Insumos!$C$1:$C$670)</f>
        <v>KG</v>
      </c>
      <c r="F1403" s="1095">
        <v>8.8000000000000007</v>
      </c>
      <c r="G1403" s="1081">
        <f>IF(B1403="insumo",_xlfn.XLOOKUP($D1403,Insumos!$B$1:$B$670,Insumos!$D$1:$D$670),"")</f>
        <v>2.5499999999999998</v>
      </c>
      <c r="H1403" s="1081" cm="1">
        <f t="array" ref="H1403">_xlfn.IFS(B1403="Serviço",SUMIFS(H1404:$H$2465,C1404:$C$2465,$C1403),B1403="Insumo",F1403*G1403,B1403="Etapa","")</f>
        <v>22.44</v>
      </c>
      <c r="I1403" s="1082"/>
    </row>
    <row r="1404" spans="1:9" hidden="1" outlineLevel="2" x14ac:dyDescent="0.25">
      <c r="A1404" s="1079">
        <f t="shared" si="55"/>
        <v>56</v>
      </c>
      <c r="B1404" s="1079" t="s">
        <v>1362</v>
      </c>
      <c r="C1404" s="1079" t="str">
        <f t="shared" si="56"/>
        <v>Revestimento de Piso Porcelanato Polido, Placa 90x90cm</v>
      </c>
      <c r="D1404" s="1079" t="s">
        <v>1786</v>
      </c>
      <c r="E1404" s="1080" t="str">
        <f>_xlfn.XLOOKUP(D1404,Insumos!$B$1:$B$670,Insumos!$C$1:$C$670)</f>
        <v>UN</v>
      </c>
      <c r="F1404" s="1095">
        <v>1</v>
      </c>
      <c r="G1404" s="1081">
        <f>IF(B1404="insumo",_xlfn.XLOOKUP($D1404,Insumos!$B$1:$B$670,Insumos!$D$1:$D$670),"")</f>
        <v>0.08</v>
      </c>
      <c r="H1404" s="1081" cm="1">
        <f t="array" ref="H1404">_xlfn.IFS(B1404="Serviço",SUMIFS(H1405:$H$2465,C1405:$C$2465,$C1404),B1404="Insumo",F1404*G1404,B1404="Etapa","")</f>
        <v>0.08</v>
      </c>
      <c r="I1404" s="1082"/>
    </row>
    <row r="1405" spans="1:9" hidden="1" outlineLevel="2" x14ac:dyDescent="0.25">
      <c r="A1405" s="1079">
        <f t="shared" si="55"/>
        <v>50</v>
      </c>
      <c r="B1405" s="1079" t="s">
        <v>1362</v>
      </c>
      <c r="C1405" s="1079" t="str">
        <f t="shared" si="56"/>
        <v>Revestimento de Piso Porcelanato Polido, Placa 90x90cm</v>
      </c>
      <c r="D1405" s="1079" t="s">
        <v>1787</v>
      </c>
      <c r="E1405" s="1080" t="str">
        <f>_xlfn.XLOOKUP(D1405,Insumos!$B$1:$B$670,Insumos!$C$1:$C$670)</f>
        <v>KG</v>
      </c>
      <c r="F1405" s="1095">
        <v>0.01</v>
      </c>
      <c r="G1405" s="1081">
        <f>IF(B1405="insumo",_xlfn.XLOOKUP($D1405,Insumos!$B$1:$B$670,Insumos!$D$1:$D$670),"")</f>
        <v>11.15</v>
      </c>
      <c r="H1405" s="1081" cm="1">
        <f t="array" ref="H1405">_xlfn.IFS(B1405="Serviço",SUMIFS(H1406:$H$2465,C1406:$C$2465,$C1405),B1405="Insumo",F1405*G1405,B1405="Etapa","")</f>
        <v>0.1115</v>
      </c>
      <c r="I1405" s="1082"/>
    </row>
    <row r="1406" spans="1:9" outlineLevel="1" collapsed="1" x14ac:dyDescent="0.25">
      <c r="A1406" s="1079">
        <f t="shared" si="55"/>
        <v>1</v>
      </c>
      <c r="B1406" s="1079" t="s">
        <v>471</v>
      </c>
      <c r="C1406" s="1079" t="str">
        <f t="shared" si="56"/>
        <v>Revestimento de Piso Porcelanato Polido, Placa 120x120cm</v>
      </c>
      <c r="D1406" s="1079" t="s">
        <v>1953</v>
      </c>
      <c r="E1406" s="1080" t="s">
        <v>17</v>
      </c>
      <c r="F1406" s="1079"/>
      <c r="G1406" s="1081" t="str">
        <f>IF(B1406="insumo",_xlfn.XLOOKUP($D1406,Insumos!$B$1:$B$670,Insumos!$D$1:$D$670),"")</f>
        <v/>
      </c>
      <c r="H1406" s="1081" cm="1">
        <f t="array" ref="H1406">_xlfn.IFS(B1406="Serviço",SUMIFS(H1407:$H$2465,C1407:$C$2465,$C1406),B1406="Insumo",F1406*G1406,B1406="Etapa","")</f>
        <v>179.42399999999998</v>
      </c>
      <c r="I1406" s="1082" t="s">
        <v>872</v>
      </c>
    </row>
    <row r="1407" spans="1:9" hidden="1" outlineLevel="2" x14ac:dyDescent="0.25">
      <c r="A1407" s="1079">
        <f t="shared" si="55"/>
        <v>2</v>
      </c>
      <c r="B1407" s="1079" t="s">
        <v>1362</v>
      </c>
      <c r="C1407" s="1079" t="str">
        <f t="shared" si="56"/>
        <v>Revestimento de Piso Porcelanato Polido, Placa 120x120cm</v>
      </c>
      <c r="D1407" s="1079" t="s">
        <v>1954</v>
      </c>
      <c r="E1407" s="1080" t="str">
        <f>_xlfn.XLOOKUP(D1407,Insumos!$B$1:$B$670,Insumos!$C$1:$C$670)</f>
        <v>M2</v>
      </c>
      <c r="F1407" s="1083">
        <v>1.1000000000000001</v>
      </c>
      <c r="G1407" s="1081">
        <f>IF(B1407="insumo",_xlfn.XLOOKUP($D1407,Insumos!$B$1:$B$670,Insumos!$D$1:$D$670),"")</f>
        <v>136.88999999999999</v>
      </c>
      <c r="H1407" s="1081" cm="1">
        <f t="array" ref="H1407">_xlfn.IFS(B1407="Serviço",SUMIFS(H1408:$H$2465,C1408:$C$2465,$C1407),B1407="Insumo",F1407*G1407,B1407="Etapa","")</f>
        <v>150.57900000000001</v>
      </c>
      <c r="I1407" s="1082"/>
    </row>
    <row r="1408" spans="1:9" hidden="1" outlineLevel="2" x14ac:dyDescent="0.25">
      <c r="A1408" s="1079">
        <f t="shared" si="55"/>
        <v>87</v>
      </c>
      <c r="B1408" s="1079" t="s">
        <v>1362</v>
      </c>
      <c r="C1408" s="1079" t="str">
        <f t="shared" si="56"/>
        <v>Revestimento de Piso Porcelanato Polido, Placa 120x120cm</v>
      </c>
      <c r="D1408" s="1079" t="s">
        <v>1762</v>
      </c>
      <c r="E1408" s="1080" t="str">
        <f>_xlfn.XLOOKUP(D1408,Insumos!$B$1:$B$670,Insumos!$C$1:$C$670)</f>
        <v>KG</v>
      </c>
      <c r="F1408" s="1083">
        <v>9</v>
      </c>
      <c r="G1408" s="1081">
        <f>IF(B1408="insumo",_xlfn.XLOOKUP($D1408,Insumos!$B$1:$B$670,Insumos!$D$1:$D$670),"")</f>
        <v>2.5499999999999998</v>
      </c>
      <c r="H1408" s="1081" cm="1">
        <f t="array" ref="H1408">_xlfn.IFS(B1408="Serviço",SUMIFS(H1409:$H$2465,C1409:$C$2465,$C1408),B1408="Insumo",F1408*G1408,B1408="Etapa","")</f>
        <v>22.95</v>
      </c>
      <c r="I1408" s="1082"/>
    </row>
    <row r="1409" spans="1:9" hidden="1" outlineLevel="2" x14ac:dyDescent="0.25">
      <c r="A1409" s="1079">
        <f t="shared" si="55"/>
        <v>56</v>
      </c>
      <c r="B1409" s="1079" t="s">
        <v>1362</v>
      </c>
      <c r="C1409" s="1079" t="str">
        <f t="shared" si="56"/>
        <v>Revestimento de Piso Porcelanato Polido, Placa 120x120cm</v>
      </c>
      <c r="D1409" s="1079" t="s">
        <v>1786</v>
      </c>
      <c r="E1409" s="1080" t="str">
        <f>_xlfn.XLOOKUP(D1409,Insumos!$B$1:$B$670,Insumos!$C$1:$C$670)</f>
        <v>UN</v>
      </c>
      <c r="F1409" s="1083">
        <v>4</v>
      </c>
      <c r="G1409" s="1081">
        <f>IF(B1409="insumo",_xlfn.XLOOKUP($D1409,Insumos!$B$1:$B$670,Insumos!$D$1:$D$670),"")</f>
        <v>0.08</v>
      </c>
      <c r="H1409" s="1081" cm="1">
        <f t="array" ref="H1409">_xlfn.IFS(B1409="Serviço",SUMIFS(H1410:$H$2465,C1410:$C$2465,$C1409),B1409="Insumo",F1409*G1409,B1409="Etapa","")</f>
        <v>0.32</v>
      </c>
      <c r="I1409" s="1082"/>
    </row>
    <row r="1410" spans="1:9" hidden="1" outlineLevel="2" x14ac:dyDescent="0.25">
      <c r="A1410" s="1079">
        <f t="shared" ref="A1410:A1473" si="57">COUNTIFS($D$2:$D$2465,D1410,$B$2:$B$2465,B1410)</f>
        <v>50</v>
      </c>
      <c r="B1410" s="1079" t="s">
        <v>1362</v>
      </c>
      <c r="C1410" s="1079" t="str">
        <f t="shared" si="56"/>
        <v>Revestimento de Piso Porcelanato Polido, Placa 120x120cm</v>
      </c>
      <c r="D1410" s="1079" t="s">
        <v>1787</v>
      </c>
      <c r="E1410" s="1080" t="str">
        <f>_xlfn.XLOOKUP(D1410,Insumos!$B$1:$B$670,Insumos!$C$1:$C$670)</f>
        <v>KG</v>
      </c>
      <c r="F1410" s="1083">
        <v>0.5</v>
      </c>
      <c r="G1410" s="1081">
        <f>IF(B1410="insumo",_xlfn.XLOOKUP($D1410,Insumos!$B$1:$B$670,Insumos!$D$1:$D$670),"")</f>
        <v>11.15</v>
      </c>
      <c r="H1410" s="1081" cm="1">
        <f t="array" ref="H1410">_xlfn.IFS(B1410="Serviço",SUMIFS(H1411:$H$2465,C1411:$C$2465,$C1410),B1410="Insumo",F1410*G1410,B1410="Etapa","")</f>
        <v>5.5750000000000002</v>
      </c>
      <c r="I1410" s="1082"/>
    </row>
    <row r="1411" spans="1:9" outlineLevel="1" collapsed="1" x14ac:dyDescent="0.25">
      <c r="A1411" s="1079">
        <f t="shared" si="57"/>
        <v>1</v>
      </c>
      <c r="B1411" s="1079" t="s">
        <v>471</v>
      </c>
      <c r="C1411" s="1079" t="str">
        <f t="shared" si="56"/>
        <v>Revestimento de Piso Porcelanato Acetinado, Placa 60x60cm</v>
      </c>
      <c r="D1411" s="1079" t="s">
        <v>1955</v>
      </c>
      <c r="E1411" s="1080" t="s">
        <v>17</v>
      </c>
      <c r="F1411" s="1079"/>
      <c r="G1411" s="1081" t="str">
        <f>IF(B1411="insumo",_xlfn.XLOOKUP($D1411,Insumos!$B$1:$B$670,Insumos!$D$1:$D$670),"")</f>
        <v/>
      </c>
      <c r="H1411" s="1081" cm="1">
        <f t="array" ref="H1411">_xlfn.IFS(B1411="Serviço",SUMIFS(H1412:$H$2465,C1412:$C$2465,$C1411),B1411="Insumo",F1411*G1411,B1411="Etapa","")</f>
        <v>106.123</v>
      </c>
      <c r="I1411" s="1082" t="s">
        <v>872</v>
      </c>
    </row>
    <row r="1412" spans="1:9" hidden="1" outlineLevel="2" x14ac:dyDescent="0.25">
      <c r="A1412" s="1079">
        <f t="shared" si="57"/>
        <v>2</v>
      </c>
      <c r="B1412" s="1079" t="s">
        <v>1362</v>
      </c>
      <c r="C1412" s="1079" t="str">
        <f t="shared" si="56"/>
        <v>Revestimento de Piso Porcelanato Acetinado, Placa 60x60cm</v>
      </c>
      <c r="D1412" s="1079" t="s">
        <v>1956</v>
      </c>
      <c r="E1412" s="1080" t="str">
        <f>_xlfn.XLOOKUP(D1412,Insumos!$B$1:$B$670,Insumos!$C$1:$C$670)</f>
        <v>M2</v>
      </c>
      <c r="F1412" s="1095">
        <v>1.1000000000000001</v>
      </c>
      <c r="G1412" s="1081">
        <f>IF(B1412="insumo",_xlfn.XLOOKUP($D1412,Insumos!$B$1:$B$670,Insumos!$D$1:$D$670),"")</f>
        <v>75.8</v>
      </c>
      <c r="H1412" s="1081" cm="1">
        <f t="array" ref="H1412">_xlfn.IFS(B1412="Serviço",SUMIFS(H1413:$H$2465,C1413:$C$2465,$C1412),B1412="Insumo",F1412*G1412,B1412="Etapa","")</f>
        <v>83.38000000000001</v>
      </c>
      <c r="I1412" s="1082"/>
    </row>
    <row r="1413" spans="1:9" hidden="1" outlineLevel="2" x14ac:dyDescent="0.25">
      <c r="A1413" s="1079">
        <f t="shared" si="57"/>
        <v>87</v>
      </c>
      <c r="B1413" s="1079" t="s">
        <v>1362</v>
      </c>
      <c r="C1413" s="1079" t="str">
        <f t="shared" si="56"/>
        <v>Revestimento de Piso Porcelanato Acetinado, Placa 60x60cm</v>
      </c>
      <c r="D1413" s="1079" t="s">
        <v>1762</v>
      </c>
      <c r="E1413" s="1080" t="str">
        <f>_xlfn.XLOOKUP(D1413,Insumos!$B$1:$B$670,Insumos!$C$1:$C$670)</f>
        <v>KG</v>
      </c>
      <c r="F1413" s="1095">
        <v>8.8000000000000007</v>
      </c>
      <c r="G1413" s="1081">
        <f>IF(B1413="insumo",_xlfn.XLOOKUP($D1413,Insumos!$B$1:$B$670,Insumos!$D$1:$D$670),"")</f>
        <v>2.5499999999999998</v>
      </c>
      <c r="H1413" s="1081" cm="1">
        <f t="array" ref="H1413">_xlfn.IFS(B1413="Serviço",SUMIFS(H1414:$H$2465,C1414:$C$2465,$C1413),B1413="Insumo",F1413*G1413,B1413="Etapa","")</f>
        <v>22.44</v>
      </c>
      <c r="I1413" s="1082"/>
    </row>
    <row r="1414" spans="1:9" hidden="1" outlineLevel="2" x14ac:dyDescent="0.25">
      <c r="A1414" s="1079">
        <f t="shared" si="57"/>
        <v>56</v>
      </c>
      <c r="B1414" s="1079" t="s">
        <v>1362</v>
      </c>
      <c r="C1414" s="1079" t="str">
        <f t="shared" si="56"/>
        <v>Revestimento de Piso Porcelanato Acetinado, Placa 60x60cm</v>
      </c>
      <c r="D1414" s="1079" t="s">
        <v>1786</v>
      </c>
      <c r="E1414" s="1080" t="str">
        <f>_xlfn.XLOOKUP(D1414,Insumos!$B$1:$B$670,Insumos!$C$1:$C$670)</f>
        <v>UN</v>
      </c>
      <c r="F1414" s="1095">
        <v>1</v>
      </c>
      <c r="G1414" s="1081">
        <f>IF(B1414="insumo",_xlfn.XLOOKUP($D1414,Insumos!$B$1:$B$670,Insumos!$D$1:$D$670),"")</f>
        <v>0.08</v>
      </c>
      <c r="H1414" s="1081" cm="1">
        <f t="array" ref="H1414">_xlfn.IFS(B1414="Serviço",SUMIFS(H1415:$H$2465,C1415:$C$2465,$C1414),B1414="Insumo",F1414*G1414,B1414="Etapa","")</f>
        <v>0.08</v>
      </c>
      <c r="I1414" s="1082"/>
    </row>
    <row r="1415" spans="1:9" hidden="1" outlineLevel="2" x14ac:dyDescent="0.25">
      <c r="A1415" s="1079">
        <f t="shared" si="57"/>
        <v>50</v>
      </c>
      <c r="B1415" s="1079" t="s">
        <v>1362</v>
      </c>
      <c r="C1415" s="1079" t="str">
        <f t="shared" si="56"/>
        <v>Revestimento de Piso Porcelanato Acetinado, Placa 60x60cm</v>
      </c>
      <c r="D1415" s="1079" t="s">
        <v>1787</v>
      </c>
      <c r="E1415" s="1080" t="str">
        <f>_xlfn.XLOOKUP(D1415,Insumos!$B$1:$B$670,Insumos!$C$1:$C$670)</f>
        <v>KG</v>
      </c>
      <c r="F1415" s="1095">
        <v>0.02</v>
      </c>
      <c r="G1415" s="1081">
        <f>IF(B1415="insumo",_xlfn.XLOOKUP($D1415,Insumos!$B$1:$B$670,Insumos!$D$1:$D$670),"")</f>
        <v>11.15</v>
      </c>
      <c r="H1415" s="1081" cm="1">
        <f t="array" ref="H1415">_xlfn.IFS(B1415="Serviço",SUMIFS(H1416:$H$2465,C1416:$C$2465,$C1415),B1415="Insumo",F1415*G1415,B1415="Etapa","")</f>
        <v>0.223</v>
      </c>
      <c r="I1415" s="1082"/>
    </row>
    <row r="1416" spans="1:9" outlineLevel="1" collapsed="1" x14ac:dyDescent="0.25">
      <c r="A1416" s="1079">
        <f t="shared" si="57"/>
        <v>1</v>
      </c>
      <c r="B1416" s="1079" t="s">
        <v>471</v>
      </c>
      <c r="C1416" s="1079" t="str">
        <f t="shared" si="56"/>
        <v>Revestimento de Piso Porcelanato Acetinado, Placa 84x84cm (Porcelanato, rejunte, argamassa e espaçador)</v>
      </c>
      <c r="D1416" s="1079" t="s">
        <v>1957</v>
      </c>
      <c r="E1416" s="1080" t="s">
        <v>17</v>
      </c>
      <c r="F1416" s="1079"/>
      <c r="G1416" s="1081" t="str">
        <f>IF(B1416="insumo",_xlfn.XLOOKUP($D1416,Insumos!$B$1:$B$670,Insumos!$D$1:$D$670),"")</f>
        <v/>
      </c>
      <c r="H1416" s="1081" cm="1">
        <f t="array" ref="H1416">_xlfn.IFS(B1416="Serviço",SUMIFS(H1417:$H$2465,C1417:$C$2465,$C1416),B1416="Insumo",F1416*G1416,B1416="Etapa","")</f>
        <v>110.6315</v>
      </c>
      <c r="I1416" s="1082" t="s">
        <v>872</v>
      </c>
    </row>
    <row r="1417" spans="1:9" hidden="1" outlineLevel="2" x14ac:dyDescent="0.25">
      <c r="A1417" s="1079">
        <f t="shared" si="57"/>
        <v>1</v>
      </c>
      <c r="B1417" s="1079" t="s">
        <v>1362</v>
      </c>
      <c r="C1417" s="1079" t="str">
        <f t="shared" si="56"/>
        <v>Revestimento de Piso Porcelanato Acetinado, Placa 84x84cm (Porcelanato, rejunte, argamassa e espaçador)</v>
      </c>
      <c r="D1417" s="1079" t="s">
        <v>1958</v>
      </c>
      <c r="E1417" s="1080" t="str">
        <f>_xlfn.XLOOKUP(D1417,Insumos!$B$1:$B$670,Insumos!$C$1:$C$670)</f>
        <v>M2</v>
      </c>
      <c r="F1417" s="1095">
        <v>1.1000000000000001</v>
      </c>
      <c r="G1417" s="1081">
        <f>IF(B1417="insumo",_xlfn.XLOOKUP($D1417,Insumos!$B$1:$B$670,Insumos!$D$1:$D$670),"")</f>
        <v>80</v>
      </c>
      <c r="H1417" s="1081" cm="1">
        <f t="array" ref="H1417">_xlfn.IFS(B1417="Serviço",SUMIFS(H1418:$H$2465,C1418:$C$2465,$C1417),B1417="Insumo",F1417*G1417,B1417="Etapa","")</f>
        <v>88</v>
      </c>
      <c r="I1417" s="1082"/>
    </row>
    <row r="1418" spans="1:9" hidden="1" outlineLevel="2" x14ac:dyDescent="0.25">
      <c r="A1418" s="1079">
        <f t="shared" si="57"/>
        <v>87</v>
      </c>
      <c r="B1418" s="1079" t="s">
        <v>1362</v>
      </c>
      <c r="C1418" s="1079" t="str">
        <f t="shared" si="56"/>
        <v>Revestimento de Piso Porcelanato Acetinado, Placa 84x84cm (Porcelanato, rejunte, argamassa e espaçador)</v>
      </c>
      <c r="D1418" s="1079" t="s">
        <v>1762</v>
      </c>
      <c r="E1418" s="1080" t="str">
        <f>_xlfn.XLOOKUP(D1418,Insumos!$B$1:$B$670,Insumos!$C$1:$C$670)</f>
        <v>KG</v>
      </c>
      <c r="F1418" s="1095">
        <v>8.8000000000000007</v>
      </c>
      <c r="G1418" s="1081">
        <f>IF(B1418="insumo",_xlfn.XLOOKUP($D1418,Insumos!$B$1:$B$670,Insumos!$D$1:$D$670),"")</f>
        <v>2.5499999999999998</v>
      </c>
      <c r="H1418" s="1081" cm="1">
        <f t="array" ref="H1418">_xlfn.IFS(B1418="Serviço",SUMIFS(H1419:$H$2465,C1419:$C$2465,$C1418),B1418="Insumo",F1418*G1418,B1418="Etapa","")</f>
        <v>22.44</v>
      </c>
      <c r="I1418" s="1082"/>
    </row>
    <row r="1419" spans="1:9" hidden="1" outlineLevel="2" x14ac:dyDescent="0.25">
      <c r="A1419" s="1079">
        <f t="shared" si="57"/>
        <v>56</v>
      </c>
      <c r="B1419" s="1079" t="s">
        <v>1362</v>
      </c>
      <c r="C1419" s="1079" t="str">
        <f t="shared" si="56"/>
        <v>Revestimento de Piso Porcelanato Acetinado, Placa 84x84cm (Porcelanato, rejunte, argamassa e espaçador)</v>
      </c>
      <c r="D1419" s="1079" t="s">
        <v>1786</v>
      </c>
      <c r="E1419" s="1080" t="str">
        <f>_xlfn.XLOOKUP(D1419,Insumos!$B$1:$B$670,Insumos!$C$1:$C$670)</f>
        <v>UN</v>
      </c>
      <c r="F1419" s="1095">
        <v>1</v>
      </c>
      <c r="G1419" s="1081">
        <f>IF(B1419="insumo",_xlfn.XLOOKUP($D1419,Insumos!$B$1:$B$670,Insumos!$D$1:$D$670),"")</f>
        <v>0.08</v>
      </c>
      <c r="H1419" s="1081" cm="1">
        <f t="array" ref="H1419">_xlfn.IFS(B1419="Serviço",SUMIFS(H1420:$H$2465,C1420:$C$2465,$C1419),B1419="Insumo",F1419*G1419,B1419="Etapa","")</f>
        <v>0.08</v>
      </c>
      <c r="I1419" s="1082"/>
    </row>
    <row r="1420" spans="1:9" hidden="1" outlineLevel="2" x14ac:dyDescent="0.25">
      <c r="A1420" s="1079">
        <f t="shared" si="57"/>
        <v>50</v>
      </c>
      <c r="B1420" s="1079" t="s">
        <v>1362</v>
      </c>
      <c r="C1420" s="1079" t="str">
        <f t="shared" si="56"/>
        <v>Revestimento de Piso Porcelanato Acetinado, Placa 84x84cm (Porcelanato, rejunte, argamassa e espaçador)</v>
      </c>
      <c r="D1420" s="1079" t="s">
        <v>1787</v>
      </c>
      <c r="E1420" s="1080" t="str">
        <f>_xlfn.XLOOKUP(D1420,Insumos!$B$1:$B$670,Insumos!$C$1:$C$670)</f>
        <v>KG</v>
      </c>
      <c r="F1420" s="1095">
        <v>0.01</v>
      </c>
      <c r="G1420" s="1081">
        <f>IF(B1420="insumo",_xlfn.XLOOKUP($D1420,Insumos!$B$1:$B$670,Insumos!$D$1:$D$670),"")</f>
        <v>11.15</v>
      </c>
      <c r="H1420" s="1081" cm="1">
        <f t="array" ref="H1420">_xlfn.IFS(B1420="Serviço",SUMIFS(H1421:$H$2465,C1421:$C$2465,$C1420),B1420="Insumo",F1420*G1420,B1420="Etapa","")</f>
        <v>0.1115</v>
      </c>
      <c r="I1420" s="1082"/>
    </row>
    <row r="1421" spans="1:9" outlineLevel="1" collapsed="1" x14ac:dyDescent="0.25">
      <c r="A1421" s="1079">
        <f t="shared" si="57"/>
        <v>1</v>
      </c>
      <c r="B1421" s="1079" t="s">
        <v>471</v>
      </c>
      <c r="C1421" s="1079" t="str">
        <f t="shared" si="56"/>
        <v>Revestimento de Piso Porcelanato Acetinado, Placa 90x90cm</v>
      </c>
      <c r="D1421" s="1079" t="s">
        <v>1959</v>
      </c>
      <c r="E1421" s="1080" t="s">
        <v>17</v>
      </c>
      <c r="F1421" s="1079"/>
      <c r="G1421" s="1081" t="str">
        <f>IF(B1421="insumo",_xlfn.XLOOKUP($D1421,Insumos!$B$1:$B$670,Insumos!$D$1:$D$670),"")</f>
        <v/>
      </c>
      <c r="H1421" s="1081" cm="1">
        <f t="array" ref="H1421">_xlfn.IFS(B1421="Serviço",SUMIFS(H1422:$H$2465,C1422:$C$2465,$C1421),B1421="Insumo",F1421*G1421,B1421="Etapa","")</f>
        <v>106.01150000000001</v>
      </c>
      <c r="I1421" s="1082" t="s">
        <v>872</v>
      </c>
    </row>
    <row r="1422" spans="1:9" hidden="1" outlineLevel="2" x14ac:dyDescent="0.25">
      <c r="A1422" s="1079">
        <f t="shared" si="57"/>
        <v>2</v>
      </c>
      <c r="B1422" s="1079" t="s">
        <v>1362</v>
      </c>
      <c r="C1422" s="1079" t="str">
        <f t="shared" si="56"/>
        <v>Revestimento de Piso Porcelanato Acetinado, Placa 90x90cm</v>
      </c>
      <c r="D1422" s="1079" t="s">
        <v>1956</v>
      </c>
      <c r="E1422" s="1080" t="str">
        <f>_xlfn.XLOOKUP(D1422,Insumos!$B$1:$B$670,Insumos!$C$1:$C$670)</f>
        <v>M2</v>
      </c>
      <c r="F1422" s="1095">
        <v>1.1000000000000001</v>
      </c>
      <c r="G1422" s="1081">
        <f>IF(B1422="insumo",_xlfn.XLOOKUP($D1422,Insumos!$B$1:$B$670,Insumos!$D$1:$D$670),"")</f>
        <v>75.8</v>
      </c>
      <c r="H1422" s="1081" cm="1">
        <f t="array" ref="H1422">_xlfn.IFS(B1422="Serviço",SUMIFS(H1423:$H$2465,C1423:$C$2465,$C1422),B1422="Insumo",F1422*G1422,B1422="Etapa","")</f>
        <v>83.38000000000001</v>
      </c>
      <c r="I1422" s="1082"/>
    </row>
    <row r="1423" spans="1:9" hidden="1" outlineLevel="2" x14ac:dyDescent="0.25">
      <c r="A1423" s="1079">
        <f t="shared" si="57"/>
        <v>87</v>
      </c>
      <c r="B1423" s="1079" t="s">
        <v>1362</v>
      </c>
      <c r="C1423" s="1079" t="str">
        <f t="shared" si="56"/>
        <v>Revestimento de Piso Porcelanato Acetinado, Placa 90x90cm</v>
      </c>
      <c r="D1423" s="1079" t="s">
        <v>1762</v>
      </c>
      <c r="E1423" s="1080" t="str">
        <f>_xlfn.XLOOKUP(D1423,Insumos!$B$1:$B$670,Insumos!$C$1:$C$670)</f>
        <v>KG</v>
      </c>
      <c r="F1423" s="1095">
        <v>8.8000000000000007</v>
      </c>
      <c r="G1423" s="1081">
        <f>IF(B1423="insumo",_xlfn.XLOOKUP($D1423,Insumos!$B$1:$B$670,Insumos!$D$1:$D$670),"")</f>
        <v>2.5499999999999998</v>
      </c>
      <c r="H1423" s="1081" cm="1">
        <f t="array" ref="H1423">_xlfn.IFS(B1423="Serviço",SUMIFS(H1424:$H$2465,C1424:$C$2465,$C1423),B1423="Insumo",F1423*G1423,B1423="Etapa","")</f>
        <v>22.44</v>
      </c>
      <c r="I1423" s="1082"/>
    </row>
    <row r="1424" spans="1:9" hidden="1" outlineLevel="2" x14ac:dyDescent="0.25">
      <c r="A1424" s="1079">
        <f t="shared" si="57"/>
        <v>56</v>
      </c>
      <c r="B1424" s="1079" t="s">
        <v>1362</v>
      </c>
      <c r="C1424" s="1079" t="str">
        <f t="shared" si="56"/>
        <v>Revestimento de Piso Porcelanato Acetinado, Placa 90x90cm</v>
      </c>
      <c r="D1424" s="1079" t="s">
        <v>1786</v>
      </c>
      <c r="E1424" s="1080" t="str">
        <f>_xlfn.XLOOKUP(D1424,Insumos!$B$1:$B$670,Insumos!$C$1:$C$670)</f>
        <v>UN</v>
      </c>
      <c r="F1424" s="1095">
        <v>1</v>
      </c>
      <c r="G1424" s="1081">
        <f>IF(B1424="insumo",_xlfn.XLOOKUP($D1424,Insumos!$B$1:$B$670,Insumos!$D$1:$D$670),"")</f>
        <v>0.08</v>
      </c>
      <c r="H1424" s="1081" cm="1">
        <f t="array" ref="H1424">_xlfn.IFS(B1424="Serviço",SUMIFS(H1425:$H$2465,C1425:$C$2465,$C1424),B1424="Insumo",F1424*G1424,B1424="Etapa","")</f>
        <v>0.08</v>
      </c>
      <c r="I1424" s="1082"/>
    </row>
    <row r="1425" spans="1:9" hidden="1" outlineLevel="2" x14ac:dyDescent="0.25">
      <c r="A1425" s="1079">
        <f t="shared" si="57"/>
        <v>50</v>
      </c>
      <c r="B1425" s="1079" t="s">
        <v>1362</v>
      </c>
      <c r="C1425" s="1079" t="str">
        <f t="shared" si="56"/>
        <v>Revestimento de Piso Porcelanato Acetinado, Placa 90x90cm</v>
      </c>
      <c r="D1425" s="1079" t="s">
        <v>1787</v>
      </c>
      <c r="E1425" s="1080" t="str">
        <f>_xlfn.XLOOKUP(D1425,Insumos!$B$1:$B$670,Insumos!$C$1:$C$670)</f>
        <v>KG</v>
      </c>
      <c r="F1425" s="1095">
        <v>0.01</v>
      </c>
      <c r="G1425" s="1081">
        <f>IF(B1425="insumo",_xlfn.XLOOKUP($D1425,Insumos!$B$1:$B$670,Insumos!$D$1:$D$670),"")</f>
        <v>11.15</v>
      </c>
      <c r="H1425" s="1081" cm="1">
        <f t="array" ref="H1425">_xlfn.IFS(B1425="Serviço",SUMIFS(H1426:$H$2465,C1426:$C$2465,$C1425),B1425="Insumo",F1425*G1425,B1425="Etapa","")</f>
        <v>0.1115</v>
      </c>
      <c r="I1425" s="1082"/>
    </row>
    <row r="1426" spans="1:9" outlineLevel="1" collapsed="1" x14ac:dyDescent="0.25">
      <c r="A1426" s="1079">
        <f t="shared" si="57"/>
        <v>1</v>
      </c>
      <c r="B1426" s="1079" t="s">
        <v>471</v>
      </c>
      <c r="C1426" s="1079" t="str">
        <f t="shared" ref="C1426:C1489" si="58">IF(B1426="serviço",D1426,C1425)</f>
        <v>Revestimento de Piso Porcelanato Acetinado, Placa 120x120cm</v>
      </c>
      <c r="D1426" s="1079" t="s">
        <v>1960</v>
      </c>
      <c r="E1426" s="1080" t="s">
        <v>17</v>
      </c>
      <c r="F1426" s="1079"/>
      <c r="G1426" s="1081" t="str">
        <f>IF(B1426="insumo",_xlfn.XLOOKUP($D1426,Insumos!$B$1:$B$670,Insumos!$D$1:$D$670),"")</f>
        <v/>
      </c>
      <c r="H1426" s="1081" cm="1">
        <f t="array" ref="H1426">_xlfn.IFS(B1426="Serviço",SUMIFS(H1427:$H$2465,C1427:$C$2465,$C1426),B1426="Insumo",F1426*G1426,B1426="Etapa","")</f>
        <v>182.84499999999997</v>
      </c>
      <c r="I1426" s="1082" t="s">
        <v>872</v>
      </c>
    </row>
    <row r="1427" spans="1:9" hidden="1" outlineLevel="2" x14ac:dyDescent="0.25">
      <c r="A1427" s="1079">
        <f t="shared" si="57"/>
        <v>1</v>
      </c>
      <c r="B1427" s="1079" t="s">
        <v>1362</v>
      </c>
      <c r="C1427" s="1079" t="str">
        <f t="shared" si="58"/>
        <v>Revestimento de Piso Porcelanato Acetinado, Placa 120x120cm</v>
      </c>
      <c r="D1427" s="1079" t="s">
        <v>1961</v>
      </c>
      <c r="E1427" s="1080" t="str">
        <f>_xlfn.XLOOKUP(D1427,Insumos!$B$1:$B$670,Insumos!$C$1:$C$670)</f>
        <v>M2</v>
      </c>
      <c r="F1427" s="1083">
        <v>1.1000000000000001</v>
      </c>
      <c r="G1427" s="1081">
        <f>IF(B1427="insumo",_xlfn.XLOOKUP($D1427,Insumos!$B$1:$B$670,Insumos!$D$1:$D$670),"")</f>
        <v>140</v>
      </c>
      <c r="H1427" s="1081" cm="1">
        <f t="array" ref="H1427">_xlfn.IFS(B1427="Serviço",SUMIFS(H1428:$H$2465,C1428:$C$2465,$C1427),B1427="Insumo",F1427*G1427,B1427="Etapa","")</f>
        <v>154</v>
      </c>
      <c r="I1427" s="1082"/>
    </row>
    <row r="1428" spans="1:9" hidden="1" outlineLevel="2" x14ac:dyDescent="0.25">
      <c r="A1428" s="1079">
        <f t="shared" si="57"/>
        <v>87</v>
      </c>
      <c r="B1428" s="1079" t="s">
        <v>1362</v>
      </c>
      <c r="C1428" s="1079" t="str">
        <f t="shared" si="58"/>
        <v>Revestimento de Piso Porcelanato Acetinado, Placa 120x120cm</v>
      </c>
      <c r="D1428" s="1079" t="s">
        <v>1762</v>
      </c>
      <c r="E1428" s="1080" t="str">
        <f>_xlfn.XLOOKUP(D1428,Insumos!$B$1:$B$670,Insumos!$C$1:$C$670)</f>
        <v>KG</v>
      </c>
      <c r="F1428" s="1083">
        <v>9</v>
      </c>
      <c r="G1428" s="1081">
        <f>IF(B1428="insumo",_xlfn.XLOOKUP($D1428,Insumos!$B$1:$B$670,Insumos!$D$1:$D$670),"")</f>
        <v>2.5499999999999998</v>
      </c>
      <c r="H1428" s="1081" cm="1">
        <f t="array" ref="H1428">_xlfn.IFS(B1428="Serviço",SUMIFS(H1429:$H$2465,C1429:$C$2465,$C1428),B1428="Insumo",F1428*G1428,B1428="Etapa","")</f>
        <v>22.95</v>
      </c>
      <c r="I1428" s="1082"/>
    </row>
    <row r="1429" spans="1:9" hidden="1" outlineLevel="2" x14ac:dyDescent="0.25">
      <c r="A1429" s="1079">
        <f t="shared" si="57"/>
        <v>56</v>
      </c>
      <c r="B1429" s="1079" t="s">
        <v>1362</v>
      </c>
      <c r="C1429" s="1079" t="str">
        <f t="shared" si="58"/>
        <v>Revestimento de Piso Porcelanato Acetinado, Placa 120x120cm</v>
      </c>
      <c r="D1429" s="1079" t="s">
        <v>1786</v>
      </c>
      <c r="E1429" s="1080" t="str">
        <f>_xlfn.XLOOKUP(D1429,Insumos!$B$1:$B$670,Insumos!$C$1:$C$670)</f>
        <v>UN</v>
      </c>
      <c r="F1429" s="1083">
        <v>4</v>
      </c>
      <c r="G1429" s="1081">
        <f>IF(B1429="insumo",_xlfn.XLOOKUP($D1429,Insumos!$B$1:$B$670,Insumos!$D$1:$D$670),"")</f>
        <v>0.08</v>
      </c>
      <c r="H1429" s="1081" cm="1">
        <f t="array" ref="H1429">_xlfn.IFS(B1429="Serviço",SUMIFS(H1430:$H$2465,C1430:$C$2465,$C1429),B1429="Insumo",F1429*G1429,B1429="Etapa","")</f>
        <v>0.32</v>
      </c>
      <c r="I1429" s="1082"/>
    </row>
    <row r="1430" spans="1:9" hidden="1" outlineLevel="2" x14ac:dyDescent="0.25">
      <c r="A1430" s="1079">
        <f t="shared" si="57"/>
        <v>50</v>
      </c>
      <c r="B1430" s="1079" t="s">
        <v>1362</v>
      </c>
      <c r="C1430" s="1079" t="str">
        <f t="shared" si="58"/>
        <v>Revestimento de Piso Porcelanato Acetinado, Placa 120x120cm</v>
      </c>
      <c r="D1430" s="1079" t="s">
        <v>1787</v>
      </c>
      <c r="E1430" s="1080" t="str">
        <f>_xlfn.XLOOKUP(D1430,Insumos!$B$1:$B$670,Insumos!$C$1:$C$670)</f>
        <v>KG</v>
      </c>
      <c r="F1430" s="1083">
        <v>0.5</v>
      </c>
      <c r="G1430" s="1081">
        <f>IF(B1430="insumo",_xlfn.XLOOKUP($D1430,Insumos!$B$1:$B$670,Insumos!$D$1:$D$670),"")</f>
        <v>11.15</v>
      </c>
      <c r="H1430" s="1081" cm="1">
        <f t="array" ref="H1430">_xlfn.IFS(B1430="Serviço",SUMIFS(H1431:$H$2465,C1431:$C$2465,$C1430),B1430="Insumo",F1430*G1430,B1430="Etapa","")</f>
        <v>5.5750000000000002</v>
      </c>
      <c r="I1430" s="1082"/>
    </row>
    <row r="1431" spans="1:9" outlineLevel="1" collapsed="1" x14ac:dyDescent="0.25">
      <c r="A1431" s="1079">
        <f t="shared" si="57"/>
        <v>1</v>
      </c>
      <c r="B1431" s="1079" t="s">
        <v>471</v>
      </c>
      <c r="C1431" s="1079" t="str">
        <f t="shared" si="58"/>
        <v>Revestimento em Cerâmicas Pisos Internos, 45x 45cm com Junta de 3mm</v>
      </c>
      <c r="D1431" s="1079" t="s">
        <v>1962</v>
      </c>
      <c r="E1431" s="1080" t="s">
        <v>17</v>
      </c>
      <c r="F1431" s="1079"/>
      <c r="G1431" s="1081" t="str">
        <f>IF(B1431="insumo",_xlfn.XLOOKUP($D1431,Insumos!$B$1:$B$670,Insumos!$D$1:$D$670),"")</f>
        <v/>
      </c>
      <c r="H1431" s="1081" cm="1">
        <f t="array" ref="H1431">_xlfn.IFS(B1431="Serviço",SUMIFS(H1432:$H$2465,C1432:$C$2465,$C1431),B1431="Insumo",F1431*G1431,B1431="Etapa","")</f>
        <v>58.315000000000005</v>
      </c>
      <c r="I1431" s="1082" t="s">
        <v>872</v>
      </c>
    </row>
    <row r="1432" spans="1:9" hidden="1" outlineLevel="2" x14ac:dyDescent="0.25">
      <c r="A1432" s="1079">
        <f t="shared" si="57"/>
        <v>3</v>
      </c>
      <c r="B1432" s="1079" t="s">
        <v>1362</v>
      </c>
      <c r="C1432" s="1079" t="str">
        <f t="shared" si="58"/>
        <v>Revestimento em Cerâmicas Pisos Internos, 45x 45cm com Junta de 3mm</v>
      </c>
      <c r="D1432" s="1079" t="s">
        <v>1963</v>
      </c>
      <c r="E1432" s="1080" t="str">
        <f>_xlfn.XLOOKUP(D1432,Insumos!$B$1:$B$670,Insumos!$C$1:$C$670)</f>
        <v>M2</v>
      </c>
      <c r="F1432" s="1095">
        <v>1.1000000000000001</v>
      </c>
      <c r="G1432" s="1081">
        <f>IF(B1432="insumo",_xlfn.XLOOKUP($D1432,Insumos!$B$1:$B$670,Insumos!$D$1:$D$670),"")</f>
        <v>44.9</v>
      </c>
      <c r="H1432" s="1081" cm="1">
        <f t="array" ref="H1432">_xlfn.IFS(B1432="Serviço",SUMIFS(H1433:$H$2465,C1433:$C$2465,$C1432),B1432="Insumo",F1432*G1432,B1432="Etapa","")</f>
        <v>49.39</v>
      </c>
      <c r="I1432" s="1082"/>
    </row>
    <row r="1433" spans="1:9" hidden="1" outlineLevel="2" x14ac:dyDescent="0.25">
      <c r="A1433" s="1079">
        <f t="shared" si="57"/>
        <v>6</v>
      </c>
      <c r="B1433" s="1079" t="s">
        <v>1362</v>
      </c>
      <c r="C1433" s="1079" t="str">
        <f t="shared" si="58"/>
        <v>Revestimento em Cerâmicas Pisos Internos, 45x 45cm com Junta de 3mm</v>
      </c>
      <c r="D1433" s="1079" t="s">
        <v>1946</v>
      </c>
      <c r="E1433" s="1080" t="str">
        <f>_xlfn.XLOOKUP(D1433,Insumos!$B$1:$B$670,Insumos!$C$1:$C$670)</f>
        <v>KG</v>
      </c>
      <c r="F1433" s="1095">
        <v>8.8000000000000007</v>
      </c>
      <c r="G1433" s="1081">
        <f>IF(B1433="insumo",_xlfn.XLOOKUP($D1433,Insumos!$B$1:$B$670,Insumos!$D$1:$D$670),"")</f>
        <v>0.97750000000000004</v>
      </c>
      <c r="H1433" s="1081" cm="1">
        <f t="array" ref="H1433">_xlfn.IFS(B1433="Serviço",SUMIFS(H1434:$H$2465,C1434:$C$2465,$C1433),B1433="Insumo",F1433*G1433,B1433="Etapa","")</f>
        <v>8.6020000000000003</v>
      </c>
      <c r="I1433" s="1082"/>
    </row>
    <row r="1434" spans="1:9" hidden="1" outlineLevel="2" x14ac:dyDescent="0.25">
      <c r="A1434" s="1079">
        <f t="shared" si="57"/>
        <v>8</v>
      </c>
      <c r="B1434" s="1079" t="s">
        <v>1362</v>
      </c>
      <c r="C1434" s="1079" t="str">
        <f t="shared" si="58"/>
        <v>Revestimento em Cerâmicas Pisos Internos, 45x 45cm com Junta de 3mm</v>
      </c>
      <c r="D1434" s="1079" t="s">
        <v>1802</v>
      </c>
      <c r="E1434" s="1080" t="str">
        <f>_xlfn.XLOOKUP(D1434,Insumos!$B$1:$B$670,Insumos!$C$1:$C$670)</f>
        <v>UN</v>
      </c>
      <c r="F1434" s="1095">
        <v>2</v>
      </c>
      <c r="G1434" s="1081">
        <f>IF(B1434="insumo",_xlfn.XLOOKUP($D1434,Insumos!$B$1:$B$670,Insumos!$D$1:$D$670),"")</f>
        <v>0.05</v>
      </c>
      <c r="H1434" s="1081" cm="1">
        <f t="array" ref="H1434">_xlfn.IFS(B1434="Serviço",SUMIFS(H1435:$H$2465,C1435:$C$2465,$C1434),B1434="Insumo",F1434*G1434,B1434="Etapa","")</f>
        <v>0.1</v>
      </c>
      <c r="I1434" s="1082"/>
    </row>
    <row r="1435" spans="1:9" hidden="1" outlineLevel="2" x14ac:dyDescent="0.25">
      <c r="A1435" s="1079">
        <f t="shared" si="57"/>
        <v>50</v>
      </c>
      <c r="B1435" s="1079" t="s">
        <v>1362</v>
      </c>
      <c r="C1435" s="1079" t="str">
        <f t="shared" si="58"/>
        <v>Revestimento em Cerâmicas Pisos Internos, 45x 45cm com Junta de 3mm</v>
      </c>
      <c r="D1435" s="1079" t="s">
        <v>1787</v>
      </c>
      <c r="E1435" s="1080" t="str">
        <f>_xlfn.XLOOKUP(D1435,Insumos!$B$1:$B$670,Insumos!$C$1:$C$670)</f>
        <v>KG</v>
      </c>
      <c r="F1435" s="1095">
        <v>0.02</v>
      </c>
      <c r="G1435" s="1081">
        <f>IF(B1435="insumo",_xlfn.XLOOKUP($D1435,Insumos!$B$1:$B$670,Insumos!$D$1:$D$670),"")</f>
        <v>11.15</v>
      </c>
      <c r="H1435" s="1081" cm="1">
        <f t="array" ref="H1435">_xlfn.IFS(B1435="Serviço",SUMIFS(H1436:$H$2465,C1436:$C$2465,$C1435),B1435="Insumo",F1435*G1435,B1435="Etapa","")</f>
        <v>0.223</v>
      </c>
      <c r="I1435" s="1082"/>
    </row>
    <row r="1436" spans="1:9" outlineLevel="1" collapsed="1" x14ac:dyDescent="0.25">
      <c r="A1436" s="1079">
        <f t="shared" si="57"/>
        <v>1</v>
      </c>
      <c r="B1436" s="1079" t="s">
        <v>471</v>
      </c>
      <c r="C1436" s="1079" t="str">
        <f t="shared" si="58"/>
        <v>Revestimento em Porcelanato Piso Externo, 60x 60cm com Junta de 3mm</v>
      </c>
      <c r="D1436" s="1079" t="s">
        <v>1309</v>
      </c>
      <c r="E1436" s="1080" t="s">
        <v>17</v>
      </c>
      <c r="F1436" s="1079"/>
      <c r="G1436" s="1081" t="str">
        <f>IF(B1436="insumo",_xlfn.XLOOKUP($D1436,Insumos!$B$1:$B$670,Insumos!$D$1:$D$670),"")</f>
        <v/>
      </c>
      <c r="H1436" s="1081" cm="1">
        <f t="array" ref="H1436">_xlfn.IFS(B1436="Serviço",SUMIFS(H1437:$H$2465,C1437:$C$2465,$C1436),B1436="Insumo",F1436*G1436,B1436="Etapa","")</f>
        <v>133.41700000000003</v>
      </c>
      <c r="I1436" s="1082" t="s">
        <v>872</v>
      </c>
    </row>
    <row r="1437" spans="1:9" hidden="1" outlineLevel="2" x14ac:dyDescent="0.25">
      <c r="A1437" s="1079">
        <f t="shared" si="57"/>
        <v>1</v>
      </c>
      <c r="B1437" s="1079" t="s">
        <v>1362</v>
      </c>
      <c r="C1437" s="1079" t="str">
        <f t="shared" si="58"/>
        <v>Revestimento em Porcelanato Piso Externo, 60x 60cm com Junta de 3mm</v>
      </c>
      <c r="D1437" s="1079" t="s">
        <v>1964</v>
      </c>
      <c r="E1437" s="1080" t="str">
        <f>_xlfn.XLOOKUP(D1437,Insumos!$B$1:$B$670,Insumos!$C$1:$C$670)</f>
        <v>M2</v>
      </c>
      <c r="F1437" s="1095">
        <v>1.1000000000000001</v>
      </c>
      <c r="G1437" s="1081">
        <f>IF(B1437="insumo",_xlfn.XLOOKUP($D1437,Insumos!$B$1:$B$670,Insumos!$D$1:$D$670),"")</f>
        <v>113.22</v>
      </c>
      <c r="H1437" s="1081" cm="1">
        <f t="array" ref="H1437">_xlfn.IFS(B1437="Serviço",SUMIFS(H1438:$H$2465,C1438:$C$2465,$C1437),B1437="Insumo",F1437*G1437,B1437="Etapa","")</f>
        <v>124.54200000000002</v>
      </c>
      <c r="I1437" s="1082"/>
    </row>
    <row r="1438" spans="1:9" hidden="1" outlineLevel="2" x14ac:dyDescent="0.25">
      <c r="A1438" s="1079">
        <f t="shared" si="57"/>
        <v>6</v>
      </c>
      <c r="B1438" s="1079" t="s">
        <v>1362</v>
      </c>
      <c r="C1438" s="1079" t="str">
        <f t="shared" si="58"/>
        <v>Revestimento em Porcelanato Piso Externo, 60x 60cm com Junta de 3mm</v>
      </c>
      <c r="D1438" s="1079" t="s">
        <v>1946</v>
      </c>
      <c r="E1438" s="1080" t="str">
        <f>_xlfn.XLOOKUP(D1438,Insumos!$B$1:$B$670,Insumos!$C$1:$C$670)</f>
        <v>KG</v>
      </c>
      <c r="F1438" s="1095">
        <v>8.8000000000000007</v>
      </c>
      <c r="G1438" s="1081">
        <f>IF(B1438="insumo",_xlfn.XLOOKUP($D1438,Insumos!$B$1:$B$670,Insumos!$D$1:$D$670),"")</f>
        <v>0.97750000000000004</v>
      </c>
      <c r="H1438" s="1081" cm="1">
        <f t="array" ref="H1438">_xlfn.IFS(B1438="Serviço",SUMIFS(H1439:$H$2465,C1439:$C$2465,$C1438),B1438="Insumo",F1438*G1438,B1438="Etapa","")</f>
        <v>8.6020000000000003</v>
      </c>
      <c r="I1438" s="1082"/>
    </row>
    <row r="1439" spans="1:9" hidden="1" outlineLevel="2" x14ac:dyDescent="0.25">
      <c r="A1439" s="1079">
        <f t="shared" si="57"/>
        <v>8</v>
      </c>
      <c r="B1439" s="1079" t="s">
        <v>1362</v>
      </c>
      <c r="C1439" s="1079" t="str">
        <f t="shared" si="58"/>
        <v>Revestimento em Porcelanato Piso Externo, 60x 60cm com Junta de 3mm</v>
      </c>
      <c r="D1439" s="1079" t="s">
        <v>1802</v>
      </c>
      <c r="E1439" s="1080" t="str">
        <f>_xlfn.XLOOKUP(D1439,Insumos!$B$1:$B$670,Insumos!$C$1:$C$670)</f>
        <v>UN</v>
      </c>
      <c r="F1439" s="1095">
        <v>1</v>
      </c>
      <c r="G1439" s="1081">
        <f>IF(B1439="insumo",_xlfn.XLOOKUP($D1439,Insumos!$B$1:$B$670,Insumos!$D$1:$D$670),"")</f>
        <v>0.05</v>
      </c>
      <c r="H1439" s="1081" cm="1">
        <f t="array" ref="H1439">_xlfn.IFS(B1439="Serviço",SUMIFS(H1440:$H$2465,C1440:$C$2465,$C1439),B1439="Insumo",F1439*G1439,B1439="Etapa","")</f>
        <v>0.05</v>
      </c>
      <c r="I1439" s="1082"/>
    </row>
    <row r="1440" spans="1:9" hidden="1" outlineLevel="2" x14ac:dyDescent="0.25">
      <c r="A1440" s="1079">
        <f t="shared" si="57"/>
        <v>50</v>
      </c>
      <c r="B1440" s="1079" t="s">
        <v>1362</v>
      </c>
      <c r="C1440" s="1079" t="str">
        <f t="shared" si="58"/>
        <v>Revestimento em Porcelanato Piso Externo, 60x 60cm com Junta de 3mm</v>
      </c>
      <c r="D1440" s="1079" t="s">
        <v>1787</v>
      </c>
      <c r="E1440" s="1080" t="str">
        <f>_xlfn.XLOOKUP(D1440,Insumos!$B$1:$B$670,Insumos!$C$1:$C$670)</f>
        <v>KG</v>
      </c>
      <c r="F1440" s="1095">
        <v>0.02</v>
      </c>
      <c r="G1440" s="1081">
        <f>IF(B1440="insumo",_xlfn.XLOOKUP($D1440,Insumos!$B$1:$B$670,Insumos!$D$1:$D$670),"")</f>
        <v>11.15</v>
      </c>
      <c r="H1440" s="1081" cm="1">
        <f t="array" ref="H1440">_xlfn.IFS(B1440="Serviço",SUMIFS(H1441:$H$2465,C1441:$C$2465,$C1440),B1440="Insumo",F1440*G1440,B1440="Etapa","")</f>
        <v>0.223</v>
      </c>
      <c r="I1440" s="1082"/>
    </row>
    <row r="1441" spans="1:9" outlineLevel="1" collapsed="1" x14ac:dyDescent="0.25">
      <c r="A1441" s="1079">
        <f t="shared" si="57"/>
        <v>1</v>
      </c>
      <c r="B1441" s="1079" t="s">
        <v>471</v>
      </c>
      <c r="C1441" s="1079" t="str">
        <f t="shared" si="58"/>
        <v xml:space="preserve">Revestimento em Pastilhas Cerâmicas Para Piscinas , 20 x 20cm com Junta de 2mm </v>
      </c>
      <c r="D1441" s="1079" t="s">
        <v>1965</v>
      </c>
      <c r="E1441" s="1080" t="s">
        <v>17</v>
      </c>
      <c r="F1441" s="1079"/>
      <c r="G1441" s="1081" t="str">
        <f>IF(B1441="insumo",_xlfn.XLOOKUP($D1441,Insumos!$B$1:$B$670,Insumos!$D$1:$D$670),"")</f>
        <v/>
      </c>
      <c r="H1441" s="1081" cm="1">
        <f t="array" ref="H1441">_xlfn.IFS(B1441="Serviço",SUMIFS(H1442:$H$2465,C1442:$C$2465,$C1441),B1441="Insumo",F1441*G1441,B1441="Etapa","")</f>
        <v>214.0035</v>
      </c>
      <c r="I1441" s="1082" t="s">
        <v>872</v>
      </c>
    </row>
    <row r="1442" spans="1:9" hidden="1" outlineLevel="2" x14ac:dyDescent="0.25">
      <c r="A1442" s="1079">
        <f t="shared" si="57"/>
        <v>1</v>
      </c>
      <c r="B1442" s="1079" t="s">
        <v>1362</v>
      </c>
      <c r="C1442" s="1079" t="str">
        <f t="shared" si="58"/>
        <v xml:space="preserve">Revestimento em Pastilhas Cerâmicas Para Piscinas , 20 x 20cm com Junta de 2mm </v>
      </c>
      <c r="D1442" s="1079" t="s">
        <v>1966</v>
      </c>
      <c r="E1442" s="1080" t="str">
        <f>_xlfn.XLOOKUP(D1442,Insumos!$B$1:$B$670,Insumos!$C$1:$C$670)</f>
        <v>M2</v>
      </c>
      <c r="F1442" s="1095">
        <v>1.1000000000000001</v>
      </c>
      <c r="G1442" s="1081">
        <f>IF(B1442="insumo",_xlfn.XLOOKUP($D1442,Insumos!$B$1:$B$670,Insumos!$D$1:$D$670),"")</f>
        <v>182.45</v>
      </c>
      <c r="H1442" s="1081" cm="1">
        <f t="array" ref="H1442">_xlfn.IFS(B1442="Serviço",SUMIFS(H1443:$H$2465,C1443:$C$2465,$C1442),B1442="Insumo",F1442*G1442,B1442="Etapa","")</f>
        <v>200.69499999999999</v>
      </c>
      <c r="I1442" s="1082"/>
    </row>
    <row r="1443" spans="1:9" hidden="1" outlineLevel="2" x14ac:dyDescent="0.25">
      <c r="A1443" s="1079">
        <f t="shared" si="57"/>
        <v>87</v>
      </c>
      <c r="B1443" s="1079" t="s">
        <v>1362</v>
      </c>
      <c r="C1443" s="1079" t="str">
        <f t="shared" si="58"/>
        <v xml:space="preserve">Revestimento em Pastilhas Cerâmicas Para Piscinas , 20 x 20cm com Junta de 2mm </v>
      </c>
      <c r="D1443" s="1079" t="s">
        <v>1762</v>
      </c>
      <c r="E1443" s="1080" t="str">
        <f>_xlfn.XLOOKUP(D1443,Insumos!$B$1:$B$670,Insumos!$C$1:$C$670)</f>
        <v>KG</v>
      </c>
      <c r="F1443" s="1095">
        <v>4.95</v>
      </c>
      <c r="G1443" s="1081">
        <f>IF(B1443="insumo",_xlfn.XLOOKUP($D1443,Insumos!$B$1:$B$670,Insumos!$D$1:$D$670),"")</f>
        <v>2.5499999999999998</v>
      </c>
      <c r="H1443" s="1081" cm="1">
        <f t="array" ref="H1443">_xlfn.IFS(B1443="Serviço",SUMIFS(H1444:$H$2465,C1444:$C$2465,$C1443),B1443="Insumo",F1443*G1443,B1443="Etapa","")</f>
        <v>12.622499999999999</v>
      </c>
      <c r="I1443" s="1082"/>
    </row>
    <row r="1444" spans="1:9" hidden="1" outlineLevel="2" x14ac:dyDescent="0.25">
      <c r="A1444" s="1079">
        <f t="shared" si="57"/>
        <v>56</v>
      </c>
      <c r="B1444" s="1079" t="s">
        <v>1362</v>
      </c>
      <c r="C1444" s="1079" t="str">
        <f t="shared" si="58"/>
        <v xml:space="preserve">Revestimento em Pastilhas Cerâmicas Para Piscinas , 20 x 20cm com Junta de 2mm </v>
      </c>
      <c r="D1444" s="1079" t="s">
        <v>1786</v>
      </c>
      <c r="E1444" s="1080" t="str">
        <f>_xlfn.XLOOKUP(D1444,Insumos!$B$1:$B$670,Insumos!$C$1:$C$670)</f>
        <v>UN</v>
      </c>
      <c r="F1444" s="1095">
        <v>3</v>
      </c>
      <c r="G1444" s="1081">
        <f>IF(B1444="insumo",_xlfn.XLOOKUP($D1444,Insumos!$B$1:$B$670,Insumos!$D$1:$D$670),"")</f>
        <v>0.08</v>
      </c>
      <c r="H1444" s="1081" cm="1">
        <f t="array" ref="H1444">_xlfn.IFS(B1444="Serviço",SUMIFS(H1445:$H$2465,C1445:$C$2465,$C1444),B1444="Insumo",F1444*G1444,B1444="Etapa","")</f>
        <v>0.24</v>
      </c>
      <c r="I1444" s="1082"/>
    </row>
    <row r="1445" spans="1:9" hidden="1" outlineLevel="2" x14ac:dyDescent="0.25">
      <c r="A1445" s="1079">
        <f t="shared" si="57"/>
        <v>50</v>
      </c>
      <c r="B1445" s="1079" t="s">
        <v>1362</v>
      </c>
      <c r="C1445" s="1079" t="str">
        <f t="shared" si="58"/>
        <v xml:space="preserve">Revestimento em Pastilhas Cerâmicas Para Piscinas , 20 x 20cm com Junta de 2mm </v>
      </c>
      <c r="D1445" s="1079" t="s">
        <v>1787</v>
      </c>
      <c r="E1445" s="1080" t="str">
        <f>_xlfn.XLOOKUP(D1445,Insumos!$B$1:$B$670,Insumos!$C$1:$C$670)</f>
        <v>KG</v>
      </c>
      <c r="F1445" s="1095">
        <v>0.04</v>
      </c>
      <c r="G1445" s="1081">
        <f>IF(B1445="insumo",_xlfn.XLOOKUP($D1445,Insumos!$B$1:$B$670,Insumos!$D$1:$D$670),"")</f>
        <v>11.15</v>
      </c>
      <c r="H1445" s="1081" cm="1">
        <f t="array" ref="H1445">_xlfn.IFS(B1445="Serviço",SUMIFS(H1446:$H$2465,C1446:$C$2465,$C1445),B1445="Insumo",F1445*G1445,B1445="Etapa","")</f>
        <v>0.44600000000000001</v>
      </c>
      <c r="I1445" s="1082"/>
    </row>
    <row r="1446" spans="1:9" outlineLevel="1" collapsed="1" x14ac:dyDescent="0.25">
      <c r="A1446" s="1079">
        <f t="shared" si="57"/>
        <v>1</v>
      </c>
      <c r="B1446" s="1079" t="s">
        <v>471</v>
      </c>
      <c r="C1446" s="1079" t="str">
        <f t="shared" si="58"/>
        <v>Revestimento em Porcelanato Piso Interno,ELIANE 60X60 BOLD ACETINADO BLEND PLUS GREY, com Junta de 3mm</v>
      </c>
      <c r="D1446" s="1079" t="s">
        <v>1967</v>
      </c>
      <c r="E1446" s="1080" t="s">
        <v>17</v>
      </c>
      <c r="F1446" s="1079"/>
      <c r="G1446" s="1096" t="str">
        <f>IF(B1446="insumo",_xlfn.XLOOKUP($D1446,Insumos!$B$1:$B$670,Insumos!$D$1:$D$670),"")</f>
        <v/>
      </c>
      <c r="H1446" s="1096" cm="1">
        <f t="array" ref="H1446">_xlfn.IFS(B1446="Serviço",SUMIFS(H1447:$H$2465,C1447:$C$2465,$C1446),B1446="Insumo",F1446*G1446,B1446="Etapa","")</f>
        <v>127.56500000000001</v>
      </c>
      <c r="I1446" s="1082" t="s">
        <v>872</v>
      </c>
    </row>
    <row r="1447" spans="1:9" hidden="1" outlineLevel="2" x14ac:dyDescent="0.25">
      <c r="A1447" s="1079">
        <f t="shared" si="57"/>
        <v>2</v>
      </c>
      <c r="B1447" s="1079" t="s">
        <v>1362</v>
      </c>
      <c r="C1447" s="1079" t="str">
        <f t="shared" si="58"/>
        <v>Revestimento em Porcelanato Piso Interno,ELIANE 60X60 BOLD ACETINADO BLEND PLUS GREY, com Junta de 3mm</v>
      </c>
      <c r="D1447" s="1079" t="s">
        <v>1968</v>
      </c>
      <c r="E1447" s="1080" t="str">
        <f>_xlfn.XLOOKUP(D1447,Insumos!$B$1:$B$670,Insumos!$C$1:$C$670)</f>
        <v>M2</v>
      </c>
      <c r="F1447" s="1095">
        <v>1.1000000000000001</v>
      </c>
      <c r="G1447" s="1096">
        <f>IF(B1447="insumo",_xlfn.XLOOKUP($D1447,Insumos!$B$1:$B$670,Insumos!$D$1:$D$670),"")</f>
        <v>107.9</v>
      </c>
      <c r="H1447" s="1096" cm="1">
        <f t="array" ref="H1447">_xlfn.IFS(B1447="Serviço",SUMIFS(H1448:$H$2465,C1448:$C$2465,$C1447),B1447="Insumo",F1447*G1447,B1447="Etapa","")</f>
        <v>118.69000000000001</v>
      </c>
      <c r="I1447" s="1082"/>
    </row>
    <row r="1448" spans="1:9" hidden="1" outlineLevel="2" x14ac:dyDescent="0.25">
      <c r="A1448" s="1079">
        <f t="shared" si="57"/>
        <v>6</v>
      </c>
      <c r="B1448" s="1079" t="s">
        <v>1362</v>
      </c>
      <c r="C1448" s="1079" t="str">
        <f t="shared" si="58"/>
        <v>Revestimento em Porcelanato Piso Interno,ELIANE 60X60 BOLD ACETINADO BLEND PLUS GREY, com Junta de 3mm</v>
      </c>
      <c r="D1448" s="1079" t="s">
        <v>1946</v>
      </c>
      <c r="E1448" s="1080" t="str">
        <f>_xlfn.XLOOKUP(D1448,Insumos!$B$1:$B$670,Insumos!$C$1:$C$670)</f>
        <v>KG</v>
      </c>
      <c r="F1448" s="1095">
        <v>8.8000000000000007</v>
      </c>
      <c r="G1448" s="1096">
        <f>IF(B1448="insumo",_xlfn.XLOOKUP($D1448,Insumos!$B$1:$B$670,Insumos!$D$1:$D$670),"")</f>
        <v>0.97750000000000004</v>
      </c>
      <c r="H1448" s="1096" cm="1">
        <f t="array" ref="H1448">_xlfn.IFS(B1448="Serviço",SUMIFS(H1449:$H$2465,C1449:$C$2465,$C1448),B1448="Insumo",F1448*G1448,B1448="Etapa","")</f>
        <v>8.6020000000000003</v>
      </c>
      <c r="I1448" s="1082"/>
    </row>
    <row r="1449" spans="1:9" hidden="1" outlineLevel="2" x14ac:dyDescent="0.25">
      <c r="A1449" s="1079">
        <f t="shared" si="57"/>
        <v>8</v>
      </c>
      <c r="B1449" s="1079" t="s">
        <v>1362</v>
      </c>
      <c r="C1449" s="1079" t="str">
        <f t="shared" si="58"/>
        <v>Revestimento em Porcelanato Piso Interno,ELIANE 60X60 BOLD ACETINADO BLEND PLUS GREY, com Junta de 3mm</v>
      </c>
      <c r="D1449" s="1079" t="s">
        <v>1802</v>
      </c>
      <c r="E1449" s="1080" t="str">
        <f>_xlfn.XLOOKUP(D1449,Insumos!$B$1:$B$670,Insumos!$C$1:$C$670)</f>
        <v>UN</v>
      </c>
      <c r="F1449" s="1095">
        <v>1</v>
      </c>
      <c r="G1449" s="1096">
        <f>IF(B1449="insumo",_xlfn.XLOOKUP($D1449,Insumos!$B$1:$B$670,Insumos!$D$1:$D$670),"")</f>
        <v>0.05</v>
      </c>
      <c r="H1449" s="1096" cm="1">
        <f t="array" ref="H1449">_xlfn.IFS(B1449="Serviço",SUMIFS(H1450:$H$2465,C1450:$C$2465,$C1449),B1449="Insumo",F1449*G1449,B1449="Etapa","")</f>
        <v>0.05</v>
      </c>
      <c r="I1449" s="1082"/>
    </row>
    <row r="1450" spans="1:9" hidden="1" outlineLevel="2" x14ac:dyDescent="0.25">
      <c r="A1450" s="1079">
        <f t="shared" si="57"/>
        <v>50</v>
      </c>
      <c r="B1450" s="1079" t="s">
        <v>1362</v>
      </c>
      <c r="C1450" s="1079" t="str">
        <f t="shared" si="58"/>
        <v>Revestimento em Porcelanato Piso Interno,ELIANE 60X60 BOLD ACETINADO BLEND PLUS GREY, com Junta de 3mm</v>
      </c>
      <c r="D1450" s="1079" t="s">
        <v>1787</v>
      </c>
      <c r="E1450" s="1080" t="str">
        <f>_xlfn.XLOOKUP(D1450,Insumos!$B$1:$B$670,Insumos!$C$1:$C$670)</f>
        <v>KG</v>
      </c>
      <c r="F1450" s="1095">
        <v>0.02</v>
      </c>
      <c r="G1450" s="1096">
        <f>IF(B1450="insumo",_xlfn.XLOOKUP($D1450,Insumos!$B$1:$B$670,Insumos!$D$1:$D$670),"")</f>
        <v>11.15</v>
      </c>
      <c r="H1450" s="1096" cm="1">
        <f t="array" ref="H1450">_xlfn.IFS(B1450="Serviço",SUMIFS(H1451:$H$2465,C1451:$C$2465,$C1450),B1450="Insumo",F1450*G1450,B1450="Etapa","")</f>
        <v>0.223</v>
      </c>
      <c r="I1450" s="1082"/>
    </row>
    <row r="1451" spans="1:9" outlineLevel="1" collapsed="1" x14ac:dyDescent="0.25">
      <c r="A1451" s="1079">
        <f t="shared" si="57"/>
        <v>1</v>
      </c>
      <c r="B1451" s="1079" t="s">
        <v>471</v>
      </c>
      <c r="C1451" s="1079" t="str">
        <f t="shared" si="58"/>
        <v>Revestimento em Porcelanato Piso Externo,ELIANE 60X60 BOLD ACETINADO BLEND PLUS GREY, com Junta de 3mm</v>
      </c>
      <c r="D1451" s="1079" t="s">
        <v>1969</v>
      </c>
      <c r="E1451" s="1080" t="s">
        <v>17</v>
      </c>
      <c r="F1451" s="1079"/>
      <c r="G1451" s="1096" t="str">
        <f>IF(B1451="insumo",_xlfn.XLOOKUP($D1451,Insumos!$B$1:$B$670,Insumos!$D$1:$D$670),"")</f>
        <v/>
      </c>
      <c r="H1451" s="1096" cm="1">
        <f t="array" ref="H1451">_xlfn.IFS(B1451="Serviço",SUMIFS(H1452:$H$2465,C1452:$C$2465,$C1451),B1451="Insumo",F1451*G1451,B1451="Etapa","")</f>
        <v>127.56500000000001</v>
      </c>
      <c r="I1451" s="1082" t="s">
        <v>872</v>
      </c>
    </row>
    <row r="1452" spans="1:9" hidden="1" outlineLevel="2" x14ac:dyDescent="0.25">
      <c r="A1452" s="1079">
        <f t="shared" si="57"/>
        <v>2</v>
      </c>
      <c r="B1452" s="1079" t="s">
        <v>1362</v>
      </c>
      <c r="C1452" s="1079" t="str">
        <f t="shared" si="58"/>
        <v>Revestimento em Porcelanato Piso Externo,ELIANE 60X60 BOLD ACETINADO BLEND PLUS GREY, com Junta de 3mm</v>
      </c>
      <c r="D1452" s="1079" t="s">
        <v>1968</v>
      </c>
      <c r="E1452" s="1080" t="str">
        <f>_xlfn.XLOOKUP(D1452,Insumos!$B$1:$B$670,Insumos!$C$1:$C$670)</f>
        <v>M2</v>
      </c>
      <c r="F1452" s="1095">
        <v>1.1000000000000001</v>
      </c>
      <c r="G1452" s="1096">
        <f>IF(B1452="insumo",_xlfn.XLOOKUP($D1452,Insumos!$B$1:$B$670,Insumos!$D$1:$D$670),"")</f>
        <v>107.9</v>
      </c>
      <c r="H1452" s="1096" cm="1">
        <f t="array" ref="H1452">_xlfn.IFS(B1452="Serviço",SUMIFS(H1453:$H$2465,C1453:$C$2465,$C1452),B1452="Insumo",F1452*G1452,B1452="Etapa","")</f>
        <v>118.69000000000001</v>
      </c>
      <c r="I1452" s="1082"/>
    </row>
    <row r="1453" spans="1:9" hidden="1" outlineLevel="2" x14ac:dyDescent="0.25">
      <c r="A1453" s="1079">
        <f t="shared" si="57"/>
        <v>6</v>
      </c>
      <c r="B1453" s="1079" t="s">
        <v>1362</v>
      </c>
      <c r="C1453" s="1079" t="str">
        <f t="shared" si="58"/>
        <v>Revestimento em Porcelanato Piso Externo,ELIANE 60X60 BOLD ACETINADO BLEND PLUS GREY, com Junta de 3mm</v>
      </c>
      <c r="D1453" s="1079" t="s">
        <v>1946</v>
      </c>
      <c r="E1453" s="1080" t="str">
        <f>_xlfn.XLOOKUP(D1453,Insumos!$B$1:$B$670,Insumos!$C$1:$C$670)</f>
        <v>KG</v>
      </c>
      <c r="F1453" s="1095">
        <v>8.8000000000000007</v>
      </c>
      <c r="G1453" s="1096">
        <f>IF(B1453="insumo",_xlfn.XLOOKUP($D1453,Insumos!$B$1:$B$670,Insumos!$D$1:$D$670),"")</f>
        <v>0.97750000000000004</v>
      </c>
      <c r="H1453" s="1096" cm="1">
        <f t="array" ref="H1453">_xlfn.IFS(B1453="Serviço",SUMIFS(H1454:$H$2465,C1454:$C$2465,$C1453),B1453="Insumo",F1453*G1453,B1453="Etapa","")</f>
        <v>8.6020000000000003</v>
      </c>
      <c r="I1453" s="1082"/>
    </row>
    <row r="1454" spans="1:9" hidden="1" outlineLevel="2" x14ac:dyDescent="0.25">
      <c r="A1454" s="1079">
        <f t="shared" si="57"/>
        <v>8</v>
      </c>
      <c r="B1454" s="1079" t="s">
        <v>1362</v>
      </c>
      <c r="C1454" s="1079" t="str">
        <f t="shared" si="58"/>
        <v>Revestimento em Porcelanato Piso Externo,ELIANE 60X60 BOLD ACETINADO BLEND PLUS GREY, com Junta de 3mm</v>
      </c>
      <c r="D1454" s="1079" t="s">
        <v>1802</v>
      </c>
      <c r="E1454" s="1080" t="str">
        <f>_xlfn.XLOOKUP(D1454,Insumos!$B$1:$B$670,Insumos!$C$1:$C$670)</f>
        <v>UN</v>
      </c>
      <c r="F1454" s="1095">
        <v>1</v>
      </c>
      <c r="G1454" s="1096">
        <f>IF(B1454="insumo",_xlfn.XLOOKUP($D1454,Insumos!$B$1:$B$670,Insumos!$D$1:$D$670),"")</f>
        <v>0.05</v>
      </c>
      <c r="H1454" s="1096" cm="1">
        <f t="array" ref="H1454">_xlfn.IFS(B1454="Serviço",SUMIFS(H1455:$H$2465,C1455:$C$2465,$C1454),B1454="Insumo",F1454*G1454,B1454="Etapa","")</f>
        <v>0.05</v>
      </c>
      <c r="I1454" s="1082"/>
    </row>
    <row r="1455" spans="1:9" hidden="1" outlineLevel="2" x14ac:dyDescent="0.25">
      <c r="A1455" s="1079">
        <f t="shared" si="57"/>
        <v>50</v>
      </c>
      <c r="B1455" s="1079" t="s">
        <v>1362</v>
      </c>
      <c r="C1455" s="1079" t="str">
        <f t="shared" si="58"/>
        <v>Revestimento em Porcelanato Piso Externo,ELIANE 60X60 BOLD ACETINADO BLEND PLUS GREY, com Junta de 3mm</v>
      </c>
      <c r="D1455" s="1079" t="s">
        <v>1787</v>
      </c>
      <c r="E1455" s="1080" t="str">
        <f>_xlfn.XLOOKUP(D1455,Insumos!$B$1:$B$670,Insumos!$C$1:$C$670)</f>
        <v>KG</v>
      </c>
      <c r="F1455" s="1095">
        <v>0.02</v>
      </c>
      <c r="G1455" s="1096">
        <f>IF(B1455="insumo",_xlfn.XLOOKUP($D1455,Insumos!$B$1:$B$670,Insumos!$D$1:$D$670),"")</f>
        <v>11.15</v>
      </c>
      <c r="H1455" s="1096" cm="1">
        <f t="array" ref="H1455">_xlfn.IFS(B1455="Serviço",SUMIFS(H1456:$H$2465,C1456:$C$2465,$C1455),B1455="Insumo",F1455*G1455,B1455="Etapa","")</f>
        <v>0.223</v>
      </c>
      <c r="I1455" s="1082"/>
    </row>
    <row r="1456" spans="1:9" outlineLevel="1" collapsed="1" x14ac:dyDescent="0.25">
      <c r="A1456" s="1079">
        <f t="shared" si="57"/>
        <v>1</v>
      </c>
      <c r="B1456" s="1079" t="s">
        <v>471</v>
      </c>
      <c r="C1456" s="1079" t="str">
        <f t="shared" si="58"/>
        <v>Revestimento de Piso Externo PORCELANATO VILLAGRES 71X71 RETIFICADO ACETINADO MONTREAL FENDI</v>
      </c>
      <c r="D1456" s="1079" t="s">
        <v>1970</v>
      </c>
      <c r="E1456" s="1080" t="s">
        <v>17</v>
      </c>
      <c r="F1456" s="1079"/>
      <c r="G1456" s="1096" t="str">
        <f>IF(B1456="insumo",_xlfn.XLOOKUP($D1456,Insumos!$B$1:$B$670,Insumos!$D$1:$D$670),"")</f>
        <v/>
      </c>
      <c r="H1456" s="1096" cm="1">
        <f t="array" ref="H1456">_xlfn.IFS(B1456="Serviço",SUMIFS(H1457:$H$2465,C1457:$C$2465,$C1456),B1456="Insumo",F1456*G1456,B1456="Etapa","")</f>
        <v>106.56150000000001</v>
      </c>
      <c r="I1456" s="1082" t="s">
        <v>872</v>
      </c>
    </row>
    <row r="1457" spans="1:9" hidden="1" outlineLevel="2" x14ac:dyDescent="0.25">
      <c r="A1457" s="1079">
        <f t="shared" si="57"/>
        <v>1</v>
      </c>
      <c r="B1457" s="1079" t="s">
        <v>1362</v>
      </c>
      <c r="C1457" s="1079" t="str">
        <f t="shared" si="58"/>
        <v>Revestimento de Piso Externo PORCELANATO VILLAGRES 71X71 RETIFICADO ACETINADO MONTREAL FENDI</v>
      </c>
      <c r="D1457" s="1079" t="s">
        <v>1971</v>
      </c>
      <c r="E1457" s="1080" t="str">
        <f>_xlfn.XLOOKUP(D1457,Insumos!$B$1:$B$670,Insumos!$C$1:$C$670)</f>
        <v>M2</v>
      </c>
      <c r="F1457" s="1095">
        <v>1.1000000000000001</v>
      </c>
      <c r="G1457" s="1096">
        <f>IF(B1457="insumo",_xlfn.XLOOKUP($D1457,Insumos!$B$1:$B$670,Insumos!$D$1:$D$670),"")</f>
        <v>76.3</v>
      </c>
      <c r="H1457" s="1096" cm="1">
        <f t="array" ref="H1457">_xlfn.IFS(B1457="Serviço",SUMIFS(H1458:$H$2465,C1458:$C$2465,$C1457),B1457="Insumo",F1457*G1457,B1457="Etapa","")</f>
        <v>83.93</v>
      </c>
      <c r="I1457" s="1082"/>
    </row>
    <row r="1458" spans="1:9" hidden="1" outlineLevel="2" x14ac:dyDescent="0.25">
      <c r="A1458" s="1079">
        <f t="shared" si="57"/>
        <v>87</v>
      </c>
      <c r="B1458" s="1079" t="s">
        <v>1362</v>
      </c>
      <c r="C1458" s="1079" t="str">
        <f t="shared" si="58"/>
        <v>Revestimento de Piso Externo PORCELANATO VILLAGRES 71X71 RETIFICADO ACETINADO MONTREAL FENDI</v>
      </c>
      <c r="D1458" s="1079" t="s">
        <v>1762</v>
      </c>
      <c r="E1458" s="1080" t="str">
        <f>_xlfn.XLOOKUP(D1458,Insumos!$B$1:$B$670,Insumos!$C$1:$C$670)</f>
        <v>KG</v>
      </c>
      <c r="F1458" s="1095">
        <v>8.8000000000000007</v>
      </c>
      <c r="G1458" s="1096">
        <f>IF(B1458="insumo",_xlfn.XLOOKUP($D1458,Insumos!$B$1:$B$670,Insumos!$D$1:$D$670),"")</f>
        <v>2.5499999999999998</v>
      </c>
      <c r="H1458" s="1096" cm="1">
        <f t="array" ref="H1458">_xlfn.IFS(B1458="Serviço",SUMIFS(H1459:$H$2465,C1459:$C$2465,$C1458),B1458="Insumo",F1458*G1458,B1458="Etapa","")</f>
        <v>22.44</v>
      </c>
      <c r="I1458" s="1082"/>
    </row>
    <row r="1459" spans="1:9" hidden="1" outlineLevel="2" x14ac:dyDescent="0.25">
      <c r="A1459" s="1079">
        <f t="shared" si="57"/>
        <v>56</v>
      </c>
      <c r="B1459" s="1079" t="s">
        <v>1362</v>
      </c>
      <c r="C1459" s="1079" t="str">
        <f t="shared" si="58"/>
        <v>Revestimento de Piso Externo PORCELANATO VILLAGRES 71X71 RETIFICADO ACETINADO MONTREAL FENDI</v>
      </c>
      <c r="D1459" s="1079" t="s">
        <v>1786</v>
      </c>
      <c r="E1459" s="1080" t="str">
        <f>_xlfn.XLOOKUP(D1459,Insumos!$B$1:$B$670,Insumos!$C$1:$C$670)</f>
        <v>UN</v>
      </c>
      <c r="F1459" s="1095">
        <v>1</v>
      </c>
      <c r="G1459" s="1096">
        <f>IF(B1459="insumo",_xlfn.XLOOKUP($D1459,Insumos!$B$1:$B$670,Insumos!$D$1:$D$670),"")</f>
        <v>0.08</v>
      </c>
      <c r="H1459" s="1096" cm="1">
        <f t="array" ref="H1459">_xlfn.IFS(B1459="Serviço",SUMIFS(H1460:$H$2465,C1460:$C$2465,$C1459),B1459="Insumo",F1459*G1459,B1459="Etapa","")</f>
        <v>0.08</v>
      </c>
      <c r="I1459" s="1082"/>
    </row>
    <row r="1460" spans="1:9" hidden="1" outlineLevel="2" x14ac:dyDescent="0.25">
      <c r="A1460" s="1079">
        <f t="shared" si="57"/>
        <v>50</v>
      </c>
      <c r="B1460" s="1079" t="s">
        <v>1362</v>
      </c>
      <c r="C1460" s="1079" t="str">
        <f t="shared" si="58"/>
        <v>Revestimento de Piso Externo PORCELANATO VILLAGRES 71X71 RETIFICADO ACETINADO MONTREAL FENDI</v>
      </c>
      <c r="D1460" s="1079" t="s">
        <v>1787</v>
      </c>
      <c r="E1460" s="1080" t="str">
        <f>_xlfn.XLOOKUP(D1460,Insumos!$B$1:$B$670,Insumos!$C$1:$C$670)</f>
        <v>KG</v>
      </c>
      <c r="F1460" s="1095">
        <v>0.01</v>
      </c>
      <c r="G1460" s="1096">
        <f>IF(B1460="insumo",_xlfn.XLOOKUP($D1460,Insumos!$B$1:$B$670,Insumos!$D$1:$D$670),"")</f>
        <v>11.15</v>
      </c>
      <c r="H1460" s="1096" cm="1">
        <f t="array" ref="H1460">_xlfn.IFS(B1460="Serviço",SUMIFS(H1461:$H$2465,C1461:$C$2465,$C1460),B1460="Insumo",F1460*G1460,B1460="Etapa","")</f>
        <v>0.1115</v>
      </c>
      <c r="I1460" s="1082"/>
    </row>
    <row r="1461" spans="1:9" outlineLevel="1" collapsed="1" x14ac:dyDescent="0.25">
      <c r="A1461" s="1079">
        <f t="shared" si="57"/>
        <v>1</v>
      </c>
      <c r="B1461" s="1079" t="s">
        <v>471</v>
      </c>
      <c r="C1461" s="1079" t="str">
        <f t="shared" si="58"/>
        <v>Revestimento de Piso Externo PORCELANATO DELTA 73X73 RETIFICADO ACETINADO JUA CLARO 2280-A</v>
      </c>
      <c r="D1461" s="1079" t="s">
        <v>1972</v>
      </c>
      <c r="E1461" s="1080" t="s">
        <v>17</v>
      </c>
      <c r="F1461" s="1079"/>
      <c r="G1461" s="1096" t="str">
        <f>IF(B1461="insumo",_xlfn.XLOOKUP($D1461,Insumos!$B$1:$B$670,Insumos!$D$1:$D$670),"")</f>
        <v/>
      </c>
      <c r="H1461" s="1096" cm="1">
        <f t="array" ref="H1461">_xlfn.IFS(B1461="Serviço",SUMIFS(H1462:$H$2465,C1462:$C$2465,$C1461),B1461="Insumo",F1461*G1461,B1461="Etapa","")</f>
        <v>98.421500000000009</v>
      </c>
      <c r="I1461" s="1082" t="s">
        <v>872</v>
      </c>
    </row>
    <row r="1462" spans="1:9" hidden="1" outlineLevel="2" x14ac:dyDescent="0.25">
      <c r="A1462" s="1079">
        <f t="shared" si="57"/>
        <v>1</v>
      </c>
      <c r="B1462" s="1079" t="s">
        <v>1362</v>
      </c>
      <c r="C1462" s="1079" t="str">
        <f t="shared" si="58"/>
        <v>Revestimento de Piso Externo PORCELANATO DELTA 73X73 RETIFICADO ACETINADO JUA CLARO 2280-A</v>
      </c>
      <c r="D1462" s="1079" t="s">
        <v>1973</v>
      </c>
      <c r="E1462" s="1080" t="str">
        <f>_xlfn.XLOOKUP(D1462,Insumos!$B$1:$B$670,Insumos!$C$1:$C$670)</f>
        <v>M2</v>
      </c>
      <c r="F1462" s="1095">
        <v>1.1000000000000001</v>
      </c>
      <c r="G1462" s="1096">
        <f>IF(B1462="insumo",_xlfn.XLOOKUP($D1462,Insumos!$B$1:$B$670,Insumos!$D$1:$D$670),"")</f>
        <v>68.900000000000006</v>
      </c>
      <c r="H1462" s="1096" cm="1">
        <f t="array" ref="H1462">_xlfn.IFS(B1462="Serviço",SUMIFS(H1463:$H$2465,C1463:$C$2465,$C1462),B1462="Insumo",F1462*G1462,B1462="Etapa","")</f>
        <v>75.790000000000006</v>
      </c>
      <c r="I1462" s="1082"/>
    </row>
    <row r="1463" spans="1:9" hidden="1" outlineLevel="2" x14ac:dyDescent="0.25">
      <c r="A1463" s="1079">
        <f t="shared" si="57"/>
        <v>87</v>
      </c>
      <c r="B1463" s="1079" t="s">
        <v>1362</v>
      </c>
      <c r="C1463" s="1079" t="str">
        <f t="shared" si="58"/>
        <v>Revestimento de Piso Externo PORCELANATO DELTA 73X73 RETIFICADO ACETINADO JUA CLARO 2280-A</v>
      </c>
      <c r="D1463" s="1079" t="s">
        <v>1762</v>
      </c>
      <c r="E1463" s="1080" t="str">
        <f>_xlfn.XLOOKUP(D1463,Insumos!$B$1:$B$670,Insumos!$C$1:$C$670)</f>
        <v>KG</v>
      </c>
      <c r="F1463" s="1095">
        <v>8.8000000000000007</v>
      </c>
      <c r="G1463" s="1096">
        <f>IF(B1463="insumo",_xlfn.XLOOKUP($D1463,Insumos!$B$1:$B$670,Insumos!$D$1:$D$670),"")</f>
        <v>2.5499999999999998</v>
      </c>
      <c r="H1463" s="1096" cm="1">
        <f t="array" ref="H1463">_xlfn.IFS(B1463="Serviço",SUMIFS(H1464:$H$2465,C1464:$C$2465,$C1463),B1463="Insumo",F1463*G1463,B1463="Etapa","")</f>
        <v>22.44</v>
      </c>
      <c r="I1463" s="1082"/>
    </row>
    <row r="1464" spans="1:9" hidden="1" outlineLevel="2" x14ac:dyDescent="0.25">
      <c r="A1464" s="1079">
        <f t="shared" si="57"/>
        <v>56</v>
      </c>
      <c r="B1464" s="1079" t="s">
        <v>1362</v>
      </c>
      <c r="C1464" s="1079" t="str">
        <f t="shared" si="58"/>
        <v>Revestimento de Piso Externo PORCELANATO DELTA 73X73 RETIFICADO ACETINADO JUA CLARO 2280-A</v>
      </c>
      <c r="D1464" s="1079" t="s">
        <v>1786</v>
      </c>
      <c r="E1464" s="1080" t="str">
        <f>_xlfn.XLOOKUP(D1464,Insumos!$B$1:$B$670,Insumos!$C$1:$C$670)</f>
        <v>UN</v>
      </c>
      <c r="F1464" s="1095">
        <v>1</v>
      </c>
      <c r="G1464" s="1096">
        <f>IF(B1464="insumo",_xlfn.XLOOKUP($D1464,Insumos!$B$1:$B$670,Insumos!$D$1:$D$670),"")</f>
        <v>0.08</v>
      </c>
      <c r="H1464" s="1096" cm="1">
        <f t="array" ref="H1464">_xlfn.IFS(B1464="Serviço",SUMIFS(H1465:$H$2465,C1465:$C$2465,$C1464),B1464="Insumo",F1464*G1464,B1464="Etapa","")</f>
        <v>0.08</v>
      </c>
      <c r="I1464" s="1082"/>
    </row>
    <row r="1465" spans="1:9" hidden="1" outlineLevel="2" x14ac:dyDescent="0.25">
      <c r="A1465" s="1079">
        <f t="shared" si="57"/>
        <v>50</v>
      </c>
      <c r="B1465" s="1079" t="s">
        <v>1362</v>
      </c>
      <c r="C1465" s="1079" t="str">
        <f t="shared" si="58"/>
        <v>Revestimento de Piso Externo PORCELANATO DELTA 73X73 RETIFICADO ACETINADO JUA CLARO 2280-A</v>
      </c>
      <c r="D1465" s="1079" t="s">
        <v>1787</v>
      </c>
      <c r="E1465" s="1080" t="str">
        <f>_xlfn.XLOOKUP(D1465,Insumos!$B$1:$B$670,Insumos!$C$1:$C$670)</f>
        <v>KG</v>
      </c>
      <c r="F1465" s="1095">
        <v>0.01</v>
      </c>
      <c r="G1465" s="1096">
        <f>IF(B1465="insumo",_xlfn.XLOOKUP($D1465,Insumos!$B$1:$B$670,Insumos!$D$1:$D$670),"")</f>
        <v>11.15</v>
      </c>
      <c r="H1465" s="1096" cm="1">
        <f t="array" ref="H1465">_xlfn.IFS(B1465="Serviço",SUMIFS(H1466:$H$2465,C1466:$C$2465,$C1465),B1465="Insumo",F1465*G1465,B1465="Etapa","")</f>
        <v>0.1115</v>
      </c>
      <c r="I1465" s="1082"/>
    </row>
    <row r="1466" spans="1:9" outlineLevel="1" collapsed="1" x14ac:dyDescent="0.25">
      <c r="A1466" s="1079">
        <f t="shared" si="57"/>
        <v>1</v>
      </c>
      <c r="B1466" s="1079" t="s">
        <v>471</v>
      </c>
      <c r="C1466" s="1079" t="str">
        <f t="shared" si="58"/>
        <v>Revestimento de Piso Porcelanato Interno ELIZABETH EGEU SAND 74x74 A</v>
      </c>
      <c r="D1466" s="1079" t="s">
        <v>1974</v>
      </c>
      <c r="E1466" s="1080" t="s">
        <v>17</v>
      </c>
      <c r="F1466" s="1079"/>
      <c r="G1466" s="1096" t="str">
        <f>IF(B1466="insumo",_xlfn.XLOOKUP($D1466,Insumos!$B$1:$B$670,Insumos!$D$1:$D$670),"")</f>
        <v/>
      </c>
      <c r="H1466" s="1096" cm="1">
        <f t="array" ref="H1466">_xlfn.IFS(B1466="Serviço",SUMIFS(H1467:$H$2465,C1467:$C$2465,$C1466),B1466="Insumo",F1466*G1466,B1466="Etapa","")</f>
        <v>121.52150000000002</v>
      </c>
      <c r="I1466" s="1082" t="s">
        <v>872</v>
      </c>
    </row>
    <row r="1467" spans="1:9" hidden="1" outlineLevel="2" x14ac:dyDescent="0.25">
      <c r="A1467" s="1079">
        <f t="shared" si="57"/>
        <v>1</v>
      </c>
      <c r="B1467" s="1079" t="s">
        <v>1362</v>
      </c>
      <c r="C1467" s="1079" t="str">
        <f t="shared" si="58"/>
        <v>Revestimento de Piso Porcelanato Interno ELIZABETH EGEU SAND 74x74 A</v>
      </c>
      <c r="D1467" s="1079" t="s">
        <v>1975</v>
      </c>
      <c r="E1467" s="1080" t="str">
        <f>_xlfn.XLOOKUP(D1467,Insumos!$B$1:$B$670,Insumos!$C$1:$C$670)</f>
        <v>M2</v>
      </c>
      <c r="F1467" s="1095">
        <v>1.1000000000000001</v>
      </c>
      <c r="G1467" s="1096">
        <f>IF(B1467="insumo",_xlfn.XLOOKUP($D1467,Insumos!$B$1:$B$670,Insumos!$D$1:$D$670),"")</f>
        <v>89.9</v>
      </c>
      <c r="H1467" s="1096" cm="1">
        <f t="array" ref="H1467">_xlfn.IFS(B1467="Serviço",SUMIFS(H1468:$H$2465,C1468:$C$2465,$C1467),B1467="Insumo",F1467*G1467,B1467="Etapa","")</f>
        <v>98.890000000000015</v>
      </c>
      <c r="I1467" s="1082"/>
    </row>
    <row r="1468" spans="1:9" hidden="1" outlineLevel="2" x14ac:dyDescent="0.25">
      <c r="A1468" s="1079">
        <f t="shared" si="57"/>
        <v>87</v>
      </c>
      <c r="B1468" s="1079" t="s">
        <v>1362</v>
      </c>
      <c r="C1468" s="1079" t="str">
        <f t="shared" si="58"/>
        <v>Revestimento de Piso Porcelanato Interno ELIZABETH EGEU SAND 74x74 A</v>
      </c>
      <c r="D1468" s="1079" t="s">
        <v>1762</v>
      </c>
      <c r="E1468" s="1080" t="str">
        <f>_xlfn.XLOOKUP(D1468,Insumos!$B$1:$B$670,Insumos!$C$1:$C$670)</f>
        <v>KG</v>
      </c>
      <c r="F1468" s="1095">
        <v>8.8000000000000007</v>
      </c>
      <c r="G1468" s="1096">
        <f>IF(B1468="insumo",_xlfn.XLOOKUP($D1468,Insumos!$B$1:$B$670,Insumos!$D$1:$D$670),"")</f>
        <v>2.5499999999999998</v>
      </c>
      <c r="H1468" s="1096" cm="1">
        <f t="array" ref="H1468">_xlfn.IFS(B1468="Serviço",SUMIFS(H1469:$H$2465,C1469:$C$2465,$C1468),B1468="Insumo",F1468*G1468,B1468="Etapa","")</f>
        <v>22.44</v>
      </c>
      <c r="I1468" s="1082"/>
    </row>
    <row r="1469" spans="1:9" hidden="1" outlineLevel="2" x14ac:dyDescent="0.25">
      <c r="A1469" s="1079">
        <f t="shared" si="57"/>
        <v>56</v>
      </c>
      <c r="B1469" s="1079" t="s">
        <v>1362</v>
      </c>
      <c r="C1469" s="1079" t="str">
        <f t="shared" si="58"/>
        <v>Revestimento de Piso Porcelanato Interno ELIZABETH EGEU SAND 74x74 A</v>
      </c>
      <c r="D1469" s="1079" t="s">
        <v>1786</v>
      </c>
      <c r="E1469" s="1080" t="str">
        <f>_xlfn.XLOOKUP(D1469,Insumos!$B$1:$B$670,Insumos!$C$1:$C$670)</f>
        <v>UN</v>
      </c>
      <c r="F1469" s="1095">
        <v>1</v>
      </c>
      <c r="G1469" s="1096">
        <f>IF(B1469="insumo",_xlfn.XLOOKUP($D1469,Insumos!$B$1:$B$670,Insumos!$D$1:$D$670),"")</f>
        <v>0.08</v>
      </c>
      <c r="H1469" s="1096" cm="1">
        <f t="array" ref="H1469">_xlfn.IFS(B1469="Serviço",SUMIFS(H1470:$H$2465,C1470:$C$2465,$C1469),B1469="Insumo",F1469*G1469,B1469="Etapa","")</f>
        <v>0.08</v>
      </c>
      <c r="I1469" s="1082"/>
    </row>
    <row r="1470" spans="1:9" hidden="1" outlineLevel="2" x14ac:dyDescent="0.25">
      <c r="A1470" s="1079">
        <f t="shared" si="57"/>
        <v>50</v>
      </c>
      <c r="B1470" s="1079" t="s">
        <v>1362</v>
      </c>
      <c r="C1470" s="1079" t="str">
        <f t="shared" si="58"/>
        <v>Revestimento de Piso Porcelanato Interno ELIZABETH EGEU SAND 74x74 A</v>
      </c>
      <c r="D1470" s="1079" t="s">
        <v>1787</v>
      </c>
      <c r="E1470" s="1080" t="str">
        <f>_xlfn.XLOOKUP(D1470,Insumos!$B$1:$B$670,Insumos!$C$1:$C$670)</f>
        <v>KG</v>
      </c>
      <c r="F1470" s="1095">
        <v>0.01</v>
      </c>
      <c r="G1470" s="1096">
        <f>IF(B1470="insumo",_xlfn.XLOOKUP($D1470,Insumos!$B$1:$B$670,Insumos!$D$1:$D$670),"")</f>
        <v>11.15</v>
      </c>
      <c r="H1470" s="1096" cm="1">
        <f t="array" ref="H1470">_xlfn.IFS(B1470="Serviço",SUMIFS(H1471:$H$2465,C1471:$C$2465,$C1470),B1470="Insumo",F1470*G1470,B1470="Etapa","")</f>
        <v>0.1115</v>
      </c>
      <c r="I1470" s="1082"/>
    </row>
    <row r="1471" spans="1:9" outlineLevel="1" collapsed="1" x14ac:dyDescent="0.25">
      <c r="A1471" s="1079">
        <f t="shared" si="57"/>
        <v>1</v>
      </c>
      <c r="B1471" s="1079" t="s">
        <v>471</v>
      </c>
      <c r="C1471" s="1079" t="str">
        <f t="shared" si="58"/>
        <v>Revestimento de Piso Porcelanato Interno Piso 75x75cm Cedasa Retificado Evidence Polido</v>
      </c>
      <c r="D1471" s="1079" t="s">
        <v>1976</v>
      </c>
      <c r="E1471" s="1080" t="s">
        <v>17</v>
      </c>
      <c r="F1471" s="1079"/>
      <c r="G1471" s="1096" t="str">
        <f>IF(B1471="insumo",_xlfn.XLOOKUP($D1471,Insumos!$B$1:$B$670,Insumos!$D$1:$D$670),"")</f>
        <v/>
      </c>
      <c r="H1471" s="1096" cm="1">
        <f t="array" ref="H1471">_xlfn.IFS(B1471="Serviço",SUMIFS(H1472:$H$2465,C1472:$C$2465,$C1471),B1471="Insumo",F1471*G1471,B1471="Etapa","")</f>
        <v>180.53650000000005</v>
      </c>
      <c r="I1471" s="1082" t="s">
        <v>872</v>
      </c>
    </row>
    <row r="1472" spans="1:9" hidden="1" outlineLevel="2" x14ac:dyDescent="0.25">
      <c r="A1472" s="1079">
        <f t="shared" si="57"/>
        <v>2</v>
      </c>
      <c r="B1472" s="1079" t="s">
        <v>1362</v>
      </c>
      <c r="C1472" s="1079" t="str">
        <f t="shared" si="58"/>
        <v>Revestimento de Piso Porcelanato Interno Piso 75x75cm Cedasa Retificado Evidence Polido</v>
      </c>
      <c r="D1472" s="1079" t="s">
        <v>1797</v>
      </c>
      <c r="E1472" s="1080" t="str">
        <f>_xlfn.XLOOKUP(D1472,Insumos!$B$1:$B$670,Insumos!$C$1:$C$670)</f>
        <v>M2</v>
      </c>
      <c r="F1472" s="1095">
        <v>1.1000000000000001</v>
      </c>
      <c r="G1472" s="1096">
        <f>IF(B1472="insumo",_xlfn.XLOOKUP($D1472,Insumos!$B$1:$B$670,Insumos!$D$1:$D$670),"")</f>
        <v>143.55000000000001</v>
      </c>
      <c r="H1472" s="1096" cm="1">
        <f t="array" ref="H1472">_xlfn.IFS(B1472="Serviço",SUMIFS(H1473:$H$2465,C1473:$C$2465,$C1472),B1472="Insumo",F1472*G1472,B1472="Etapa","")</f>
        <v>157.90500000000003</v>
      </c>
      <c r="I1472" s="1082"/>
    </row>
    <row r="1473" spans="1:9" hidden="1" outlineLevel="2" x14ac:dyDescent="0.25">
      <c r="A1473" s="1079">
        <f t="shared" si="57"/>
        <v>87</v>
      </c>
      <c r="B1473" s="1079" t="s">
        <v>1362</v>
      </c>
      <c r="C1473" s="1079" t="str">
        <f t="shared" si="58"/>
        <v>Revestimento de Piso Porcelanato Interno Piso 75x75cm Cedasa Retificado Evidence Polido</v>
      </c>
      <c r="D1473" s="1079" t="s">
        <v>1762</v>
      </c>
      <c r="E1473" s="1080" t="str">
        <f>_xlfn.XLOOKUP(D1473,Insumos!$B$1:$B$670,Insumos!$C$1:$C$670)</f>
        <v>KG</v>
      </c>
      <c r="F1473" s="1095">
        <v>8.8000000000000007</v>
      </c>
      <c r="G1473" s="1096">
        <f>IF(B1473="insumo",_xlfn.XLOOKUP($D1473,Insumos!$B$1:$B$670,Insumos!$D$1:$D$670),"")</f>
        <v>2.5499999999999998</v>
      </c>
      <c r="H1473" s="1096" cm="1">
        <f t="array" ref="H1473">_xlfn.IFS(B1473="Serviço",SUMIFS(H1474:$H$2465,C1474:$C$2465,$C1473),B1473="Insumo",F1473*G1473,B1473="Etapa","")</f>
        <v>22.44</v>
      </c>
      <c r="I1473" s="1082"/>
    </row>
    <row r="1474" spans="1:9" hidden="1" outlineLevel="2" x14ac:dyDescent="0.25">
      <c r="A1474" s="1079">
        <f t="shared" ref="A1474:A1537" si="59">COUNTIFS($D$2:$D$2465,D1474,$B$2:$B$2465,B1474)</f>
        <v>56</v>
      </c>
      <c r="B1474" s="1079" t="s">
        <v>1362</v>
      </c>
      <c r="C1474" s="1079" t="str">
        <f t="shared" si="58"/>
        <v>Revestimento de Piso Porcelanato Interno Piso 75x75cm Cedasa Retificado Evidence Polido</v>
      </c>
      <c r="D1474" s="1079" t="s">
        <v>1786</v>
      </c>
      <c r="E1474" s="1080" t="str">
        <f>_xlfn.XLOOKUP(D1474,Insumos!$B$1:$B$670,Insumos!$C$1:$C$670)</f>
        <v>UN</v>
      </c>
      <c r="F1474" s="1095">
        <v>1</v>
      </c>
      <c r="G1474" s="1096">
        <f>IF(B1474="insumo",_xlfn.XLOOKUP($D1474,Insumos!$B$1:$B$670,Insumos!$D$1:$D$670),"")</f>
        <v>0.08</v>
      </c>
      <c r="H1474" s="1096" cm="1">
        <f t="array" ref="H1474">_xlfn.IFS(B1474="Serviço",SUMIFS(H1475:$H$2465,C1475:$C$2465,$C1474),B1474="Insumo",F1474*G1474,B1474="Etapa","")</f>
        <v>0.08</v>
      </c>
      <c r="I1474" s="1082"/>
    </row>
    <row r="1475" spans="1:9" hidden="1" outlineLevel="2" x14ac:dyDescent="0.25">
      <c r="A1475" s="1079">
        <f t="shared" si="59"/>
        <v>50</v>
      </c>
      <c r="B1475" s="1079" t="s">
        <v>1362</v>
      </c>
      <c r="C1475" s="1079" t="str">
        <f t="shared" si="58"/>
        <v>Revestimento de Piso Porcelanato Interno Piso 75x75cm Cedasa Retificado Evidence Polido</v>
      </c>
      <c r="D1475" s="1079" t="s">
        <v>1787</v>
      </c>
      <c r="E1475" s="1080" t="str">
        <f>_xlfn.XLOOKUP(D1475,Insumos!$B$1:$B$670,Insumos!$C$1:$C$670)</f>
        <v>KG</v>
      </c>
      <c r="F1475" s="1095">
        <v>0.01</v>
      </c>
      <c r="G1475" s="1096">
        <f>IF(B1475="insumo",_xlfn.XLOOKUP($D1475,Insumos!$B$1:$B$670,Insumos!$D$1:$D$670),"")</f>
        <v>11.15</v>
      </c>
      <c r="H1475" s="1096" cm="1">
        <f t="array" ref="H1475">_xlfn.IFS(B1475="Serviço",SUMIFS(H1476:$H$2465,C1476:$C$2465,$C1475),B1475="Insumo",F1475*G1475,B1475="Etapa","")</f>
        <v>0.1115</v>
      </c>
      <c r="I1475" s="1082"/>
    </row>
    <row r="1476" spans="1:9" outlineLevel="1" collapsed="1" x14ac:dyDescent="0.25">
      <c r="A1476" s="1079">
        <f t="shared" si="59"/>
        <v>1</v>
      </c>
      <c r="B1476" s="1079" t="s">
        <v>471</v>
      </c>
      <c r="C1476" s="1079" t="str">
        <f t="shared" si="58"/>
        <v>Revestimento de Piso Porcelanato Interno Retificado Embramaco 76x76cm Acetinado Nevada Mate Plus Retificado</v>
      </c>
      <c r="D1476" s="1079" t="s">
        <v>1977</v>
      </c>
      <c r="E1476" s="1080" t="s">
        <v>17</v>
      </c>
      <c r="F1476" s="1079"/>
      <c r="G1476" s="1096" t="str">
        <f>IF(B1476="insumo",_xlfn.XLOOKUP($D1476,Insumos!$B$1:$B$670,Insumos!$D$1:$D$670),"")</f>
        <v/>
      </c>
      <c r="H1476" s="1096" cm="1">
        <f t="array" ref="H1476">_xlfn.IFS(B1476="Serviço",SUMIFS(H1477:$H$2465,C1477:$C$2465,$C1476),B1476="Insumo",F1476*G1476,B1476="Etapa","")</f>
        <v>61.021499999999996</v>
      </c>
      <c r="I1476" s="1082" t="s">
        <v>872</v>
      </c>
    </row>
    <row r="1477" spans="1:9" hidden="1" outlineLevel="2" x14ac:dyDescent="0.25">
      <c r="A1477" s="1079">
        <f t="shared" si="59"/>
        <v>1</v>
      </c>
      <c r="B1477" s="1079" t="s">
        <v>1362</v>
      </c>
      <c r="C1477" s="1079" t="str">
        <f t="shared" si="58"/>
        <v>Revestimento de Piso Porcelanato Interno Retificado Embramaco 76x76cm Acetinado Nevada Mate Plus Retificado</v>
      </c>
      <c r="D1477" s="1079" t="s">
        <v>1978</v>
      </c>
      <c r="E1477" s="1080" t="str">
        <f>_xlfn.XLOOKUP(D1477,Insumos!$B$1:$B$670,Insumos!$C$1:$C$670)</f>
        <v>M2</v>
      </c>
      <c r="F1477" s="1095">
        <v>1.1000000000000001</v>
      </c>
      <c r="G1477" s="1096">
        <f>IF(B1477="insumo",_xlfn.XLOOKUP($D1477,Insumos!$B$1:$B$670,Insumos!$D$1:$D$670),"")</f>
        <v>34.9</v>
      </c>
      <c r="H1477" s="1096" cm="1">
        <f t="array" ref="H1477">_xlfn.IFS(B1477="Serviço",SUMIFS(H1478:$H$2465,C1478:$C$2465,$C1477),B1477="Insumo",F1477*G1477,B1477="Etapa","")</f>
        <v>38.39</v>
      </c>
      <c r="I1477" s="1082"/>
    </row>
    <row r="1478" spans="1:9" hidden="1" outlineLevel="2" x14ac:dyDescent="0.25">
      <c r="A1478" s="1079">
        <f t="shared" si="59"/>
        <v>87</v>
      </c>
      <c r="B1478" s="1079" t="s">
        <v>1362</v>
      </c>
      <c r="C1478" s="1079" t="str">
        <f t="shared" si="58"/>
        <v>Revestimento de Piso Porcelanato Interno Retificado Embramaco 76x76cm Acetinado Nevada Mate Plus Retificado</v>
      </c>
      <c r="D1478" s="1079" t="s">
        <v>1762</v>
      </c>
      <c r="E1478" s="1080" t="str">
        <f>_xlfn.XLOOKUP(D1478,Insumos!$B$1:$B$670,Insumos!$C$1:$C$670)</f>
        <v>KG</v>
      </c>
      <c r="F1478" s="1095">
        <v>8.8000000000000007</v>
      </c>
      <c r="G1478" s="1096">
        <f>IF(B1478="insumo",_xlfn.XLOOKUP($D1478,Insumos!$B$1:$B$670,Insumos!$D$1:$D$670),"")</f>
        <v>2.5499999999999998</v>
      </c>
      <c r="H1478" s="1096" cm="1">
        <f t="array" ref="H1478">_xlfn.IFS(B1478="Serviço",SUMIFS(H1479:$H$2465,C1479:$C$2465,$C1478),B1478="Insumo",F1478*G1478,B1478="Etapa","")</f>
        <v>22.44</v>
      </c>
      <c r="I1478" s="1082"/>
    </row>
    <row r="1479" spans="1:9" hidden="1" outlineLevel="2" x14ac:dyDescent="0.25">
      <c r="A1479" s="1079">
        <f t="shared" si="59"/>
        <v>56</v>
      </c>
      <c r="B1479" s="1079" t="s">
        <v>1362</v>
      </c>
      <c r="C1479" s="1079" t="str">
        <f t="shared" si="58"/>
        <v>Revestimento de Piso Porcelanato Interno Retificado Embramaco 76x76cm Acetinado Nevada Mate Plus Retificado</v>
      </c>
      <c r="D1479" s="1079" t="s">
        <v>1786</v>
      </c>
      <c r="E1479" s="1080" t="str">
        <f>_xlfn.XLOOKUP(D1479,Insumos!$B$1:$B$670,Insumos!$C$1:$C$670)</f>
        <v>UN</v>
      </c>
      <c r="F1479" s="1095">
        <v>1</v>
      </c>
      <c r="G1479" s="1096">
        <f>IF(B1479="insumo",_xlfn.XLOOKUP($D1479,Insumos!$B$1:$B$670,Insumos!$D$1:$D$670),"")</f>
        <v>0.08</v>
      </c>
      <c r="H1479" s="1096" cm="1">
        <f t="array" ref="H1479">_xlfn.IFS(B1479="Serviço",SUMIFS(H1480:$H$2465,C1480:$C$2465,$C1479),B1479="Insumo",F1479*G1479,B1479="Etapa","")</f>
        <v>0.08</v>
      </c>
      <c r="I1479" s="1082"/>
    </row>
    <row r="1480" spans="1:9" hidden="1" outlineLevel="2" x14ac:dyDescent="0.25">
      <c r="A1480" s="1079">
        <f t="shared" si="59"/>
        <v>50</v>
      </c>
      <c r="B1480" s="1079" t="s">
        <v>1362</v>
      </c>
      <c r="C1480" s="1079" t="str">
        <f t="shared" si="58"/>
        <v>Revestimento de Piso Porcelanato Interno Retificado Embramaco 76x76cm Acetinado Nevada Mate Plus Retificado</v>
      </c>
      <c r="D1480" s="1079" t="s">
        <v>1787</v>
      </c>
      <c r="E1480" s="1080" t="str">
        <f>_xlfn.XLOOKUP(D1480,Insumos!$B$1:$B$670,Insumos!$C$1:$C$670)</f>
        <v>KG</v>
      </c>
      <c r="F1480" s="1095">
        <v>0.01</v>
      </c>
      <c r="G1480" s="1096">
        <f>IF(B1480="insumo",_xlfn.XLOOKUP($D1480,Insumos!$B$1:$B$670,Insumos!$D$1:$D$670),"")</f>
        <v>11.15</v>
      </c>
      <c r="H1480" s="1096" cm="1">
        <f t="array" ref="H1480">_xlfn.IFS(B1480="Serviço",SUMIFS(H1481:$H$2465,C1481:$C$2465,$C1480),B1480="Insumo",F1480*G1480,B1480="Etapa","")</f>
        <v>0.1115</v>
      </c>
      <c r="I1480" s="1082"/>
    </row>
    <row r="1481" spans="1:9" outlineLevel="1" collapsed="1" x14ac:dyDescent="0.25">
      <c r="A1481" s="1079">
        <f t="shared" si="59"/>
        <v>1</v>
      </c>
      <c r="B1481" s="1079" t="s">
        <v>471</v>
      </c>
      <c r="C1481" s="1079" t="str">
        <f t="shared" si="58"/>
        <v>Revestimento de Piso Porcelanato Externo Portobello Deck Parquet D Olivier Externo "A" 81x81cm</v>
      </c>
      <c r="D1481" s="1079" t="s">
        <v>1979</v>
      </c>
      <c r="E1481" s="1080" t="s">
        <v>17</v>
      </c>
      <c r="F1481" s="1079"/>
      <c r="G1481" s="1096" t="str">
        <f>IF(B1481="insumo",_xlfn.XLOOKUP($D1481,Insumos!$B$1:$B$670,Insumos!$D$1:$D$670),"")</f>
        <v/>
      </c>
      <c r="H1481" s="1096" cm="1">
        <f t="array" ref="H1481">_xlfn.IFS(B1481="Serviço",SUMIFS(H1482:$H$2465,C1482:$C$2465,$C1481),B1481="Insumo",F1481*G1481,B1481="Etapa","")</f>
        <v>116.02150000000002</v>
      </c>
      <c r="I1481" s="1082" t="s">
        <v>872</v>
      </c>
    </row>
    <row r="1482" spans="1:9" hidden="1" outlineLevel="2" x14ac:dyDescent="0.25">
      <c r="A1482" s="1079">
        <f t="shared" si="59"/>
        <v>1</v>
      </c>
      <c r="B1482" s="1079" t="s">
        <v>1362</v>
      </c>
      <c r="C1482" s="1079" t="str">
        <f t="shared" si="58"/>
        <v>Revestimento de Piso Porcelanato Externo Portobello Deck Parquet D Olivier Externo "A" 81x81cm</v>
      </c>
      <c r="D1482" s="1079" t="s">
        <v>1980</v>
      </c>
      <c r="E1482" s="1080" t="str">
        <f>_xlfn.XLOOKUP(D1482,Insumos!$B$1:$B$670,Insumos!$C$1:$C$670)</f>
        <v>M2</v>
      </c>
      <c r="F1482" s="1095">
        <v>1.1000000000000001</v>
      </c>
      <c r="G1482" s="1096">
        <f>IF(B1482="insumo",_xlfn.XLOOKUP($D1482,Insumos!$B$1:$B$670,Insumos!$D$1:$D$670),"")</f>
        <v>84.9</v>
      </c>
      <c r="H1482" s="1096" cm="1">
        <f t="array" ref="H1482">_xlfn.IFS(B1482="Serviço",SUMIFS(H1483:$H$2465,C1483:$C$2465,$C1482),B1482="Insumo",F1482*G1482,B1482="Etapa","")</f>
        <v>93.390000000000015</v>
      </c>
      <c r="I1482" s="1082"/>
    </row>
    <row r="1483" spans="1:9" hidden="1" outlineLevel="2" x14ac:dyDescent="0.25">
      <c r="A1483" s="1079">
        <f t="shared" si="59"/>
        <v>87</v>
      </c>
      <c r="B1483" s="1079" t="s">
        <v>1362</v>
      </c>
      <c r="C1483" s="1079" t="str">
        <f t="shared" si="58"/>
        <v>Revestimento de Piso Porcelanato Externo Portobello Deck Parquet D Olivier Externo "A" 81x81cm</v>
      </c>
      <c r="D1483" s="1079" t="s">
        <v>1762</v>
      </c>
      <c r="E1483" s="1080" t="str">
        <f>_xlfn.XLOOKUP(D1483,Insumos!$B$1:$B$670,Insumos!$C$1:$C$670)</f>
        <v>KG</v>
      </c>
      <c r="F1483" s="1095">
        <v>8.8000000000000007</v>
      </c>
      <c r="G1483" s="1096">
        <f>IF(B1483="insumo",_xlfn.XLOOKUP($D1483,Insumos!$B$1:$B$670,Insumos!$D$1:$D$670),"")</f>
        <v>2.5499999999999998</v>
      </c>
      <c r="H1483" s="1096" cm="1">
        <f t="array" ref="H1483">_xlfn.IFS(B1483="Serviço",SUMIFS(H1484:$H$2465,C1484:$C$2465,$C1483),B1483="Insumo",F1483*G1483,B1483="Etapa","")</f>
        <v>22.44</v>
      </c>
      <c r="I1483" s="1082"/>
    </row>
    <row r="1484" spans="1:9" hidden="1" outlineLevel="2" x14ac:dyDescent="0.25">
      <c r="A1484" s="1079">
        <f t="shared" si="59"/>
        <v>56</v>
      </c>
      <c r="B1484" s="1079" t="s">
        <v>1362</v>
      </c>
      <c r="C1484" s="1079" t="str">
        <f t="shared" si="58"/>
        <v>Revestimento de Piso Porcelanato Externo Portobello Deck Parquet D Olivier Externo "A" 81x81cm</v>
      </c>
      <c r="D1484" s="1079" t="s">
        <v>1786</v>
      </c>
      <c r="E1484" s="1080" t="str">
        <f>_xlfn.XLOOKUP(D1484,Insumos!$B$1:$B$670,Insumos!$C$1:$C$670)</f>
        <v>UN</v>
      </c>
      <c r="F1484" s="1095">
        <v>1</v>
      </c>
      <c r="G1484" s="1096">
        <f>IF(B1484="insumo",_xlfn.XLOOKUP($D1484,Insumos!$B$1:$B$670,Insumos!$D$1:$D$670),"")</f>
        <v>0.08</v>
      </c>
      <c r="H1484" s="1096" cm="1">
        <f t="array" ref="H1484">_xlfn.IFS(B1484="Serviço",SUMIFS(H1485:$H$2465,C1485:$C$2465,$C1484),B1484="Insumo",F1484*G1484,B1484="Etapa","")</f>
        <v>0.08</v>
      </c>
      <c r="I1484" s="1082"/>
    </row>
    <row r="1485" spans="1:9" hidden="1" outlineLevel="2" x14ac:dyDescent="0.25">
      <c r="A1485" s="1079">
        <f t="shared" si="59"/>
        <v>50</v>
      </c>
      <c r="B1485" s="1079" t="s">
        <v>1362</v>
      </c>
      <c r="C1485" s="1079" t="str">
        <f t="shared" si="58"/>
        <v>Revestimento de Piso Porcelanato Externo Portobello Deck Parquet D Olivier Externo "A" 81x81cm</v>
      </c>
      <c r="D1485" s="1079" t="s">
        <v>1787</v>
      </c>
      <c r="E1485" s="1080" t="str">
        <f>_xlfn.XLOOKUP(D1485,Insumos!$B$1:$B$670,Insumos!$C$1:$C$670)</f>
        <v>KG</v>
      </c>
      <c r="F1485" s="1095">
        <v>0.01</v>
      </c>
      <c r="G1485" s="1096">
        <f>IF(B1485="insumo",_xlfn.XLOOKUP($D1485,Insumos!$B$1:$B$670,Insumos!$D$1:$D$670),"")</f>
        <v>11.15</v>
      </c>
      <c r="H1485" s="1096" cm="1">
        <f t="array" ref="H1485">_xlfn.IFS(B1485="Serviço",SUMIFS(H1486:$H$2465,C1486:$C$2465,$C1485),B1485="Insumo",F1485*G1485,B1485="Etapa","")</f>
        <v>0.1115</v>
      </c>
      <c r="I1485" s="1082"/>
    </row>
    <row r="1486" spans="1:9" outlineLevel="1" collapsed="1" x14ac:dyDescent="0.25">
      <c r="A1486" s="1079">
        <f t="shared" si="59"/>
        <v>1</v>
      </c>
      <c r="B1486" s="1079" t="s">
        <v>471</v>
      </c>
      <c r="C1486" s="1079" t="str">
        <f t="shared" si="58"/>
        <v>Revestimento de Piso Porcelanato Externo Porcelanato Pro Concrete Abs 89,5X89,5cm</v>
      </c>
      <c r="D1486" s="1079" t="s">
        <v>1981</v>
      </c>
      <c r="E1486" s="1080" t="s">
        <v>17</v>
      </c>
      <c r="F1486" s="1079"/>
      <c r="G1486" s="1096" t="str">
        <f>IF(B1486="insumo",_xlfn.XLOOKUP($D1486,Insumos!$B$1:$B$670,Insumos!$D$1:$D$670),"")</f>
        <v/>
      </c>
      <c r="H1486" s="1096" cm="1">
        <f t="array" ref="H1486">_xlfn.IFS(B1486="Serviço",SUMIFS(H1487:$H$2465,C1487:$C$2465,$C1486),B1486="Insumo",F1486*G1486,B1486="Etapa","")</f>
        <v>182.02150000000003</v>
      </c>
      <c r="I1486" s="1082" t="s">
        <v>872</v>
      </c>
    </row>
    <row r="1487" spans="1:9" hidden="1" outlineLevel="2" x14ac:dyDescent="0.25">
      <c r="A1487" s="1079">
        <f t="shared" si="59"/>
        <v>1</v>
      </c>
      <c r="B1487" s="1079" t="s">
        <v>1362</v>
      </c>
      <c r="C1487" s="1079" t="str">
        <f t="shared" si="58"/>
        <v>Revestimento de Piso Porcelanato Externo Porcelanato Pro Concrete Abs 89,5X89,5cm</v>
      </c>
      <c r="D1487" s="1079" t="s">
        <v>1982</v>
      </c>
      <c r="E1487" s="1080" t="str">
        <f>_xlfn.XLOOKUP(D1487,Insumos!$B$1:$B$670,Insumos!$C$1:$C$670)</f>
        <v>M2</v>
      </c>
      <c r="F1487" s="1095">
        <v>1.1000000000000001</v>
      </c>
      <c r="G1487" s="1096">
        <f>IF(B1487="insumo",_xlfn.XLOOKUP($D1487,Insumos!$B$1:$B$670,Insumos!$D$1:$D$670),"")</f>
        <v>144.9</v>
      </c>
      <c r="H1487" s="1096" cm="1">
        <f t="array" ref="H1487">_xlfn.IFS(B1487="Serviço",SUMIFS(H1488:$H$2465,C1488:$C$2465,$C1487),B1487="Insumo",F1487*G1487,B1487="Etapa","")</f>
        <v>159.39000000000001</v>
      </c>
      <c r="I1487" s="1082"/>
    </row>
    <row r="1488" spans="1:9" hidden="1" outlineLevel="2" x14ac:dyDescent="0.25">
      <c r="A1488" s="1079">
        <f t="shared" si="59"/>
        <v>87</v>
      </c>
      <c r="B1488" s="1079" t="s">
        <v>1362</v>
      </c>
      <c r="C1488" s="1079" t="str">
        <f t="shared" si="58"/>
        <v>Revestimento de Piso Porcelanato Externo Porcelanato Pro Concrete Abs 89,5X89,5cm</v>
      </c>
      <c r="D1488" s="1079" t="s">
        <v>1762</v>
      </c>
      <c r="E1488" s="1080" t="str">
        <f>_xlfn.XLOOKUP(D1488,Insumos!$B$1:$B$670,Insumos!$C$1:$C$670)</f>
        <v>KG</v>
      </c>
      <c r="F1488" s="1095">
        <v>8.8000000000000007</v>
      </c>
      <c r="G1488" s="1096">
        <f>IF(B1488="insumo",_xlfn.XLOOKUP($D1488,Insumos!$B$1:$B$670,Insumos!$D$1:$D$670),"")</f>
        <v>2.5499999999999998</v>
      </c>
      <c r="H1488" s="1096" cm="1">
        <f t="array" ref="H1488">_xlfn.IFS(B1488="Serviço",SUMIFS(H1489:$H$2465,C1489:$C$2465,$C1488),B1488="Insumo",F1488*G1488,B1488="Etapa","")</f>
        <v>22.44</v>
      </c>
      <c r="I1488" s="1082"/>
    </row>
    <row r="1489" spans="1:9" hidden="1" outlineLevel="2" x14ac:dyDescent="0.25">
      <c r="A1489" s="1079">
        <f t="shared" si="59"/>
        <v>56</v>
      </c>
      <c r="B1489" s="1079" t="s">
        <v>1362</v>
      </c>
      <c r="C1489" s="1079" t="str">
        <f t="shared" si="58"/>
        <v>Revestimento de Piso Porcelanato Externo Porcelanato Pro Concrete Abs 89,5X89,5cm</v>
      </c>
      <c r="D1489" s="1079" t="s">
        <v>1786</v>
      </c>
      <c r="E1489" s="1080" t="str">
        <f>_xlfn.XLOOKUP(D1489,Insumos!$B$1:$B$670,Insumos!$C$1:$C$670)</f>
        <v>UN</v>
      </c>
      <c r="F1489" s="1095">
        <v>1</v>
      </c>
      <c r="G1489" s="1096">
        <f>IF(B1489="insumo",_xlfn.XLOOKUP($D1489,Insumos!$B$1:$B$670,Insumos!$D$1:$D$670),"")</f>
        <v>0.08</v>
      </c>
      <c r="H1489" s="1096" cm="1">
        <f t="array" ref="H1489">_xlfn.IFS(B1489="Serviço",SUMIFS(H1490:$H$2465,C1490:$C$2465,$C1489),B1489="Insumo",F1489*G1489,B1489="Etapa","")</f>
        <v>0.08</v>
      </c>
      <c r="I1489" s="1082"/>
    </row>
    <row r="1490" spans="1:9" hidden="1" outlineLevel="2" x14ac:dyDescent="0.25">
      <c r="A1490" s="1079">
        <f t="shared" si="59"/>
        <v>50</v>
      </c>
      <c r="B1490" s="1079" t="s">
        <v>1362</v>
      </c>
      <c r="C1490" s="1079" t="str">
        <f t="shared" ref="C1490:C1553" si="60">IF(B1490="serviço",D1490,C1489)</f>
        <v>Revestimento de Piso Porcelanato Externo Porcelanato Pro Concrete Abs 89,5X89,5cm</v>
      </c>
      <c r="D1490" s="1079" t="s">
        <v>1787</v>
      </c>
      <c r="E1490" s="1080" t="str">
        <f>_xlfn.XLOOKUP(D1490,Insumos!$B$1:$B$670,Insumos!$C$1:$C$670)</f>
        <v>KG</v>
      </c>
      <c r="F1490" s="1095">
        <v>0.01</v>
      </c>
      <c r="G1490" s="1096">
        <f>IF(B1490="insumo",_xlfn.XLOOKUP($D1490,Insumos!$B$1:$B$670,Insumos!$D$1:$D$670),"")</f>
        <v>11.15</v>
      </c>
      <c r="H1490" s="1096" cm="1">
        <f t="array" ref="H1490">_xlfn.IFS(B1490="Serviço",SUMIFS(H1491:$H$2465,C1491:$C$2465,$C1490),B1490="Insumo",F1490*G1490,B1490="Etapa","")</f>
        <v>0.1115</v>
      </c>
      <c r="I1490" s="1082"/>
    </row>
    <row r="1491" spans="1:9" outlineLevel="1" collapsed="1" x14ac:dyDescent="0.25">
      <c r="A1491" s="1079">
        <f t="shared" si="59"/>
        <v>1</v>
      </c>
      <c r="B1491" s="1079" t="s">
        <v>471</v>
      </c>
      <c r="C1491" s="1079" t="str">
        <f t="shared" si="60"/>
        <v>Revestimento em Porcelanato Biancogres 20x120 Scala Beige-a Ret , rejunte cimentício, aplicação em áreas comuns internas</v>
      </c>
      <c r="D1491" s="1079" t="s">
        <v>1983</v>
      </c>
      <c r="E1491" s="1080" t="s">
        <v>17</v>
      </c>
      <c r="F1491" s="1079"/>
      <c r="G1491" s="1096" t="str">
        <f>IF(B1491="insumo",_xlfn.XLOOKUP($D1491,Insumos!$B$1:$B$670,Insumos!$D$1:$D$670),"")</f>
        <v/>
      </c>
      <c r="H1491" s="1096" cm="1">
        <f t="array" ref="H1491">_xlfn.IFS(B1491="Serviço",SUMIFS(H1492:$H$2465,C1492:$C$2465,$C1491),B1491="Insumo",F1491*G1491,B1491="Etapa","")</f>
        <v>132.49300000000002</v>
      </c>
      <c r="I1491" s="1082" t="s">
        <v>872</v>
      </c>
    </row>
    <row r="1492" spans="1:9" hidden="1" outlineLevel="2" x14ac:dyDescent="0.25">
      <c r="A1492" s="1079">
        <f t="shared" si="59"/>
        <v>1</v>
      </c>
      <c r="B1492" s="1079" t="s">
        <v>1362</v>
      </c>
      <c r="C1492" s="1079" t="str">
        <f t="shared" si="60"/>
        <v>Revestimento em Porcelanato Biancogres 20x120 Scala Beige-a Ret , rejunte cimentício, aplicação em áreas comuns internas</v>
      </c>
      <c r="D1492" s="1079" t="s">
        <v>1984</v>
      </c>
      <c r="E1492" s="1080" t="str">
        <f>_xlfn.XLOOKUP(D1492,Insumos!$B$1:$B$670,Insumos!$C$1:$C$670)</f>
        <v>M2</v>
      </c>
      <c r="F1492" s="1083">
        <v>1.1000000000000001</v>
      </c>
      <c r="G1492" s="1096">
        <f>IF(B1492="insumo",_xlfn.XLOOKUP($D1492,Insumos!$B$1:$B$670,Insumos!$D$1:$D$670),"")</f>
        <v>99.7</v>
      </c>
      <c r="H1492" s="1096" cm="1">
        <f t="array" ref="H1492">_xlfn.IFS(B1492="Serviço",SUMIFS(H1493:$H$2465,C1493:$C$2465,$C1492),B1492="Insumo",F1492*G1492,B1492="Etapa","")</f>
        <v>109.67000000000002</v>
      </c>
      <c r="I1492" s="1082"/>
    </row>
    <row r="1493" spans="1:9" hidden="1" outlineLevel="2" x14ac:dyDescent="0.25">
      <c r="A1493" s="1079">
        <f t="shared" si="59"/>
        <v>87</v>
      </c>
      <c r="B1493" s="1079" t="s">
        <v>1362</v>
      </c>
      <c r="C1493" s="1079" t="str">
        <f t="shared" si="60"/>
        <v>Revestimento em Porcelanato Biancogres 20x120 Scala Beige-a Ret , rejunte cimentício, aplicação em áreas comuns internas</v>
      </c>
      <c r="D1493" s="1079" t="s">
        <v>1762</v>
      </c>
      <c r="E1493" s="1080" t="str">
        <f>_xlfn.XLOOKUP(D1493,Insumos!$B$1:$B$670,Insumos!$C$1:$C$670)</f>
        <v>KG</v>
      </c>
      <c r="F1493" s="1083">
        <v>8.8000000000000007</v>
      </c>
      <c r="G1493" s="1096">
        <f>IF(B1493="insumo",_xlfn.XLOOKUP($D1493,Insumos!$B$1:$B$670,Insumos!$D$1:$D$670),"")</f>
        <v>2.5499999999999998</v>
      </c>
      <c r="H1493" s="1096" cm="1">
        <f t="array" ref="H1493">_xlfn.IFS(B1493="Serviço",SUMIFS(H1494:$H$2465,C1494:$C$2465,$C1493),B1493="Insumo",F1493*G1493,B1493="Etapa","")</f>
        <v>22.44</v>
      </c>
      <c r="I1493" s="1082"/>
    </row>
    <row r="1494" spans="1:9" hidden="1" outlineLevel="2" x14ac:dyDescent="0.25">
      <c r="A1494" s="1079">
        <f t="shared" si="59"/>
        <v>56</v>
      </c>
      <c r="B1494" s="1079" t="s">
        <v>1362</v>
      </c>
      <c r="C1494" s="1079" t="str">
        <f t="shared" si="60"/>
        <v>Revestimento em Porcelanato Biancogres 20x120 Scala Beige-a Ret , rejunte cimentício, aplicação em áreas comuns internas</v>
      </c>
      <c r="D1494" s="1079" t="s">
        <v>1786</v>
      </c>
      <c r="E1494" s="1080" t="str">
        <f>_xlfn.XLOOKUP(D1494,Insumos!$B$1:$B$670,Insumos!$C$1:$C$670)</f>
        <v>UN</v>
      </c>
      <c r="F1494" s="1083">
        <v>2</v>
      </c>
      <c r="G1494" s="1096">
        <f>IF(B1494="insumo",_xlfn.XLOOKUP($D1494,Insumos!$B$1:$B$670,Insumos!$D$1:$D$670),"")</f>
        <v>0.08</v>
      </c>
      <c r="H1494" s="1096" cm="1">
        <f t="array" ref="H1494">_xlfn.IFS(B1494="Serviço",SUMIFS(H1495:$H$2465,C1495:$C$2465,$C1494),B1494="Insumo",F1494*G1494,B1494="Etapa","")</f>
        <v>0.16</v>
      </c>
      <c r="I1494" s="1082"/>
    </row>
    <row r="1495" spans="1:9" hidden="1" outlineLevel="2" x14ac:dyDescent="0.25">
      <c r="A1495" s="1079">
        <f t="shared" si="59"/>
        <v>50</v>
      </c>
      <c r="B1495" s="1079" t="s">
        <v>1362</v>
      </c>
      <c r="C1495" s="1079" t="str">
        <f t="shared" si="60"/>
        <v>Revestimento em Porcelanato Biancogres 20x120 Scala Beige-a Ret , rejunte cimentício, aplicação em áreas comuns internas</v>
      </c>
      <c r="D1495" s="1079" t="s">
        <v>1787</v>
      </c>
      <c r="E1495" s="1080" t="str">
        <f>_xlfn.XLOOKUP(D1495,Insumos!$B$1:$B$670,Insumos!$C$1:$C$670)</f>
        <v>KG</v>
      </c>
      <c r="F1495" s="1083">
        <v>0.02</v>
      </c>
      <c r="G1495" s="1096">
        <f>IF(B1495="insumo",_xlfn.XLOOKUP($D1495,Insumos!$B$1:$B$670,Insumos!$D$1:$D$670),"")</f>
        <v>11.15</v>
      </c>
      <c r="H1495" s="1096" cm="1">
        <f t="array" ref="H1495">_xlfn.IFS(B1495="Serviço",SUMIFS(H1496:$H$2465,C1496:$C$2465,$C1495),B1495="Insumo",F1495*G1495,B1495="Etapa","")</f>
        <v>0.223</v>
      </c>
      <c r="I1495" s="1082"/>
    </row>
    <row r="1496" spans="1:9" outlineLevel="1" collapsed="1" x14ac:dyDescent="0.25">
      <c r="A1496" s="1079">
        <f t="shared" si="59"/>
        <v>1</v>
      </c>
      <c r="B1496" s="1079" t="s">
        <v>471</v>
      </c>
      <c r="C1496" s="1079" t="str">
        <f t="shared" si="60"/>
        <v>Revestimento em Porcelanato Tipo Argila | Portobello - 120x20 cm, rejunte cimentício, aplicação em áreas comuns internas</v>
      </c>
      <c r="D1496" s="1079" t="s">
        <v>1985</v>
      </c>
      <c r="E1496" s="1080" t="s">
        <v>17</v>
      </c>
      <c r="F1496" s="1079"/>
      <c r="G1496" s="1096" t="str">
        <f>IF(B1496="insumo",_xlfn.XLOOKUP($D1496,Insumos!$B$1:$B$670,Insumos!$D$1:$D$670),"")</f>
        <v/>
      </c>
      <c r="H1496" s="1096" cm="1">
        <f t="array" ref="H1496">_xlfn.IFS(B1496="Serviço",SUMIFS(H1497:$H$2465,C1497:$C$2465,$C1496),B1496="Insumo",F1496*G1496,B1496="Etapa","")</f>
        <v>198.82300000000001</v>
      </c>
      <c r="I1496" s="1082" t="s">
        <v>872</v>
      </c>
    </row>
    <row r="1497" spans="1:9" hidden="1" outlineLevel="2" x14ac:dyDescent="0.25">
      <c r="A1497" s="1079">
        <f t="shared" si="59"/>
        <v>1</v>
      </c>
      <c r="B1497" s="1079" t="s">
        <v>1362</v>
      </c>
      <c r="C1497" s="1079" t="str">
        <f t="shared" si="60"/>
        <v>Revestimento em Porcelanato Tipo Argila | Portobello - 120x20 cm, rejunte cimentício, aplicação em áreas comuns internas</v>
      </c>
      <c r="D1497" s="1079" t="s">
        <v>1986</v>
      </c>
      <c r="E1497" s="1080" t="str">
        <f>_xlfn.XLOOKUP(D1497,Insumos!$B$1:$B$670,Insumos!$C$1:$C$670)</f>
        <v>M2</v>
      </c>
      <c r="F1497" s="1083">
        <v>1.1000000000000001</v>
      </c>
      <c r="G1497" s="1096">
        <f>IF(B1497="insumo",_xlfn.XLOOKUP($D1497,Insumos!$B$1:$B$670,Insumos!$D$1:$D$670),"")</f>
        <v>160</v>
      </c>
      <c r="H1497" s="1096" cm="1">
        <f t="array" ref="H1497">_xlfn.IFS(B1497="Serviço",SUMIFS(H1498:$H$2465,C1498:$C$2465,$C1497),B1497="Insumo",F1497*G1497,B1497="Etapa","")</f>
        <v>176</v>
      </c>
      <c r="I1497" s="1082"/>
    </row>
    <row r="1498" spans="1:9" hidden="1" outlineLevel="2" x14ac:dyDescent="0.25">
      <c r="A1498" s="1079">
        <f t="shared" si="59"/>
        <v>87</v>
      </c>
      <c r="B1498" s="1079" t="s">
        <v>1362</v>
      </c>
      <c r="C1498" s="1079" t="str">
        <f t="shared" si="60"/>
        <v>Revestimento em Porcelanato Tipo Argila | Portobello - 120x20 cm, rejunte cimentício, aplicação em áreas comuns internas</v>
      </c>
      <c r="D1498" s="1079" t="s">
        <v>1762</v>
      </c>
      <c r="E1498" s="1080" t="str">
        <f>_xlfn.XLOOKUP(D1498,Insumos!$B$1:$B$670,Insumos!$C$1:$C$670)</f>
        <v>KG</v>
      </c>
      <c r="F1498" s="1083">
        <v>8.8000000000000007</v>
      </c>
      <c r="G1498" s="1096">
        <f>IF(B1498="insumo",_xlfn.XLOOKUP($D1498,Insumos!$B$1:$B$670,Insumos!$D$1:$D$670),"")</f>
        <v>2.5499999999999998</v>
      </c>
      <c r="H1498" s="1096" cm="1">
        <f t="array" ref="H1498">_xlfn.IFS(B1498="Serviço",SUMIFS(H1499:$H$2465,C1499:$C$2465,$C1498),B1498="Insumo",F1498*G1498,B1498="Etapa","")</f>
        <v>22.44</v>
      </c>
      <c r="I1498" s="1082"/>
    </row>
    <row r="1499" spans="1:9" hidden="1" outlineLevel="2" x14ac:dyDescent="0.25">
      <c r="A1499" s="1079">
        <f t="shared" si="59"/>
        <v>56</v>
      </c>
      <c r="B1499" s="1079" t="s">
        <v>1362</v>
      </c>
      <c r="C1499" s="1079" t="str">
        <f t="shared" si="60"/>
        <v>Revestimento em Porcelanato Tipo Argila | Portobello - 120x20 cm, rejunte cimentício, aplicação em áreas comuns internas</v>
      </c>
      <c r="D1499" s="1079" t="s">
        <v>1786</v>
      </c>
      <c r="E1499" s="1080" t="str">
        <f>_xlfn.XLOOKUP(D1499,Insumos!$B$1:$B$670,Insumos!$C$1:$C$670)</f>
        <v>UN</v>
      </c>
      <c r="F1499" s="1083">
        <v>2</v>
      </c>
      <c r="G1499" s="1096">
        <f>IF(B1499="insumo",_xlfn.XLOOKUP($D1499,Insumos!$B$1:$B$670,Insumos!$D$1:$D$670),"")</f>
        <v>0.08</v>
      </c>
      <c r="H1499" s="1096" cm="1">
        <f t="array" ref="H1499">_xlfn.IFS(B1499="Serviço",SUMIFS(H1500:$H$2465,C1500:$C$2465,$C1499),B1499="Insumo",F1499*G1499,B1499="Etapa","")</f>
        <v>0.16</v>
      </c>
      <c r="I1499" s="1082"/>
    </row>
    <row r="1500" spans="1:9" hidden="1" outlineLevel="2" x14ac:dyDescent="0.25">
      <c r="A1500" s="1079">
        <f t="shared" si="59"/>
        <v>50</v>
      </c>
      <c r="B1500" s="1079" t="s">
        <v>1362</v>
      </c>
      <c r="C1500" s="1079" t="str">
        <f t="shared" si="60"/>
        <v>Revestimento em Porcelanato Tipo Argila | Portobello - 120x20 cm, rejunte cimentício, aplicação em áreas comuns internas</v>
      </c>
      <c r="D1500" s="1079" t="s">
        <v>1787</v>
      </c>
      <c r="E1500" s="1080" t="str">
        <f>_xlfn.XLOOKUP(D1500,Insumos!$B$1:$B$670,Insumos!$C$1:$C$670)</f>
        <v>KG</v>
      </c>
      <c r="F1500" s="1083">
        <v>0.02</v>
      </c>
      <c r="G1500" s="1096">
        <f>IF(B1500="insumo",_xlfn.XLOOKUP($D1500,Insumos!$B$1:$B$670,Insumos!$D$1:$D$670),"")</f>
        <v>11.15</v>
      </c>
      <c r="H1500" s="1096" cm="1">
        <f t="array" ref="H1500">_xlfn.IFS(B1500="Serviço",SUMIFS(H1501:$H$2465,C1501:$C$2465,$C1500),B1500="Insumo",F1500*G1500,B1500="Etapa","")</f>
        <v>0.223</v>
      </c>
      <c r="I1500" s="1082"/>
    </row>
    <row r="1501" spans="1:9" outlineLevel="1" collapsed="1" x14ac:dyDescent="0.25">
      <c r="A1501" s="1079">
        <f t="shared" si="59"/>
        <v>1</v>
      </c>
      <c r="B1501" s="1079" t="s">
        <v>471</v>
      </c>
      <c r="C1501" s="1079" t="str">
        <f t="shared" si="60"/>
        <v>Revestimento de Piso Porcelanato Interno Cimentício Acetinado Borda Reta Interno 120x120cm Munari Branco Eliane</v>
      </c>
      <c r="D1501" s="1079" t="s">
        <v>1987</v>
      </c>
      <c r="E1501" s="1080" t="s">
        <v>17</v>
      </c>
      <c r="F1501" s="1079"/>
      <c r="G1501" s="1096" t="str">
        <f>IF(B1501="insumo",_xlfn.XLOOKUP($D1501,Insumos!$B$1:$B$670,Insumos!$D$1:$D$670),"")</f>
        <v/>
      </c>
      <c r="H1501" s="1096" cm="1">
        <f t="array" ref="H1501">_xlfn.IFS(B1501="Serviço",SUMIFS(H1502:$H$2465,C1502:$C$2465,$C1501),B1501="Insumo",F1501*G1501,B1501="Etapa","")</f>
        <v>230.376</v>
      </c>
      <c r="I1501" s="1082" t="s">
        <v>872</v>
      </c>
    </row>
    <row r="1502" spans="1:9" hidden="1" outlineLevel="2" x14ac:dyDescent="0.25">
      <c r="A1502" s="1079">
        <f t="shared" si="59"/>
        <v>1</v>
      </c>
      <c r="B1502" s="1079" t="s">
        <v>1362</v>
      </c>
      <c r="C1502" s="1079" t="str">
        <f t="shared" si="60"/>
        <v>Revestimento de Piso Porcelanato Interno Cimentício Acetinado Borda Reta Interno 120x120cm Munari Branco Eliane</v>
      </c>
      <c r="D1502" s="1079" t="s">
        <v>1988</v>
      </c>
      <c r="E1502" s="1080" t="str">
        <f>_xlfn.XLOOKUP(D1502,Insumos!$B$1:$B$670,Insumos!$C$1:$C$670)</f>
        <v>M2</v>
      </c>
      <c r="F1502" s="1083">
        <v>1.1000000000000001</v>
      </c>
      <c r="G1502" s="1096">
        <f>IF(B1502="insumo",_xlfn.XLOOKUP($D1502,Insumos!$B$1:$B$670,Insumos!$D$1:$D$670),"")</f>
        <v>183.21</v>
      </c>
      <c r="H1502" s="1096" cm="1">
        <f t="array" ref="H1502">_xlfn.IFS(B1502="Serviço",SUMIFS(H1503:$H$2465,C1503:$C$2465,$C1502),B1502="Insumo",F1502*G1502,B1502="Etapa","")</f>
        <v>201.53100000000003</v>
      </c>
      <c r="I1502" s="1082"/>
    </row>
    <row r="1503" spans="1:9" hidden="1" outlineLevel="2" x14ac:dyDescent="0.25">
      <c r="A1503" s="1079">
        <f t="shared" si="59"/>
        <v>87</v>
      </c>
      <c r="B1503" s="1079" t="s">
        <v>1362</v>
      </c>
      <c r="C1503" s="1079" t="str">
        <f t="shared" si="60"/>
        <v>Revestimento de Piso Porcelanato Interno Cimentício Acetinado Borda Reta Interno 120x120cm Munari Branco Eliane</v>
      </c>
      <c r="D1503" s="1079" t="s">
        <v>1762</v>
      </c>
      <c r="E1503" s="1080" t="str">
        <f>_xlfn.XLOOKUP(D1503,Insumos!$B$1:$B$670,Insumos!$C$1:$C$670)</f>
        <v>KG</v>
      </c>
      <c r="F1503" s="1083">
        <v>9</v>
      </c>
      <c r="G1503" s="1096">
        <f>IF(B1503="insumo",_xlfn.XLOOKUP($D1503,Insumos!$B$1:$B$670,Insumos!$D$1:$D$670),"")</f>
        <v>2.5499999999999998</v>
      </c>
      <c r="H1503" s="1096" cm="1">
        <f t="array" ref="H1503">_xlfn.IFS(B1503="Serviço",SUMIFS(H1504:$H$2465,C1504:$C$2465,$C1503),B1503="Insumo",F1503*G1503,B1503="Etapa","")</f>
        <v>22.95</v>
      </c>
      <c r="I1503" s="1082"/>
    </row>
    <row r="1504" spans="1:9" hidden="1" outlineLevel="2" x14ac:dyDescent="0.25">
      <c r="A1504" s="1079">
        <f t="shared" si="59"/>
        <v>56</v>
      </c>
      <c r="B1504" s="1079" t="s">
        <v>1362</v>
      </c>
      <c r="C1504" s="1079" t="str">
        <f t="shared" si="60"/>
        <v>Revestimento de Piso Porcelanato Interno Cimentício Acetinado Borda Reta Interno 120x120cm Munari Branco Eliane</v>
      </c>
      <c r="D1504" s="1079" t="s">
        <v>1786</v>
      </c>
      <c r="E1504" s="1080" t="str">
        <f>_xlfn.XLOOKUP(D1504,Insumos!$B$1:$B$670,Insumos!$C$1:$C$670)</f>
        <v>UN</v>
      </c>
      <c r="F1504" s="1083">
        <v>4</v>
      </c>
      <c r="G1504" s="1096">
        <f>IF(B1504="insumo",_xlfn.XLOOKUP($D1504,Insumos!$B$1:$B$670,Insumos!$D$1:$D$670),"")</f>
        <v>0.08</v>
      </c>
      <c r="H1504" s="1096" cm="1">
        <f t="array" ref="H1504">_xlfn.IFS(B1504="Serviço",SUMIFS(H1505:$H$2465,C1505:$C$2465,$C1504),B1504="Insumo",F1504*G1504,B1504="Etapa","")</f>
        <v>0.32</v>
      </c>
      <c r="I1504" s="1082"/>
    </row>
    <row r="1505" spans="1:9" hidden="1" outlineLevel="2" x14ac:dyDescent="0.25">
      <c r="A1505" s="1079">
        <f t="shared" si="59"/>
        <v>50</v>
      </c>
      <c r="B1505" s="1079" t="s">
        <v>1362</v>
      </c>
      <c r="C1505" s="1079" t="str">
        <f t="shared" si="60"/>
        <v>Revestimento de Piso Porcelanato Interno Cimentício Acetinado Borda Reta Interno 120x120cm Munari Branco Eliane</v>
      </c>
      <c r="D1505" s="1079" t="s">
        <v>1787</v>
      </c>
      <c r="E1505" s="1080" t="str">
        <f>_xlfn.XLOOKUP(D1505,Insumos!$B$1:$B$670,Insumos!$C$1:$C$670)</f>
        <v>KG</v>
      </c>
      <c r="F1505" s="1083">
        <v>0.5</v>
      </c>
      <c r="G1505" s="1096">
        <f>IF(B1505="insumo",_xlfn.XLOOKUP($D1505,Insumos!$B$1:$B$670,Insumos!$D$1:$D$670),"")</f>
        <v>11.15</v>
      </c>
      <c r="H1505" s="1096" cm="1">
        <f t="array" ref="H1505">_xlfn.IFS(B1505="Serviço",SUMIFS(H1506:$H$2465,C1506:$C$2465,$C1505),B1505="Insumo",F1505*G1505,B1505="Etapa","")</f>
        <v>5.5750000000000002</v>
      </c>
      <c r="I1505" s="1082"/>
    </row>
    <row r="1506" spans="1:9" outlineLevel="1" collapsed="1" x14ac:dyDescent="0.25">
      <c r="A1506" s="1079">
        <f t="shared" si="59"/>
        <v>1</v>
      </c>
      <c r="B1506" s="1079" t="s">
        <v>471</v>
      </c>
      <c r="C1506" s="1079" t="str">
        <f t="shared" si="60"/>
        <v xml:space="preserve">Revestimento em Pastilhas Cerâmicas Para Piscinas , 14,5 x 14,5cm com Junta de 2mm </v>
      </c>
      <c r="D1506" s="1079" t="s">
        <v>1989</v>
      </c>
      <c r="E1506" s="1080" t="s">
        <v>17</v>
      </c>
      <c r="F1506" s="1079"/>
      <c r="G1506" s="1081" t="str">
        <f>IF(B1506="insumo",_xlfn.XLOOKUP($D1506,Insumos!$B$1:$B$670,Insumos!$D$1:$D$670),"")</f>
        <v/>
      </c>
      <c r="H1506" s="1081" cm="1">
        <f t="array" ref="H1506">_xlfn.IFS(B1506="Serviço",SUMIFS(H1507:$H$2465,C1507:$C$2465,$C1506),B1506="Insumo",F1506*G1506,B1506="Etapa","")</f>
        <v>169.535</v>
      </c>
      <c r="I1506" s="1082" t="s">
        <v>872</v>
      </c>
    </row>
    <row r="1507" spans="1:9" hidden="1" outlineLevel="2" x14ac:dyDescent="0.25">
      <c r="A1507" s="1079">
        <f t="shared" si="59"/>
        <v>3</v>
      </c>
      <c r="B1507" s="1079" t="s">
        <v>1362</v>
      </c>
      <c r="C1507" s="1079" t="str">
        <f t="shared" si="60"/>
        <v xml:space="preserve">Revestimento em Pastilhas Cerâmicas Para Piscinas , 14,5 x 14,5cm com Junta de 2mm </v>
      </c>
      <c r="D1507" s="1079" t="s">
        <v>1808</v>
      </c>
      <c r="E1507" s="1080" t="str">
        <f>_xlfn.XLOOKUP(D1507,Insumos!$B$1:$B$670,Insumos!$C$1:$C$670)</f>
        <v>M2</v>
      </c>
      <c r="F1507" s="1083">
        <v>1.1000000000000001</v>
      </c>
      <c r="G1507" s="1081">
        <f>IF(B1507="insumo",_xlfn.XLOOKUP($D1507,Insumos!$B$1:$B$670,Insumos!$D$1:$D$670),"")</f>
        <v>127.9</v>
      </c>
      <c r="H1507" s="1081" cm="1">
        <f t="array" ref="H1507">_xlfn.IFS(B1507="Serviço",SUMIFS(H1508:$H$2465,C1508:$C$2465,$C1507),B1507="Insumo",F1507*G1507,B1507="Etapa","")</f>
        <v>140.69000000000003</v>
      </c>
      <c r="I1507" s="1082"/>
    </row>
    <row r="1508" spans="1:9" hidden="1" outlineLevel="2" x14ac:dyDescent="0.25">
      <c r="A1508" s="1079">
        <f t="shared" si="59"/>
        <v>87</v>
      </c>
      <c r="B1508" s="1079" t="s">
        <v>1362</v>
      </c>
      <c r="C1508" s="1079" t="str">
        <f t="shared" si="60"/>
        <v xml:space="preserve">Revestimento em Pastilhas Cerâmicas Para Piscinas , 14,5 x 14,5cm com Junta de 2mm </v>
      </c>
      <c r="D1508" s="1079" t="s">
        <v>1762</v>
      </c>
      <c r="E1508" s="1080" t="str">
        <f>_xlfn.XLOOKUP(D1508,Insumos!$B$1:$B$670,Insumos!$C$1:$C$670)</f>
        <v>KG</v>
      </c>
      <c r="F1508" s="1083">
        <v>9</v>
      </c>
      <c r="G1508" s="1081">
        <f>IF(B1508="insumo",_xlfn.XLOOKUP($D1508,Insumos!$B$1:$B$670,Insumos!$D$1:$D$670),"")</f>
        <v>2.5499999999999998</v>
      </c>
      <c r="H1508" s="1081" cm="1">
        <f t="array" ref="H1508">_xlfn.IFS(B1508="Serviço",SUMIFS(H1509:$H$2465,C1509:$C$2465,$C1508),B1508="Insumo",F1508*G1508,B1508="Etapa","")</f>
        <v>22.95</v>
      </c>
      <c r="I1508" s="1082"/>
    </row>
    <row r="1509" spans="1:9" hidden="1" outlineLevel="2" x14ac:dyDescent="0.25">
      <c r="A1509" s="1079">
        <f t="shared" si="59"/>
        <v>56</v>
      </c>
      <c r="B1509" s="1079" t="s">
        <v>1362</v>
      </c>
      <c r="C1509" s="1079" t="str">
        <f t="shared" si="60"/>
        <v xml:space="preserve">Revestimento em Pastilhas Cerâmicas Para Piscinas , 14,5 x 14,5cm com Junta de 2mm </v>
      </c>
      <c r="D1509" s="1079" t="s">
        <v>1786</v>
      </c>
      <c r="E1509" s="1080" t="str">
        <f>_xlfn.XLOOKUP(D1509,Insumos!$B$1:$B$670,Insumos!$C$1:$C$670)</f>
        <v>UN</v>
      </c>
      <c r="F1509" s="1083">
        <v>4</v>
      </c>
      <c r="G1509" s="1081">
        <f>IF(B1509="insumo",_xlfn.XLOOKUP($D1509,Insumos!$B$1:$B$670,Insumos!$D$1:$D$670),"")</f>
        <v>0.08</v>
      </c>
      <c r="H1509" s="1081" cm="1">
        <f t="array" ref="H1509">_xlfn.IFS(B1509="Serviço",SUMIFS(H1510:$H$2465,C1510:$C$2465,$C1509),B1509="Insumo",F1509*G1509,B1509="Etapa","")</f>
        <v>0.32</v>
      </c>
      <c r="I1509" s="1082"/>
    </row>
    <row r="1510" spans="1:9" hidden="1" outlineLevel="2" x14ac:dyDescent="0.25">
      <c r="A1510" s="1079">
        <f t="shared" si="59"/>
        <v>50</v>
      </c>
      <c r="B1510" s="1079" t="s">
        <v>1362</v>
      </c>
      <c r="C1510" s="1079" t="str">
        <f t="shared" si="60"/>
        <v xml:space="preserve">Revestimento em Pastilhas Cerâmicas Para Piscinas , 14,5 x 14,5cm com Junta de 2mm </v>
      </c>
      <c r="D1510" s="1079" t="s">
        <v>1787</v>
      </c>
      <c r="E1510" s="1080" t="str">
        <f>_xlfn.XLOOKUP(D1510,Insumos!$B$1:$B$670,Insumos!$C$1:$C$670)</f>
        <v>KG</v>
      </c>
      <c r="F1510" s="1083">
        <v>0.5</v>
      </c>
      <c r="G1510" s="1081">
        <f>IF(B1510="insumo",_xlfn.XLOOKUP($D1510,Insumos!$B$1:$B$670,Insumos!$D$1:$D$670),"")</f>
        <v>11.15</v>
      </c>
      <c r="H1510" s="1081" cm="1">
        <f t="array" ref="H1510">_xlfn.IFS(B1510="Serviço",SUMIFS(H1511:$H$2465,C1511:$C$2465,$C1510),B1510="Insumo",F1510*G1510,B1510="Etapa","")</f>
        <v>5.5750000000000002</v>
      </c>
      <c r="I1510" s="1082"/>
    </row>
    <row r="1511" spans="1:9" outlineLevel="1" collapsed="1" x14ac:dyDescent="0.25">
      <c r="A1511" s="1079">
        <f t="shared" si="59"/>
        <v>1</v>
      </c>
      <c r="B1511" s="1079" t="s">
        <v>471</v>
      </c>
      <c r="C1511" s="1079" t="str">
        <f t="shared" si="60"/>
        <v>Revestimento emborrachado piso interno (Academia)- Material e Mão de Obra</v>
      </c>
      <c r="D1511" s="1079" t="s">
        <v>1990</v>
      </c>
      <c r="E1511" s="1080" t="s">
        <v>17</v>
      </c>
      <c r="F1511" s="1079"/>
      <c r="G1511" s="1081" t="str">
        <f>IF(B1511="insumo",_xlfn.XLOOKUP($D1511,Insumos!$B$1:$B$670,Insumos!$D$1:$D$670),"")</f>
        <v/>
      </c>
      <c r="H1511" s="1081" cm="1">
        <f t="array" ref="H1511">_xlfn.IFS(B1511="Serviço",SUMIFS(H1512:$H$2465,C1512:$C$2465,$C1511),B1511="Insumo",F1511*G1511,B1511="Etapa","")</f>
        <v>101.998107</v>
      </c>
      <c r="I1511" s="1082" t="s">
        <v>872</v>
      </c>
    </row>
    <row r="1512" spans="1:9" hidden="1" outlineLevel="2" x14ac:dyDescent="0.25">
      <c r="A1512" s="1079">
        <f t="shared" si="59"/>
        <v>5</v>
      </c>
      <c r="B1512" s="1079" t="s">
        <v>1362</v>
      </c>
      <c r="C1512" s="1079" t="str">
        <f t="shared" si="60"/>
        <v>Revestimento emborrachado piso interno (Academia)- Material e Mão de Obra</v>
      </c>
      <c r="D1512" s="1079" t="s">
        <v>1991</v>
      </c>
      <c r="E1512" s="1080" t="str">
        <f>_xlfn.XLOOKUP(D1512,Insumos!$B$1:$B$670,Insumos!$C$1:$C$670)</f>
        <v>KG</v>
      </c>
      <c r="F1512" s="1083">
        <v>0.56369999999999998</v>
      </c>
      <c r="G1512" s="1081">
        <f>IF(B1512="insumo",_xlfn.XLOOKUP($D1512,Insumos!$B$1:$B$670,Insumos!$D$1:$D$670),"")</f>
        <v>25.11</v>
      </c>
      <c r="H1512" s="1081" cm="1">
        <f t="array" ref="H1512">_xlfn.IFS(B1512="Serviço",SUMIFS(H1513:$H$2465,C1513:$C$2465,$C1512),B1512="Insumo",F1512*G1512,B1512="Etapa","")</f>
        <v>14.154506999999999</v>
      </c>
      <c r="I1512" s="1082"/>
    </row>
    <row r="1513" spans="1:9" hidden="1" outlineLevel="2" x14ac:dyDescent="0.25">
      <c r="A1513" s="1079">
        <f t="shared" si="59"/>
        <v>1</v>
      </c>
      <c r="B1513" s="1079" t="s">
        <v>1362</v>
      </c>
      <c r="C1513" s="1079" t="str">
        <f t="shared" si="60"/>
        <v>Revestimento emborrachado piso interno (Academia)- Material e Mão de Obra</v>
      </c>
      <c r="D1513" s="1079" t="s">
        <v>1992</v>
      </c>
      <c r="E1513" s="1080" t="str">
        <f>_xlfn.XLOOKUP(D1513,Insumos!$B$1:$B$670,Insumos!$C$1:$C$670)</f>
        <v>M2</v>
      </c>
      <c r="F1513" s="1083">
        <v>1.1000000000000001</v>
      </c>
      <c r="G1513" s="1081">
        <f>IF(B1513="insumo",_xlfn.XLOOKUP($D1513,Insumos!$B$1:$B$670,Insumos!$D$1:$D$670),"")</f>
        <v>56.675999999999995</v>
      </c>
      <c r="H1513" s="1081" cm="1">
        <f t="array" ref="H1513">_xlfn.IFS(B1513="Serviço",SUMIFS(H1514:$H$2465,C1514:$C$2465,$C1513),B1513="Insumo",F1513*G1513,B1513="Etapa","")</f>
        <v>62.343600000000002</v>
      </c>
      <c r="I1513" s="1082"/>
    </row>
    <row r="1514" spans="1:9" hidden="1" outlineLevel="2" x14ac:dyDescent="0.25">
      <c r="A1514" s="1079">
        <f t="shared" si="59"/>
        <v>1</v>
      </c>
      <c r="B1514" s="1079" t="s">
        <v>1362</v>
      </c>
      <c r="C1514" s="1079" t="str">
        <f t="shared" si="60"/>
        <v>Revestimento emborrachado piso interno (Academia)- Material e Mão de Obra</v>
      </c>
      <c r="D1514" s="1079" t="s">
        <v>1993</v>
      </c>
      <c r="E1514" s="1080" t="str">
        <f>_xlfn.XLOOKUP(D1514,Insumos!$B$1:$B$670,Insumos!$C$1:$C$670)</f>
        <v>M2</v>
      </c>
      <c r="F1514" s="1083">
        <v>1</v>
      </c>
      <c r="G1514" s="1081">
        <f>IF(B1514="insumo",_xlfn.XLOOKUP($D1514,Insumos!$B$1:$B$670,Insumos!$D$1:$D$670),"")</f>
        <v>25.5</v>
      </c>
      <c r="H1514" s="1081" cm="1">
        <f t="array" ref="H1514">_xlfn.IFS(B1514="Serviço",SUMIFS(H1515:$H$2465,C1515:$C$2465,$C1514),B1514="Insumo",F1514*G1514,B1514="Etapa","")</f>
        <v>25.5</v>
      </c>
      <c r="I1514" s="1082"/>
    </row>
    <row r="1515" spans="1:9" outlineLevel="1" collapsed="1" x14ac:dyDescent="0.25">
      <c r="A1515" s="1079">
        <f t="shared" si="59"/>
        <v>1</v>
      </c>
      <c r="B1515" s="1079" t="s">
        <v>471</v>
      </c>
      <c r="C1515" s="1079" t="str">
        <f t="shared" si="60"/>
        <v>Revestimento de Granito cinza em Pisos</v>
      </c>
      <c r="D1515" s="1079" t="s">
        <v>1994</v>
      </c>
      <c r="E1515" s="1080" t="s">
        <v>17</v>
      </c>
      <c r="F1515" s="1079"/>
      <c r="G1515" s="1081" t="str">
        <f>IF(B1515="insumo",_xlfn.XLOOKUP($D1515,Insumos!$B$1:$B$670,Insumos!$D$1:$D$670),"")</f>
        <v/>
      </c>
      <c r="H1515" s="1081" cm="1">
        <f t="array" ref="H1515">_xlfn.IFS(B1515="Serviço",SUMIFS(H1516:$H$2465,C1516:$C$2465,$C1515),B1515="Insumo",F1515*G1515,B1515="Etapa","")</f>
        <v>559.61500000000001</v>
      </c>
      <c r="I1515" s="1082" t="s">
        <v>872</v>
      </c>
    </row>
    <row r="1516" spans="1:9" hidden="1" outlineLevel="2" x14ac:dyDescent="0.25">
      <c r="A1516" s="1079">
        <f t="shared" si="59"/>
        <v>3</v>
      </c>
      <c r="B1516" s="1079" t="s">
        <v>1362</v>
      </c>
      <c r="C1516" s="1079" t="str">
        <f t="shared" si="60"/>
        <v>Revestimento de Granito cinza em Pisos</v>
      </c>
      <c r="D1516" s="1079" t="s">
        <v>1810</v>
      </c>
      <c r="E1516" s="1080" t="str">
        <f>_xlfn.XLOOKUP(D1516,Insumos!$B$1:$B$670,Insumos!$C$1:$C$670)</f>
        <v>M2</v>
      </c>
      <c r="F1516" s="1083">
        <v>1.1000000000000001</v>
      </c>
      <c r="G1516" s="1081">
        <f>IF(B1516="insumo",_xlfn.XLOOKUP($D1516,Insumos!$B$1:$B$670,Insumos!$D$1:$D$670),"")</f>
        <v>480</v>
      </c>
      <c r="H1516" s="1081" cm="1">
        <f t="array" ref="H1516">_xlfn.IFS(B1516="Serviço",SUMIFS(H1517:$H$2465,C1517:$C$2465,$C1516),B1516="Insumo",F1516*G1516,B1516="Etapa","")</f>
        <v>528</v>
      </c>
      <c r="I1516" s="1082"/>
    </row>
    <row r="1517" spans="1:9" hidden="1" outlineLevel="2" x14ac:dyDescent="0.25">
      <c r="A1517" s="1079">
        <f t="shared" si="59"/>
        <v>87</v>
      </c>
      <c r="B1517" s="1079" t="s">
        <v>1362</v>
      </c>
      <c r="C1517" s="1079" t="str">
        <f t="shared" si="60"/>
        <v>Revestimento de Granito cinza em Pisos</v>
      </c>
      <c r="D1517" s="1079" t="s">
        <v>1762</v>
      </c>
      <c r="E1517" s="1080" t="str">
        <f>_xlfn.XLOOKUP(D1517,Insumos!$B$1:$B$670,Insumos!$C$1:$C$670)</f>
        <v>KG</v>
      </c>
      <c r="F1517" s="1083">
        <v>9</v>
      </c>
      <c r="G1517" s="1081">
        <f>IF(B1517="insumo",_xlfn.XLOOKUP($D1517,Insumos!$B$1:$B$670,Insumos!$D$1:$D$670),"")</f>
        <v>2.5499999999999998</v>
      </c>
      <c r="H1517" s="1081" cm="1">
        <f t="array" ref="H1517">_xlfn.IFS(B1517="Serviço",SUMIFS(H1518:$H$2465,C1518:$C$2465,$C1517),B1517="Insumo",F1517*G1517,B1517="Etapa","")</f>
        <v>22.95</v>
      </c>
      <c r="I1517" s="1082"/>
    </row>
    <row r="1518" spans="1:9" hidden="1" outlineLevel="2" x14ac:dyDescent="0.25">
      <c r="A1518" s="1079">
        <f t="shared" si="59"/>
        <v>15</v>
      </c>
      <c r="B1518" s="1079" t="s">
        <v>1362</v>
      </c>
      <c r="C1518" s="1079" t="str">
        <f t="shared" si="60"/>
        <v>Revestimento de Granito cinza em Pisos</v>
      </c>
      <c r="D1518" s="1079" t="s">
        <v>1819</v>
      </c>
      <c r="E1518" s="1080" t="str">
        <f>_xlfn.XLOOKUP(D1518,Insumos!$B$1:$B$670,Insumos!$C$1:$C$670)</f>
        <v>UN</v>
      </c>
      <c r="F1518" s="1083">
        <v>0.5</v>
      </c>
      <c r="G1518" s="1081">
        <f>IF(B1518="insumo",_xlfn.XLOOKUP($D1518,Insumos!$B$1:$B$670,Insumos!$D$1:$D$670),"")</f>
        <v>17.329999999999998</v>
      </c>
      <c r="H1518" s="1081" cm="1">
        <f t="array" ref="H1518">_xlfn.IFS(B1518="Serviço",SUMIFS(H1519:$H$2465,C1519:$C$2465,$C1518),B1518="Insumo",F1518*G1518,B1518="Etapa","")</f>
        <v>8.6649999999999991</v>
      </c>
      <c r="I1518" s="1082"/>
    </row>
    <row r="1519" spans="1:9" outlineLevel="1" x14ac:dyDescent="0.25">
      <c r="A1519" s="1079">
        <f t="shared" si="59"/>
        <v>1</v>
      </c>
      <c r="B1519" s="1079" t="s">
        <v>471</v>
      </c>
      <c r="C1519" s="1079" t="str">
        <f t="shared" si="60"/>
        <v>Revestimento de Pedras Naturais em Pisos</v>
      </c>
      <c r="D1519" s="1079" t="s">
        <v>1312</v>
      </c>
      <c r="E1519" s="1080" t="s">
        <v>17</v>
      </c>
      <c r="F1519" s="1079"/>
      <c r="G1519" s="1081" t="str">
        <f>IF(B1519="insumo",_xlfn.XLOOKUP($D1519,Insumos!$B$1:$B$670,Insumos!$D$1:$D$670),"")</f>
        <v/>
      </c>
      <c r="H1519" s="1081" cm="1">
        <f t="array" ref="H1519">_xlfn.IFS(B1519="Serviço",SUMIFS(H1520:$H$2465,C1520:$C$2465,$C1519),B1519="Insumo",F1519*G1519,B1519="Etapa","")</f>
        <v>856.61500000000012</v>
      </c>
      <c r="I1519" s="1082" t="s">
        <v>872</v>
      </c>
    </row>
    <row r="1520" spans="1:9" outlineLevel="2" x14ac:dyDescent="0.25">
      <c r="A1520" s="1079">
        <f t="shared" si="59"/>
        <v>10</v>
      </c>
      <c r="B1520" s="1079" t="s">
        <v>1362</v>
      </c>
      <c r="C1520" s="1079" t="str">
        <f t="shared" si="60"/>
        <v>Revestimento de Pedras Naturais em Pisos</v>
      </c>
      <c r="D1520" s="1079" t="s">
        <v>1813</v>
      </c>
      <c r="E1520" s="1080" t="str">
        <f>_xlfn.XLOOKUP(D1520,Insumos!$B$1:$B$670,Insumos!$C$1:$C$670)</f>
        <v>M2</v>
      </c>
      <c r="F1520" s="1083">
        <v>1.1000000000000001</v>
      </c>
      <c r="G1520" s="1081">
        <f>IF(B1520="insumo",_xlfn.XLOOKUP($D1520,Insumos!$B$1:$B$670,Insumos!$D$1:$D$670),"")</f>
        <v>750</v>
      </c>
      <c r="H1520" s="1081" cm="1">
        <f t="array" ref="H1520">_xlfn.IFS(B1520="Serviço",SUMIFS(H1521:$H$2465,C1521:$C$2465,$C1520),B1520="Insumo",F1520*G1520,B1520="Etapa","")</f>
        <v>825.00000000000011</v>
      </c>
      <c r="I1520" s="1082"/>
    </row>
    <row r="1521" spans="1:9" outlineLevel="2" x14ac:dyDescent="0.25">
      <c r="A1521" s="1079">
        <f t="shared" si="59"/>
        <v>87</v>
      </c>
      <c r="B1521" s="1079" t="s">
        <v>1362</v>
      </c>
      <c r="C1521" s="1079" t="str">
        <f t="shared" si="60"/>
        <v>Revestimento de Pedras Naturais em Pisos</v>
      </c>
      <c r="D1521" s="1079" t="s">
        <v>1762</v>
      </c>
      <c r="E1521" s="1080" t="str">
        <f>_xlfn.XLOOKUP(D1521,Insumos!$B$1:$B$670,Insumos!$C$1:$C$670)</f>
        <v>KG</v>
      </c>
      <c r="F1521" s="1083">
        <v>9</v>
      </c>
      <c r="G1521" s="1081">
        <f>IF(B1521="insumo",_xlfn.XLOOKUP($D1521,Insumos!$B$1:$B$670,Insumos!$D$1:$D$670),"")</f>
        <v>2.5499999999999998</v>
      </c>
      <c r="H1521" s="1081" cm="1">
        <f t="array" ref="H1521">_xlfn.IFS(B1521="Serviço",SUMIFS(H1522:$H$2465,C1522:$C$2465,$C1521),B1521="Insumo",F1521*G1521,B1521="Etapa","")</f>
        <v>22.95</v>
      </c>
      <c r="I1521" s="1082"/>
    </row>
    <row r="1522" spans="1:9" outlineLevel="2" x14ac:dyDescent="0.25">
      <c r="A1522" s="1079">
        <f t="shared" si="59"/>
        <v>15</v>
      </c>
      <c r="B1522" s="1079" t="s">
        <v>1362</v>
      </c>
      <c r="C1522" s="1079" t="str">
        <f t="shared" si="60"/>
        <v>Revestimento de Pedras Naturais em Pisos</v>
      </c>
      <c r="D1522" s="1079" t="s">
        <v>1819</v>
      </c>
      <c r="E1522" s="1080" t="str">
        <f>_xlfn.XLOOKUP(D1522,Insumos!$B$1:$B$670,Insumos!$C$1:$C$670)</f>
        <v>UN</v>
      </c>
      <c r="F1522" s="1083">
        <v>0.5</v>
      </c>
      <c r="G1522" s="1081">
        <f>IF(B1522="insumo",_xlfn.XLOOKUP($D1522,Insumos!$B$1:$B$670,Insumos!$D$1:$D$670),"")</f>
        <v>17.329999999999998</v>
      </c>
      <c r="H1522" s="1081" cm="1">
        <f t="array" ref="H1522">_xlfn.IFS(B1522="Serviço",SUMIFS(H1523:$H$2465,C1523:$C$2465,$C1522),B1522="Insumo",F1522*G1522,B1522="Etapa","")</f>
        <v>8.6649999999999991</v>
      </c>
      <c r="I1522" s="1082"/>
    </row>
    <row r="1523" spans="1:9" outlineLevel="1" collapsed="1" x14ac:dyDescent="0.25">
      <c r="A1523" s="1079">
        <f t="shared" si="59"/>
        <v>1</v>
      </c>
      <c r="B1523" s="1079" t="s">
        <v>471</v>
      </c>
      <c r="C1523" s="1079" t="str">
        <f t="shared" si="60"/>
        <v>Revestimento de piso vinilico, nas áreas comuns - Material e Mão de Obra</v>
      </c>
      <c r="D1523" s="1079" t="s">
        <v>1995</v>
      </c>
      <c r="E1523" s="1080" t="s">
        <v>17</v>
      </c>
      <c r="F1523" s="1079"/>
      <c r="G1523" s="1081" t="str">
        <f>IF(B1523="insumo",_xlfn.XLOOKUP($D1523,Insumos!$B$1:$B$670,Insumos!$D$1:$D$670),"")</f>
        <v/>
      </c>
      <c r="H1523" s="1081" cm="1">
        <f t="array" ref="H1523">_xlfn.IFS(B1523="Serviço",SUMIFS(H1524:$H$2465,C1524:$C$2465,$C1523),B1523="Insumo",F1523*G1523,B1523="Etapa","")</f>
        <v>150</v>
      </c>
      <c r="I1523" s="1082" t="s">
        <v>872</v>
      </c>
    </row>
    <row r="1524" spans="1:9" hidden="1" outlineLevel="2" x14ac:dyDescent="0.25">
      <c r="A1524" s="1079">
        <f t="shared" si="59"/>
        <v>3</v>
      </c>
      <c r="B1524" s="1079" t="s">
        <v>1362</v>
      </c>
      <c r="C1524" s="1079" t="str">
        <f t="shared" si="60"/>
        <v>Revestimento de piso vinilico, nas áreas comuns - Material e Mão de Obra</v>
      </c>
      <c r="D1524" s="1079" t="s">
        <v>1996</v>
      </c>
      <c r="E1524" s="1080" t="str">
        <f>_xlfn.XLOOKUP(D1524,Insumos!$B$1:$B$670,Insumos!$C$1:$C$670)</f>
        <v>M2</v>
      </c>
      <c r="F1524" s="1083">
        <v>1</v>
      </c>
      <c r="G1524" s="1081">
        <f>IF(B1524="insumo",_xlfn.XLOOKUP($D1524,Insumos!$B$1:$B$670,Insumos!$D$1:$D$670),"")</f>
        <v>150</v>
      </c>
      <c r="H1524" s="1081" cm="1">
        <f t="array" ref="H1524">_xlfn.IFS(B1524="Serviço",SUMIFS(H1525:$H$2465,C1525:$C$2465,$C1524),B1524="Insumo",F1524*G1524,B1524="Etapa","")</f>
        <v>150</v>
      </c>
      <c r="I1524" s="1082"/>
    </row>
    <row r="1525" spans="1:9" outlineLevel="1" collapsed="1" x14ac:dyDescent="0.25">
      <c r="A1525" s="1079">
        <f t="shared" si="59"/>
        <v>1</v>
      </c>
      <c r="B1525" s="1079" t="s">
        <v>471</v>
      </c>
      <c r="C1525" s="1079" t="str">
        <f t="shared" si="60"/>
        <v>Revestimento de piso vinilico, nas áreas privativas - Material e Mão de Obra</v>
      </c>
      <c r="D1525" s="1079" t="s">
        <v>892</v>
      </c>
      <c r="E1525" s="1080" t="s">
        <v>17</v>
      </c>
      <c r="F1525" s="1079"/>
      <c r="G1525" s="1081" t="str">
        <f>IF(B1525="insumo",_xlfn.XLOOKUP($D1525,Insumos!$B$1:$B$670,Insumos!$D$1:$D$670),"")</f>
        <v/>
      </c>
      <c r="H1525" s="1081" cm="1">
        <f t="array" ref="H1525">_xlfn.IFS(B1525="Serviço",SUMIFS(H1526:$H$2465,C1526:$C$2465,$C1525),B1525="Insumo",F1525*G1525,B1525="Etapa","")</f>
        <v>150</v>
      </c>
      <c r="I1525" s="1082" t="s">
        <v>872</v>
      </c>
    </row>
    <row r="1526" spans="1:9" hidden="1" outlineLevel="2" x14ac:dyDescent="0.25">
      <c r="A1526" s="1079">
        <f t="shared" si="59"/>
        <v>3</v>
      </c>
      <c r="B1526" s="1079" t="s">
        <v>1362</v>
      </c>
      <c r="C1526" s="1079" t="str">
        <f t="shared" si="60"/>
        <v>Revestimento de piso vinilico, nas áreas privativas - Material e Mão de Obra</v>
      </c>
      <c r="D1526" s="1079" t="s">
        <v>1996</v>
      </c>
      <c r="E1526" s="1080" t="str">
        <f>_xlfn.XLOOKUP(D1526,Insumos!$B$1:$B$670,Insumos!$C$1:$C$670)</f>
        <v>M2</v>
      </c>
      <c r="F1526" s="1083">
        <v>1</v>
      </c>
      <c r="G1526" s="1081">
        <f>IF(B1526="insumo",_xlfn.XLOOKUP($D1526,Insumos!$B$1:$B$670,Insumos!$D$1:$D$670),"")</f>
        <v>150</v>
      </c>
      <c r="H1526" s="1081" cm="1">
        <f t="array" ref="H1526">_xlfn.IFS(B1526="Serviço",SUMIFS(H1527:$H$2465,C1527:$C$2465,$C1526),B1526="Insumo",F1526*G1526,B1526="Etapa","")</f>
        <v>150</v>
      </c>
      <c r="I1526" s="1082"/>
    </row>
    <row r="1527" spans="1:9" outlineLevel="1" collapsed="1" x14ac:dyDescent="0.25">
      <c r="A1527" s="1079">
        <f t="shared" si="59"/>
        <v>1</v>
      </c>
      <c r="B1527" s="1079" t="s">
        <v>471</v>
      </c>
      <c r="C1527" s="1079" t="str">
        <f t="shared" si="60"/>
        <v>Revestimento de Pedra natural em batente de elevador</v>
      </c>
      <c r="D1527" s="1079" t="s">
        <v>1997</v>
      </c>
      <c r="E1527" s="1080" t="s">
        <v>281</v>
      </c>
      <c r="F1527" s="1079"/>
      <c r="G1527" s="1081" t="str">
        <f>IF(B1527="insumo",_xlfn.XLOOKUP($D1527,Insumos!$B$1:$B$670,Insumos!$D$1:$D$670),"")</f>
        <v/>
      </c>
      <c r="H1527" s="1081" cm="1">
        <f t="array" ref="H1527">_xlfn.IFS(B1527="Serviço",SUMIFS(H1528:$H$2465,C1528:$C$2465,$C1527),B1527="Insumo",F1527*G1527,B1527="Etapa","")</f>
        <v>856.10500000000013</v>
      </c>
      <c r="I1527" s="1082" t="s">
        <v>872</v>
      </c>
    </row>
    <row r="1528" spans="1:9" hidden="1" outlineLevel="2" x14ac:dyDescent="0.25">
      <c r="A1528" s="1079">
        <f t="shared" si="59"/>
        <v>10</v>
      </c>
      <c r="B1528" s="1079" t="s">
        <v>1362</v>
      </c>
      <c r="C1528" s="1079" t="str">
        <f t="shared" si="60"/>
        <v>Revestimento de Pedra natural em batente de elevador</v>
      </c>
      <c r="D1528" s="1079" t="s">
        <v>1813</v>
      </c>
      <c r="E1528" s="1080" t="str">
        <f>_xlfn.XLOOKUP(D1528,Insumos!$B$1:$B$670,Insumos!$C$1:$C$670)</f>
        <v>M2</v>
      </c>
      <c r="F1528" s="1095">
        <v>1.1000000000000001</v>
      </c>
      <c r="G1528" s="1081">
        <f>IF(B1528="insumo",_xlfn.XLOOKUP($D1528,Insumos!$B$1:$B$670,Insumos!$D$1:$D$670),"")</f>
        <v>750</v>
      </c>
      <c r="H1528" s="1081" cm="1">
        <f t="array" ref="H1528">_xlfn.IFS(B1528="Serviço",SUMIFS(H1529:$H$2465,C1529:$C$2465,$C1528),B1528="Insumo",F1528*G1528,B1528="Etapa","")</f>
        <v>825.00000000000011</v>
      </c>
      <c r="I1528" s="1082"/>
    </row>
    <row r="1529" spans="1:9" hidden="1" outlineLevel="2" x14ac:dyDescent="0.25">
      <c r="A1529" s="1079">
        <f t="shared" si="59"/>
        <v>87</v>
      </c>
      <c r="B1529" s="1079" t="s">
        <v>1362</v>
      </c>
      <c r="C1529" s="1079" t="str">
        <f t="shared" si="60"/>
        <v>Revestimento de Pedra natural em batente de elevador</v>
      </c>
      <c r="D1529" s="1079" t="s">
        <v>1762</v>
      </c>
      <c r="E1529" s="1080" t="str">
        <f>_xlfn.XLOOKUP(D1529,Insumos!$B$1:$B$670,Insumos!$C$1:$C$670)</f>
        <v>KG</v>
      </c>
      <c r="F1529" s="1095">
        <v>8.8000000000000007</v>
      </c>
      <c r="G1529" s="1081">
        <f>IF(B1529="insumo",_xlfn.XLOOKUP($D1529,Insumos!$B$1:$B$670,Insumos!$D$1:$D$670),"")</f>
        <v>2.5499999999999998</v>
      </c>
      <c r="H1529" s="1081" cm="1">
        <f t="array" ref="H1529">_xlfn.IFS(B1529="Serviço",SUMIFS(H1530:$H$2465,C1530:$C$2465,$C1529),B1529="Insumo",F1529*G1529,B1529="Etapa","")</f>
        <v>22.44</v>
      </c>
      <c r="I1529" s="1082"/>
    </row>
    <row r="1530" spans="1:9" hidden="1" outlineLevel="2" x14ac:dyDescent="0.25">
      <c r="A1530" s="1079">
        <f t="shared" si="59"/>
        <v>15</v>
      </c>
      <c r="B1530" s="1079" t="s">
        <v>1362</v>
      </c>
      <c r="C1530" s="1079" t="str">
        <f t="shared" si="60"/>
        <v>Revestimento de Pedra natural em batente de elevador</v>
      </c>
      <c r="D1530" s="1079" t="s">
        <v>1819</v>
      </c>
      <c r="E1530" s="1080" t="str">
        <f>_xlfn.XLOOKUP(D1530,Insumos!$B$1:$B$670,Insumos!$C$1:$C$670)</f>
        <v>UN</v>
      </c>
      <c r="F1530" s="1095">
        <v>0.5</v>
      </c>
      <c r="G1530" s="1081">
        <f>IF(B1530="insumo",_xlfn.XLOOKUP($D1530,Insumos!$B$1:$B$670,Insumos!$D$1:$D$670),"")</f>
        <v>17.329999999999998</v>
      </c>
      <c r="H1530" s="1081" cm="1">
        <f t="array" ref="H1530">_xlfn.IFS(B1530="Serviço",SUMIFS(H1531:$H$2465,C1531:$C$2465,$C1530),B1530="Insumo",F1530*G1530,B1530="Etapa","")</f>
        <v>8.6649999999999991</v>
      </c>
      <c r="I1530" s="1082"/>
    </row>
    <row r="1531" spans="1:9" outlineLevel="1" collapsed="1" x14ac:dyDescent="0.25">
      <c r="A1531" s="1079">
        <f t="shared" si="59"/>
        <v>1</v>
      </c>
      <c r="B1531" s="1079" t="s">
        <v>471</v>
      </c>
      <c r="C1531" s="1079" t="str">
        <f t="shared" si="60"/>
        <v>Rodapé de MDF h=5cm</v>
      </c>
      <c r="D1531" s="1079" t="s">
        <v>1998</v>
      </c>
      <c r="E1531" s="1080" t="s">
        <v>281</v>
      </c>
      <c r="F1531" s="1079"/>
      <c r="G1531" s="1081" t="str">
        <f>IF(B1531="insumo",_xlfn.XLOOKUP($D1531,Insumos!$B$1:$B$670,Insumos!$D$1:$D$670),"")</f>
        <v/>
      </c>
      <c r="H1531" s="1081" cm="1">
        <f t="array" ref="H1531">_xlfn.IFS(B1531="Serviço",SUMIFS(H1532:$H$2465,C1532:$C$2465,$C1531),B1531="Insumo",F1531*G1531,B1531="Etapa","")</f>
        <v>20.021439000000001</v>
      </c>
      <c r="I1531" s="1082" t="s">
        <v>872</v>
      </c>
    </row>
    <row r="1532" spans="1:9" hidden="1" outlineLevel="2" x14ac:dyDescent="0.25">
      <c r="A1532" s="1079">
        <f t="shared" si="59"/>
        <v>1</v>
      </c>
      <c r="B1532" s="1079" t="s">
        <v>1362</v>
      </c>
      <c r="C1532" s="1079" t="str">
        <f t="shared" si="60"/>
        <v>Rodapé de MDF h=5cm</v>
      </c>
      <c r="D1532" s="1079" t="s">
        <v>1999</v>
      </c>
      <c r="E1532" s="1080" t="str">
        <f>_xlfn.XLOOKUP(D1532,Insumos!$B$1:$B$670,Insumos!$C$1:$C$670)</f>
        <v>KG</v>
      </c>
      <c r="F1532" s="1083">
        <v>4.0300000000000002E-2</v>
      </c>
      <c r="G1532" s="1081">
        <f>IF(B1532="insumo",_xlfn.XLOOKUP($D1532,Insumos!$B$1:$B$670,Insumos!$D$1:$D$670),"")</f>
        <v>29.13</v>
      </c>
      <c r="H1532" s="1081" cm="1">
        <f t="array" ref="H1532">_xlfn.IFS(B1532="Serviço",SUMIFS(H1533:$H$2465,C1533:$C$2465,$C1532),B1532="Insumo",F1532*G1532,B1532="Etapa","")</f>
        <v>1.1739390000000001</v>
      </c>
      <c r="I1532" s="1082"/>
    </row>
    <row r="1533" spans="1:9" hidden="1" outlineLevel="2" x14ac:dyDescent="0.25">
      <c r="A1533" s="1079">
        <f t="shared" si="59"/>
        <v>1</v>
      </c>
      <c r="B1533" s="1079" t="s">
        <v>1362</v>
      </c>
      <c r="C1533" s="1079" t="str">
        <f t="shared" si="60"/>
        <v>Rodapé de MDF h=5cm</v>
      </c>
      <c r="D1533" s="1079" t="s">
        <v>1998</v>
      </c>
      <c r="E1533" s="1080" t="str">
        <f>_xlfn.XLOOKUP(D1533,Insumos!$B$1:$B$670,Insumos!$C$1:$C$670)</f>
        <v>M2</v>
      </c>
      <c r="F1533" s="1083">
        <v>1.05</v>
      </c>
      <c r="G1533" s="1081">
        <f>IF(B1533="insumo",_xlfn.XLOOKUP($D1533,Insumos!$B$1:$B$670,Insumos!$D$1:$D$670),"")</f>
        <v>17.95</v>
      </c>
      <c r="H1533" s="1081" cm="1">
        <f t="array" ref="H1533">_xlfn.IFS(B1533="Serviço",SUMIFS(H1534:$H$2465,C1534:$C$2465,$C1533),B1533="Insumo",F1533*G1533,B1533="Etapa","")</f>
        <v>18.8475</v>
      </c>
      <c r="I1533" s="1082"/>
    </row>
    <row r="1534" spans="1:9" outlineLevel="1" collapsed="1" x14ac:dyDescent="0.25">
      <c r="A1534" s="1079">
        <f t="shared" si="59"/>
        <v>1</v>
      </c>
      <c r="B1534" s="1079" t="s">
        <v>471</v>
      </c>
      <c r="C1534" s="1079" t="str">
        <f t="shared" si="60"/>
        <v>Rodapé de Pedra Natural h=5cm</v>
      </c>
      <c r="D1534" s="1079" t="s">
        <v>2000</v>
      </c>
      <c r="E1534" s="1080" t="s">
        <v>281</v>
      </c>
      <c r="F1534" s="1079"/>
      <c r="G1534" s="1081" t="str">
        <f>IF(B1534="insumo",_xlfn.XLOOKUP($D1534,Insumos!$B$1:$B$670,Insumos!$D$1:$D$670),"")</f>
        <v/>
      </c>
      <c r="H1534" s="1081" cm="1">
        <f t="array" ref="H1534">_xlfn.IFS(B1534="Serviço",SUMIFS(H1535:$H$2465,C1535:$C$2465,$C1534),B1534="Insumo",F1534*G1534,B1534="Etapa","")</f>
        <v>42.830750000000009</v>
      </c>
      <c r="I1534" s="1082" t="s">
        <v>872</v>
      </c>
    </row>
    <row r="1535" spans="1:9" hidden="1" outlineLevel="2" x14ac:dyDescent="0.25">
      <c r="A1535" s="1079">
        <f t="shared" si="59"/>
        <v>10</v>
      </c>
      <c r="B1535" s="1079" t="s">
        <v>1362</v>
      </c>
      <c r="C1535" s="1079" t="str">
        <f t="shared" si="60"/>
        <v>Rodapé de Pedra Natural h=5cm</v>
      </c>
      <c r="D1535" s="1079" t="s">
        <v>1813</v>
      </c>
      <c r="E1535" s="1080" t="str">
        <f>_xlfn.XLOOKUP(D1535,Insumos!$B$1:$B$670,Insumos!$C$1:$C$670)</f>
        <v>M2</v>
      </c>
      <c r="F1535" s="1083">
        <v>5.5000000000000007E-2</v>
      </c>
      <c r="G1535" s="1081">
        <f>IF(B1535="insumo",_xlfn.XLOOKUP($D1535,Insumos!$B$1:$B$670,Insumos!$D$1:$D$670),"")</f>
        <v>750</v>
      </c>
      <c r="H1535" s="1081" cm="1">
        <f t="array" ref="H1535">_xlfn.IFS(B1535="Serviço",SUMIFS(H1536:$H$2465,C1536:$C$2465,$C1535),B1535="Insumo",F1535*G1535,B1535="Etapa","")</f>
        <v>41.250000000000007</v>
      </c>
      <c r="I1535" s="1082"/>
    </row>
    <row r="1536" spans="1:9" hidden="1" outlineLevel="2" x14ac:dyDescent="0.25">
      <c r="A1536" s="1079">
        <f t="shared" si="59"/>
        <v>87</v>
      </c>
      <c r="B1536" s="1079" t="s">
        <v>1362</v>
      </c>
      <c r="C1536" s="1079" t="str">
        <f t="shared" si="60"/>
        <v>Rodapé de Pedra Natural h=5cm</v>
      </c>
      <c r="D1536" s="1079" t="s">
        <v>1762</v>
      </c>
      <c r="E1536" s="1080" t="str">
        <f>_xlfn.XLOOKUP(D1536,Insumos!$B$1:$B$670,Insumos!$C$1:$C$670)</f>
        <v>KG</v>
      </c>
      <c r="F1536" s="1083">
        <v>0.45</v>
      </c>
      <c r="G1536" s="1081">
        <f>IF(B1536="insumo",_xlfn.XLOOKUP($D1536,Insumos!$B$1:$B$670,Insumos!$D$1:$D$670),"")</f>
        <v>2.5499999999999998</v>
      </c>
      <c r="H1536" s="1081" cm="1">
        <f t="array" ref="H1536">_xlfn.IFS(B1536="Serviço",SUMIFS(H1537:$H$2465,C1537:$C$2465,$C1536),B1536="Insumo",F1536*G1536,B1536="Etapa","")</f>
        <v>1.1475</v>
      </c>
      <c r="I1536" s="1082"/>
    </row>
    <row r="1537" spans="1:9" hidden="1" outlineLevel="2" x14ac:dyDescent="0.25">
      <c r="A1537" s="1079">
        <f t="shared" si="59"/>
        <v>15</v>
      </c>
      <c r="B1537" s="1079" t="s">
        <v>1362</v>
      </c>
      <c r="C1537" s="1079" t="str">
        <f t="shared" si="60"/>
        <v>Rodapé de Pedra Natural h=5cm</v>
      </c>
      <c r="D1537" s="1079" t="s">
        <v>1819</v>
      </c>
      <c r="E1537" s="1080" t="str">
        <f>_xlfn.XLOOKUP(D1537,Insumos!$B$1:$B$670,Insumos!$C$1:$C$670)</f>
        <v>UN</v>
      </c>
      <c r="F1537" s="1083">
        <v>2.5000000000000001E-2</v>
      </c>
      <c r="G1537" s="1081">
        <f>IF(B1537="insumo",_xlfn.XLOOKUP($D1537,Insumos!$B$1:$B$670,Insumos!$D$1:$D$670),"")</f>
        <v>17.329999999999998</v>
      </c>
      <c r="H1537" s="1081" cm="1">
        <f t="array" ref="H1537">_xlfn.IFS(B1537="Serviço",SUMIFS(H1538:$H$2465,C1538:$C$2465,$C1537),B1537="Insumo",F1537*G1537,B1537="Etapa","")</f>
        <v>0.43324999999999997</v>
      </c>
      <c r="I1537" s="1082"/>
    </row>
    <row r="1538" spans="1:9" outlineLevel="1" collapsed="1" x14ac:dyDescent="0.25">
      <c r="A1538" s="1079">
        <f t="shared" ref="A1538:A1601" si="61">COUNTIFS($D$2:$D$2465,D1538,$B$2:$B$2465,B1538)</f>
        <v>1</v>
      </c>
      <c r="B1538" s="1079" t="s">
        <v>471</v>
      </c>
      <c r="C1538" s="1079" t="str">
        <f t="shared" si="60"/>
        <v>Rodapé de Pedra Natural h=15cm</v>
      </c>
      <c r="D1538" s="1079" t="s">
        <v>2001</v>
      </c>
      <c r="E1538" s="1080" t="s">
        <v>281</v>
      </c>
      <c r="F1538" s="1079"/>
      <c r="G1538" s="1081" t="str">
        <f>IF(B1538="insumo",_xlfn.XLOOKUP($D1538,Insumos!$B$1:$B$670,Insumos!$D$1:$D$670),"")</f>
        <v/>
      </c>
      <c r="H1538" s="1081" cm="1">
        <f t="array" ref="H1538">_xlfn.IFS(B1538="Serviço",SUMIFS(H1539:$H$2465,C1539:$C$2465,$C1538),B1538="Insumo",F1538*G1538,B1538="Etapa","")</f>
        <v>128.49224999999998</v>
      </c>
      <c r="I1538" s="1082" t="s">
        <v>872</v>
      </c>
    </row>
    <row r="1539" spans="1:9" hidden="1" outlineLevel="2" x14ac:dyDescent="0.25">
      <c r="A1539" s="1079">
        <f t="shared" si="61"/>
        <v>10</v>
      </c>
      <c r="B1539" s="1079" t="s">
        <v>1362</v>
      </c>
      <c r="C1539" s="1079" t="str">
        <f t="shared" si="60"/>
        <v>Rodapé de Pedra Natural h=15cm</v>
      </c>
      <c r="D1539" s="1079" t="s">
        <v>1813</v>
      </c>
      <c r="E1539" s="1080" t="str">
        <f>_xlfn.XLOOKUP(D1539,Insumos!$B$1:$B$670,Insumos!$C$1:$C$670)</f>
        <v>M2</v>
      </c>
      <c r="F1539" s="1083">
        <v>0.16500000000000001</v>
      </c>
      <c r="G1539" s="1081">
        <f>IF(B1539="insumo",_xlfn.XLOOKUP($D1539,Insumos!$B$1:$B$670,Insumos!$D$1:$D$670),"")</f>
        <v>750</v>
      </c>
      <c r="H1539" s="1081" cm="1">
        <f t="array" ref="H1539">_xlfn.IFS(B1539="Serviço",SUMIFS(H1540:$H$2465,C1540:$C$2465,$C1539),B1539="Insumo",F1539*G1539,B1539="Etapa","")</f>
        <v>123.75</v>
      </c>
      <c r="I1539" s="1082"/>
    </row>
    <row r="1540" spans="1:9" hidden="1" outlineLevel="2" x14ac:dyDescent="0.25">
      <c r="A1540" s="1079">
        <f t="shared" si="61"/>
        <v>87</v>
      </c>
      <c r="B1540" s="1079" t="s">
        <v>1362</v>
      </c>
      <c r="C1540" s="1079" t="str">
        <f t="shared" si="60"/>
        <v>Rodapé de Pedra Natural h=15cm</v>
      </c>
      <c r="D1540" s="1079" t="s">
        <v>1762</v>
      </c>
      <c r="E1540" s="1080" t="str">
        <f>_xlfn.XLOOKUP(D1540,Insumos!$B$1:$B$670,Insumos!$C$1:$C$670)</f>
        <v>KG</v>
      </c>
      <c r="F1540" s="1083">
        <v>1.3499999999999999</v>
      </c>
      <c r="G1540" s="1081">
        <f>IF(B1540="insumo",_xlfn.XLOOKUP($D1540,Insumos!$B$1:$B$670,Insumos!$D$1:$D$670),"")</f>
        <v>2.5499999999999998</v>
      </c>
      <c r="H1540" s="1081" cm="1">
        <f t="array" ref="H1540">_xlfn.IFS(B1540="Serviço",SUMIFS(H1541:$H$2465,C1541:$C$2465,$C1540),B1540="Insumo",F1540*G1540,B1540="Etapa","")</f>
        <v>3.4424999999999994</v>
      </c>
      <c r="I1540" s="1082"/>
    </row>
    <row r="1541" spans="1:9" hidden="1" outlineLevel="2" x14ac:dyDescent="0.25">
      <c r="A1541" s="1079">
        <f t="shared" si="61"/>
        <v>15</v>
      </c>
      <c r="B1541" s="1079" t="s">
        <v>1362</v>
      </c>
      <c r="C1541" s="1079" t="str">
        <f t="shared" si="60"/>
        <v>Rodapé de Pedra Natural h=15cm</v>
      </c>
      <c r="D1541" s="1079" t="s">
        <v>1819</v>
      </c>
      <c r="E1541" s="1080" t="str">
        <f>_xlfn.XLOOKUP(D1541,Insumos!$B$1:$B$670,Insumos!$C$1:$C$670)</f>
        <v>UN</v>
      </c>
      <c r="F1541" s="1083">
        <v>7.4999999999999997E-2</v>
      </c>
      <c r="G1541" s="1081">
        <f>IF(B1541="insumo",_xlfn.XLOOKUP($D1541,Insumos!$B$1:$B$670,Insumos!$D$1:$D$670),"")</f>
        <v>17.329999999999998</v>
      </c>
      <c r="H1541" s="1081" cm="1">
        <f t="array" ref="H1541">_xlfn.IFS(B1541="Serviço",SUMIFS(H1542:$H$2465,C1542:$C$2465,$C1541),B1541="Insumo",F1541*G1541,B1541="Etapa","")</f>
        <v>1.2997499999999997</v>
      </c>
      <c r="I1541" s="1082"/>
    </row>
    <row r="1542" spans="1:9" outlineLevel="1" collapsed="1" x14ac:dyDescent="0.25">
      <c r="A1542" s="1079">
        <f t="shared" si="61"/>
        <v>1</v>
      </c>
      <c r="B1542" s="1079" t="s">
        <v>471</v>
      </c>
      <c r="C1542" s="1079" t="str">
        <f t="shared" si="60"/>
        <v>Rodapé de Pedra Natural h=30cm</v>
      </c>
      <c r="D1542" s="1079" t="s">
        <v>2002</v>
      </c>
      <c r="E1542" s="1080" t="s">
        <v>281</v>
      </c>
      <c r="F1542" s="1079"/>
      <c r="G1542" s="1081" t="str">
        <f>IF(B1542="insumo",_xlfn.XLOOKUP($D1542,Insumos!$B$1:$B$670,Insumos!$D$1:$D$670),"")</f>
        <v/>
      </c>
      <c r="H1542" s="1081" cm="1">
        <f t="array" ref="H1542">_xlfn.IFS(B1542="Serviço",SUMIFS(H1543:$H$2465,C1543:$C$2465,$C1542),B1542="Insumo",F1542*G1542,B1542="Etapa","")</f>
        <v>244.43474999999998</v>
      </c>
      <c r="I1542" s="1082" t="s">
        <v>872</v>
      </c>
    </row>
    <row r="1543" spans="1:9" hidden="1" outlineLevel="2" x14ac:dyDescent="0.25">
      <c r="A1543" s="1079">
        <f t="shared" si="61"/>
        <v>10</v>
      </c>
      <c r="B1543" s="1079" t="s">
        <v>1362</v>
      </c>
      <c r="C1543" s="1079" t="str">
        <f t="shared" si="60"/>
        <v>Rodapé de Pedra Natural h=30cm</v>
      </c>
      <c r="D1543" s="1079" t="s">
        <v>1813</v>
      </c>
      <c r="E1543" s="1080" t="str">
        <f>_xlfn.XLOOKUP(D1543,Insumos!$B$1:$B$670,Insumos!$C$1:$C$670)</f>
        <v>M2</v>
      </c>
      <c r="F1543" s="1083">
        <f>0.3*1.05</f>
        <v>0.315</v>
      </c>
      <c r="G1543" s="1081">
        <f>IF(B1543="insumo",_xlfn.XLOOKUP($D1543,Insumos!$B$1:$B$670,Insumos!$D$1:$D$670),"")</f>
        <v>750</v>
      </c>
      <c r="H1543" s="1081" cm="1">
        <f t="array" ref="H1543">_xlfn.IFS(B1543="Serviço",SUMIFS(H1544:$H$2465,C1544:$C$2465,$C1543),B1543="Insumo",F1543*G1543,B1543="Etapa","")</f>
        <v>236.25</v>
      </c>
      <c r="I1543" s="1082"/>
    </row>
    <row r="1544" spans="1:9" hidden="1" outlineLevel="2" x14ac:dyDescent="0.25">
      <c r="A1544" s="1079">
        <f t="shared" si="61"/>
        <v>87</v>
      </c>
      <c r="B1544" s="1079" t="s">
        <v>1362</v>
      </c>
      <c r="C1544" s="1079" t="str">
        <f t="shared" si="60"/>
        <v>Rodapé de Pedra Natural h=30cm</v>
      </c>
      <c r="D1544" s="1079" t="s">
        <v>1762</v>
      </c>
      <c r="E1544" s="1080" t="str">
        <f>_xlfn.XLOOKUP(D1544,Insumos!$B$1:$B$670,Insumos!$C$1:$C$670)</f>
        <v>KG</v>
      </c>
      <c r="F1544" s="1083">
        <f>9*0.3</f>
        <v>2.6999999999999997</v>
      </c>
      <c r="G1544" s="1081">
        <f>IF(B1544="insumo",_xlfn.XLOOKUP($D1544,Insumos!$B$1:$B$670,Insumos!$D$1:$D$670),"")</f>
        <v>2.5499999999999998</v>
      </c>
      <c r="H1544" s="1081" cm="1">
        <f t="array" ref="H1544">_xlfn.IFS(B1544="Serviço",SUMIFS(H1545:$H$2465,C1545:$C$2465,$C1544),B1544="Insumo",F1544*G1544,B1544="Etapa","")</f>
        <v>6.8849999999999989</v>
      </c>
      <c r="I1544" s="1082"/>
    </row>
    <row r="1545" spans="1:9" hidden="1" outlineLevel="2" x14ac:dyDescent="0.25">
      <c r="A1545" s="1079">
        <f t="shared" si="61"/>
        <v>15</v>
      </c>
      <c r="B1545" s="1079" t="s">
        <v>1362</v>
      </c>
      <c r="C1545" s="1079" t="str">
        <f t="shared" si="60"/>
        <v>Rodapé de Pedra Natural h=30cm</v>
      </c>
      <c r="D1545" s="1079" t="s">
        <v>1819</v>
      </c>
      <c r="E1545" s="1080" t="str">
        <f>_xlfn.XLOOKUP(D1545,Insumos!$B$1:$B$670,Insumos!$C$1:$C$670)</f>
        <v>UN</v>
      </c>
      <c r="F1545" s="1083">
        <v>7.4999999999999997E-2</v>
      </c>
      <c r="G1545" s="1081">
        <f>IF(B1545="insumo",_xlfn.XLOOKUP($D1545,Insumos!$B$1:$B$670,Insumos!$D$1:$D$670),"")</f>
        <v>17.329999999999998</v>
      </c>
      <c r="H1545" s="1081" cm="1">
        <f t="array" ref="H1545">_xlfn.IFS(B1545="Serviço",SUMIFS(H1546:$H$2465,C1546:$C$2465,$C1545),B1545="Insumo",F1545*G1545,B1545="Etapa","")</f>
        <v>1.2997499999999997</v>
      </c>
      <c r="I1545" s="1082"/>
    </row>
    <row r="1546" spans="1:9" outlineLevel="1" collapsed="1" x14ac:dyDescent="0.25">
      <c r="A1546" s="1079">
        <f t="shared" si="61"/>
        <v>1</v>
      </c>
      <c r="B1546" s="1079" t="s">
        <v>471</v>
      </c>
      <c r="C1546" s="1079" t="str">
        <f t="shared" si="60"/>
        <v>Rodapé de Poliestireno h=15cm</v>
      </c>
      <c r="D1546" s="1079" t="s">
        <v>2003</v>
      </c>
      <c r="E1546" s="1080" t="s">
        <v>281</v>
      </c>
      <c r="F1546" s="1079"/>
      <c r="G1546" s="1081" t="str">
        <f>IF(B1546="insumo",_xlfn.XLOOKUP($D1546,Insumos!$B$1:$B$670,Insumos!$D$1:$D$670),"")</f>
        <v/>
      </c>
      <c r="H1546" s="1081" cm="1">
        <f t="array" ref="H1546">_xlfn.IFS(B1546="Serviço",SUMIFS(H1547:$H$2465,C1547:$C$2465,$C1546),B1546="Insumo",F1546*G1546,B1546="Etapa","")</f>
        <v>43.820583333333332</v>
      </c>
      <c r="I1546" s="1082" t="s">
        <v>872</v>
      </c>
    </row>
    <row r="1547" spans="1:9" hidden="1" outlineLevel="2" x14ac:dyDescent="0.25">
      <c r="A1547" s="1079">
        <f t="shared" si="61"/>
        <v>1</v>
      </c>
      <c r="B1547" s="1079" t="s">
        <v>1362</v>
      </c>
      <c r="C1547" s="1079" t="str">
        <f t="shared" si="60"/>
        <v>Rodapé de Poliestireno h=15cm</v>
      </c>
      <c r="D1547" s="1079" t="s">
        <v>2004</v>
      </c>
      <c r="E1547" s="1080" t="str">
        <f>_xlfn.XLOOKUP(D1547,Insumos!$B$1:$B$670,Insumos!$C$1:$C$670)</f>
        <v>M</v>
      </c>
      <c r="F1547" s="1083">
        <v>1.34</v>
      </c>
      <c r="G1547" s="1081">
        <f>IF(B1547="insumo",_xlfn.XLOOKUP($D1547,Insumos!$B$1:$B$670,Insumos!$D$1:$D$670),"")</f>
        <v>28.954166666666666</v>
      </c>
      <c r="H1547" s="1081" cm="1">
        <f t="array" ref="H1547">_xlfn.IFS(B1547="Serviço",SUMIFS(H1548:$H$2465,C1548:$C$2465,$C1547),B1547="Insumo",F1547*G1547,B1547="Etapa","")</f>
        <v>38.798583333333333</v>
      </c>
      <c r="I1547" s="1082"/>
    </row>
    <row r="1548" spans="1:9" hidden="1" outlineLevel="2" x14ac:dyDescent="0.25">
      <c r="A1548" s="1079">
        <f t="shared" si="61"/>
        <v>5</v>
      </c>
      <c r="B1548" s="1079" t="s">
        <v>1362</v>
      </c>
      <c r="C1548" s="1079" t="str">
        <f t="shared" si="60"/>
        <v>Rodapé de Poliestireno h=15cm</v>
      </c>
      <c r="D1548" s="1079" t="s">
        <v>1991</v>
      </c>
      <c r="E1548" s="1080" t="str">
        <f>_xlfn.XLOOKUP(D1548,Insumos!$B$1:$B$670,Insumos!$C$1:$C$670)</f>
        <v>KG</v>
      </c>
      <c r="F1548" s="1083">
        <v>0.2</v>
      </c>
      <c r="G1548" s="1081">
        <f>IF(B1548="insumo",_xlfn.XLOOKUP($D1548,Insumos!$B$1:$B$670,Insumos!$D$1:$D$670),"")</f>
        <v>25.11</v>
      </c>
      <c r="H1548" s="1081" cm="1">
        <f t="array" ref="H1548">_xlfn.IFS(B1548="Serviço",SUMIFS(H1549:$H$2465,C1549:$C$2465,$C1548),B1548="Insumo",F1548*G1548,B1548="Etapa","")</f>
        <v>5.0220000000000002</v>
      </c>
      <c r="I1548" s="1082"/>
    </row>
    <row r="1549" spans="1:9" outlineLevel="1" collapsed="1" x14ac:dyDescent="0.25">
      <c r="A1549" s="1079">
        <f t="shared" si="61"/>
        <v>1</v>
      </c>
      <c r="B1549" s="1079" t="s">
        <v>471</v>
      </c>
      <c r="C1549" s="1079" t="str">
        <f t="shared" si="60"/>
        <v>Rodapé de Poliestireno h=20cm</v>
      </c>
      <c r="D1549" s="1079" t="s">
        <v>2005</v>
      </c>
      <c r="E1549" s="1080" t="s">
        <v>281</v>
      </c>
      <c r="F1549" s="1079"/>
      <c r="G1549" s="1081" t="str">
        <f>IF(B1549="insumo",_xlfn.XLOOKUP($D1549,Insumos!$B$1:$B$670,Insumos!$D$1:$D$670),"")</f>
        <v/>
      </c>
      <c r="H1549" s="1081" cm="1">
        <f t="array" ref="H1549">_xlfn.IFS(B1549="Serviço",SUMIFS(H1550:$H$2465,C1550:$C$2465,$C1549),B1549="Insumo",F1549*G1549,B1549="Etapa","")</f>
        <v>72.357000000000014</v>
      </c>
      <c r="I1549" s="1082" t="s">
        <v>872</v>
      </c>
    </row>
    <row r="1550" spans="1:9" hidden="1" outlineLevel="2" x14ac:dyDescent="0.25">
      <c r="A1550" s="1079">
        <f t="shared" si="61"/>
        <v>1</v>
      </c>
      <c r="B1550" s="1079" t="s">
        <v>1362</v>
      </c>
      <c r="C1550" s="1079" t="str">
        <f t="shared" si="60"/>
        <v>Rodapé de Poliestireno h=20cm</v>
      </c>
      <c r="D1550" s="1079" t="s">
        <v>2006</v>
      </c>
      <c r="E1550" s="1080" t="str">
        <f>_xlfn.XLOOKUP(D1550,Insumos!$B$1:$B$670,Insumos!$C$1:$C$670)</f>
        <v>M</v>
      </c>
      <c r="F1550" s="1083">
        <v>1.34</v>
      </c>
      <c r="G1550" s="1081">
        <f>IF(B1550="insumo",_xlfn.XLOOKUP($D1550,Insumos!$B$1:$B$670,Insumos!$D$1:$D$670),"")</f>
        <v>50.25</v>
      </c>
      <c r="H1550" s="1081" cm="1">
        <f t="array" ref="H1550">_xlfn.IFS(B1550="Serviço",SUMIFS(H1551:$H$2465,C1551:$C$2465,$C1550),B1550="Insumo",F1550*G1550,B1550="Etapa","")</f>
        <v>67.335000000000008</v>
      </c>
      <c r="I1550" s="1082"/>
    </row>
    <row r="1551" spans="1:9" hidden="1" outlineLevel="2" x14ac:dyDescent="0.25">
      <c r="A1551" s="1079">
        <f t="shared" si="61"/>
        <v>5</v>
      </c>
      <c r="B1551" s="1079" t="s">
        <v>1362</v>
      </c>
      <c r="C1551" s="1079" t="str">
        <f t="shared" si="60"/>
        <v>Rodapé de Poliestireno h=20cm</v>
      </c>
      <c r="D1551" s="1079" t="s">
        <v>1991</v>
      </c>
      <c r="E1551" s="1080" t="str">
        <f>_xlfn.XLOOKUP(D1551,Insumos!$B$1:$B$670,Insumos!$C$1:$C$670)</f>
        <v>KG</v>
      </c>
      <c r="F1551" s="1083">
        <v>0.2</v>
      </c>
      <c r="G1551" s="1081">
        <f>IF(B1551="insumo",_xlfn.XLOOKUP($D1551,Insumos!$B$1:$B$670,Insumos!$D$1:$D$670),"")</f>
        <v>25.11</v>
      </c>
      <c r="H1551" s="1081" cm="1">
        <f t="array" ref="H1551">_xlfn.IFS(B1551="Serviço",SUMIFS(H1552:$H$2465,C1552:$C$2465,$C1551),B1551="Insumo",F1551*G1551,B1551="Etapa","")</f>
        <v>5.0220000000000002</v>
      </c>
      <c r="I1551" s="1082"/>
    </row>
    <row r="1552" spans="1:9" outlineLevel="1" collapsed="1" x14ac:dyDescent="0.25">
      <c r="A1552" s="1079">
        <f t="shared" si="61"/>
        <v>1</v>
      </c>
      <c r="B1552" s="1079" t="s">
        <v>471</v>
      </c>
      <c r="C1552" s="1079" t="str">
        <f t="shared" si="60"/>
        <v>Rodapé de Marmore cinza h=15cm</v>
      </c>
      <c r="D1552" s="1079" t="s">
        <v>2007</v>
      </c>
      <c r="E1552" s="1080" t="s">
        <v>281</v>
      </c>
      <c r="F1552" s="1079"/>
      <c r="G1552" s="1081" t="str">
        <f>IF(B1552="insumo",_xlfn.XLOOKUP($D1552,Insumos!$B$1:$B$670,Insumos!$D$1:$D$670),"")</f>
        <v/>
      </c>
      <c r="H1552" s="1081" cm="1">
        <f t="array" ref="H1552">_xlfn.IFS(B1552="Serviço",SUMIFS(H1553:$H$2465,C1553:$C$2465,$C1552),B1552="Insumo",F1552*G1552,B1552="Etapa","")</f>
        <v>83.942250000000001</v>
      </c>
      <c r="I1552" s="1082" t="s">
        <v>872</v>
      </c>
    </row>
    <row r="1553" spans="1:9" hidden="1" outlineLevel="2" x14ac:dyDescent="0.25">
      <c r="A1553" s="1079">
        <f t="shared" si="61"/>
        <v>3</v>
      </c>
      <c r="B1553" s="1079" t="s">
        <v>1362</v>
      </c>
      <c r="C1553" s="1079" t="str">
        <f t="shared" si="60"/>
        <v>Rodapé de Marmore cinza h=15cm</v>
      </c>
      <c r="D1553" s="1079" t="s">
        <v>1810</v>
      </c>
      <c r="E1553" s="1080" t="str">
        <f>_xlfn.XLOOKUP(D1553,Insumos!$B$1:$B$670,Insumos!$C$1:$C$670)</f>
        <v>M2</v>
      </c>
      <c r="F1553" s="1083">
        <v>0.16500000000000001</v>
      </c>
      <c r="G1553" s="1081">
        <f>IF(B1553="insumo",_xlfn.XLOOKUP($D1553,Insumos!$B$1:$B$670,Insumos!$D$1:$D$670),"")</f>
        <v>480</v>
      </c>
      <c r="H1553" s="1081" cm="1">
        <f t="array" ref="H1553">_xlfn.IFS(B1553="Serviço",SUMIFS(H1554:$H$2465,C1554:$C$2465,$C1553),B1553="Insumo",F1553*G1553,B1553="Etapa","")</f>
        <v>79.2</v>
      </c>
      <c r="I1553" s="1082"/>
    </row>
    <row r="1554" spans="1:9" hidden="1" outlineLevel="2" x14ac:dyDescent="0.25">
      <c r="A1554" s="1079">
        <f t="shared" si="61"/>
        <v>87</v>
      </c>
      <c r="B1554" s="1079" t="s">
        <v>1362</v>
      </c>
      <c r="C1554" s="1079" t="str">
        <f t="shared" ref="C1554:C1619" si="62">IF(B1554="serviço",D1554,C1553)</f>
        <v>Rodapé de Marmore cinza h=15cm</v>
      </c>
      <c r="D1554" s="1079" t="s">
        <v>1762</v>
      </c>
      <c r="E1554" s="1080" t="str">
        <f>_xlfn.XLOOKUP(D1554,Insumos!$B$1:$B$670,Insumos!$C$1:$C$670)</f>
        <v>KG</v>
      </c>
      <c r="F1554" s="1083">
        <v>1.3499999999999999</v>
      </c>
      <c r="G1554" s="1081">
        <f>IF(B1554="insumo",_xlfn.XLOOKUP($D1554,Insumos!$B$1:$B$670,Insumos!$D$1:$D$670),"")</f>
        <v>2.5499999999999998</v>
      </c>
      <c r="H1554" s="1081" cm="1">
        <f t="array" ref="H1554">_xlfn.IFS(B1554="Serviço",SUMIFS(H1555:$H$2465,C1555:$C$2465,$C1554),B1554="Insumo",F1554*G1554,B1554="Etapa","")</f>
        <v>3.4424999999999994</v>
      </c>
      <c r="I1554" s="1082"/>
    </row>
    <row r="1555" spans="1:9" hidden="1" outlineLevel="2" x14ac:dyDescent="0.25">
      <c r="A1555" s="1079">
        <f t="shared" si="61"/>
        <v>15</v>
      </c>
      <c r="B1555" s="1079" t="s">
        <v>1362</v>
      </c>
      <c r="C1555" s="1079" t="str">
        <f t="shared" si="62"/>
        <v>Rodapé de Marmore cinza h=15cm</v>
      </c>
      <c r="D1555" s="1079" t="s">
        <v>1819</v>
      </c>
      <c r="E1555" s="1080" t="str">
        <f>_xlfn.XLOOKUP(D1555,Insumos!$B$1:$B$670,Insumos!$C$1:$C$670)</f>
        <v>UN</v>
      </c>
      <c r="F1555" s="1083">
        <v>7.4999999999999997E-2</v>
      </c>
      <c r="G1555" s="1081">
        <f>IF(B1555="insumo",_xlfn.XLOOKUP($D1555,Insumos!$B$1:$B$670,Insumos!$D$1:$D$670),"")</f>
        <v>17.329999999999998</v>
      </c>
      <c r="H1555" s="1081" cm="1">
        <f t="array" ref="H1555">_xlfn.IFS(B1555="Serviço",SUMIFS(H1556:$H$2465,C1556:$C$2465,$C1555),B1555="Insumo",F1555*G1555,B1555="Etapa","")</f>
        <v>1.2997499999999997</v>
      </c>
      <c r="I1555" s="1082"/>
    </row>
    <row r="1556" spans="1:9" outlineLevel="1" x14ac:dyDescent="0.25">
      <c r="A1556" s="1079">
        <f t="shared" si="61"/>
        <v>1</v>
      </c>
      <c r="B1556" s="1079" t="s">
        <v>471</v>
      </c>
      <c r="C1556" s="1079" t="str">
        <f t="shared" si="62"/>
        <v>Rodapé de poliestireno h=10cm</v>
      </c>
      <c r="D1556" s="1079" t="s">
        <v>1314</v>
      </c>
      <c r="E1556" s="1080" t="s">
        <v>281</v>
      </c>
      <c r="F1556" s="1079"/>
      <c r="G1556" s="1081" t="str">
        <f>IF(B1556="insumo",_xlfn.XLOOKUP($D1556,Insumos!$B$1:$B$670,Insumos!$D$1:$D$670),"")</f>
        <v/>
      </c>
      <c r="H1556" s="1081" cm="1">
        <f t="array" ref="H1556">_xlfn.IFS(B1556="Serviço",SUMIFS(H1557:$H$2465,C1557:$C$2465,$C1556),B1556="Insumo",F1556*G1556,B1556="Etapa","")</f>
        <v>33.872200000000007</v>
      </c>
      <c r="I1556" s="1082" t="s">
        <v>872</v>
      </c>
    </row>
    <row r="1557" spans="1:9" outlineLevel="2" x14ac:dyDescent="0.25">
      <c r="A1557" s="1079">
        <f t="shared" si="61"/>
        <v>5</v>
      </c>
      <c r="B1557" s="1079" t="s">
        <v>1362</v>
      </c>
      <c r="C1557" s="1079" t="str">
        <f t="shared" si="62"/>
        <v>Rodapé de poliestireno h=10cm</v>
      </c>
      <c r="D1557" s="1079" t="s">
        <v>1991</v>
      </c>
      <c r="E1557" s="1080" t="str">
        <f>_xlfn.XLOOKUP(D1557,Insumos!$B$1:$B$670,Insumos!$C$1:$C$670)</f>
        <v>KG</v>
      </c>
      <c r="F1557" s="1083">
        <v>0.2</v>
      </c>
      <c r="G1557" s="1081">
        <f>IF(B1557="insumo",_xlfn.XLOOKUP($D1557,Insumos!$B$1:$B$670,Insumos!$D$1:$D$670),"")</f>
        <v>25.11</v>
      </c>
      <c r="H1557" s="1081" cm="1">
        <f t="array" ref="H1557">_xlfn.IFS(B1557="Serviço",SUMIFS(H1558:$H$2465,C1558:$C$2465,$C1557),B1557="Insumo",F1557*G1557,B1557="Etapa","")</f>
        <v>5.0220000000000002</v>
      </c>
      <c r="I1557" s="1082"/>
    </row>
    <row r="1558" spans="1:9" outlineLevel="2" x14ac:dyDescent="0.25">
      <c r="A1558" s="1079">
        <f t="shared" si="61"/>
        <v>1</v>
      </c>
      <c r="B1558" s="1079" t="s">
        <v>1362</v>
      </c>
      <c r="C1558" s="1079" t="str">
        <f t="shared" si="62"/>
        <v>Rodapé de poliestireno h=10cm</v>
      </c>
      <c r="D1558" s="1079" t="s">
        <v>2008</v>
      </c>
      <c r="E1558" s="1080" t="str">
        <f>_xlfn.XLOOKUP(D1558,Insumos!$B$1:$B$670,Insumos!$C$1:$C$670)</f>
        <v>M</v>
      </c>
      <c r="F1558" s="1083">
        <v>1.34</v>
      </c>
      <c r="G1558" s="1081">
        <f>IF(B1558="insumo",_xlfn.XLOOKUP($D1558,Insumos!$B$1:$B$670,Insumos!$D$1:$D$670),"")</f>
        <v>21.53</v>
      </c>
      <c r="H1558" s="1081" cm="1">
        <f t="array" ref="H1558">_xlfn.IFS(B1558="Serviço",SUMIFS(H1559:$H$2465,C1559:$C$2465,$C1558),B1558="Insumo",F1558*G1558,B1558="Etapa","")</f>
        <v>28.850200000000005</v>
      </c>
      <c r="I1558" s="1082"/>
    </row>
    <row r="1559" spans="1:9" ht="16.5" customHeight="1" outlineLevel="1" collapsed="1" x14ac:dyDescent="0.25">
      <c r="A1559" s="1079">
        <f t="shared" si="61"/>
        <v>1</v>
      </c>
      <c r="B1559" s="1079" t="s">
        <v>471</v>
      </c>
      <c r="C1559" s="1079" t="str">
        <f t="shared" si="62"/>
        <v>Rodapé de poliestireno h=7cm</v>
      </c>
      <c r="D1559" s="1079" t="s">
        <v>2009</v>
      </c>
      <c r="E1559" s="1080" t="s">
        <v>281</v>
      </c>
      <c r="F1559" s="1079"/>
      <c r="G1559" s="1081" t="str">
        <f>IF(B1559="insumo",_xlfn.XLOOKUP($D1559,Insumos!$B$1:$B$670,Insumos!$D$1:$D$670),"")</f>
        <v/>
      </c>
      <c r="H1559" s="1081" cm="1">
        <f t="array" ref="H1559">_xlfn.IFS(B1559="Serviço",SUMIFS(H1560:$H$2465,C1560:$C$2465,$C1559),B1559="Insumo",F1559*G1559,B1559="Etapa","")</f>
        <v>27.926352000000001</v>
      </c>
      <c r="I1559" s="1082" t="s">
        <v>872</v>
      </c>
    </row>
    <row r="1560" spans="1:9" hidden="1" outlineLevel="2" x14ac:dyDescent="0.25">
      <c r="A1560" s="1079">
        <f t="shared" si="61"/>
        <v>5</v>
      </c>
      <c r="B1560" s="1079" t="s">
        <v>1362</v>
      </c>
      <c r="C1560" s="1079" t="str">
        <f t="shared" si="62"/>
        <v>Rodapé de poliestireno h=7cm</v>
      </c>
      <c r="D1560" s="1079" t="s">
        <v>1991</v>
      </c>
      <c r="E1560" s="1080" t="str">
        <f>_xlfn.XLOOKUP(D1560,Insumos!$B$1:$B$670,Insumos!$C$1:$C$670)</f>
        <v>KG</v>
      </c>
      <c r="F1560" s="1083">
        <v>0.2</v>
      </c>
      <c r="G1560" s="1081">
        <f>IF(B1560="insumo",_xlfn.XLOOKUP($D1560,Insumos!$B$1:$B$670,Insumos!$D$1:$D$670),"")</f>
        <v>25.11</v>
      </c>
      <c r="H1560" s="1081" cm="1">
        <f t="array" ref="H1560">_xlfn.IFS(B1560="Serviço",SUMIFS(H1561:$H$2465,C1561:$C$2465,$C1560),B1560="Insumo",F1560*G1560,B1560="Etapa","")</f>
        <v>5.0220000000000002</v>
      </c>
      <c r="I1560" s="1082"/>
    </row>
    <row r="1561" spans="1:9" hidden="1" outlineLevel="2" x14ac:dyDescent="0.25">
      <c r="A1561" s="1079">
        <f t="shared" si="61"/>
        <v>1</v>
      </c>
      <c r="B1561" s="1079" t="s">
        <v>1362</v>
      </c>
      <c r="C1561" s="1079" t="str">
        <f t="shared" si="62"/>
        <v>Rodapé de poliestireno h=7cm</v>
      </c>
      <c r="D1561" s="1079" t="s">
        <v>2010</v>
      </c>
      <c r="E1561" s="1080" t="str">
        <f>_xlfn.XLOOKUP(D1561,Insumos!$B$1:$B$670,Insumos!$C$1:$C$670)</f>
        <v>UN</v>
      </c>
      <c r="F1561" s="1083">
        <v>1.34</v>
      </c>
      <c r="G1561" s="1081">
        <f>IF(B1561="insumo",_xlfn.XLOOKUP($D1561,Insumos!$B$1:$B$670,Insumos!$D$1:$D$670),"")</f>
        <v>17.0928</v>
      </c>
      <c r="H1561" s="1081" cm="1">
        <f t="array" ref="H1561">_xlfn.IFS(B1561="Serviço",SUMIFS(H1562:$H$2465,C1562:$C$2465,$C1561),B1561="Insumo",F1561*G1561,B1561="Etapa","")</f>
        <v>22.904352000000003</v>
      </c>
      <c r="I1561" s="1082"/>
    </row>
    <row r="1562" spans="1:9" outlineLevel="1" x14ac:dyDescent="0.25">
      <c r="A1562" s="1079">
        <f t="shared" si="61"/>
        <v>1</v>
      </c>
      <c r="B1562" s="1079" t="s">
        <v>471</v>
      </c>
      <c r="C1562" s="1079" t="str">
        <f t="shared" si="62"/>
        <v>Rodapé de cerâmico h=10cm</v>
      </c>
      <c r="D1562" s="1079" t="s">
        <v>2011</v>
      </c>
      <c r="E1562" s="1080" t="s">
        <v>281</v>
      </c>
      <c r="F1562" s="1079"/>
      <c r="G1562" s="1081" t="str">
        <f>IF(B1562="insumo",_xlfn.XLOOKUP($D1562,Insumos!$B$1:$B$670,Insumos!$D$1:$D$670),"")</f>
        <v/>
      </c>
      <c r="H1562" s="1081" cm="1">
        <f t="array" ref="H1562">_xlfn.IFS(B1562="Serviço",SUMIFS(H1563:$H$2465,C1563:$C$2465,$C1562),B1562="Insumo",F1562*G1562,B1562="Etapa","")</f>
        <v>9.4559999999999995</v>
      </c>
      <c r="I1562" s="1082" t="s">
        <v>872</v>
      </c>
    </row>
    <row r="1563" spans="1:9" outlineLevel="2" x14ac:dyDescent="0.25">
      <c r="A1563" s="1079">
        <f t="shared" si="61"/>
        <v>3</v>
      </c>
      <c r="B1563" s="1079" t="s">
        <v>1362</v>
      </c>
      <c r="C1563" s="1079" t="str">
        <f t="shared" si="62"/>
        <v>Rodapé de cerâmico h=10cm</v>
      </c>
      <c r="D1563" s="1079" t="s">
        <v>1963</v>
      </c>
      <c r="E1563" s="1080" t="str">
        <f>_xlfn.XLOOKUP(D1563,Insumos!$B$1:$B$670,Insumos!$C$1:$C$670)</f>
        <v>M2</v>
      </c>
      <c r="F1563" s="1083">
        <v>0.11000000000000001</v>
      </c>
      <c r="G1563" s="1081">
        <f>IF(B1563="insumo",_xlfn.XLOOKUP($D1563,Insumos!$B$1:$B$670,Insumos!$D$1:$D$670),"")</f>
        <v>44.9</v>
      </c>
      <c r="H1563" s="1081" cm="1">
        <f t="array" ref="H1563">_xlfn.IFS(B1563="Serviço",SUMIFS(H1564:$H$2465,C1564:$C$2465,$C1563),B1563="Insumo",F1563*G1563,B1563="Etapa","")</f>
        <v>4.9390000000000001</v>
      </c>
      <c r="I1563" s="1082"/>
    </row>
    <row r="1564" spans="1:9" outlineLevel="2" x14ac:dyDescent="0.25">
      <c r="A1564" s="1079">
        <f t="shared" si="61"/>
        <v>87</v>
      </c>
      <c r="B1564" s="1079" t="s">
        <v>1362</v>
      </c>
      <c r="C1564" s="1079" t="str">
        <f t="shared" si="62"/>
        <v>Rodapé de cerâmico h=10cm</v>
      </c>
      <c r="D1564" s="1079" t="s">
        <v>1762</v>
      </c>
      <c r="E1564" s="1080" t="str">
        <f>_xlfn.XLOOKUP(D1564,Insumos!$B$1:$B$670,Insumos!$C$1:$C$670)</f>
        <v>KG</v>
      </c>
      <c r="F1564" s="1083">
        <v>0.9</v>
      </c>
      <c r="G1564" s="1081">
        <f>IF(B1564="insumo",_xlfn.XLOOKUP($D1564,Insumos!$B$1:$B$670,Insumos!$D$1:$D$670),"")</f>
        <v>2.5499999999999998</v>
      </c>
      <c r="H1564" s="1081" cm="1">
        <f t="array" ref="H1564">_xlfn.IFS(B1564="Serviço",SUMIFS(H1565:$H$2465,C1565:$C$2465,$C1564),B1564="Insumo",F1564*G1564,B1564="Etapa","")</f>
        <v>2.2949999999999999</v>
      </c>
      <c r="I1564" s="1082"/>
    </row>
    <row r="1565" spans="1:9" outlineLevel="2" x14ac:dyDescent="0.25">
      <c r="A1565" s="1079">
        <f t="shared" si="61"/>
        <v>56</v>
      </c>
      <c r="B1565" s="1079" t="s">
        <v>1362</v>
      </c>
      <c r="C1565" s="1079" t="str">
        <f t="shared" si="62"/>
        <v>Rodapé de cerâmico h=10cm</v>
      </c>
      <c r="D1565" s="1079" t="s">
        <v>1786</v>
      </c>
      <c r="E1565" s="1080" t="str">
        <f>_xlfn.XLOOKUP(D1565,Insumos!$B$1:$B$670,Insumos!$C$1:$C$670)</f>
        <v>UN</v>
      </c>
      <c r="F1565" s="1083">
        <v>0.4</v>
      </c>
      <c r="G1565" s="1081">
        <f>IF(B1565="insumo",_xlfn.XLOOKUP($D1565,Insumos!$B$1:$B$670,Insumos!$D$1:$D$670),"")</f>
        <v>0.08</v>
      </c>
      <c r="H1565" s="1081" cm="1">
        <f t="array" ref="H1565">_xlfn.IFS(B1565="Serviço",SUMIFS(H1566:$H$2465,C1566:$C$2465,$C1565),B1565="Insumo",F1565*G1565,B1565="Etapa","")</f>
        <v>3.2000000000000001E-2</v>
      </c>
      <c r="I1565" s="1082"/>
    </row>
    <row r="1566" spans="1:9" outlineLevel="2" x14ac:dyDescent="0.25">
      <c r="A1566" s="1079">
        <f t="shared" si="61"/>
        <v>13</v>
      </c>
      <c r="B1566" s="1079" t="s">
        <v>1362</v>
      </c>
      <c r="C1566" s="1079" t="str">
        <f t="shared" si="62"/>
        <v>Rodapé de cerâmico h=10cm</v>
      </c>
      <c r="D1566" s="1079" t="s">
        <v>1789</v>
      </c>
      <c r="E1566" s="1080" t="str">
        <f>_xlfn.XLOOKUP(D1566,Insumos!$B$1:$B$670,Insumos!$C$1:$C$670)</f>
        <v>KG</v>
      </c>
      <c r="F1566" s="1083">
        <v>0.05</v>
      </c>
      <c r="G1566" s="1081">
        <f>IF(B1566="insumo",_xlfn.XLOOKUP($D1566,Insumos!$B$1:$B$670,Insumos!$D$1:$D$670),"")</f>
        <v>43.8</v>
      </c>
      <c r="H1566" s="1081" cm="1">
        <f t="array" ref="H1566">_xlfn.IFS(B1566="Serviço",SUMIFS(H1567:$H$2465,C1567:$C$2465,$C1566),B1566="Insumo",F1566*G1566,B1566="Etapa","")</f>
        <v>2.19</v>
      </c>
      <c r="I1566" s="1082"/>
    </row>
    <row r="1567" spans="1:9" outlineLevel="1" x14ac:dyDescent="0.25">
      <c r="A1567" s="1079">
        <f t="shared" si="61"/>
        <v>1</v>
      </c>
      <c r="B1567" s="1079" t="s">
        <v>471</v>
      </c>
      <c r="C1567" s="1079" t="str">
        <f t="shared" si="62"/>
        <v>Rodapé de porcelanato h=10cm</v>
      </c>
      <c r="D1567" s="1079" t="s">
        <v>2012</v>
      </c>
      <c r="E1567" s="1080" t="s">
        <v>281</v>
      </c>
      <c r="F1567" s="1079"/>
      <c r="G1567" s="1081" t="str">
        <f>IF(B1567="insumo",_xlfn.XLOOKUP($D1567,Insumos!$B$1:$B$670,Insumos!$D$1:$D$670),"")</f>
        <v/>
      </c>
      <c r="H1567" s="1081" cm="1">
        <f t="array" ref="H1567">_xlfn.IFS(B1567="Serviço",SUMIFS(H1568:$H$2465,C1568:$C$2465,$C1567),B1567="Insumo",F1567*G1567,B1567="Etapa","")</f>
        <v>13.537000000000001</v>
      </c>
      <c r="I1567" s="1082" t="s">
        <v>872</v>
      </c>
    </row>
    <row r="1568" spans="1:9" outlineLevel="2" x14ac:dyDescent="0.25">
      <c r="A1568" s="1079">
        <f t="shared" si="61"/>
        <v>5</v>
      </c>
      <c r="B1568" s="1079" t="s">
        <v>1362</v>
      </c>
      <c r="C1568" s="1079" t="str">
        <f t="shared" si="62"/>
        <v>Rodapé de porcelanato h=10cm</v>
      </c>
      <c r="D1568" s="1079" t="s">
        <v>1952</v>
      </c>
      <c r="E1568" s="1080" t="str">
        <f>_xlfn.XLOOKUP(D1568,Insumos!$B$1:$B$670,Insumos!$C$1:$C$670)</f>
        <v>M2</v>
      </c>
      <c r="F1568" s="1083">
        <v>0.11000000000000001</v>
      </c>
      <c r="G1568" s="1081">
        <f>IF(B1568="insumo",_xlfn.XLOOKUP($D1568,Insumos!$B$1:$B$670,Insumos!$D$1:$D$670),"")</f>
        <v>82</v>
      </c>
      <c r="H1568" s="1081" cm="1">
        <f t="array" ref="H1568">_xlfn.IFS(B1568="Serviço",SUMIFS(H1569:$H$2465,C1569:$C$2465,$C1568),B1568="Insumo",F1568*G1568,B1568="Etapa","")</f>
        <v>9.0200000000000014</v>
      </c>
      <c r="I1568" s="1082"/>
    </row>
    <row r="1569" spans="1:9" outlineLevel="2" x14ac:dyDescent="0.25">
      <c r="A1569" s="1079">
        <f t="shared" si="61"/>
        <v>87</v>
      </c>
      <c r="B1569" s="1079" t="s">
        <v>1362</v>
      </c>
      <c r="C1569" s="1079" t="str">
        <f t="shared" si="62"/>
        <v>Rodapé de porcelanato h=10cm</v>
      </c>
      <c r="D1569" s="1079" t="s">
        <v>1762</v>
      </c>
      <c r="E1569" s="1080" t="str">
        <f>_xlfn.XLOOKUP(D1569,Insumos!$B$1:$B$670,Insumos!$C$1:$C$670)</f>
        <v>KG</v>
      </c>
      <c r="F1569" s="1083">
        <v>0.9</v>
      </c>
      <c r="G1569" s="1081">
        <f>IF(B1569="insumo",_xlfn.XLOOKUP($D1569,Insumos!$B$1:$B$670,Insumos!$D$1:$D$670),"")</f>
        <v>2.5499999999999998</v>
      </c>
      <c r="H1569" s="1081" cm="1">
        <f t="array" ref="H1569">_xlfn.IFS(B1569="Serviço",SUMIFS(H1570:$H$2465,C1570:$C$2465,$C1569),B1569="Insumo",F1569*G1569,B1569="Etapa","")</f>
        <v>2.2949999999999999</v>
      </c>
      <c r="I1569" s="1082"/>
    </row>
    <row r="1570" spans="1:9" outlineLevel="2" x14ac:dyDescent="0.25">
      <c r="A1570" s="1079">
        <f t="shared" si="61"/>
        <v>56</v>
      </c>
      <c r="B1570" s="1079" t="s">
        <v>1362</v>
      </c>
      <c r="C1570" s="1079" t="str">
        <f t="shared" si="62"/>
        <v>Rodapé de porcelanato h=10cm</v>
      </c>
      <c r="D1570" s="1079" t="s">
        <v>1786</v>
      </c>
      <c r="E1570" s="1080" t="str">
        <f>_xlfn.XLOOKUP(D1570,Insumos!$B$1:$B$670,Insumos!$C$1:$C$670)</f>
        <v>UN</v>
      </c>
      <c r="F1570" s="1083">
        <v>0.4</v>
      </c>
      <c r="G1570" s="1081">
        <f>IF(B1570="insumo",_xlfn.XLOOKUP($D1570,Insumos!$B$1:$B$670,Insumos!$D$1:$D$670),"")</f>
        <v>0.08</v>
      </c>
      <c r="H1570" s="1081" cm="1">
        <f t="array" ref="H1570">_xlfn.IFS(B1570="Serviço",SUMIFS(H1571:$H$2465,C1571:$C$2465,$C1570),B1570="Insumo",F1570*G1570,B1570="Etapa","")</f>
        <v>3.2000000000000001E-2</v>
      </c>
      <c r="I1570" s="1082"/>
    </row>
    <row r="1571" spans="1:9" outlineLevel="2" x14ac:dyDescent="0.25">
      <c r="A1571" s="1079">
        <f t="shared" si="61"/>
        <v>13</v>
      </c>
      <c r="B1571" s="1079" t="s">
        <v>1362</v>
      </c>
      <c r="C1571" s="1079" t="str">
        <f t="shared" si="62"/>
        <v>Rodapé de porcelanato h=10cm</v>
      </c>
      <c r="D1571" s="1079" t="s">
        <v>1789</v>
      </c>
      <c r="E1571" s="1080" t="str">
        <f>_xlfn.XLOOKUP(D1571,Insumos!$B$1:$B$670,Insumos!$C$1:$C$670)</f>
        <v>KG</v>
      </c>
      <c r="F1571" s="1083">
        <v>0.05</v>
      </c>
      <c r="G1571" s="1081">
        <f>IF(B1571="insumo",_xlfn.XLOOKUP($D1571,Insumos!$B$1:$B$670,Insumos!$D$1:$D$670),"")</f>
        <v>43.8</v>
      </c>
      <c r="H1571" s="1081" cm="1">
        <f t="array" ref="H1571">_xlfn.IFS(B1571="Serviço",SUMIFS(H1572:$H$2465,C1572:$C$2465,$C1571),B1571="Insumo",F1571*G1571,B1571="Etapa","")</f>
        <v>2.19</v>
      </c>
      <c r="I1571" s="1082"/>
    </row>
    <row r="1572" spans="1:9" outlineLevel="1" x14ac:dyDescent="0.25">
      <c r="A1572" s="1079">
        <f t="shared" si="61"/>
        <v>1</v>
      </c>
      <c r="B1572" s="1079" t="s">
        <v>471</v>
      </c>
      <c r="C1572" s="1079" t="str">
        <f t="shared" si="62"/>
        <v>Rodapé de cerâmico h=43cm</v>
      </c>
      <c r="D1572" s="1079" t="s">
        <v>2013</v>
      </c>
      <c r="E1572" s="1080" t="s">
        <v>281</v>
      </c>
      <c r="F1572" s="1079"/>
      <c r="G1572" s="1081" t="str">
        <f>IF(B1572="insumo",_xlfn.XLOOKUP($D1572,Insumos!$B$1:$B$670,Insumos!$D$1:$D$670),"")</f>
        <v/>
      </c>
      <c r="H1572" s="1081" cm="1">
        <f t="array" ref="H1572">_xlfn.IFS(B1572="Serviço",SUMIFS(H1573:$H$2465,C1573:$C$2465,$C1572),B1572="Insumo",F1572*G1572,B1572="Etapa","")</f>
        <v>23.823999999999998</v>
      </c>
      <c r="I1572" s="1082" t="s">
        <v>872</v>
      </c>
    </row>
    <row r="1573" spans="1:9" outlineLevel="2" x14ac:dyDescent="0.25">
      <c r="A1573" s="1079">
        <f t="shared" si="61"/>
        <v>3</v>
      </c>
      <c r="B1573" s="1079" t="s">
        <v>1362</v>
      </c>
      <c r="C1573" s="1079" t="str">
        <f t="shared" si="62"/>
        <v>Rodapé de cerâmico h=43cm</v>
      </c>
      <c r="D1573" s="1079" t="s">
        <v>1963</v>
      </c>
      <c r="E1573" s="1080" t="str">
        <f>_xlfn.XLOOKUP(D1573,Insumos!$B$1:$B$670,Insumos!$C$1:$C$670)</f>
        <v>M2</v>
      </c>
      <c r="F1573" s="1083">
        <f>1*0.43</f>
        <v>0.43</v>
      </c>
      <c r="G1573" s="1081">
        <f>IF(B1573="insumo",_xlfn.XLOOKUP($D1573,Insumos!$B$1:$B$670,Insumos!$D$1:$D$670),"")</f>
        <v>44.9</v>
      </c>
      <c r="H1573" s="1081" cm="1">
        <f t="array" ref="H1573">_xlfn.IFS(B1573="Serviço",SUMIFS(H1574:$H$2465,C1574:$C$2465,$C1573),B1573="Insumo",F1573*G1573,B1573="Etapa","")</f>
        <v>19.306999999999999</v>
      </c>
      <c r="I1573" s="1082"/>
    </row>
    <row r="1574" spans="1:9" outlineLevel="2" x14ac:dyDescent="0.25">
      <c r="A1574" s="1079">
        <f t="shared" si="61"/>
        <v>87</v>
      </c>
      <c r="B1574" s="1079" t="s">
        <v>1362</v>
      </c>
      <c r="C1574" s="1079" t="str">
        <f t="shared" si="62"/>
        <v>Rodapé de cerâmico h=43cm</v>
      </c>
      <c r="D1574" s="1079" t="s">
        <v>1762</v>
      </c>
      <c r="E1574" s="1080" t="str">
        <f>_xlfn.XLOOKUP(D1574,Insumos!$B$1:$B$670,Insumos!$C$1:$C$670)</f>
        <v>KG</v>
      </c>
      <c r="F1574" s="1083">
        <v>0.9</v>
      </c>
      <c r="G1574" s="1081">
        <f>IF(B1574="insumo",_xlfn.XLOOKUP($D1574,Insumos!$B$1:$B$670,Insumos!$D$1:$D$670),"")</f>
        <v>2.5499999999999998</v>
      </c>
      <c r="H1574" s="1081" cm="1">
        <f t="array" ref="H1574">_xlfn.IFS(B1574="Serviço",SUMIFS(H1575:$H$2465,C1575:$C$2465,$C1574),B1574="Insumo",F1574*G1574,B1574="Etapa","")</f>
        <v>2.2949999999999999</v>
      </c>
      <c r="I1574" s="1082"/>
    </row>
    <row r="1575" spans="1:9" outlineLevel="2" x14ac:dyDescent="0.25">
      <c r="A1575" s="1079">
        <f t="shared" si="61"/>
        <v>56</v>
      </c>
      <c r="B1575" s="1079" t="s">
        <v>1362</v>
      </c>
      <c r="C1575" s="1079" t="str">
        <f t="shared" si="62"/>
        <v>Rodapé de cerâmico h=43cm</v>
      </c>
      <c r="D1575" s="1079" t="s">
        <v>1786</v>
      </c>
      <c r="E1575" s="1080" t="str">
        <f>_xlfn.XLOOKUP(D1575,Insumos!$B$1:$B$670,Insumos!$C$1:$C$670)</f>
        <v>UN</v>
      </c>
      <c r="F1575" s="1083">
        <v>0.4</v>
      </c>
      <c r="G1575" s="1081">
        <f>IF(B1575="insumo",_xlfn.XLOOKUP($D1575,Insumos!$B$1:$B$670,Insumos!$D$1:$D$670),"")</f>
        <v>0.08</v>
      </c>
      <c r="H1575" s="1081" cm="1">
        <f t="array" ref="H1575">_xlfn.IFS(B1575="Serviço",SUMIFS(H1576:$H$2465,C1576:$C$2465,$C1575),B1575="Insumo",F1575*G1575,B1575="Etapa","")</f>
        <v>3.2000000000000001E-2</v>
      </c>
      <c r="I1575" s="1082"/>
    </row>
    <row r="1576" spans="1:9" outlineLevel="2" x14ac:dyDescent="0.25">
      <c r="A1576" s="1079">
        <f t="shared" si="61"/>
        <v>13</v>
      </c>
      <c r="B1576" s="1079" t="s">
        <v>1362</v>
      </c>
      <c r="C1576" s="1079" t="str">
        <f t="shared" si="62"/>
        <v>Rodapé de cerâmico h=43cm</v>
      </c>
      <c r="D1576" s="1079" t="s">
        <v>1789</v>
      </c>
      <c r="E1576" s="1080" t="str">
        <f>_xlfn.XLOOKUP(D1576,Insumos!$B$1:$B$670,Insumos!$C$1:$C$670)</f>
        <v>KG</v>
      </c>
      <c r="F1576" s="1083">
        <v>0.05</v>
      </c>
      <c r="G1576" s="1081">
        <f>IF(B1576="insumo",_xlfn.XLOOKUP($D1576,Insumos!$B$1:$B$670,Insumos!$D$1:$D$670),"")</f>
        <v>43.8</v>
      </c>
      <c r="H1576" s="1081" cm="1">
        <f t="array" ref="H1576">_xlfn.IFS(B1576="Serviço",SUMIFS(H1577:$H$2465,C1577:$C$2465,$C1576),B1576="Insumo",F1576*G1576,B1576="Etapa","")</f>
        <v>2.19</v>
      </c>
      <c r="I1576" s="1082"/>
    </row>
    <row r="1577" spans="1:9" outlineLevel="1" collapsed="1" x14ac:dyDescent="0.25">
      <c r="A1577" s="1079">
        <f t="shared" si="61"/>
        <v>1</v>
      </c>
      <c r="B1577" s="1079" t="s">
        <v>471</v>
      </c>
      <c r="C1577" s="1079" t="str">
        <f t="shared" si="62"/>
        <v>Rodapé de porcelanato h=15cm</v>
      </c>
      <c r="D1577" s="1079" t="s">
        <v>2014</v>
      </c>
      <c r="E1577" s="1080" t="s">
        <v>281</v>
      </c>
      <c r="F1577" s="1079"/>
      <c r="G1577" s="1081" t="str">
        <f>IF(B1577="insumo",_xlfn.XLOOKUP($D1577,Insumos!$B$1:$B$670,Insumos!$D$1:$D$670),"")</f>
        <v/>
      </c>
      <c r="H1577" s="1081" cm="1">
        <f t="array" ref="H1577">_xlfn.IFS(B1577="Serviço",SUMIFS(H1578:$H$2465,C1578:$C$2465,$C1577),B1577="Insumo",F1577*G1577,B1577="Etapa","")</f>
        <v>17.856749999999998</v>
      </c>
      <c r="I1577" s="1082" t="s">
        <v>872</v>
      </c>
    </row>
    <row r="1578" spans="1:9" hidden="1" outlineLevel="2" x14ac:dyDescent="0.25">
      <c r="A1578" s="1079">
        <f t="shared" si="61"/>
        <v>5</v>
      </c>
      <c r="B1578" s="1079" t="s">
        <v>1362</v>
      </c>
      <c r="C1578" s="1079" t="str">
        <f t="shared" si="62"/>
        <v>Rodapé de porcelanato h=15cm</v>
      </c>
      <c r="D1578" s="1079" t="s">
        <v>1952</v>
      </c>
      <c r="E1578" s="1080" t="str">
        <f>_xlfn.XLOOKUP(D1578,Insumos!$B$1:$B$670,Insumos!$C$1:$C$670)</f>
        <v>M2</v>
      </c>
      <c r="F1578" s="1083">
        <v>0.16500000000000001</v>
      </c>
      <c r="G1578" s="1081">
        <f>IF(B1578="insumo",_xlfn.XLOOKUP($D1578,Insumos!$B$1:$B$670,Insumos!$D$1:$D$670),"")</f>
        <v>82</v>
      </c>
      <c r="H1578" s="1081" cm="1">
        <f t="array" ref="H1578">_xlfn.IFS(B1578="Serviço",SUMIFS(H1579:$H$2465,C1579:$C$2465,$C1578),B1578="Insumo",F1578*G1578,B1578="Etapa","")</f>
        <v>13.530000000000001</v>
      </c>
      <c r="I1578" s="1082"/>
    </row>
    <row r="1579" spans="1:9" hidden="1" outlineLevel="2" x14ac:dyDescent="0.25">
      <c r="A1579" s="1079">
        <f t="shared" si="61"/>
        <v>87</v>
      </c>
      <c r="B1579" s="1079" t="s">
        <v>1362</v>
      </c>
      <c r="C1579" s="1079" t="str">
        <f t="shared" si="62"/>
        <v>Rodapé de porcelanato h=15cm</v>
      </c>
      <c r="D1579" s="1079" t="s">
        <v>1762</v>
      </c>
      <c r="E1579" s="1080" t="str">
        <f>_xlfn.XLOOKUP(D1579,Insumos!$B$1:$B$670,Insumos!$C$1:$C$670)</f>
        <v>KG</v>
      </c>
      <c r="F1579" s="1083">
        <v>1.3499999999999999</v>
      </c>
      <c r="G1579" s="1081">
        <f>IF(B1579="insumo",_xlfn.XLOOKUP($D1579,Insumos!$B$1:$B$670,Insumos!$D$1:$D$670),"")</f>
        <v>2.5499999999999998</v>
      </c>
      <c r="H1579" s="1081" cm="1">
        <f t="array" ref="H1579">_xlfn.IFS(B1579="Serviço",SUMIFS(H1580:$H$2465,C1580:$C$2465,$C1579),B1579="Insumo",F1579*G1579,B1579="Etapa","")</f>
        <v>3.4424999999999994</v>
      </c>
      <c r="I1579" s="1082"/>
    </row>
    <row r="1580" spans="1:9" hidden="1" outlineLevel="2" x14ac:dyDescent="0.25">
      <c r="A1580" s="1079">
        <f t="shared" si="61"/>
        <v>56</v>
      </c>
      <c r="B1580" s="1079" t="s">
        <v>1362</v>
      </c>
      <c r="C1580" s="1079" t="str">
        <f t="shared" si="62"/>
        <v>Rodapé de porcelanato h=15cm</v>
      </c>
      <c r="D1580" s="1079" t="s">
        <v>1786</v>
      </c>
      <c r="E1580" s="1080" t="str">
        <f>_xlfn.XLOOKUP(D1580,Insumos!$B$1:$B$670,Insumos!$C$1:$C$670)</f>
        <v>UN</v>
      </c>
      <c r="F1580" s="1083">
        <v>0.6</v>
      </c>
      <c r="G1580" s="1081">
        <f>IF(B1580="insumo",_xlfn.XLOOKUP($D1580,Insumos!$B$1:$B$670,Insumos!$D$1:$D$670),"")</f>
        <v>0.08</v>
      </c>
      <c r="H1580" s="1081" cm="1">
        <f t="array" ref="H1580">_xlfn.IFS(B1580="Serviço",SUMIFS(H1581:$H$2465,C1581:$C$2465,$C1580),B1580="Insumo",F1580*G1580,B1580="Etapa","")</f>
        <v>4.8000000000000001E-2</v>
      </c>
      <c r="I1580" s="1082"/>
    </row>
    <row r="1581" spans="1:9" hidden="1" outlineLevel="2" x14ac:dyDescent="0.25">
      <c r="A1581" s="1079">
        <f t="shared" si="61"/>
        <v>50</v>
      </c>
      <c r="B1581" s="1079" t="s">
        <v>1362</v>
      </c>
      <c r="C1581" s="1079" t="str">
        <f t="shared" si="62"/>
        <v>Rodapé de porcelanato h=15cm</v>
      </c>
      <c r="D1581" s="1079" t="s">
        <v>1787</v>
      </c>
      <c r="E1581" s="1080" t="str">
        <f>_xlfn.XLOOKUP(D1581,Insumos!$B$1:$B$670,Insumos!$C$1:$C$670)</f>
        <v>KG</v>
      </c>
      <c r="F1581" s="1083">
        <v>7.4999999999999997E-2</v>
      </c>
      <c r="G1581" s="1081">
        <f>IF(B1581="insumo",_xlfn.XLOOKUP($D1581,Insumos!$B$1:$B$670,Insumos!$D$1:$D$670),"")</f>
        <v>11.15</v>
      </c>
      <c r="H1581" s="1081" cm="1">
        <f t="array" ref="H1581">_xlfn.IFS(B1581="Serviço",SUMIFS(H1582:$H$2465,C1582:$C$2465,$C1581),B1581="Insumo",F1581*G1581,B1581="Etapa","")</f>
        <v>0.83625000000000005</v>
      </c>
      <c r="I1581" s="1082"/>
    </row>
    <row r="1582" spans="1:9" outlineLevel="1" collapsed="1" x14ac:dyDescent="0.25">
      <c r="A1582" s="1079">
        <f t="shared" si="61"/>
        <v>1</v>
      </c>
      <c r="B1582" s="1079" t="s">
        <v>471</v>
      </c>
      <c r="C1582" s="1079" t="str">
        <f t="shared" si="62"/>
        <v>Rodapé de porcelanato h=16,5cm</v>
      </c>
      <c r="D1582" s="1079" t="s">
        <v>2015</v>
      </c>
      <c r="E1582" s="1080" t="s">
        <v>281</v>
      </c>
      <c r="F1582" s="1079"/>
      <c r="G1582" s="1081" t="str">
        <f>IF(B1582="insumo",_xlfn.XLOOKUP($D1582,Insumos!$B$1:$B$670,Insumos!$D$1:$D$670),"")</f>
        <v/>
      </c>
      <c r="H1582" s="1081" cm="1">
        <f t="array" ref="H1582">_xlfn.IFS(B1582="Serviço",SUMIFS(H1583:$H$2465,C1583:$C$2465,$C1582),B1582="Insumo",F1582*G1582,B1582="Etapa","")</f>
        <v>19.642425000000006</v>
      </c>
      <c r="I1582" s="1082" t="s">
        <v>872</v>
      </c>
    </row>
    <row r="1583" spans="1:9" hidden="1" outlineLevel="2" x14ac:dyDescent="0.25">
      <c r="A1583" s="1079">
        <f t="shared" si="61"/>
        <v>5</v>
      </c>
      <c r="B1583" s="1079" t="s">
        <v>1362</v>
      </c>
      <c r="C1583" s="1079" t="str">
        <f t="shared" si="62"/>
        <v>Rodapé de porcelanato h=16,5cm</v>
      </c>
      <c r="D1583" s="1079" t="s">
        <v>1952</v>
      </c>
      <c r="E1583" s="1080" t="str">
        <f>_xlfn.XLOOKUP(D1583,Insumos!$B$1:$B$670,Insumos!$C$1:$C$670)</f>
        <v>M2</v>
      </c>
      <c r="F1583" s="1083">
        <v>0.18150000000000002</v>
      </c>
      <c r="G1583" s="1081">
        <f>IF(B1583="insumo",_xlfn.XLOOKUP($D1583,Insumos!$B$1:$B$670,Insumos!$D$1:$D$670),"")</f>
        <v>82</v>
      </c>
      <c r="H1583" s="1081" cm="1">
        <f t="array" ref="H1583">_xlfn.IFS(B1583="Serviço",SUMIFS(H1584:$H$2465,C1584:$C$2465,$C1583),B1583="Insumo",F1583*G1583,B1583="Etapa","")</f>
        <v>14.883000000000003</v>
      </c>
      <c r="I1583" s="1082"/>
    </row>
    <row r="1584" spans="1:9" hidden="1" outlineLevel="2" x14ac:dyDescent="0.25">
      <c r="A1584" s="1079">
        <f t="shared" si="61"/>
        <v>87</v>
      </c>
      <c r="B1584" s="1079" t="s">
        <v>1362</v>
      </c>
      <c r="C1584" s="1079" t="str">
        <f t="shared" si="62"/>
        <v>Rodapé de porcelanato h=16,5cm</v>
      </c>
      <c r="D1584" s="1079" t="s">
        <v>1762</v>
      </c>
      <c r="E1584" s="1080" t="str">
        <f>_xlfn.XLOOKUP(D1584,Insumos!$B$1:$B$670,Insumos!$C$1:$C$670)</f>
        <v>KG</v>
      </c>
      <c r="F1584" s="1083">
        <v>1.4850000000000001</v>
      </c>
      <c r="G1584" s="1081">
        <f>IF(B1584="insumo",_xlfn.XLOOKUP($D1584,Insumos!$B$1:$B$670,Insumos!$D$1:$D$670),"")</f>
        <v>2.5499999999999998</v>
      </c>
      <c r="H1584" s="1081" cm="1">
        <f t="array" ref="H1584">_xlfn.IFS(B1584="Serviço",SUMIFS(H1585:$H$2465,C1585:$C$2465,$C1584),B1584="Insumo",F1584*G1584,B1584="Etapa","")</f>
        <v>3.7867500000000001</v>
      </c>
      <c r="I1584" s="1082"/>
    </row>
    <row r="1585" spans="1:9" hidden="1" outlineLevel="2" x14ac:dyDescent="0.25">
      <c r="A1585" s="1079">
        <f t="shared" si="61"/>
        <v>56</v>
      </c>
      <c r="B1585" s="1079" t="s">
        <v>1362</v>
      </c>
      <c r="C1585" s="1079" t="str">
        <f t="shared" si="62"/>
        <v>Rodapé de porcelanato h=16,5cm</v>
      </c>
      <c r="D1585" s="1079" t="s">
        <v>1786</v>
      </c>
      <c r="E1585" s="1080" t="str">
        <f>_xlfn.XLOOKUP(D1585,Insumos!$B$1:$B$670,Insumos!$C$1:$C$670)</f>
        <v>UN</v>
      </c>
      <c r="F1585" s="1083">
        <v>0.66</v>
      </c>
      <c r="G1585" s="1081">
        <f>IF(B1585="insumo",_xlfn.XLOOKUP($D1585,Insumos!$B$1:$B$670,Insumos!$D$1:$D$670),"")</f>
        <v>0.08</v>
      </c>
      <c r="H1585" s="1081" cm="1">
        <f t="array" ref="H1585">_xlfn.IFS(B1585="Serviço",SUMIFS(H1586:$H$2465,C1586:$C$2465,$C1585),B1585="Insumo",F1585*G1585,B1585="Etapa","")</f>
        <v>5.2800000000000007E-2</v>
      </c>
      <c r="I1585" s="1082"/>
    </row>
    <row r="1586" spans="1:9" hidden="1" outlineLevel="2" x14ac:dyDescent="0.25">
      <c r="A1586" s="1079">
        <f t="shared" si="61"/>
        <v>50</v>
      </c>
      <c r="B1586" s="1079" t="s">
        <v>1362</v>
      </c>
      <c r="C1586" s="1079" t="str">
        <f t="shared" si="62"/>
        <v>Rodapé de porcelanato h=16,5cm</v>
      </c>
      <c r="D1586" s="1079" t="s">
        <v>1787</v>
      </c>
      <c r="E1586" s="1080" t="str">
        <f>_xlfn.XLOOKUP(D1586,Insumos!$B$1:$B$670,Insumos!$C$1:$C$670)</f>
        <v>KG</v>
      </c>
      <c r="F1586" s="1083">
        <v>8.2500000000000004E-2</v>
      </c>
      <c r="G1586" s="1081">
        <f>IF(B1586="insumo",_xlfn.XLOOKUP($D1586,Insumos!$B$1:$B$670,Insumos!$D$1:$D$670),"")</f>
        <v>11.15</v>
      </c>
      <c r="H1586" s="1081" cm="1">
        <f t="array" ref="H1586">_xlfn.IFS(B1586="Serviço",SUMIFS(H1587:$H$2465,C1587:$C$2465,$C1586),B1586="Insumo",F1586*G1586,B1586="Etapa","")</f>
        <v>0.91987500000000011</v>
      </c>
      <c r="I1586" s="1082"/>
    </row>
    <row r="1587" spans="1:9" outlineLevel="1" collapsed="1" x14ac:dyDescent="0.25">
      <c r="A1587" s="1079">
        <f t="shared" si="61"/>
        <v>1</v>
      </c>
      <c r="B1587" s="1079" t="s">
        <v>471</v>
      </c>
      <c r="C1587" s="1079" t="str">
        <f t="shared" si="62"/>
        <v>Soleira em Porcelanato, largura 7cm - espessura 2cm</v>
      </c>
      <c r="D1587" s="1079" t="s">
        <v>2016</v>
      </c>
      <c r="E1587" s="1080" t="s">
        <v>1</v>
      </c>
      <c r="F1587" s="1079"/>
      <c r="G1587" s="1081" t="str">
        <f>IF(B1587="insumo",_xlfn.XLOOKUP($D1587,Insumos!$B$1:$B$670,Insumos!$D$1:$D$670),"")</f>
        <v/>
      </c>
      <c r="H1587" s="1081" cm="1">
        <f t="array" ref="H1587">_xlfn.IFS(B1587="Serviço",SUMIFS(H1588:$H$2465,C1588:$C$2465,$C1587),B1587="Insumo",F1587*G1587,B1587="Etapa","")</f>
        <v>166.17449999999999</v>
      </c>
      <c r="I1587" s="1082" t="s">
        <v>872</v>
      </c>
    </row>
    <row r="1588" spans="1:9" hidden="1" outlineLevel="2" x14ac:dyDescent="0.25">
      <c r="A1588" s="1079">
        <f t="shared" si="61"/>
        <v>2</v>
      </c>
      <c r="B1588" s="1079" t="s">
        <v>1362</v>
      </c>
      <c r="C1588" s="1079" t="str">
        <f t="shared" si="62"/>
        <v>Soleira em Porcelanato, largura 7cm - espessura 2cm</v>
      </c>
      <c r="D1588" s="1079" t="s">
        <v>1954</v>
      </c>
      <c r="E1588" s="1080" t="str">
        <f>_xlfn.XLOOKUP(D1588,Insumos!$B$1:$B$670,Insumos!$C$1:$C$670)</f>
        <v>M2</v>
      </c>
      <c r="F1588" s="1083">
        <f>1.05</f>
        <v>1.05</v>
      </c>
      <c r="G1588" s="1081">
        <f>IF(B1588="insumo",_xlfn.XLOOKUP($D1588,Insumos!$B$1:$B$670,Insumos!$D$1:$D$670),"")</f>
        <v>136.88999999999999</v>
      </c>
      <c r="H1588" s="1081" cm="1">
        <f t="array" ref="H1588">_xlfn.IFS(B1588="Serviço",SUMIFS(H1589:$H$2465,C1589:$C$2465,$C1588),B1588="Insumo",F1588*G1588,B1588="Etapa","")</f>
        <v>143.7345</v>
      </c>
      <c r="I1588" s="1082"/>
    </row>
    <row r="1589" spans="1:9" hidden="1" outlineLevel="2" x14ac:dyDescent="0.25">
      <c r="A1589" s="1079">
        <f t="shared" si="61"/>
        <v>87</v>
      </c>
      <c r="B1589" s="1079" t="s">
        <v>1362</v>
      </c>
      <c r="C1589" s="1079" t="str">
        <f t="shared" si="62"/>
        <v>Soleira em Porcelanato, largura 7cm - espessura 2cm</v>
      </c>
      <c r="D1589" s="1079" t="s">
        <v>1762</v>
      </c>
      <c r="E1589" s="1080" t="str">
        <f>_xlfn.XLOOKUP(D1589,Insumos!$B$1:$B$670,Insumos!$C$1:$C$670)</f>
        <v>KG</v>
      </c>
      <c r="F1589" s="1083">
        <v>8.8000000000000007</v>
      </c>
      <c r="G1589" s="1081">
        <f>IF(B1589="insumo",_xlfn.XLOOKUP($D1589,Insumos!$B$1:$B$670,Insumos!$D$1:$D$670),"")</f>
        <v>2.5499999999999998</v>
      </c>
      <c r="H1589" s="1081" cm="1">
        <f t="array" ref="H1589">_xlfn.IFS(B1589="Serviço",SUMIFS(H1590:$H$2465,C1590:$C$2465,$C1589),B1589="Insumo",F1589*G1589,B1589="Etapa","")</f>
        <v>22.44</v>
      </c>
      <c r="I1589" s="1082"/>
    </row>
    <row r="1590" spans="1:9" outlineLevel="1" collapsed="1" x14ac:dyDescent="0.25">
      <c r="A1590" s="1079">
        <f t="shared" si="61"/>
        <v>1</v>
      </c>
      <c r="B1590" s="1079" t="s">
        <v>471</v>
      </c>
      <c r="C1590" s="1079" t="str">
        <f t="shared" si="62"/>
        <v>Soleira em pedra natural, largura 15cm - espessura 2cm</v>
      </c>
      <c r="D1590" s="1079" t="s">
        <v>2017</v>
      </c>
      <c r="E1590" s="1080" t="s">
        <v>1</v>
      </c>
      <c r="F1590" s="1079"/>
      <c r="G1590" s="1081" t="str">
        <f>IF(B1590="insumo",_xlfn.XLOOKUP($D1590,Insumos!$B$1:$B$670,Insumos!$D$1:$D$670),"")</f>
        <v/>
      </c>
      <c r="H1590" s="1081" cm="1">
        <f t="array" ref="H1590">_xlfn.IFS(B1590="Serviço",SUMIFS(H1591:$H$2465,C1591:$C$2465,$C1590),B1590="Insumo",F1590*G1590,B1590="Etapa","")</f>
        <v>809.94</v>
      </c>
      <c r="I1590" s="1082" t="s">
        <v>872</v>
      </c>
    </row>
    <row r="1591" spans="1:9" hidden="1" outlineLevel="2" x14ac:dyDescent="0.25">
      <c r="A1591" s="1079">
        <f t="shared" si="61"/>
        <v>10</v>
      </c>
      <c r="B1591" s="1079" t="s">
        <v>1362</v>
      </c>
      <c r="C1591" s="1079" t="str">
        <f t="shared" si="62"/>
        <v>Soleira em pedra natural, largura 15cm - espessura 2cm</v>
      </c>
      <c r="D1591" s="1079" t="s">
        <v>1813</v>
      </c>
      <c r="E1591" s="1080" t="str">
        <f>_xlfn.XLOOKUP(D1591,Insumos!$B$1:$B$670,Insumos!$C$1:$C$670)</f>
        <v>M2</v>
      </c>
      <c r="F1591" s="1083">
        <f>1.05</f>
        <v>1.05</v>
      </c>
      <c r="G1591" s="1081">
        <f>IF(B1591="insumo",_xlfn.XLOOKUP($D1591,Insumos!$B$1:$B$670,Insumos!$D$1:$D$670),"")</f>
        <v>750</v>
      </c>
      <c r="H1591" s="1081" cm="1">
        <f t="array" ref="H1591">_xlfn.IFS(B1591="Serviço",SUMIFS(H1592:$H$2465,C1592:$C$2465,$C1591),B1591="Insumo",F1591*G1591,B1591="Etapa","")</f>
        <v>787.5</v>
      </c>
      <c r="I1591" s="1082"/>
    </row>
    <row r="1592" spans="1:9" hidden="1" outlineLevel="2" x14ac:dyDescent="0.25">
      <c r="A1592" s="1079">
        <f t="shared" si="61"/>
        <v>87</v>
      </c>
      <c r="B1592" s="1079" t="s">
        <v>1362</v>
      </c>
      <c r="C1592" s="1079" t="str">
        <f t="shared" si="62"/>
        <v>Soleira em pedra natural, largura 15cm - espessura 2cm</v>
      </c>
      <c r="D1592" s="1079" t="s">
        <v>1762</v>
      </c>
      <c r="E1592" s="1080" t="str">
        <f>_xlfn.XLOOKUP(D1592,Insumos!$B$1:$B$670,Insumos!$C$1:$C$670)</f>
        <v>KG</v>
      </c>
      <c r="F1592" s="1083">
        <v>8.8000000000000007</v>
      </c>
      <c r="G1592" s="1081">
        <f>IF(B1592="insumo",_xlfn.XLOOKUP($D1592,Insumos!$B$1:$B$670,Insumos!$D$1:$D$670),"")</f>
        <v>2.5499999999999998</v>
      </c>
      <c r="H1592" s="1081" cm="1">
        <f t="array" ref="H1592">_xlfn.IFS(B1592="Serviço",SUMIFS(H1593:$H$2465,C1593:$C$2465,$C1592),B1592="Insumo",F1592*G1592,B1592="Etapa","")</f>
        <v>22.44</v>
      </c>
      <c r="I1592" s="1082"/>
    </row>
    <row r="1593" spans="1:9" outlineLevel="1" collapsed="1" x14ac:dyDescent="0.25">
      <c r="A1593" s="1079">
        <f t="shared" si="61"/>
        <v>1</v>
      </c>
      <c r="B1593" s="1079" t="s">
        <v>471</v>
      </c>
      <c r="C1593" s="1079" t="str">
        <f t="shared" si="62"/>
        <v>Piso Petit Pave</v>
      </c>
      <c r="D1593" s="1079" t="s">
        <v>2018</v>
      </c>
      <c r="E1593" s="1080" t="s">
        <v>17</v>
      </c>
      <c r="F1593" s="1079"/>
      <c r="G1593" s="1081" t="str">
        <f>IF(B1593="insumo",_xlfn.XLOOKUP($D1593,Insumos!$B$1:$B$670,Insumos!$D$1:$D$670),"")</f>
        <v/>
      </c>
      <c r="H1593" s="1081" cm="1">
        <f t="array" ref="H1593">_xlfn.IFS(B1593="Serviço",SUMIFS(H1594:$H$2465,C1594:$C$2465,$C1593),B1593="Insumo",F1593*G1593,B1593="Etapa","")</f>
        <v>91.883686000000012</v>
      </c>
      <c r="I1593" s="1082" t="s">
        <v>872</v>
      </c>
    </row>
    <row r="1594" spans="1:9" hidden="1" outlineLevel="2" x14ac:dyDescent="0.25">
      <c r="A1594" s="1079">
        <f t="shared" si="61"/>
        <v>1</v>
      </c>
      <c r="B1594" s="1079" t="s">
        <v>1362</v>
      </c>
      <c r="C1594" s="1079" t="str">
        <f t="shared" si="62"/>
        <v>Piso Petit Pave</v>
      </c>
      <c r="D1594" s="1079" t="s">
        <v>2019</v>
      </c>
      <c r="E1594" s="1080" t="str">
        <f>_xlfn.XLOOKUP(D1594,Insumos!$B$1:$B$670,Insumos!$C$1:$C$670)</f>
        <v>M2</v>
      </c>
      <c r="F1594" s="1083">
        <v>1.05</v>
      </c>
      <c r="G1594" s="1081">
        <f>IF(B1594="insumo",_xlfn.XLOOKUP($D1594,Insumos!$B$1:$B$670,Insumos!$D$1:$D$670),"")</f>
        <v>79</v>
      </c>
      <c r="H1594" s="1081" cm="1">
        <f t="array" ref="H1594">_xlfn.IFS(B1594="Serviço",SUMIFS(H1595:$H$2465,C1595:$C$2465,$C1594),B1594="Insumo",F1594*G1594,B1594="Etapa","")</f>
        <v>82.95</v>
      </c>
      <c r="I1594" s="1082"/>
    </row>
    <row r="1595" spans="1:9" hidden="1" outlineLevel="2" x14ac:dyDescent="0.25">
      <c r="A1595" s="1079">
        <f t="shared" si="61"/>
        <v>5</v>
      </c>
      <c r="B1595" s="1079" t="s">
        <v>1362</v>
      </c>
      <c r="C1595" s="1079" t="str">
        <f t="shared" si="62"/>
        <v>Piso Petit Pave</v>
      </c>
      <c r="D1595" s="1079" t="s">
        <v>2020</v>
      </c>
      <c r="E1595" s="1080" t="str">
        <f>_xlfn.XLOOKUP(D1595,Insumos!$B$1:$B$670,Insumos!$C$1:$C$670)</f>
        <v>M3</v>
      </c>
      <c r="F1595" s="1083">
        <v>6.6E-3</v>
      </c>
      <c r="G1595" s="1081">
        <f>IF(B1595="insumo",_xlfn.XLOOKUP($D1595,Insumos!$B$1:$B$670,Insumos!$D$1:$D$670),"")</f>
        <v>105.71</v>
      </c>
      <c r="H1595" s="1081" cm="1">
        <f t="array" ref="H1595">_xlfn.IFS(B1595="Serviço",SUMIFS(H1596:$H$2465,C1596:$C$2465,$C1595),B1595="Insumo",F1595*G1595,B1595="Etapa","")</f>
        <v>0.69768599999999992</v>
      </c>
      <c r="I1595" s="1082"/>
    </row>
    <row r="1596" spans="1:9" hidden="1" outlineLevel="2" x14ac:dyDescent="0.25">
      <c r="A1596" s="1079">
        <f t="shared" si="61"/>
        <v>7</v>
      </c>
      <c r="B1596" s="1079" t="s">
        <v>1362</v>
      </c>
      <c r="C1596" s="1079" t="str">
        <f t="shared" si="62"/>
        <v>Piso Petit Pave</v>
      </c>
      <c r="D1596" s="1079" t="s">
        <v>1726</v>
      </c>
      <c r="E1596" s="1080" t="str">
        <f>_xlfn.XLOOKUP(D1596,Insumos!$B$1:$B$670,Insumos!$C$1:$C$670)</f>
        <v>M3</v>
      </c>
      <c r="F1596" s="1083">
        <v>5.6800000000000003E-2</v>
      </c>
      <c r="G1596" s="1081">
        <f>IF(B1596="insumo",_xlfn.XLOOKUP($D1596,Insumos!$B$1:$B$670,Insumos!$D$1:$D$670),"")</f>
        <v>145</v>
      </c>
      <c r="H1596" s="1081" cm="1">
        <f t="array" ref="H1596">_xlfn.IFS(B1596="Serviço",SUMIFS(H1597:$H$2465,C1597:$C$2465,$C1596),B1596="Insumo",F1596*G1596,B1596="Etapa","")</f>
        <v>8.2360000000000007</v>
      </c>
      <c r="I1596" s="1082"/>
    </row>
    <row r="1597" spans="1:9" outlineLevel="1" collapsed="1" x14ac:dyDescent="0.25">
      <c r="A1597" s="1079">
        <f t="shared" si="61"/>
        <v>1</v>
      </c>
      <c r="B1597" s="1079" t="s">
        <v>471</v>
      </c>
      <c r="C1597" s="1079" t="str">
        <f t="shared" si="62"/>
        <v>Piso drenante</v>
      </c>
      <c r="D1597" s="1079" t="s">
        <v>2021</v>
      </c>
      <c r="E1597" s="1080" t="s">
        <v>17</v>
      </c>
      <c r="F1597" s="1079"/>
      <c r="G1597" s="1081" t="str">
        <f>IF(B1597="insumo",_xlfn.XLOOKUP($D1597,Insumos!$B$1:$B$670,Insumos!$D$1:$D$670),"")</f>
        <v/>
      </c>
      <c r="H1597" s="1081" cm="1">
        <f t="array" ref="H1597">_xlfn.IFS(B1597="Serviço",SUMIFS(H1598:$H$2465,C1598:$C$2465,$C1597),B1597="Insumo",F1597*G1597,B1597="Etapa","")</f>
        <v>138.04479711111111</v>
      </c>
      <c r="I1597" s="1082" t="s">
        <v>872</v>
      </c>
    </row>
    <row r="1598" spans="1:9" hidden="1" outlineLevel="2" x14ac:dyDescent="0.25">
      <c r="A1598" s="1079">
        <f t="shared" si="61"/>
        <v>1</v>
      </c>
      <c r="B1598" s="1079" t="s">
        <v>1362</v>
      </c>
      <c r="C1598" s="1079" t="str">
        <f t="shared" si="62"/>
        <v>Piso drenante</v>
      </c>
      <c r="D1598" s="1079" t="s">
        <v>2022</v>
      </c>
      <c r="E1598" s="1080" t="str">
        <f>_xlfn.XLOOKUP(D1598,Insumos!$B$1:$B$670,Insumos!$C$1:$C$670)</f>
        <v>M2</v>
      </c>
      <c r="F1598" s="1083">
        <v>1.05</v>
      </c>
      <c r="G1598" s="1081">
        <f>IF(B1598="insumo",_xlfn.XLOOKUP($D1598,Insumos!$B$1:$B$670,Insumos!$D$1:$D$670),"")</f>
        <v>122.96296296296295</v>
      </c>
      <c r="H1598" s="1081" cm="1">
        <f t="array" ref="H1598">_xlfn.IFS(B1598="Serviço",SUMIFS(H1599:$H$2465,C1599:$C$2465,$C1598),B1598="Insumo",F1598*G1598,B1598="Etapa","")</f>
        <v>129.11111111111111</v>
      </c>
      <c r="I1598" s="1082"/>
    </row>
    <row r="1599" spans="1:9" hidden="1" outlineLevel="2" x14ac:dyDescent="0.25">
      <c r="A1599" s="1079">
        <f t="shared" si="61"/>
        <v>5</v>
      </c>
      <c r="B1599" s="1079" t="s">
        <v>1362</v>
      </c>
      <c r="C1599" s="1079" t="str">
        <f t="shared" si="62"/>
        <v>Piso drenante</v>
      </c>
      <c r="D1599" s="1079" t="s">
        <v>2020</v>
      </c>
      <c r="E1599" s="1080" t="str">
        <f>_xlfn.XLOOKUP(D1599,Insumos!$B$1:$B$670,Insumos!$C$1:$C$670)</f>
        <v>M3</v>
      </c>
      <c r="F1599" s="1083">
        <v>6.6E-3</v>
      </c>
      <c r="G1599" s="1081">
        <f>IF(B1599="insumo",_xlfn.XLOOKUP($D1599,Insumos!$B$1:$B$670,Insumos!$D$1:$D$670),"")</f>
        <v>105.71</v>
      </c>
      <c r="H1599" s="1081" cm="1">
        <f t="array" ref="H1599">_xlfn.IFS(B1599="Serviço",SUMIFS(H1600:$H$2465,C1600:$C$2465,$C1599),B1599="Insumo",F1599*G1599,B1599="Etapa","")</f>
        <v>0.69768599999999992</v>
      </c>
      <c r="I1599" s="1082"/>
    </row>
    <row r="1600" spans="1:9" hidden="1" outlineLevel="2" x14ac:dyDescent="0.25">
      <c r="A1600" s="1079">
        <f t="shared" si="61"/>
        <v>7</v>
      </c>
      <c r="B1600" s="1079" t="s">
        <v>1362</v>
      </c>
      <c r="C1600" s="1079" t="str">
        <f t="shared" si="62"/>
        <v>Piso drenante</v>
      </c>
      <c r="D1600" s="1079" t="s">
        <v>1726</v>
      </c>
      <c r="E1600" s="1080" t="str">
        <f>_xlfn.XLOOKUP(D1600,Insumos!$B$1:$B$670,Insumos!$C$1:$C$670)</f>
        <v>M3</v>
      </c>
      <c r="F1600" s="1083">
        <v>5.6800000000000003E-2</v>
      </c>
      <c r="G1600" s="1081">
        <f>IF(B1600="insumo",_xlfn.XLOOKUP($D1600,Insumos!$B$1:$B$670,Insumos!$D$1:$D$670),"")</f>
        <v>145</v>
      </c>
      <c r="H1600" s="1081" cm="1">
        <f t="array" ref="H1600">_xlfn.IFS(B1600="Serviço",SUMIFS(H1601:$H$2465,C1601:$C$2465,$C1600),B1600="Insumo",F1600*G1600,B1600="Etapa","")</f>
        <v>8.2360000000000007</v>
      </c>
      <c r="I1600" s="1082"/>
    </row>
    <row r="1601" spans="1:9" outlineLevel="1" collapsed="1" x14ac:dyDescent="0.25">
      <c r="A1601" s="1079">
        <f t="shared" si="61"/>
        <v>1</v>
      </c>
      <c r="B1601" s="1079" t="s">
        <v>471</v>
      </c>
      <c r="C1601" s="1079" t="str">
        <f t="shared" si="62"/>
        <v>Piso em concreto intertravado</v>
      </c>
      <c r="D1601" s="1079" t="s">
        <v>2023</v>
      </c>
      <c r="E1601" s="1080" t="s">
        <v>17</v>
      </c>
      <c r="F1601" s="1079"/>
      <c r="G1601" s="1081" t="str">
        <f>IF(B1601="insumo",_xlfn.XLOOKUP($D1601,Insumos!$B$1:$B$670,Insumos!$D$1:$D$670),"")</f>
        <v/>
      </c>
      <c r="H1601" s="1081" cm="1">
        <f t="array" ref="H1601">_xlfn.IFS(B1601="Serviço",SUMIFS(H1602:$H$2465,C1602:$C$2465,$C1601),B1601="Insumo",F1601*G1601,B1601="Etapa","")</f>
        <v>78.128686000000016</v>
      </c>
      <c r="I1601" s="1082" t="s">
        <v>872</v>
      </c>
    </row>
    <row r="1602" spans="1:9" hidden="1" outlineLevel="2" x14ac:dyDescent="0.25">
      <c r="A1602" s="1079">
        <f t="shared" ref="A1602:A1665" si="63">COUNTIFS($D$2:$D$2465,D1602,$B$2:$B$2465,B1602)</f>
        <v>2</v>
      </c>
      <c r="B1602" s="1079" t="s">
        <v>1362</v>
      </c>
      <c r="C1602" s="1079" t="str">
        <f t="shared" si="62"/>
        <v>Piso em concreto intertravado</v>
      </c>
      <c r="D1602" s="1079" t="s">
        <v>2024</v>
      </c>
      <c r="E1602" s="1080" t="str">
        <f>_xlfn.XLOOKUP(D1602,Insumos!$B$1:$B$670,Insumos!$C$1:$C$670)</f>
        <v>M2</v>
      </c>
      <c r="F1602" s="1083">
        <v>1.05</v>
      </c>
      <c r="G1602" s="1081">
        <f>IF(B1602="insumo",_xlfn.XLOOKUP($D1602,Insumos!$B$1:$B$670,Insumos!$D$1:$D$670),"")</f>
        <v>65.900000000000006</v>
      </c>
      <c r="H1602" s="1081" cm="1">
        <f t="array" ref="H1602">_xlfn.IFS(B1602="Serviço",SUMIFS(H1603:$H$2465,C1603:$C$2465,$C1602),B1602="Insumo",F1602*G1602,B1602="Etapa","")</f>
        <v>69.195000000000007</v>
      </c>
      <c r="I1602" s="1082"/>
    </row>
    <row r="1603" spans="1:9" hidden="1" outlineLevel="2" x14ac:dyDescent="0.25">
      <c r="A1603" s="1079">
        <f t="shared" si="63"/>
        <v>5</v>
      </c>
      <c r="B1603" s="1079" t="s">
        <v>1362</v>
      </c>
      <c r="C1603" s="1079" t="str">
        <f t="shared" si="62"/>
        <v>Piso em concreto intertravado</v>
      </c>
      <c r="D1603" s="1079" t="s">
        <v>2020</v>
      </c>
      <c r="E1603" s="1080" t="str">
        <f>_xlfn.XLOOKUP(D1603,Insumos!$B$1:$B$670,Insumos!$C$1:$C$670)</f>
        <v>M3</v>
      </c>
      <c r="F1603" s="1083">
        <v>6.6E-3</v>
      </c>
      <c r="G1603" s="1081">
        <f>IF(B1603="insumo",_xlfn.XLOOKUP($D1603,Insumos!$B$1:$B$670,Insumos!$D$1:$D$670),"")</f>
        <v>105.71</v>
      </c>
      <c r="H1603" s="1081" cm="1">
        <f t="array" ref="H1603">_xlfn.IFS(B1603="Serviço",SUMIFS(H1604:$H$2465,C1604:$C$2465,$C1603),B1603="Insumo",F1603*G1603,B1603="Etapa","")</f>
        <v>0.69768599999999992</v>
      </c>
      <c r="I1603" s="1082"/>
    </row>
    <row r="1604" spans="1:9" hidden="1" outlineLevel="2" x14ac:dyDescent="0.25">
      <c r="A1604" s="1079">
        <f t="shared" si="63"/>
        <v>7</v>
      </c>
      <c r="B1604" s="1079" t="s">
        <v>1362</v>
      </c>
      <c r="C1604" s="1079" t="str">
        <f t="shared" si="62"/>
        <v>Piso em concreto intertravado</v>
      </c>
      <c r="D1604" s="1079" t="s">
        <v>1726</v>
      </c>
      <c r="E1604" s="1080" t="str">
        <f>_xlfn.XLOOKUP(D1604,Insumos!$B$1:$B$670,Insumos!$C$1:$C$670)</f>
        <v>M3</v>
      </c>
      <c r="F1604" s="1083">
        <v>5.6800000000000003E-2</v>
      </c>
      <c r="G1604" s="1081">
        <f>IF(B1604="insumo",_xlfn.XLOOKUP($D1604,Insumos!$B$1:$B$670,Insumos!$D$1:$D$670),"")</f>
        <v>145</v>
      </c>
      <c r="H1604" s="1081" cm="1">
        <f t="array" ref="H1604">_xlfn.IFS(B1604="Serviço",SUMIFS(H1605:$H$2465,C1605:$C$2465,$C1604),B1604="Insumo",F1604*G1604,B1604="Etapa","")</f>
        <v>8.2360000000000007</v>
      </c>
      <c r="I1604" s="1082"/>
    </row>
    <row r="1605" spans="1:9" outlineLevel="1" collapsed="1" x14ac:dyDescent="0.25">
      <c r="A1605" s="1079">
        <f t="shared" si="63"/>
        <v>1</v>
      </c>
      <c r="B1605" s="1079" t="s">
        <v>471</v>
      </c>
      <c r="C1605" s="1079" t="str">
        <f t="shared" si="62"/>
        <v>Mão de obra execução regularização de Piso</v>
      </c>
      <c r="D1605" s="1079" t="s">
        <v>2025</v>
      </c>
      <c r="E1605" s="1080" t="s">
        <v>17</v>
      </c>
      <c r="F1605" s="1079"/>
      <c r="G1605" s="1081" t="str">
        <f>IF(B1605="insumo",_xlfn.XLOOKUP($D1605,Insumos!$B$1:$B$670,Insumos!$D$1:$D$670),"")</f>
        <v/>
      </c>
      <c r="H1605" s="1081" cm="1">
        <f t="array" ref="H1605">_xlfn.IFS(B1605="Serviço",SUMIFS(H1606:$H$2465,C1606:$C$2465,$C1605),B1605="Insumo",F1605*G1605,B1605="Etapa","")</f>
        <v>40</v>
      </c>
      <c r="I1605" s="1082" t="s">
        <v>872</v>
      </c>
    </row>
    <row r="1606" spans="1:9" hidden="1" outlineLevel="2" x14ac:dyDescent="0.25">
      <c r="A1606" s="1079">
        <f t="shared" si="63"/>
        <v>1</v>
      </c>
      <c r="B1606" s="1079" t="s">
        <v>1362</v>
      </c>
      <c r="C1606" s="1079" t="str">
        <f t="shared" si="62"/>
        <v>Mão de obra execução regularização de Piso</v>
      </c>
      <c r="D1606" s="1079" t="s">
        <v>2025</v>
      </c>
      <c r="E1606" s="1080" t="str">
        <f>_xlfn.XLOOKUP(D1606,Insumos!$B$1:$B$670,Insumos!$C$1:$C$670)</f>
        <v>M2</v>
      </c>
      <c r="F1606" s="1083">
        <v>1</v>
      </c>
      <c r="G1606" s="1081">
        <f>IF(B1606="insumo",_xlfn.XLOOKUP($D1606,Insumos!$B$1:$B$670,Insumos!$D$1:$D$670),"")</f>
        <v>40</v>
      </c>
      <c r="H1606" s="1081" cm="1">
        <f t="array" ref="H1606">_xlfn.IFS(B1606="Serviço",SUMIFS(H1607:$H$2465,C1607:$C$2465,$C1606),B1606="Insumo",F1606*G1606,B1606="Etapa","")</f>
        <v>40</v>
      </c>
      <c r="I1606" s="1082"/>
    </row>
    <row r="1607" spans="1:9" outlineLevel="1" collapsed="1" x14ac:dyDescent="0.25">
      <c r="A1607" s="1079">
        <f t="shared" si="63"/>
        <v>1</v>
      </c>
      <c r="B1607" s="1079" t="s">
        <v>471</v>
      </c>
      <c r="C1607" s="1079" t="str">
        <f t="shared" si="62"/>
        <v>Mão de obra execução de contrapiso comum e Acústico</v>
      </c>
      <c r="D1607" s="1079" t="s">
        <v>1317</v>
      </c>
      <c r="E1607" s="1080" t="s">
        <v>17</v>
      </c>
      <c r="F1607" s="1083"/>
      <c r="G1607" s="1081" t="str">
        <f>IF(B1607="insumo",_xlfn.XLOOKUP($D1607,Insumos!$B$1:$B$670,Insumos!$D$1:$D$670),"")</f>
        <v/>
      </c>
      <c r="H1607" s="1081" cm="1">
        <f t="array" ref="H1607">_xlfn.IFS(B1607="Serviço",SUMIFS(H1608:$H$2465,C1608:$C$2465,$C1607),B1607="Insumo",F1607*G1607,B1607="Etapa","")</f>
        <v>40</v>
      </c>
      <c r="I1607" s="1082" t="s">
        <v>872</v>
      </c>
    </row>
    <row r="1608" spans="1:9" hidden="1" outlineLevel="2" x14ac:dyDescent="0.25">
      <c r="A1608" s="1079">
        <f t="shared" si="63"/>
        <v>1</v>
      </c>
      <c r="B1608" s="1079" t="s">
        <v>1362</v>
      </c>
      <c r="C1608" s="1079" t="str">
        <f t="shared" si="62"/>
        <v>Mão de obra execução de contrapiso comum e Acústico</v>
      </c>
      <c r="D1608" s="1079" t="s">
        <v>1317</v>
      </c>
      <c r="E1608" s="1080" t="str">
        <f>_xlfn.XLOOKUP(D1608,Insumos!$B$1:$B$670,Insumos!$C$1:$C$670)</f>
        <v>M2</v>
      </c>
      <c r="F1608" s="1083">
        <v>1</v>
      </c>
      <c r="G1608" s="1081">
        <f>IF(B1608="insumo",_xlfn.XLOOKUP($D1608,Insumos!$B$1:$B$670,Insumos!$D$1:$D$670),"")</f>
        <v>40</v>
      </c>
      <c r="H1608" s="1081" cm="1">
        <f t="array" ref="H1608">_xlfn.IFS(B1608="Serviço",SUMIFS(H1609:$H$2465,C1609:$C$2465,$C1608),B1608="Insumo",F1608*G1608,B1608="Etapa","")</f>
        <v>40</v>
      </c>
      <c r="I1608" s="1082"/>
    </row>
    <row r="1609" spans="1:9" outlineLevel="1" collapsed="1" x14ac:dyDescent="0.25">
      <c r="A1609" s="1079">
        <f t="shared" si="63"/>
        <v>1</v>
      </c>
      <c r="B1609" s="1079" t="s">
        <v>471</v>
      </c>
      <c r="C1609" s="1079" t="str">
        <f t="shared" si="62"/>
        <v>Mão de obra execução Piso cimentado</v>
      </c>
      <c r="D1609" s="1079" t="s">
        <v>2026</v>
      </c>
      <c r="E1609" s="1080" t="s">
        <v>17</v>
      </c>
      <c r="F1609" s="1083"/>
      <c r="G1609" s="1081" t="str">
        <f>IF(B1609="insumo",_xlfn.XLOOKUP($D1609,Insumos!$B$1:$B$670,Insumos!$D$1:$D$670),"")</f>
        <v/>
      </c>
      <c r="H1609" s="1081" cm="1">
        <f t="array" ref="H1609">_xlfn.IFS(B1609="Serviço",SUMIFS(H1610:$H$2465,C1610:$C$2465,$C1609),B1609="Insumo",F1609*G1609,B1609="Etapa","")</f>
        <v>40</v>
      </c>
      <c r="I1609" s="1082" t="s">
        <v>872</v>
      </c>
    </row>
    <row r="1610" spans="1:9" hidden="1" outlineLevel="2" x14ac:dyDescent="0.25">
      <c r="A1610" s="1079">
        <f t="shared" si="63"/>
        <v>1</v>
      </c>
      <c r="B1610" s="1079" t="s">
        <v>1362</v>
      </c>
      <c r="C1610" s="1079" t="str">
        <f t="shared" si="62"/>
        <v>Mão de obra execução Piso cimentado</v>
      </c>
      <c r="D1610" s="1079" t="s">
        <v>2026</v>
      </c>
      <c r="E1610" s="1080" t="str">
        <f>_xlfn.XLOOKUP(D1610,Insumos!$B$1:$B$670,Insumos!$C$1:$C$670)</f>
        <v>M2</v>
      </c>
      <c r="F1610" s="1083">
        <v>1</v>
      </c>
      <c r="G1610" s="1081">
        <f>IF(B1610="insumo",_xlfn.XLOOKUP($D1610,Insumos!$B$1:$B$670,Insumos!$D$1:$D$670),"")</f>
        <v>40</v>
      </c>
      <c r="H1610" s="1081" cm="1">
        <f t="array" ref="H1610">_xlfn.IFS(B1610="Serviço",SUMIFS(H1611:$H$2465,C1611:$C$2465,$C1610),B1610="Insumo",F1610*G1610,B1610="Etapa","")</f>
        <v>40</v>
      </c>
      <c r="I1610" s="1082"/>
    </row>
    <row r="1611" spans="1:9" outlineLevel="1" collapsed="1" x14ac:dyDescent="0.25">
      <c r="A1611" s="1079">
        <f t="shared" si="63"/>
        <v>1</v>
      </c>
      <c r="B1611" s="1079" t="s">
        <v>471</v>
      </c>
      <c r="C1611" s="1079" t="str">
        <f t="shared" si="62"/>
        <v>Mão de obra execução Piso de concreto polido</v>
      </c>
      <c r="D1611" s="1079" t="s">
        <v>2027</v>
      </c>
      <c r="E1611" s="1080" t="s">
        <v>17</v>
      </c>
      <c r="F1611" s="1083"/>
      <c r="G1611" s="1081" t="str">
        <f>IF(B1611="insumo",_xlfn.XLOOKUP($D1611,Insumos!$B$1:$B$670,Insumos!$D$1:$D$670),"")</f>
        <v/>
      </c>
      <c r="H1611" s="1081" cm="1">
        <f t="array" ref="H1611">_xlfn.IFS(B1611="Serviço",SUMIFS(H1612:$H$2465,C1612:$C$2465,$C1611),B1611="Insumo",F1611*G1611,B1611="Etapa","")</f>
        <v>20</v>
      </c>
      <c r="I1611" s="1082" t="s">
        <v>872</v>
      </c>
    </row>
    <row r="1612" spans="1:9" hidden="1" outlineLevel="2" x14ac:dyDescent="0.25">
      <c r="A1612" s="1079">
        <f t="shared" si="63"/>
        <v>1</v>
      </c>
      <c r="B1612" s="1079" t="s">
        <v>1362</v>
      </c>
      <c r="C1612" s="1079" t="str">
        <f t="shared" si="62"/>
        <v>Mão de obra execução Piso de concreto polido</v>
      </c>
      <c r="D1612" s="1079" t="s">
        <v>2027</v>
      </c>
      <c r="E1612" s="1080" t="str">
        <f>_xlfn.XLOOKUP(D1612,Insumos!$B$1:$B$670,Insumos!$C$1:$C$670)</f>
        <v>M2</v>
      </c>
      <c r="F1612" s="1083">
        <v>1</v>
      </c>
      <c r="G1612" s="1081">
        <f>IF(B1612="insumo",_xlfn.XLOOKUP($D1612,Insumos!$B$1:$B$670,Insumos!$D$1:$D$670),"")</f>
        <v>20</v>
      </c>
      <c r="H1612" s="1081" cm="1">
        <f t="array" ref="H1612">_xlfn.IFS(B1612="Serviço",SUMIFS(H1613:$H$2465,C1613:$C$2465,$C1612),B1612="Insumo",F1612*G1612,B1612="Etapa","")</f>
        <v>20</v>
      </c>
      <c r="I1612" s="1082"/>
    </row>
    <row r="1613" spans="1:9" outlineLevel="1" collapsed="1" x14ac:dyDescent="0.25">
      <c r="A1613" s="1079">
        <f t="shared" si="63"/>
        <v>1</v>
      </c>
      <c r="B1613" s="1079" t="s">
        <v>471</v>
      </c>
      <c r="C1613" s="1079" t="str">
        <f t="shared" si="62"/>
        <v>Mão de obra execução Piso Lapidado</v>
      </c>
      <c r="D1613" s="1079" t="s">
        <v>2028</v>
      </c>
      <c r="E1613" s="1080" t="s">
        <v>17</v>
      </c>
      <c r="F1613" s="1083"/>
      <c r="G1613" s="1081" t="str">
        <f>IF(B1613="insumo",_xlfn.XLOOKUP($D1613,Insumos!$B$1:$B$670,Insumos!$D$1:$D$670),"")</f>
        <v/>
      </c>
      <c r="H1613" s="1081" cm="1">
        <f t="array" ref="H1613">_xlfn.IFS(B1613="Serviço",SUMIFS(H1614:$H$2465,C1614:$C$2465,$C1613),B1613="Insumo",F1613*G1613,B1613="Etapa","")</f>
        <v>40</v>
      </c>
      <c r="I1613" s="1082" t="s">
        <v>872</v>
      </c>
    </row>
    <row r="1614" spans="1:9" hidden="1" outlineLevel="2" x14ac:dyDescent="0.25">
      <c r="A1614" s="1079">
        <f t="shared" si="63"/>
        <v>1</v>
      </c>
      <c r="B1614" s="1079" t="s">
        <v>1362</v>
      </c>
      <c r="C1614" s="1079" t="str">
        <f t="shared" si="62"/>
        <v>Mão de obra execução Piso Lapidado</v>
      </c>
      <c r="D1614" s="1079" t="s">
        <v>2028</v>
      </c>
      <c r="E1614" s="1080" t="str">
        <f>_xlfn.XLOOKUP(D1614,Insumos!$B$1:$B$670,Insumos!$C$1:$C$670)</f>
        <v>M2</v>
      </c>
      <c r="F1614" s="1083">
        <v>1</v>
      </c>
      <c r="G1614" s="1081">
        <f>IF(B1614="insumo",_xlfn.XLOOKUP($D1614,Insumos!$B$1:$B$670,Insumos!$D$1:$D$670),"")</f>
        <v>40</v>
      </c>
      <c r="H1614" s="1081" cm="1">
        <f t="array" ref="H1614">_xlfn.IFS(B1614="Serviço",SUMIFS(H1617:$H$2465,C1617:$C$2465,$C1614),B1614="Insumo",F1614*G1614,B1614="Etapa","")</f>
        <v>40</v>
      </c>
      <c r="I1614" s="1082"/>
    </row>
    <row r="1615" spans="1:9" outlineLevel="1" x14ac:dyDescent="0.25">
      <c r="A1615" s="1079">
        <f t="shared" si="63"/>
        <v>1</v>
      </c>
      <c r="B1615" s="1079" t="s">
        <v>471</v>
      </c>
      <c r="C1615" s="1079" t="str">
        <f>IF(B1615="serviço",D1615,C1612)</f>
        <v>Mão de Obra Piso Pedra natural</v>
      </c>
      <c r="D1615" s="1079" t="s">
        <v>2609</v>
      </c>
      <c r="E1615" s="1080" t="s">
        <v>17</v>
      </c>
      <c r="F1615" s="1083"/>
      <c r="G1615" s="1081" t="str">
        <f>IF(B1615="insumo",_xlfn.XLOOKUP($D1615,Insumos!$B$1:$B$670,Insumos!$D$1:$D$670),"")</f>
        <v/>
      </c>
      <c r="H1615" s="1081" cm="1">
        <f t="array" ref="H1615">_xlfn.IFS(B1615="Serviço",SUMIFS(H1616:$H$2465,C1616:$C$2465,$C1615),B1615="Insumo",F1615*G1615,B1615="Etapa","")</f>
        <v>40</v>
      </c>
      <c r="I1615" s="1082" t="s">
        <v>872</v>
      </c>
    </row>
    <row r="1616" spans="1:9" outlineLevel="2" x14ac:dyDescent="0.25">
      <c r="A1616" s="1079">
        <f t="shared" si="63"/>
        <v>2</v>
      </c>
      <c r="B1616" s="1079" t="s">
        <v>1362</v>
      </c>
      <c r="C1616" s="1079" t="str">
        <f t="shared" ref="C1616" si="64">IF(B1616="serviço",D1616,C1615)</f>
        <v>Mão de Obra Piso Pedra natural</v>
      </c>
      <c r="D1616" s="1079" t="s">
        <v>2029</v>
      </c>
      <c r="E1616" s="1080" t="str">
        <f>_xlfn.XLOOKUP(D1616,Insumos!$B$1:$B$670,Insumos!$C$1:$C$670)</f>
        <v>UN</v>
      </c>
      <c r="F1616" s="1083">
        <v>1</v>
      </c>
      <c r="G1616" s="1081">
        <v>40</v>
      </c>
      <c r="H1616" s="1081" cm="1">
        <f t="array" ref="H1616">_xlfn.IFS(B1616="Serviço",SUMIFS(H1617:$H$2465,C1617:$C$2465,$C1616),B1616="Insumo",F1616*G1616,B1616="Etapa","")</f>
        <v>40</v>
      </c>
      <c r="I1616" s="1082"/>
    </row>
    <row r="1617" spans="1:9" outlineLevel="1" x14ac:dyDescent="0.25">
      <c r="A1617" s="1079">
        <f t="shared" si="63"/>
        <v>1</v>
      </c>
      <c r="B1617" s="1079" t="s">
        <v>471</v>
      </c>
      <c r="C1617" s="1079" t="str">
        <f>IF(B1617="serviço",D1617,C1614)</f>
        <v>Mão de Obra Piso Porcenato/ Cerâmico</v>
      </c>
      <c r="D1617" s="1079" t="s">
        <v>2029</v>
      </c>
      <c r="E1617" s="1080" t="s">
        <v>17</v>
      </c>
      <c r="F1617" s="1083"/>
      <c r="G1617" s="1081" t="str">
        <f>IF(B1617="insumo",_xlfn.XLOOKUP($D1617,Insumos!$B$1:$B$670,Insumos!$D$1:$D$670),"")</f>
        <v/>
      </c>
      <c r="H1617" s="1081" cm="1">
        <f t="array" ref="H1617">_xlfn.IFS(B1617="Serviço",SUMIFS(H1618:$H$2465,C1618:$C$2465,$C1617),B1617="Insumo",F1617*G1617,B1617="Etapa","")</f>
        <v>75</v>
      </c>
      <c r="I1617" s="1082" t="s">
        <v>872</v>
      </c>
    </row>
    <row r="1618" spans="1:9" outlineLevel="2" x14ac:dyDescent="0.25">
      <c r="A1618" s="1079">
        <f t="shared" si="63"/>
        <v>2</v>
      </c>
      <c r="B1618" s="1079" t="s">
        <v>1362</v>
      </c>
      <c r="C1618" s="1079" t="str">
        <f t="shared" si="62"/>
        <v>Mão de Obra Piso Porcenato/ Cerâmico</v>
      </c>
      <c r="D1618" s="1079" t="s">
        <v>2029</v>
      </c>
      <c r="E1618" s="1080" t="str">
        <f>_xlfn.XLOOKUP(D1618,Insumos!$B$1:$B$670,Insumos!$C$1:$C$670)</f>
        <v>UN</v>
      </c>
      <c r="F1618" s="1083">
        <v>1</v>
      </c>
      <c r="G1618" s="1081">
        <f>IF(B1618="insumo",_xlfn.XLOOKUP($D1618,Insumos!$B$1:$B$670,Insumos!$D$1:$D$670),"")</f>
        <v>75</v>
      </c>
      <c r="H1618" s="1081" cm="1">
        <f t="array" ref="H1618">_xlfn.IFS(B1618="Serviço",SUMIFS(H1619:$H$2465,C1619:$C$2465,$C1618),B1618="Insumo",F1618*G1618,B1618="Etapa","")</f>
        <v>75</v>
      </c>
      <c r="I1618" s="1082"/>
    </row>
    <row r="1619" spans="1:9" outlineLevel="1" collapsed="1" x14ac:dyDescent="0.25">
      <c r="A1619" s="1079">
        <f t="shared" si="63"/>
        <v>1</v>
      </c>
      <c r="B1619" s="1079" t="s">
        <v>471</v>
      </c>
      <c r="C1619" s="1079" t="str">
        <f t="shared" si="62"/>
        <v>Mão de obra execução Piso drenantes</v>
      </c>
      <c r="D1619" s="1079" t="s">
        <v>2030</v>
      </c>
      <c r="E1619" s="1080" t="s">
        <v>17</v>
      </c>
      <c r="F1619" s="1083"/>
      <c r="G1619" s="1081" t="str">
        <f>IF(B1619="insumo",_xlfn.XLOOKUP($D1619,Insumos!$B$1:$B$670,Insumos!$D$1:$D$670),"")</f>
        <v/>
      </c>
      <c r="H1619" s="1081" cm="1">
        <f t="array" ref="H1619">_xlfn.IFS(B1619="Serviço",SUMIFS(H1620:$H$2465,C1620:$C$2465,$C1619),B1619="Insumo",F1619*G1619,B1619="Etapa","")</f>
        <v>25</v>
      </c>
      <c r="I1619" s="1082" t="s">
        <v>872</v>
      </c>
    </row>
    <row r="1620" spans="1:9" hidden="1" outlineLevel="2" x14ac:dyDescent="0.25">
      <c r="A1620" s="1079">
        <f t="shared" si="63"/>
        <v>1</v>
      </c>
      <c r="B1620" s="1079" t="s">
        <v>1362</v>
      </c>
      <c r="C1620" s="1079" t="str">
        <f t="shared" ref="C1620:C1636" si="65">IF(B1620="serviço",D1620,C1619)</f>
        <v>Mão de obra execução Piso drenantes</v>
      </c>
      <c r="D1620" s="1079" t="s">
        <v>2030</v>
      </c>
      <c r="E1620" s="1080" t="str">
        <f>_xlfn.XLOOKUP(D1620,Insumos!$B$1:$B$670,Insumos!$C$1:$C$670)</f>
        <v>UN</v>
      </c>
      <c r="F1620" s="1083">
        <v>1</v>
      </c>
      <c r="G1620" s="1081">
        <f>IF(B1620="insumo",_xlfn.XLOOKUP($D1620,Insumos!$B$1:$B$670,Insumos!$D$1:$D$670),"")</f>
        <v>25</v>
      </c>
      <c r="H1620" s="1081" cm="1">
        <f t="array" ref="H1620">_xlfn.IFS(B1620="Serviço",SUMIFS(H1621:$H$2465,C1621:$C$2465,$C1620),B1620="Insumo",F1620*G1620,B1620="Etapa","")</f>
        <v>25</v>
      </c>
      <c r="I1620" s="1082"/>
    </row>
    <row r="1621" spans="1:9" outlineLevel="1" collapsed="1" x14ac:dyDescent="0.25">
      <c r="A1621" s="1079">
        <f t="shared" si="63"/>
        <v>1</v>
      </c>
      <c r="B1621" s="1079" t="s">
        <v>471</v>
      </c>
      <c r="C1621" s="1079" t="str">
        <f t="shared" si="65"/>
        <v>Mão de obra execução Piso Intertravado</v>
      </c>
      <c r="D1621" s="1079" t="s">
        <v>2031</v>
      </c>
      <c r="E1621" s="1080" t="s">
        <v>17</v>
      </c>
      <c r="F1621" s="1083"/>
      <c r="G1621" s="1081" t="str">
        <f>IF(B1621="insumo",_xlfn.XLOOKUP($D1621,Insumos!$B$1:$B$670,Insumos!$D$1:$D$670),"")</f>
        <v/>
      </c>
      <c r="H1621" s="1081" cm="1">
        <f t="array" ref="H1621">_xlfn.IFS(B1621="Serviço",SUMIFS(H1622:$H$2465,C1622:$C$2465,$C1621),B1621="Insumo",F1621*G1621,B1621="Etapa","")</f>
        <v>25</v>
      </c>
      <c r="I1621" s="1082" t="s">
        <v>872</v>
      </c>
    </row>
    <row r="1622" spans="1:9" hidden="1" outlineLevel="2" x14ac:dyDescent="0.25">
      <c r="A1622" s="1079">
        <f t="shared" si="63"/>
        <v>1</v>
      </c>
      <c r="B1622" s="1079" t="s">
        <v>1362</v>
      </c>
      <c r="C1622" s="1079" t="str">
        <f t="shared" si="65"/>
        <v>Mão de obra execução Piso Intertravado</v>
      </c>
      <c r="D1622" s="1079" t="s">
        <v>2031</v>
      </c>
      <c r="E1622" s="1080" t="str">
        <f>_xlfn.XLOOKUP(D1622,Insumos!$B$1:$B$670,Insumos!$C$1:$C$670)</f>
        <v>UN</v>
      </c>
      <c r="F1622" s="1083">
        <v>1</v>
      </c>
      <c r="G1622" s="1081">
        <f>IF(B1622="insumo",_xlfn.XLOOKUP($D1622,Insumos!$B$1:$B$670,Insumos!$D$1:$D$670),"")</f>
        <v>25</v>
      </c>
      <c r="H1622" s="1081" cm="1">
        <f t="array" ref="H1622">_xlfn.IFS(B1622="Serviço",SUMIFS(H1623:$H$2465,C1623:$C$2465,$C1622),B1622="Insumo",F1622*G1622,B1622="Etapa","")</f>
        <v>25</v>
      </c>
      <c r="I1622" s="1082"/>
    </row>
    <row r="1623" spans="1:9" outlineLevel="1" collapsed="1" x14ac:dyDescent="0.25">
      <c r="A1623" s="1079">
        <f t="shared" si="63"/>
        <v>1</v>
      </c>
      <c r="B1623" s="1079" t="s">
        <v>471</v>
      </c>
      <c r="C1623" s="1079" t="str">
        <f t="shared" si="65"/>
        <v>Mão de obra execução Piso de concreto</v>
      </c>
      <c r="D1623" s="1079" t="s">
        <v>1318</v>
      </c>
      <c r="E1623" s="1080" t="s">
        <v>17</v>
      </c>
      <c r="F1623" s="1083"/>
      <c r="G1623" s="1081" t="str">
        <f>IF(B1623="insumo",_xlfn.XLOOKUP($D1623,Insumos!$B$1:$B$670,Insumos!$D$1:$D$670),"")</f>
        <v/>
      </c>
      <c r="H1623" s="1081" cm="1">
        <f t="array" ref="H1623">_xlfn.IFS(B1623="Serviço",SUMIFS(H1624:$H$2465,C1624:$C$2465,$C1623),B1623="Insumo",F1623*G1623,B1623="Etapa","")</f>
        <v>40</v>
      </c>
      <c r="I1623" s="1082" t="s">
        <v>872</v>
      </c>
    </row>
    <row r="1624" spans="1:9" hidden="1" outlineLevel="2" x14ac:dyDescent="0.25">
      <c r="A1624" s="1079">
        <f t="shared" si="63"/>
        <v>1</v>
      </c>
      <c r="B1624" s="1079" t="s">
        <v>1362</v>
      </c>
      <c r="C1624" s="1079" t="str">
        <f t="shared" si="65"/>
        <v>Mão de obra execução Piso de concreto</v>
      </c>
      <c r="D1624" s="1079" t="s">
        <v>1318</v>
      </c>
      <c r="E1624" s="1080" t="str">
        <f>_xlfn.XLOOKUP(D1624,Insumos!$B$1:$B$670,Insumos!$C$1:$C$670)</f>
        <v>M2</v>
      </c>
      <c r="F1624" s="1083">
        <v>1</v>
      </c>
      <c r="G1624" s="1081">
        <f>IF(B1624="insumo",_xlfn.XLOOKUP($D1624,Insumos!$B$1:$B$670,Insumos!$D$1:$D$670),"")</f>
        <v>40</v>
      </c>
      <c r="H1624" s="1081" cm="1">
        <f t="array" ref="H1624">_xlfn.IFS(B1624="Serviço",SUMIFS(H1625:$H$2465,C1625:$C$2465,$C1624),B1624="Insumo",F1624*G1624,B1624="Etapa","")</f>
        <v>40</v>
      </c>
      <c r="I1624" s="1082"/>
    </row>
    <row r="1625" spans="1:9" outlineLevel="1" collapsed="1" x14ac:dyDescent="0.25">
      <c r="A1625" s="1079">
        <f t="shared" si="63"/>
        <v>1</v>
      </c>
      <c r="B1625" s="1079" t="s">
        <v>471</v>
      </c>
      <c r="C1625" s="1079" t="str">
        <f t="shared" si="65"/>
        <v>Mão de obra de rodapé Pedra Natural</v>
      </c>
      <c r="D1625" s="1079" t="s">
        <v>2032</v>
      </c>
      <c r="E1625" s="1080" t="s">
        <v>17</v>
      </c>
      <c r="F1625" s="1083"/>
      <c r="G1625" s="1081" t="str">
        <f>IF(B1625="insumo",_xlfn.XLOOKUP($D1625,Insumos!$B$1:$B$670,Insumos!$D$1:$D$670),"")</f>
        <v/>
      </c>
      <c r="H1625" s="1081" cm="1">
        <f t="array" ref="H1625">_xlfn.IFS(B1625="Serviço",SUMIFS(H1626:$H$2465,C1626:$C$2465,$C1625),B1625="Insumo",F1625*G1625,B1625="Etapa","")</f>
        <v>22</v>
      </c>
      <c r="I1625" s="1082" t="s">
        <v>872</v>
      </c>
    </row>
    <row r="1626" spans="1:9" hidden="1" outlineLevel="2" x14ac:dyDescent="0.25">
      <c r="A1626" s="1079">
        <f t="shared" si="63"/>
        <v>1</v>
      </c>
      <c r="B1626" s="1079" t="s">
        <v>1362</v>
      </c>
      <c r="C1626" s="1079" t="str">
        <f t="shared" si="65"/>
        <v>Mão de obra de rodapé Pedra Natural</v>
      </c>
      <c r="D1626" s="1079" t="s">
        <v>2032</v>
      </c>
      <c r="E1626" s="1080" t="str">
        <f>_xlfn.XLOOKUP(D1626,Insumos!$B$1:$B$670,Insumos!$C$1:$C$670)</f>
        <v>UN</v>
      </c>
      <c r="F1626" s="1083">
        <v>1</v>
      </c>
      <c r="G1626" s="1081">
        <f>IF(B1626="insumo",_xlfn.XLOOKUP($D1626,Insumos!$B$1:$B$670,Insumos!$D$1:$D$670),"")</f>
        <v>22</v>
      </c>
      <c r="H1626" s="1081" cm="1">
        <f t="array" ref="H1626">_xlfn.IFS(B1626="Serviço",SUMIFS(H1627:$H$2465,C1627:$C$2465,$C1626),B1626="Insumo",F1626*G1626,B1626="Etapa","")</f>
        <v>22</v>
      </c>
      <c r="I1626" s="1082"/>
    </row>
    <row r="1627" spans="1:9" outlineLevel="1" collapsed="1" x14ac:dyDescent="0.25">
      <c r="A1627" s="1079">
        <f t="shared" si="63"/>
        <v>1</v>
      </c>
      <c r="B1627" s="1079" t="s">
        <v>471</v>
      </c>
      <c r="C1627" s="1079" t="str">
        <f t="shared" si="65"/>
        <v>Mão de obra de rodapé Poliestireno</v>
      </c>
      <c r="D1627" s="1079" t="s">
        <v>2033</v>
      </c>
      <c r="E1627" s="1080" t="s">
        <v>17</v>
      </c>
      <c r="F1627" s="1083"/>
      <c r="G1627" s="1081" t="str">
        <f>IF(B1627="insumo",_xlfn.XLOOKUP($D1627,Insumos!$B$1:$B$670,Insumos!$D$1:$D$670),"")</f>
        <v/>
      </c>
      <c r="H1627" s="1081" cm="1">
        <f t="array" ref="H1627">_xlfn.IFS(B1627="Serviço",SUMIFS(H1628:$H$2465,C1628:$C$2465,$C1627),B1627="Insumo",F1627*G1627,B1627="Etapa","")</f>
        <v>22</v>
      </c>
      <c r="I1627" s="1082" t="s">
        <v>872</v>
      </c>
    </row>
    <row r="1628" spans="1:9" hidden="1" outlineLevel="2" x14ac:dyDescent="0.25">
      <c r="A1628" s="1079">
        <f t="shared" si="63"/>
        <v>1</v>
      </c>
      <c r="B1628" s="1079" t="s">
        <v>1362</v>
      </c>
      <c r="C1628" s="1079" t="str">
        <f t="shared" si="65"/>
        <v>Mão de obra de rodapé Poliestireno</v>
      </c>
      <c r="D1628" s="1079" t="s">
        <v>2033</v>
      </c>
      <c r="E1628" s="1080" t="str">
        <f>_xlfn.XLOOKUP(D1628,Insumos!$B$1:$B$670,Insumos!$C$1:$C$670)</f>
        <v>UN</v>
      </c>
      <c r="F1628" s="1083">
        <v>1</v>
      </c>
      <c r="G1628" s="1081">
        <f>IF(B1628="insumo",_xlfn.XLOOKUP($D1628,Insumos!$B$1:$B$670,Insumos!$D$1:$D$670),"")</f>
        <v>22</v>
      </c>
      <c r="H1628" s="1081" cm="1">
        <f t="array" ref="H1628">_xlfn.IFS(B1628="Serviço",SUMIFS(H1629:$H$2465,C1629:$C$2465,$C1628),B1628="Insumo",F1628*G1628,B1628="Etapa","")</f>
        <v>22</v>
      </c>
      <c r="I1628" s="1082"/>
    </row>
    <row r="1629" spans="1:9" outlineLevel="1" collapsed="1" x14ac:dyDescent="0.25">
      <c r="A1629" s="1079">
        <f t="shared" si="63"/>
        <v>1</v>
      </c>
      <c r="B1629" s="1079" t="s">
        <v>471</v>
      </c>
      <c r="C1629" s="1079" t="str">
        <f t="shared" si="65"/>
        <v>Mão de obra de rodapé Porcelanato</v>
      </c>
      <c r="D1629" s="1079" t="s">
        <v>2034</v>
      </c>
      <c r="E1629" s="1080" t="s">
        <v>17</v>
      </c>
      <c r="F1629" s="1083"/>
      <c r="G1629" s="1081" t="str">
        <f>IF(B1629="insumo",_xlfn.XLOOKUP($D1629,Insumos!$B$1:$B$670,Insumos!$D$1:$D$670),"")</f>
        <v/>
      </c>
      <c r="H1629" s="1081" cm="1">
        <f t="array" ref="H1629">_xlfn.IFS(B1629="Serviço",SUMIFS(H1630:$H$2465,C1630:$C$2465,$C1629),B1629="Insumo",F1629*G1629,B1629="Etapa","")</f>
        <v>22</v>
      </c>
      <c r="I1629" s="1082" t="s">
        <v>872</v>
      </c>
    </row>
    <row r="1630" spans="1:9" hidden="1" outlineLevel="2" x14ac:dyDescent="0.25">
      <c r="A1630" s="1079">
        <f t="shared" si="63"/>
        <v>1</v>
      </c>
      <c r="B1630" s="1079" t="s">
        <v>1362</v>
      </c>
      <c r="C1630" s="1079" t="str">
        <f t="shared" si="65"/>
        <v>Mão de obra de rodapé Porcelanato</v>
      </c>
      <c r="D1630" s="1079" t="s">
        <v>2034</v>
      </c>
      <c r="E1630" s="1080" t="str">
        <f>_xlfn.XLOOKUP(D1630,Insumos!$B$1:$B$670,Insumos!$C$1:$C$670)</f>
        <v>UN</v>
      </c>
      <c r="F1630" s="1083">
        <v>1</v>
      </c>
      <c r="G1630" s="1081">
        <f>IF(B1630="insumo",_xlfn.XLOOKUP($D1630,Insumos!$B$1:$B$670,Insumos!$D$1:$D$670),"")</f>
        <v>22</v>
      </c>
      <c r="H1630" s="1081" cm="1">
        <f t="array" ref="H1630">_xlfn.IFS(B1630="Serviço",SUMIFS(H1631:$H$2465,C1631:$C$2465,$C1630),B1630="Insumo",F1630*G1630,B1630="Etapa","")</f>
        <v>22</v>
      </c>
      <c r="I1630" s="1082"/>
    </row>
    <row r="1631" spans="1:9" outlineLevel="1" collapsed="1" x14ac:dyDescent="0.25">
      <c r="A1631" s="1079">
        <f t="shared" si="63"/>
        <v>1</v>
      </c>
      <c r="B1631" s="1079" t="s">
        <v>471</v>
      </c>
      <c r="C1631" s="1079" t="str">
        <f t="shared" si="65"/>
        <v>Mão de obra de colocação de soleira em porcelanato</v>
      </c>
      <c r="D1631" s="1079" t="s">
        <v>2035</v>
      </c>
      <c r="E1631" s="1080" t="s">
        <v>17</v>
      </c>
      <c r="F1631" s="1083"/>
      <c r="G1631" s="1081" t="str">
        <f>IF(B1631="insumo",_xlfn.XLOOKUP($D1631,Insumos!$B$1:$B$670,Insumos!$D$1:$D$670),"")</f>
        <v/>
      </c>
      <c r="H1631" s="1081" cm="1">
        <f t="array" ref="H1631">_xlfn.IFS(B1631="Serviço",SUMIFS(H1632:$H$2465,C1632:$C$2465,$C1631),B1631="Insumo",F1631*G1631,B1631="Etapa","")</f>
        <v>50</v>
      </c>
      <c r="I1631" s="1082" t="s">
        <v>872</v>
      </c>
    </row>
    <row r="1632" spans="1:9" hidden="1" outlineLevel="2" x14ac:dyDescent="0.25">
      <c r="A1632" s="1079">
        <f t="shared" si="63"/>
        <v>1</v>
      </c>
      <c r="B1632" s="1079" t="s">
        <v>1362</v>
      </c>
      <c r="C1632" s="1079" t="str">
        <f t="shared" si="65"/>
        <v>Mão de obra de colocação de soleira em porcelanato</v>
      </c>
      <c r="D1632" s="1079" t="s">
        <v>2035</v>
      </c>
      <c r="E1632" s="1080" t="str">
        <f>_xlfn.XLOOKUP(D1632,Insumos!$B$1:$B$670,Insumos!$C$1:$C$670)</f>
        <v>UN</v>
      </c>
      <c r="F1632" s="1083">
        <v>1</v>
      </c>
      <c r="G1632" s="1081">
        <f>IF(B1632="insumo",_xlfn.XLOOKUP($D1632,Insumos!$B$1:$B$670,Insumos!$D$1:$D$670),"")</f>
        <v>50</v>
      </c>
      <c r="H1632" s="1081" cm="1">
        <f t="array" ref="H1632">_xlfn.IFS(B1632="Serviço",SUMIFS(H1633:$H$2465,C1633:$C$2465,$C1632),B1632="Insumo",F1632*G1632,B1632="Etapa","")</f>
        <v>50</v>
      </c>
      <c r="I1632" s="1082"/>
    </row>
    <row r="1633" spans="1:9" outlineLevel="1" collapsed="1" x14ac:dyDescent="0.25">
      <c r="A1633" s="1079">
        <f t="shared" si="63"/>
        <v>1</v>
      </c>
      <c r="B1633" s="1079" t="s">
        <v>471</v>
      </c>
      <c r="C1633" s="1079" t="str">
        <f t="shared" si="65"/>
        <v>Mão de obra de colocação de soleira em pedra natural</v>
      </c>
      <c r="D1633" s="1079" t="s">
        <v>2036</v>
      </c>
      <c r="E1633" s="1080" t="s">
        <v>17</v>
      </c>
      <c r="F1633" s="1083"/>
      <c r="G1633" s="1081" t="str">
        <f>IF(B1633="insumo",_xlfn.XLOOKUP($D1633,Insumos!$B$1:$B$670,Insumos!$D$1:$D$670),"")</f>
        <v/>
      </c>
      <c r="H1633" s="1081" cm="1">
        <f t="array" ref="H1633">_xlfn.IFS(B1633="Serviço",SUMIFS(H1634:$H$2465,C1634:$C$2465,$C1633),B1633="Insumo",F1633*G1633,B1633="Etapa","")</f>
        <v>22</v>
      </c>
      <c r="I1633" s="1082" t="s">
        <v>872</v>
      </c>
    </row>
    <row r="1634" spans="1:9" hidden="1" outlineLevel="2" x14ac:dyDescent="0.25">
      <c r="A1634" s="1079">
        <f t="shared" si="63"/>
        <v>1</v>
      </c>
      <c r="B1634" s="1079" t="s">
        <v>1362</v>
      </c>
      <c r="C1634" s="1079" t="str">
        <f t="shared" si="65"/>
        <v>Mão de obra de colocação de soleira em pedra natural</v>
      </c>
      <c r="D1634" s="1079" t="s">
        <v>2036</v>
      </c>
      <c r="E1634" s="1080" t="str">
        <f>_xlfn.XLOOKUP(D1634,Insumos!$B$1:$B$670,Insumos!$C$1:$C$670)</f>
        <v>UN</v>
      </c>
      <c r="F1634" s="1083">
        <v>1</v>
      </c>
      <c r="G1634" s="1081">
        <f>IF(B1634="insumo",_xlfn.XLOOKUP($D1634,Insumos!$B$1:$B$670,Insumos!$D$1:$D$670),"")</f>
        <v>22</v>
      </c>
      <c r="H1634" s="1081" cm="1">
        <f t="array" ref="H1634">_xlfn.IFS(B1634="Serviço",SUMIFS(H1635:$H$2465,C1635:$C$2465,$C1634),B1634="Insumo",F1634*G1634,B1634="Etapa","")</f>
        <v>22</v>
      </c>
      <c r="I1634" s="1082"/>
    </row>
    <row r="1635" spans="1:9" outlineLevel="1" collapsed="1" x14ac:dyDescent="0.25">
      <c r="A1635" s="1079">
        <f t="shared" si="63"/>
        <v>1</v>
      </c>
      <c r="B1635" s="1079" t="s">
        <v>471</v>
      </c>
      <c r="C1635" s="1079" t="str">
        <f t="shared" si="65"/>
        <v>Mão de obra de colocação de soleira em granito</v>
      </c>
      <c r="D1635" s="1079" t="s">
        <v>2037</v>
      </c>
      <c r="E1635" s="1080" t="s">
        <v>17</v>
      </c>
      <c r="F1635" s="1083"/>
      <c r="G1635" s="1081" t="str">
        <f>IF(B1635="insumo",_xlfn.XLOOKUP($D1635,Insumos!$B$1:$B$670,Insumos!$D$1:$D$670),"")</f>
        <v/>
      </c>
      <c r="H1635" s="1081" cm="1">
        <f t="array" ref="H1635">_xlfn.IFS(B1635="Serviço",SUMIFS(H1636:$H$2465,C1636:$C$2465,$C1635),B1635="Insumo",F1635*G1635,B1635="Etapa","")</f>
        <v>22</v>
      </c>
      <c r="I1635" s="1082" t="s">
        <v>872</v>
      </c>
    </row>
    <row r="1636" spans="1:9" hidden="1" outlineLevel="2" x14ac:dyDescent="0.25">
      <c r="A1636" s="1079">
        <f t="shared" si="63"/>
        <v>1</v>
      </c>
      <c r="B1636" s="1079" t="s">
        <v>1362</v>
      </c>
      <c r="C1636" s="1079" t="str">
        <f t="shared" si="65"/>
        <v>Mão de obra de colocação de soleira em granito</v>
      </c>
      <c r="D1636" s="1079" t="s">
        <v>2037</v>
      </c>
      <c r="E1636" s="1080" t="str">
        <f>_xlfn.XLOOKUP(D1636,Insumos!$B$1:$B$670,Insumos!$C$1:$C$670)</f>
        <v>UN</v>
      </c>
      <c r="F1636" s="1083">
        <v>1</v>
      </c>
      <c r="G1636" s="1081">
        <f>IF(B1636="insumo",_xlfn.XLOOKUP($D1636,Insumos!$B$1:$B$670,Insumos!$D$1:$D$670),"")</f>
        <v>22</v>
      </c>
      <c r="H1636" s="1081" cm="1">
        <f t="array" ref="H1636">_xlfn.IFS(B1636="Serviço",SUMIFS(H1637:$H$2465,C1637:$C$2465,$C1636),B1636="Insumo",F1636*G1636,B1636="Etapa","")</f>
        <v>22</v>
      </c>
      <c r="I1636" s="1082"/>
    </row>
    <row r="1637" spans="1:9" collapsed="1" x14ac:dyDescent="0.25">
      <c r="A1637" s="1076">
        <f t="shared" si="63"/>
        <v>1</v>
      </c>
      <c r="B1637" s="1076" t="s">
        <v>469</v>
      </c>
      <c r="C1637" s="1076"/>
      <c r="D1637" s="1076" t="s">
        <v>410</v>
      </c>
      <c r="E1637" s="1077"/>
      <c r="F1637" s="1078"/>
      <c r="G1637" s="1084" t="str">
        <f>IF(B1637="insumo",_xlfn.XLOOKUP($D1637,Insumos!$B$1:$B$670,Insumos!$D$1:$D$670),"")</f>
        <v/>
      </c>
      <c r="H1637" s="1084" t="str" cm="1">
        <f t="array" ref="H1637">_xlfn.IFS(B1637="Serviço",SUMIFS(H1638:$H$2465,C1638:$C$2465,$C1637),B1637="Insumo",F1637*G1637,B1637="Etapa","")</f>
        <v/>
      </c>
      <c r="I1637" s="1078"/>
    </row>
    <row r="1638" spans="1:9" hidden="1" outlineLevel="1" collapsed="1" x14ac:dyDescent="0.25">
      <c r="A1638" s="1079">
        <f t="shared" si="63"/>
        <v>1</v>
      </c>
      <c r="B1638" s="1079" t="s">
        <v>471</v>
      </c>
      <c r="C1638" s="1079" t="str">
        <f t="shared" ref="C1638:C1704" si="66">IF(B1638="serviço",D1638,C1637)</f>
        <v>PINTURA DE RODAPÉ COM TINTA EPÓXI, APLICAÇÃO MANUAL, 2 DEMÃOS, INCLUSÃO PRIMER EPÓXI</v>
      </c>
      <c r="D1638" s="1079" t="s">
        <v>2038</v>
      </c>
      <c r="E1638" s="1080" t="s">
        <v>17</v>
      </c>
      <c r="F1638" s="1079"/>
      <c r="G1638" s="1081" t="str">
        <f>IF(B1638="insumo",_xlfn.XLOOKUP($D1638,Insumos!$B$1:$B$670,Insumos!$D$1:$D$670),"")</f>
        <v/>
      </c>
      <c r="H1638" s="1081" cm="1">
        <f t="array" ref="H1638">_xlfn.IFS(B1638="Serviço",SUMIFS(H1639:$H$2465,C1639:$C$2465,$C1638),B1638="Insumo",F1638*G1638,B1638="Etapa","")</f>
        <v>80.215224000000006</v>
      </c>
      <c r="I1638" s="1082" t="s">
        <v>872</v>
      </c>
    </row>
    <row r="1639" spans="1:9" hidden="1" outlineLevel="2" x14ac:dyDescent="0.25">
      <c r="A1639" s="1079">
        <f t="shared" si="63"/>
        <v>5</v>
      </c>
      <c r="B1639" s="1079" t="s">
        <v>1362</v>
      </c>
      <c r="C1639" s="1079" t="str">
        <f t="shared" si="66"/>
        <v>PINTURA DE RODAPÉ COM TINTA EPÓXI, APLICAÇÃO MANUAL, 2 DEMÃOS, INCLUSÃO PRIMER EPÓXI</v>
      </c>
      <c r="D1639" s="1079" t="s">
        <v>2039</v>
      </c>
      <c r="E1639" s="1080" t="str">
        <f>_xlfn.XLOOKUP(D1639,Insumos!$B$1:$B$670,Insumos!$C$1:$C$670)</f>
        <v>L</v>
      </c>
      <c r="F1639" s="1083">
        <v>6.4000000000000001E-2</v>
      </c>
      <c r="G1639" s="1081">
        <f>IF(B1639="insumo",_xlfn.XLOOKUP($D1639,Insumos!$B$1:$B$670,Insumos!$D$1:$D$670),"")</f>
        <v>50.12</v>
      </c>
      <c r="H1639" s="1081" cm="1">
        <f t="array" ref="H1639">_xlfn.IFS(B1639="Serviço",SUMIFS(H1640:$H$2465,C1640:$C$2465,$C1639),B1639="Insumo",F1639*G1639,B1639="Etapa","")</f>
        <v>3.2076799999999999</v>
      </c>
      <c r="I1639" s="1082"/>
    </row>
    <row r="1640" spans="1:9" hidden="1" outlineLevel="2" x14ac:dyDescent="0.25">
      <c r="A1640" s="1079">
        <f t="shared" si="63"/>
        <v>14</v>
      </c>
      <c r="B1640" s="1079" t="s">
        <v>1362</v>
      </c>
      <c r="C1640" s="1079" t="str">
        <f t="shared" si="66"/>
        <v>PINTURA DE RODAPÉ COM TINTA EPÓXI, APLICAÇÃO MANUAL, 2 DEMÃOS, INCLUSÃO PRIMER EPÓXI</v>
      </c>
      <c r="D1640" s="1079" t="s">
        <v>2040</v>
      </c>
      <c r="E1640" s="1080" t="str">
        <f>_xlfn.XLOOKUP(D1640,Insumos!$B$1:$B$670,Insumos!$C$1:$C$670)</f>
        <v>UN</v>
      </c>
      <c r="F1640" s="1083">
        <v>0.01</v>
      </c>
      <c r="G1640" s="1081">
        <f>IF(B1640="insumo",_xlfn.XLOOKUP($D1640,Insumos!$B$1:$B$670,Insumos!$D$1:$D$670),"")</f>
        <v>11.26</v>
      </c>
      <c r="H1640" s="1081" cm="1">
        <f t="array" ref="H1640">_xlfn.IFS(B1640="Serviço",SUMIFS(H1641:$H$2465,C1641:$C$2465,$C1640),B1640="Insumo",F1640*G1640,B1640="Etapa","")</f>
        <v>0.11260000000000001</v>
      </c>
      <c r="I1640" s="1082"/>
    </row>
    <row r="1641" spans="1:9" hidden="1" outlineLevel="2" x14ac:dyDescent="0.25">
      <c r="A1641" s="1079">
        <f t="shared" si="63"/>
        <v>4</v>
      </c>
      <c r="B1641" s="1079" t="s">
        <v>1362</v>
      </c>
      <c r="C1641" s="1079" t="str">
        <f t="shared" si="66"/>
        <v>PINTURA DE RODAPÉ COM TINTA EPÓXI, APLICAÇÃO MANUAL, 2 DEMÃOS, INCLUSÃO PRIMER EPÓXI</v>
      </c>
      <c r="D1641" s="1079" t="s">
        <v>2041</v>
      </c>
      <c r="E1641" s="1080" t="str">
        <f>_xlfn.XLOOKUP(D1641,Insumos!$B$1:$B$670,Insumos!$C$1:$C$670)</f>
        <v>L</v>
      </c>
      <c r="F1641" s="1083">
        <v>0.2016</v>
      </c>
      <c r="G1641" s="1081">
        <f>IF(B1641="insumo",_xlfn.XLOOKUP($D1641,Insumos!$B$1:$B$670,Insumos!$D$1:$D$670),"")</f>
        <v>137.24</v>
      </c>
      <c r="H1641" s="1081" cm="1">
        <f t="array" ref="H1641">_xlfn.IFS(B1641="Serviço",SUMIFS(H1642:$H$2465,C1642:$C$2465,$C1641),B1641="Insumo",F1641*G1641,B1641="Etapa","")</f>
        <v>27.667584000000002</v>
      </c>
      <c r="I1641" s="1082"/>
    </row>
    <row r="1642" spans="1:9" hidden="1" outlineLevel="2" x14ac:dyDescent="0.25">
      <c r="A1642" s="1079">
        <f t="shared" si="63"/>
        <v>5</v>
      </c>
      <c r="B1642" s="1079" t="s">
        <v>1362</v>
      </c>
      <c r="C1642" s="1079" t="str">
        <f t="shared" si="66"/>
        <v>PINTURA DE RODAPÉ COM TINTA EPÓXI, APLICAÇÃO MANUAL, 2 DEMÃOS, INCLUSÃO PRIMER EPÓXI</v>
      </c>
      <c r="D1642" s="1079" t="s">
        <v>2042</v>
      </c>
      <c r="E1642" s="1080" t="str">
        <f>_xlfn.XLOOKUP(D1642,Insumos!$B$1:$B$670,Insumos!$C$1:$C$670)</f>
        <v>L</v>
      </c>
      <c r="F1642" s="1083">
        <v>0.48299999999999998</v>
      </c>
      <c r="G1642" s="1081">
        <f>IF(B1642="insumo",_xlfn.XLOOKUP($D1642,Insumos!$B$1:$B$670,Insumos!$D$1:$D$670),"")</f>
        <v>101.92</v>
      </c>
      <c r="H1642" s="1081" cm="1">
        <f t="array" ref="H1642">_xlfn.IFS(B1642="Serviço",SUMIFS(H1646:$H$2465,C1646:$C$2465,$C1642),B1642="Insumo",F1642*G1642,B1642="Etapa","")</f>
        <v>49.227359999999997</v>
      </c>
      <c r="I1642" s="1082"/>
    </row>
    <row r="1643" spans="1:9" hidden="1" outlineLevel="1" x14ac:dyDescent="0.25">
      <c r="A1643" s="1079">
        <f t="shared" si="63"/>
        <v>1</v>
      </c>
      <c r="B1643" s="1079" t="s">
        <v>471</v>
      </c>
      <c r="C1643" s="1079" t="str">
        <f t="shared" si="66"/>
        <v>Pintura em Tinta piso em Rodapé, Aplicação Manual, 2 Demãos</v>
      </c>
      <c r="D1643" s="1079" t="s">
        <v>2043</v>
      </c>
      <c r="E1643" s="1080" t="s">
        <v>281</v>
      </c>
      <c r="F1643" s="1079"/>
      <c r="G1643" s="1081" t="str">
        <f>IF(B1643="insumo",_xlfn.XLOOKUP($D1643,Insumos!$B$1:$B$670,Insumos!$D$1:$D$670),"")</f>
        <v/>
      </c>
      <c r="H1643" s="1081" cm="1">
        <f t="array" ref="H1643">_xlfn.IFS(B1643="Serviço",SUMIFS(H1644:$H$2465,C1644:$C$2465,$C1643),B1643="Insumo",F1643*G1643,B1643="Etapa","")</f>
        <v>0.97726000000000013</v>
      </c>
      <c r="I1643" s="1082" t="s">
        <v>872</v>
      </c>
    </row>
    <row r="1644" spans="1:9" hidden="1" outlineLevel="2" x14ac:dyDescent="0.25">
      <c r="A1644" s="1079">
        <f t="shared" si="63"/>
        <v>14</v>
      </c>
      <c r="B1644" s="1079" t="s">
        <v>1362</v>
      </c>
      <c r="C1644" s="1079" t="str">
        <f t="shared" si="66"/>
        <v>Pintura em Tinta piso em Rodapé, Aplicação Manual, 2 Demãos</v>
      </c>
      <c r="D1644" s="1079" t="s">
        <v>2040</v>
      </c>
      <c r="E1644" s="1080" t="str">
        <f>_xlfn.XLOOKUP(D1644,Insumos!$B$1:$B$670,Insumos!$C$1:$C$670)</f>
        <v>UN</v>
      </c>
      <c r="F1644" s="1083">
        <f>0.01*0.1</f>
        <v>1E-3</v>
      </c>
      <c r="G1644" s="1081">
        <f>IF(B1644="insumo",_xlfn.XLOOKUP($D1644,Insumos!$B$1:$B$670,Insumos!$D$1:$D$670),"")</f>
        <v>11.26</v>
      </c>
      <c r="H1644" s="1081" cm="1">
        <f t="array" ref="H1644">_xlfn.IFS(B1644="Serviço",SUMIFS(H1645:$H$2465,C1645:$C$2465,$C1644),B1644="Insumo",F1644*G1644,B1644="Etapa","")</f>
        <v>1.1259999999999999E-2</v>
      </c>
      <c r="I1644" s="1082"/>
    </row>
    <row r="1645" spans="1:9" hidden="1" outlineLevel="2" x14ac:dyDescent="0.25">
      <c r="A1645" s="1079">
        <f t="shared" si="63"/>
        <v>2</v>
      </c>
      <c r="B1645" s="1079" t="s">
        <v>1362</v>
      </c>
      <c r="C1645" s="1079" t="str">
        <f t="shared" si="66"/>
        <v>Pintura em Tinta piso em Rodapé, Aplicação Manual, 2 Demãos</v>
      </c>
      <c r="D1645" s="1079" t="s">
        <v>2044</v>
      </c>
      <c r="E1645" s="1080" t="str">
        <f>_xlfn.XLOOKUP(D1645,Insumos!$B$1:$B$670,Insumos!$C$1:$C$670)</f>
        <v>L</v>
      </c>
      <c r="F1645" s="1083">
        <f>0.483*0.1</f>
        <v>4.8300000000000003E-2</v>
      </c>
      <c r="G1645" s="1081">
        <f>IF(B1645="insumo",_xlfn.XLOOKUP($D1645,Insumos!$B$1:$B$670,Insumos!$D$1:$D$670),"")</f>
        <v>20</v>
      </c>
      <c r="H1645" s="1081" cm="1">
        <f t="array" ref="H1645">_xlfn.IFS(B1645="Serviço",SUMIFS(H1646:$H$2465,C1646:$C$2465,$C1645),B1645="Insumo",F1645*G1645,B1645="Etapa","")</f>
        <v>0.96600000000000008</v>
      </c>
      <c r="I1645" s="1082"/>
    </row>
    <row r="1646" spans="1:9" hidden="1" outlineLevel="1" x14ac:dyDescent="0.25">
      <c r="A1646" s="1079">
        <f t="shared" si="63"/>
        <v>1</v>
      </c>
      <c r="B1646" s="1079" t="s">
        <v>471</v>
      </c>
      <c r="C1646" s="1079" t="str">
        <f t="shared" si="66"/>
        <v>Pintura em Resina em Rodapé, Aplicação Manual, 2 Demãos</v>
      </c>
      <c r="D1646" s="1079" t="s">
        <v>2045</v>
      </c>
      <c r="E1646" s="1080" t="s">
        <v>281</v>
      </c>
      <c r="F1646" s="1079"/>
      <c r="G1646" s="1081" t="str">
        <f>IF(B1646="insumo",_xlfn.XLOOKUP($D1646,Insumos!$B$1:$B$670,Insumos!$D$1:$D$670),"")</f>
        <v/>
      </c>
      <c r="H1646" s="1081" cm="1">
        <f t="array" ref="H1646">_xlfn.IFS(B1646="Serviço",SUMIFS(H1647:$H$2465,C1647:$C$2465,$C1646),B1646="Insumo",F1646*G1646,B1646="Etapa","")</f>
        <v>8.0215224000000021</v>
      </c>
      <c r="I1646" s="1082" t="s">
        <v>872</v>
      </c>
    </row>
    <row r="1647" spans="1:9" hidden="1" outlineLevel="2" x14ac:dyDescent="0.25">
      <c r="A1647" s="1079">
        <f t="shared" si="63"/>
        <v>5</v>
      </c>
      <c r="B1647" s="1079" t="s">
        <v>1362</v>
      </c>
      <c r="C1647" s="1079" t="str">
        <f t="shared" si="66"/>
        <v>Pintura em Resina em Rodapé, Aplicação Manual, 2 Demãos</v>
      </c>
      <c r="D1647" s="1079" t="s">
        <v>2039</v>
      </c>
      <c r="E1647" s="1100" t="str">
        <f>_xlfn.XLOOKUP(D1647,Insumos!$B$1:$B$670,Insumos!$C$1:$C$670)</f>
        <v>L</v>
      </c>
      <c r="F1647" s="1083">
        <f>0.064*0.1</f>
        <v>6.4000000000000003E-3</v>
      </c>
      <c r="G1647" s="1081">
        <f>IF(B1647="insumo",_xlfn.XLOOKUP($D1647,Insumos!$B$1:$B$670,Insumos!$D$1:$D$670),"")</f>
        <v>50.12</v>
      </c>
      <c r="H1647" s="1081" cm="1">
        <f t="array" ref="H1647">_xlfn.IFS(B1647="Serviço",SUMIFS(H1648:$H$2465,C1648:$C$2465,$C1647),B1647="Insumo",F1647*G1647,B1647="Etapa","")</f>
        <v>0.320768</v>
      </c>
      <c r="I1647" s="1082"/>
    </row>
    <row r="1648" spans="1:9" hidden="1" outlineLevel="2" x14ac:dyDescent="0.25">
      <c r="A1648" s="1079">
        <f t="shared" si="63"/>
        <v>14</v>
      </c>
      <c r="B1648" s="1079" t="s">
        <v>1362</v>
      </c>
      <c r="C1648" s="1079" t="str">
        <f t="shared" si="66"/>
        <v>Pintura em Resina em Rodapé, Aplicação Manual, 2 Demãos</v>
      </c>
      <c r="D1648" s="1079" t="s">
        <v>2040</v>
      </c>
      <c r="E1648" s="1080" t="str">
        <f>_xlfn.XLOOKUP(D1648,Insumos!$B$1:$B$670,Insumos!$C$1:$C$670)</f>
        <v>UN</v>
      </c>
      <c r="F1648" s="1083">
        <f>0.01*0.1</f>
        <v>1E-3</v>
      </c>
      <c r="G1648" s="1081">
        <f>IF(B1648="insumo",_xlfn.XLOOKUP($D1648,Insumos!$B$1:$B$670,Insumos!$D$1:$D$670),"")</f>
        <v>11.26</v>
      </c>
      <c r="H1648" s="1081" cm="1">
        <f t="array" ref="H1648">_xlfn.IFS(B1648="Serviço",SUMIFS(H1649:$H$2465,C1649:$C$2465,$C1648),B1648="Insumo",F1648*G1648,B1648="Etapa","")</f>
        <v>1.1259999999999999E-2</v>
      </c>
      <c r="I1648" s="1082"/>
    </row>
    <row r="1649" spans="1:9" hidden="1" outlineLevel="2" x14ac:dyDescent="0.25">
      <c r="A1649" s="1079">
        <f t="shared" si="63"/>
        <v>4</v>
      </c>
      <c r="B1649" s="1079" t="s">
        <v>1362</v>
      </c>
      <c r="C1649" s="1079" t="str">
        <f t="shared" si="66"/>
        <v>Pintura em Resina em Rodapé, Aplicação Manual, 2 Demãos</v>
      </c>
      <c r="D1649" s="1079" t="s">
        <v>2041</v>
      </c>
      <c r="E1649" s="1080" t="str">
        <f>_xlfn.XLOOKUP(D1649,Insumos!$B$1:$B$670,Insumos!$C$1:$C$670)</f>
        <v>L</v>
      </c>
      <c r="F1649" s="1083">
        <f>0.2016*0.1</f>
        <v>2.0160000000000001E-2</v>
      </c>
      <c r="G1649" s="1081">
        <f>IF(B1649="insumo",_xlfn.XLOOKUP($D1649,Insumos!$B$1:$B$670,Insumos!$D$1:$D$670),"")</f>
        <v>137.24</v>
      </c>
      <c r="H1649" s="1081" cm="1">
        <f t="array" ref="H1649">_xlfn.IFS(B1649="Serviço",SUMIFS(H1650:$H$2465,C1650:$C$2465,$C1649),B1649="Insumo",F1649*G1649,B1649="Etapa","")</f>
        <v>2.7667584000000005</v>
      </c>
      <c r="I1649" s="1082"/>
    </row>
    <row r="1650" spans="1:9" hidden="1" outlineLevel="2" x14ac:dyDescent="0.25">
      <c r="A1650" s="1079">
        <f t="shared" si="63"/>
        <v>5</v>
      </c>
      <c r="B1650" s="1079" t="s">
        <v>1362</v>
      </c>
      <c r="C1650" s="1079" t="str">
        <f t="shared" si="66"/>
        <v>Pintura em Resina em Rodapé, Aplicação Manual, 2 Demãos</v>
      </c>
      <c r="D1650" s="1079" t="s">
        <v>2042</v>
      </c>
      <c r="E1650" s="1080" t="str">
        <f>_xlfn.XLOOKUP(D1650,Insumos!$B$1:$B$670,Insumos!$C$1:$C$670)</f>
        <v>L</v>
      </c>
      <c r="F1650" s="1083">
        <f>0.483*0.1</f>
        <v>4.8300000000000003E-2</v>
      </c>
      <c r="G1650" s="1081">
        <f>IF(B1650="insumo",_xlfn.XLOOKUP($D1650,Insumos!$B$1:$B$670,Insumos!$D$1:$D$670),"")</f>
        <v>101.92</v>
      </c>
      <c r="H1650" s="1081" cm="1">
        <f t="array" ref="H1650">_xlfn.IFS(B1650="Serviço",SUMIFS(H1651:$H$2465,C1651:$C$2465,$C1650),B1650="Insumo",F1650*G1650,B1650="Etapa","")</f>
        <v>4.9227360000000004</v>
      </c>
      <c r="I1650" s="1082"/>
    </row>
    <row r="1651" spans="1:9" hidden="1" outlineLevel="1" collapsed="1" x14ac:dyDescent="0.25">
      <c r="A1651" s="1079">
        <f t="shared" si="63"/>
        <v>1</v>
      </c>
      <c r="B1651" s="1079" t="s">
        <v>471</v>
      </c>
      <c r="C1651" s="1079" t="str">
        <f t="shared" si="66"/>
        <v>Pintura em Epóxi em Piso, Aplicação Manual, 2 Demãos</v>
      </c>
      <c r="D1651" s="1079" t="s">
        <v>2046</v>
      </c>
      <c r="E1651" s="1080" t="s">
        <v>17</v>
      </c>
      <c r="F1651" s="1079"/>
      <c r="G1651" s="1081" t="str">
        <f>IF(B1651="insumo",_xlfn.XLOOKUP($D1651,Insumos!$B$1:$B$670,Insumos!$D$1:$D$670),"")</f>
        <v/>
      </c>
      <c r="H1651" s="1081" cm="1">
        <f t="array" ref="H1651">_xlfn.IFS(B1651="Serviço",SUMIFS(H1652:$H$2465,C1652:$C$2465,$C1651),B1651="Insumo",F1651*G1651,B1651="Etapa","")</f>
        <v>80.215224000000006</v>
      </c>
      <c r="I1651" s="1082" t="s">
        <v>872</v>
      </c>
    </row>
    <row r="1652" spans="1:9" hidden="1" outlineLevel="2" x14ac:dyDescent="0.25">
      <c r="A1652" s="1079">
        <f t="shared" si="63"/>
        <v>5</v>
      </c>
      <c r="B1652" s="1079" t="s">
        <v>1362</v>
      </c>
      <c r="C1652" s="1079" t="str">
        <f t="shared" si="66"/>
        <v>Pintura em Epóxi em Piso, Aplicação Manual, 2 Demãos</v>
      </c>
      <c r="D1652" s="1079" t="s">
        <v>2039</v>
      </c>
      <c r="E1652" s="1080" t="str">
        <f>_xlfn.XLOOKUP(D1652,Insumos!$B$1:$B$670,Insumos!$C$1:$C$670)</f>
        <v>L</v>
      </c>
      <c r="F1652" s="1083">
        <v>6.4000000000000001E-2</v>
      </c>
      <c r="G1652" s="1081">
        <f>IF(B1652="insumo",_xlfn.XLOOKUP($D1652,Insumos!$B$1:$B$670,Insumos!$D$1:$D$670),"")</f>
        <v>50.12</v>
      </c>
      <c r="H1652" s="1081" cm="1">
        <f t="array" ref="H1652">_xlfn.IFS(B1652="Serviço",SUMIFS(H1653:$H$2465,C1653:$C$2465,$C1652),B1652="Insumo",F1652*G1652,B1652="Etapa","")</f>
        <v>3.2076799999999999</v>
      </c>
      <c r="I1652" s="1082"/>
    </row>
    <row r="1653" spans="1:9" hidden="1" outlineLevel="2" x14ac:dyDescent="0.25">
      <c r="A1653" s="1079">
        <f t="shared" si="63"/>
        <v>14</v>
      </c>
      <c r="B1653" s="1079" t="s">
        <v>1362</v>
      </c>
      <c r="C1653" s="1079" t="str">
        <f t="shared" si="66"/>
        <v>Pintura em Epóxi em Piso, Aplicação Manual, 2 Demãos</v>
      </c>
      <c r="D1653" s="1079" t="s">
        <v>2040</v>
      </c>
      <c r="E1653" s="1080" t="str">
        <f>_xlfn.XLOOKUP(D1653,Insumos!$B$1:$B$670,Insumos!$C$1:$C$670)</f>
        <v>UN</v>
      </c>
      <c r="F1653" s="1083">
        <v>0.01</v>
      </c>
      <c r="G1653" s="1081">
        <f>IF(B1653="insumo",_xlfn.XLOOKUP($D1653,Insumos!$B$1:$B$670,Insumos!$D$1:$D$670),"")</f>
        <v>11.26</v>
      </c>
      <c r="H1653" s="1081" cm="1">
        <f t="array" ref="H1653">_xlfn.IFS(B1653="Serviço",SUMIFS(H1654:$H$2465,C1654:$C$2465,$C1653),B1653="Insumo",F1653*G1653,B1653="Etapa","")</f>
        <v>0.11260000000000001</v>
      </c>
      <c r="I1653" s="1082"/>
    </row>
    <row r="1654" spans="1:9" hidden="1" outlineLevel="2" x14ac:dyDescent="0.25">
      <c r="A1654" s="1079">
        <f t="shared" si="63"/>
        <v>4</v>
      </c>
      <c r="B1654" s="1079" t="s">
        <v>1362</v>
      </c>
      <c r="C1654" s="1079" t="str">
        <f t="shared" si="66"/>
        <v>Pintura em Epóxi em Piso, Aplicação Manual, 2 Demãos</v>
      </c>
      <c r="D1654" s="1079" t="s">
        <v>2041</v>
      </c>
      <c r="E1654" s="1080" t="str">
        <f>_xlfn.XLOOKUP(D1654,Insumos!$B$1:$B$670,Insumos!$C$1:$C$670)</f>
        <v>L</v>
      </c>
      <c r="F1654" s="1083">
        <v>0.2016</v>
      </c>
      <c r="G1654" s="1081">
        <f>IF(B1654="insumo",_xlfn.XLOOKUP($D1654,Insumos!$B$1:$B$670,Insumos!$D$1:$D$670),"")</f>
        <v>137.24</v>
      </c>
      <c r="H1654" s="1081" cm="1">
        <f t="array" ref="H1654">_xlfn.IFS(B1654="Serviço",SUMIFS(H1655:$H$2465,C1655:$C$2465,$C1654),B1654="Insumo",F1654*G1654,B1654="Etapa","")</f>
        <v>27.667584000000002</v>
      </c>
      <c r="I1654" s="1082"/>
    </row>
    <row r="1655" spans="1:9" hidden="1" outlineLevel="2" x14ac:dyDescent="0.25">
      <c r="A1655" s="1079">
        <f t="shared" si="63"/>
        <v>5</v>
      </c>
      <c r="B1655" s="1079" t="s">
        <v>1362</v>
      </c>
      <c r="C1655" s="1079" t="str">
        <f t="shared" si="66"/>
        <v>Pintura em Epóxi em Piso, Aplicação Manual, 2 Demãos</v>
      </c>
      <c r="D1655" s="1079" t="s">
        <v>2042</v>
      </c>
      <c r="E1655" s="1080" t="str">
        <f>_xlfn.XLOOKUP(D1655,Insumos!$B$1:$B$670,Insumos!$C$1:$C$670)</f>
        <v>L</v>
      </c>
      <c r="F1655" s="1083">
        <v>0.48299999999999998</v>
      </c>
      <c r="G1655" s="1081">
        <f>IF(B1655="insumo",_xlfn.XLOOKUP($D1655,Insumos!$B$1:$B$670,Insumos!$D$1:$D$670),"")</f>
        <v>101.92</v>
      </c>
      <c r="H1655" s="1081" cm="1">
        <f t="array" ref="H1655">_xlfn.IFS(B1655="Serviço",SUMIFS(H1656:$H$2465,C1656:$C$2465,$C1655),B1655="Insumo",F1655*G1655,B1655="Etapa","")</f>
        <v>49.227359999999997</v>
      </c>
      <c r="I1655" s="1082"/>
    </row>
    <row r="1656" spans="1:9" hidden="1" outlineLevel="1" collapsed="1" x14ac:dyDescent="0.25">
      <c r="A1656" s="1079">
        <f t="shared" si="63"/>
        <v>1</v>
      </c>
      <c r="B1656" s="1079" t="s">
        <v>471</v>
      </c>
      <c r="C1656" s="1079" t="str">
        <f t="shared" si="66"/>
        <v>Pintura em Resina para demarcação de vagas em piso, 1 demão</v>
      </c>
      <c r="D1656" s="1079" t="s">
        <v>2047</v>
      </c>
      <c r="E1656" s="1080" t="s">
        <v>17</v>
      </c>
      <c r="F1656" s="1079"/>
      <c r="G1656" s="1081" t="str">
        <f>IF(B1656="insumo",_xlfn.XLOOKUP($D1656,Insumos!$B$1:$B$670,Insumos!$D$1:$D$670),"")</f>
        <v/>
      </c>
      <c r="H1656" s="1081" cm="1">
        <f t="array" ref="H1656">_xlfn.IFS(B1656="Serviço",SUMIFS(H1657:$H$2465,C1657:$C$2465,$C1656),B1656="Insumo",F1656*G1656,B1656="Etapa","")</f>
        <v>6.0553933333333338</v>
      </c>
      <c r="I1656" s="1082" t="s">
        <v>872</v>
      </c>
    </row>
    <row r="1657" spans="1:9" hidden="1" outlineLevel="2" x14ac:dyDescent="0.25">
      <c r="A1657" s="1079">
        <f t="shared" si="63"/>
        <v>6</v>
      </c>
      <c r="B1657" s="1079" t="s">
        <v>1362</v>
      </c>
      <c r="C1657" s="1079" t="str">
        <f t="shared" si="66"/>
        <v>Pintura em Resina para demarcação de vagas em piso, 1 demão</v>
      </c>
      <c r="D1657" s="1079" t="s">
        <v>2048</v>
      </c>
      <c r="E1657" s="1080" t="str">
        <f>_xlfn.XLOOKUP(D1657,Insumos!$B$1:$B$670,Insumos!$C$1:$C$670)</f>
        <v>L</v>
      </c>
      <c r="F1657" s="1083">
        <v>2.1000000000000001E-2</v>
      </c>
      <c r="G1657" s="1081">
        <f>IF(B1657="insumo",_xlfn.XLOOKUP($D1657,Insumos!$B$1:$B$670,Insumos!$D$1:$D$670),"")</f>
        <v>21.99</v>
      </c>
      <c r="H1657" s="1081" cm="1">
        <f t="array" ref="H1657">_xlfn.IFS(B1657="Serviço",SUMIFS(H1658:$H$2465,C1658:$C$2465,$C1657),B1657="Insumo",F1657*G1657,B1657="Etapa","")</f>
        <v>0.46178999999999998</v>
      </c>
      <c r="I1657" s="1082"/>
    </row>
    <row r="1658" spans="1:9" hidden="1" outlineLevel="2" x14ac:dyDescent="0.25">
      <c r="A1658" s="1079">
        <f t="shared" si="63"/>
        <v>14</v>
      </c>
      <c r="B1658" s="1079" t="s">
        <v>1362</v>
      </c>
      <c r="C1658" s="1079" t="str">
        <f t="shared" si="66"/>
        <v>Pintura em Resina para demarcação de vagas em piso, 1 demão</v>
      </c>
      <c r="D1658" s="1079" t="s">
        <v>2040</v>
      </c>
      <c r="E1658" s="1080" t="str">
        <f>_xlfn.XLOOKUP(D1658,Insumos!$B$1:$B$670,Insumos!$C$1:$C$670)</f>
        <v>UN</v>
      </c>
      <c r="F1658" s="1083">
        <v>1.2E-2</v>
      </c>
      <c r="G1658" s="1081">
        <f>IF(B1658="insumo",_xlfn.XLOOKUP($D1658,Insumos!$B$1:$B$670,Insumos!$D$1:$D$670),"")</f>
        <v>11.26</v>
      </c>
      <c r="H1658" s="1081" cm="1">
        <f t="array" ref="H1658">_xlfn.IFS(B1658="Serviço",SUMIFS(H1659:$H$2465,C1659:$C$2465,$C1658),B1658="Insumo",F1658*G1658,B1658="Etapa","")</f>
        <v>0.13511999999999999</v>
      </c>
      <c r="I1658" s="1082"/>
    </row>
    <row r="1659" spans="1:9" hidden="1" outlineLevel="2" x14ac:dyDescent="0.25">
      <c r="A1659" s="1079">
        <f t="shared" si="63"/>
        <v>2</v>
      </c>
      <c r="B1659" s="1079" t="s">
        <v>1362</v>
      </c>
      <c r="C1659" s="1079" t="str">
        <f t="shared" si="66"/>
        <v>Pintura em Resina para demarcação de vagas em piso, 1 demão</v>
      </c>
      <c r="D1659" s="1079" t="s">
        <v>1388</v>
      </c>
      <c r="E1659" s="1080" t="str">
        <f>_xlfn.XLOOKUP(D1659,Insumos!$B$1:$B$670,Insumos!$C$1:$C$670)</f>
        <v>L</v>
      </c>
      <c r="F1659" s="1083">
        <v>0.23722222222222222</v>
      </c>
      <c r="G1659" s="1081">
        <f>IF(B1659="insumo",_xlfn.XLOOKUP($D1659,Insumos!$B$1:$B$670,Insumos!$D$1:$D$670),"")</f>
        <v>23.01</v>
      </c>
      <c r="H1659" s="1081" cm="1">
        <f t="array" ref="H1659">_xlfn.IFS(B1659="Serviço",SUMIFS(H1660:$H$2465,C1660:$C$2465,$C1659),B1659="Insumo",F1659*G1659,B1659="Etapa","")</f>
        <v>5.4584833333333336</v>
      </c>
      <c r="I1659" s="1082"/>
    </row>
    <row r="1660" spans="1:9" hidden="1" outlineLevel="1" collapsed="1" x14ac:dyDescent="0.25">
      <c r="A1660" s="1079">
        <f t="shared" si="63"/>
        <v>1</v>
      </c>
      <c r="B1660" s="1079" t="s">
        <v>471</v>
      </c>
      <c r="C1660" s="1079" t="str">
        <f t="shared" si="66"/>
        <v>Pintura em Epóxi para demarcação de vagas em piso, 1 demão</v>
      </c>
      <c r="D1660" s="1079" t="s">
        <v>2049</v>
      </c>
      <c r="E1660" s="1080" t="s">
        <v>17</v>
      </c>
      <c r="F1660" s="1079"/>
      <c r="G1660" s="1081" t="str">
        <f>IF(B1660="insumo",_xlfn.XLOOKUP($D1660,Insumos!$B$1:$B$670,Insumos!$D$1:$D$670),"")</f>
        <v/>
      </c>
      <c r="H1660" s="1081" cm="1">
        <f t="array" ref="H1660">_xlfn.IFS(B1660="Serviço",SUMIFS(H1661:$H$2465,C1661:$C$2465,$C1660),B1660="Insumo",F1660*G1660,B1660="Etapa","")</f>
        <v>53.032912888888887</v>
      </c>
      <c r="I1660" s="1082" t="s">
        <v>872</v>
      </c>
    </row>
    <row r="1661" spans="1:9" hidden="1" outlineLevel="2" x14ac:dyDescent="0.25">
      <c r="A1661" s="1079">
        <f t="shared" si="63"/>
        <v>5</v>
      </c>
      <c r="B1661" s="1079" t="s">
        <v>1362</v>
      </c>
      <c r="C1661" s="1079" t="str">
        <f t="shared" si="66"/>
        <v>Pintura em Epóxi para demarcação de vagas em piso, 1 demão</v>
      </c>
      <c r="D1661" s="1079" t="s">
        <v>2039</v>
      </c>
      <c r="E1661" s="1080" t="str">
        <f>_xlfn.XLOOKUP(D1661,Insumos!$B$1:$B$670,Insumos!$C$1:$C$670)</f>
        <v>L</v>
      </c>
      <c r="F1661" s="1083">
        <v>2.1000000000000001E-2</v>
      </c>
      <c r="G1661" s="1081">
        <f>IF(B1661="insumo",_xlfn.XLOOKUP($D1661,Insumos!$B$1:$B$670,Insumos!$D$1:$D$670),"")</f>
        <v>50.12</v>
      </c>
      <c r="H1661" s="1081" cm="1">
        <f t="array" ref="H1661">_xlfn.IFS(B1661="Serviço",SUMIFS(H1662:$H$2465,C1662:$C$2465,$C1661),B1661="Insumo",F1661*G1661,B1661="Etapa","")</f>
        <v>1.0525200000000001</v>
      </c>
      <c r="I1661" s="1082"/>
    </row>
    <row r="1662" spans="1:9" hidden="1" outlineLevel="2" x14ac:dyDescent="0.25">
      <c r="A1662" s="1079">
        <f t="shared" si="63"/>
        <v>14</v>
      </c>
      <c r="B1662" s="1079" t="s">
        <v>1362</v>
      </c>
      <c r="C1662" s="1079" t="str">
        <f t="shared" si="66"/>
        <v>Pintura em Epóxi para demarcação de vagas em piso, 1 demão</v>
      </c>
      <c r="D1662" s="1079" t="s">
        <v>2040</v>
      </c>
      <c r="E1662" s="1080" t="str">
        <f>_xlfn.XLOOKUP(D1662,Insumos!$B$1:$B$670,Insumos!$C$1:$C$670)</f>
        <v>UN</v>
      </c>
      <c r="F1662" s="1083">
        <v>1.2E-2</v>
      </c>
      <c r="G1662" s="1081">
        <f>IF(B1662="insumo",_xlfn.XLOOKUP($D1662,Insumos!$B$1:$B$670,Insumos!$D$1:$D$670),"")</f>
        <v>11.26</v>
      </c>
      <c r="H1662" s="1081" cm="1">
        <f t="array" ref="H1662">_xlfn.IFS(B1662="Serviço",SUMIFS(H1663:$H$2465,C1663:$C$2465,$C1662),B1662="Insumo",F1662*G1662,B1662="Etapa","")</f>
        <v>0.13511999999999999</v>
      </c>
      <c r="I1662" s="1082"/>
    </row>
    <row r="1663" spans="1:9" hidden="1" outlineLevel="2" x14ac:dyDescent="0.25">
      <c r="A1663" s="1079">
        <f t="shared" si="63"/>
        <v>4</v>
      </c>
      <c r="B1663" s="1079" t="s">
        <v>1362</v>
      </c>
      <c r="C1663" s="1079" t="str">
        <f t="shared" si="66"/>
        <v>Pintura em Epóxi para demarcação de vagas em piso, 1 demão</v>
      </c>
      <c r="D1663" s="1079" t="s">
        <v>2041</v>
      </c>
      <c r="E1663" s="1080" t="str">
        <f>_xlfn.XLOOKUP(D1663,Insumos!$B$1:$B$670,Insumos!$C$1:$C$670)</f>
        <v>L</v>
      </c>
      <c r="F1663" s="1083">
        <v>0.2016</v>
      </c>
      <c r="G1663" s="1081">
        <f>IF(B1663="insumo",_xlfn.XLOOKUP($D1663,Insumos!$B$1:$B$670,Insumos!$D$1:$D$670),"")</f>
        <v>137.24</v>
      </c>
      <c r="H1663" s="1081" cm="1">
        <f t="array" ref="H1663">_xlfn.IFS(B1663="Serviço",SUMIFS(H1664:$H$2465,C1664:$C$2465,$C1663),B1663="Insumo",F1663*G1663,B1663="Etapa","")</f>
        <v>27.667584000000002</v>
      </c>
      <c r="I1663" s="1082"/>
    </row>
    <row r="1664" spans="1:9" hidden="1" outlineLevel="2" x14ac:dyDescent="0.25">
      <c r="A1664" s="1079">
        <f t="shared" si="63"/>
        <v>5</v>
      </c>
      <c r="B1664" s="1079" t="s">
        <v>1362</v>
      </c>
      <c r="C1664" s="1079" t="str">
        <f t="shared" si="66"/>
        <v>Pintura em Epóxi para demarcação de vagas em piso, 1 demão</v>
      </c>
      <c r="D1664" s="1079" t="s">
        <v>2042</v>
      </c>
      <c r="E1664" s="1080" t="str">
        <f>_xlfn.XLOOKUP(D1664,Insumos!$B$1:$B$670,Insumos!$C$1:$C$670)</f>
        <v>L</v>
      </c>
      <c r="F1664" s="1083">
        <v>0.23722222222222222</v>
      </c>
      <c r="G1664" s="1081">
        <f>IF(B1664="insumo",_xlfn.XLOOKUP($D1664,Insumos!$B$1:$B$670,Insumos!$D$1:$D$670),"")</f>
        <v>101.92</v>
      </c>
      <c r="H1664" s="1081" cm="1">
        <f t="array" ref="H1664">_xlfn.IFS(B1664="Serviço",SUMIFS(H1665:$H$2465,C1665:$C$2465,$C1664),B1664="Insumo",F1664*G1664,B1664="Etapa","")</f>
        <v>24.177688888888888</v>
      </c>
      <c r="I1664" s="1082"/>
    </row>
    <row r="1665" spans="1:9" hidden="1" outlineLevel="1" collapsed="1" x14ac:dyDescent="0.25">
      <c r="A1665" s="1079">
        <f t="shared" si="63"/>
        <v>1</v>
      </c>
      <c r="B1665" s="1079" t="s">
        <v>471</v>
      </c>
      <c r="C1665" s="1079" t="str">
        <f t="shared" si="66"/>
        <v>Pintura em Esmalte em Piso Amarelo, Aplicação Manual, 2 Demãos</v>
      </c>
      <c r="D1665" s="1079" t="s">
        <v>2050</v>
      </c>
      <c r="E1665" s="1080" t="s">
        <v>17</v>
      </c>
      <c r="F1665" s="1079"/>
      <c r="G1665" s="1081" t="str">
        <f>IF(B1665="insumo",_xlfn.XLOOKUP($D1665,Insumos!$B$1:$B$670,Insumos!$D$1:$D$670),"")</f>
        <v/>
      </c>
      <c r="H1665" s="1081" cm="1">
        <f t="array" ref="H1665">_xlfn.IFS(B1665="Serviço",SUMIFS(H1666:$H$2465,C1666:$C$2465,$C1665),B1665="Insumo",F1665*G1665,B1665="Etapa","")</f>
        <v>14.311766666666667</v>
      </c>
      <c r="I1665" s="1082" t="s">
        <v>872</v>
      </c>
    </row>
    <row r="1666" spans="1:9" hidden="1" outlineLevel="2" x14ac:dyDescent="0.25">
      <c r="A1666" s="1079">
        <f t="shared" ref="A1666:A1729" si="67">COUNTIFS($D$2:$D$2465,D1666,$B$2:$B$2465,B1666)</f>
        <v>14</v>
      </c>
      <c r="B1666" s="1079" t="s">
        <v>1362</v>
      </c>
      <c r="C1666" s="1079" t="str">
        <f t="shared" si="66"/>
        <v>Pintura em Esmalte em Piso Amarelo, Aplicação Manual, 2 Demãos</v>
      </c>
      <c r="D1666" s="1079" t="s">
        <v>2040</v>
      </c>
      <c r="E1666" s="1080" t="str">
        <f>_xlfn.XLOOKUP(D1666,Insumos!$B$1:$B$670,Insumos!$C$1:$C$670)</f>
        <v>UN</v>
      </c>
      <c r="F1666" s="1083">
        <v>0.01</v>
      </c>
      <c r="G1666" s="1081">
        <f>IF(B1666="insumo",_xlfn.XLOOKUP($D1666,Insumos!$B$1:$B$670,Insumos!$D$1:$D$670),"")</f>
        <v>11.26</v>
      </c>
      <c r="H1666" s="1081" cm="1">
        <f t="array" ref="H1666">_xlfn.IFS(B1666="Serviço",SUMIFS(H1667:$H$2465,C1667:$C$2465,$C1666),B1666="Insumo",F1666*G1666,B1666="Etapa","")</f>
        <v>0.11260000000000001</v>
      </c>
      <c r="I1666" s="1082"/>
    </row>
    <row r="1667" spans="1:9" hidden="1" outlineLevel="2" x14ac:dyDescent="0.25">
      <c r="A1667" s="1079">
        <f t="shared" si="67"/>
        <v>1</v>
      </c>
      <c r="B1667" s="1079" t="s">
        <v>1362</v>
      </c>
      <c r="C1667" s="1079" t="str">
        <f t="shared" si="66"/>
        <v>Pintura em Esmalte em Piso Amarelo, Aplicação Manual, 2 Demãos</v>
      </c>
      <c r="D1667" s="1079" t="s">
        <v>2051</v>
      </c>
      <c r="E1667" s="1080" t="str">
        <f>_xlfn.XLOOKUP(D1667,Insumos!$B$1:$B$670,Insumos!$C$1:$C$670)</f>
        <v>L</v>
      </c>
      <c r="F1667" s="1083">
        <v>0.33</v>
      </c>
      <c r="G1667" s="1081">
        <f>IF(B1667="insumo",_xlfn.XLOOKUP($D1667,Insumos!$B$1:$B$670,Insumos!$D$1:$D$670),"")</f>
        <v>43.027777777777779</v>
      </c>
      <c r="H1667" s="1081" cm="1">
        <f t="array" ref="H1667">_xlfn.IFS(B1667="Serviço",SUMIFS(H1668:$H$2465,C1668:$C$2465,$C1667),B1667="Insumo",F1667*G1667,B1667="Etapa","")</f>
        <v>14.199166666666667</v>
      </c>
      <c r="I1667" s="1082"/>
    </row>
    <row r="1668" spans="1:9" hidden="1" outlineLevel="1" collapsed="1" x14ac:dyDescent="0.25">
      <c r="A1668" s="1079">
        <f t="shared" si="67"/>
        <v>1</v>
      </c>
      <c r="B1668" s="1079" t="s">
        <v>471</v>
      </c>
      <c r="C1668" s="1079" t="str">
        <f t="shared" si="66"/>
        <v>Pintura em Esmalte em Piso, Aplicação Manual, 2 Demãos</v>
      </c>
      <c r="D1668" s="1079" t="s">
        <v>2052</v>
      </c>
      <c r="E1668" s="1080" t="s">
        <v>17</v>
      </c>
      <c r="F1668" s="1079"/>
      <c r="G1668" s="1081" t="str">
        <f>IF(B1668="insumo",_xlfn.XLOOKUP($D1668,Insumos!$B$1:$B$670,Insumos!$D$1:$D$670),"")</f>
        <v/>
      </c>
      <c r="H1668" s="1081" cm="1">
        <f t="array" ref="H1668">_xlfn.IFS(B1668="Serviço",SUMIFS(H1669:$H$2465,C1669:$C$2465,$C1668),B1668="Insumo",F1668*G1668,B1668="Etapa","")</f>
        <v>20.960709999999999</v>
      </c>
      <c r="I1668" s="1082" t="s">
        <v>872</v>
      </c>
    </row>
    <row r="1669" spans="1:9" hidden="1" outlineLevel="2" x14ac:dyDescent="0.25">
      <c r="A1669" s="1079">
        <f t="shared" si="67"/>
        <v>6</v>
      </c>
      <c r="B1669" s="1079" t="s">
        <v>1362</v>
      </c>
      <c r="C1669" s="1079" t="str">
        <f t="shared" si="66"/>
        <v>Pintura em Esmalte em Piso, Aplicação Manual, 2 Demãos</v>
      </c>
      <c r="D1669" s="1079" t="s">
        <v>2048</v>
      </c>
      <c r="E1669" s="1080" t="str">
        <f>_xlfn.XLOOKUP(D1669,Insumos!$B$1:$B$670,Insumos!$C$1:$C$670)</f>
        <v>L</v>
      </c>
      <c r="F1669" s="1083">
        <v>6.4000000000000001E-2</v>
      </c>
      <c r="G1669" s="1081">
        <f>IF(B1669="insumo",_xlfn.XLOOKUP($D1669,Insumos!$B$1:$B$670,Insumos!$D$1:$D$670),"")</f>
        <v>21.99</v>
      </c>
      <c r="H1669" s="1081" cm="1">
        <f t="array" ref="H1669">_xlfn.IFS(B1669="Serviço",SUMIFS(H1670:$H$2465,C1670:$C$2465,$C1669),B1669="Insumo",F1669*G1669,B1669="Etapa","")</f>
        <v>1.4073599999999999</v>
      </c>
      <c r="I1669" s="1082"/>
    </row>
    <row r="1670" spans="1:9" hidden="1" outlineLevel="2" x14ac:dyDescent="0.25">
      <c r="A1670" s="1079">
        <f t="shared" si="67"/>
        <v>14</v>
      </c>
      <c r="B1670" s="1079" t="s">
        <v>1362</v>
      </c>
      <c r="C1670" s="1079" t="str">
        <f t="shared" si="66"/>
        <v>Pintura em Esmalte em Piso, Aplicação Manual, 2 Demãos</v>
      </c>
      <c r="D1670" s="1079" t="s">
        <v>2040</v>
      </c>
      <c r="E1670" s="1080" t="str">
        <f>_xlfn.XLOOKUP(D1670,Insumos!$B$1:$B$670,Insumos!$C$1:$C$670)</f>
        <v>UN</v>
      </c>
      <c r="F1670" s="1083">
        <v>0.01</v>
      </c>
      <c r="G1670" s="1081">
        <f>IF(B1670="insumo",_xlfn.XLOOKUP($D1670,Insumos!$B$1:$B$670,Insumos!$D$1:$D$670),"")</f>
        <v>11.26</v>
      </c>
      <c r="H1670" s="1081" cm="1">
        <f t="array" ref="H1670">_xlfn.IFS(B1670="Serviço",SUMIFS(H1671:$H$2465,C1671:$C$2465,$C1670),B1670="Insumo",F1670*G1670,B1670="Etapa","")</f>
        <v>0.11260000000000001</v>
      </c>
      <c r="I1670" s="1082"/>
    </row>
    <row r="1671" spans="1:9" hidden="1" outlineLevel="2" x14ac:dyDescent="0.25">
      <c r="A1671" s="1079">
        <f t="shared" si="67"/>
        <v>1</v>
      </c>
      <c r="B1671" s="1079" t="s">
        <v>1362</v>
      </c>
      <c r="C1671" s="1079" t="str">
        <f t="shared" si="66"/>
        <v>Pintura em Esmalte em Piso, Aplicação Manual, 2 Demãos</v>
      </c>
      <c r="D1671" s="1079" t="s">
        <v>2053</v>
      </c>
      <c r="E1671" s="1080" t="str">
        <f>_xlfn.XLOOKUP(D1671,Insumos!$B$1:$B$670,Insumos!$C$1:$C$670)</f>
        <v>L</v>
      </c>
      <c r="F1671" s="1083">
        <v>0.48299999999999998</v>
      </c>
      <c r="G1671" s="1081">
        <f>IF(B1671="insumo",_xlfn.XLOOKUP($D1671,Insumos!$B$1:$B$670,Insumos!$D$1:$D$670),"")</f>
        <v>40.25</v>
      </c>
      <c r="H1671" s="1081" cm="1">
        <f t="array" ref="H1671">_xlfn.IFS(B1671="Serviço",SUMIFS(H1678:$H$2465,C1678:$C$2465,$C1671),B1671="Insumo",F1671*G1671,B1671="Etapa","")</f>
        <v>19.440749999999998</v>
      </c>
      <c r="I1671" s="1082"/>
    </row>
    <row r="1672" spans="1:9" hidden="1" outlineLevel="1" x14ac:dyDescent="0.25">
      <c r="A1672" s="1079">
        <f t="shared" si="67"/>
        <v>1</v>
      </c>
      <c r="B1672" s="1079" t="s">
        <v>471</v>
      </c>
      <c r="C1672" s="1079" t="str">
        <f t="shared" si="66"/>
        <v>Pintura em tinta acrilica com resina para piso, Aplicação Manual, 2 Demãos - Cor nuvem de papel</v>
      </c>
      <c r="D1672" s="1079" t="s">
        <v>2590</v>
      </c>
      <c r="E1672" s="1080" t="s">
        <v>17</v>
      </c>
      <c r="F1672" s="1079"/>
      <c r="G1672" s="1081" t="str">
        <f>IF(B1672="insumo",_xlfn.XLOOKUP($D1672,Insumos!$B$1:$B$670,Insumos!$D$1:$D$670),"")</f>
        <v/>
      </c>
      <c r="H1672" s="1081" cm="1">
        <f t="array" ref="H1672">_xlfn.IFS(B1672="Serviço",SUMIFS(H1673:$H$2465,C1673:$C$2465,$C1672),B1672="Insumo",F1672*G1672,B1672="Etapa","")</f>
        <v>42.637731250000002</v>
      </c>
      <c r="I1672" s="1082" t="s">
        <v>872</v>
      </c>
    </row>
    <row r="1673" spans="1:9" hidden="1" outlineLevel="2" x14ac:dyDescent="0.25">
      <c r="A1673" s="1079">
        <f t="shared" si="67"/>
        <v>14</v>
      </c>
      <c r="B1673" s="1079" t="s">
        <v>1362</v>
      </c>
      <c r="C1673" s="1079" t="str">
        <f t="shared" si="66"/>
        <v>Pintura em tinta acrilica com resina para piso, Aplicação Manual, 2 Demãos - Cor nuvem de papel</v>
      </c>
      <c r="D1673" s="1079" t="s">
        <v>2040</v>
      </c>
      <c r="E1673" s="1080" t="str">
        <f>_xlfn.XLOOKUP(D1673,Insumos!$B$1:$B$670,Insumos!$C$1:$C$670)</f>
        <v>UN</v>
      </c>
      <c r="F1673" s="1083">
        <v>0.01</v>
      </c>
      <c r="G1673" s="1081">
        <f>IF(B1673="insumo",_xlfn.XLOOKUP($D1673,Insumos!$B$1:$B$670,Insumos!$D$1:$D$670),"")</f>
        <v>11.26</v>
      </c>
      <c r="H1673" s="1081" cm="1">
        <f t="array" ref="H1673">_xlfn.IFS(B1673="Serviço",SUMIFS(H1674:$H$2465,C1674:$C$2465,$C1673),B1673="Insumo",F1673*G1673,B1673="Etapa","")</f>
        <v>0.11260000000000001</v>
      </c>
      <c r="I1673" s="1082"/>
    </row>
    <row r="1674" spans="1:9" hidden="1" outlineLevel="2" x14ac:dyDescent="0.25">
      <c r="A1674" s="1079">
        <f t="shared" si="67"/>
        <v>2</v>
      </c>
      <c r="B1674" s="1079" t="s">
        <v>1362</v>
      </c>
      <c r="C1674" s="1079" t="str">
        <f t="shared" si="66"/>
        <v>Pintura em tinta acrilica com resina para piso, Aplicação Manual, 2 Demãos - Cor nuvem de papel</v>
      </c>
      <c r="D1674" s="1079" t="s">
        <v>2591</v>
      </c>
      <c r="E1674" s="1080" t="str">
        <f>_xlfn.XLOOKUP(D1674,Insumos!$B$1:$B$670,Insumos!$C$1:$C$670)</f>
        <v>L</v>
      </c>
      <c r="F1674" s="1083">
        <v>0.48299999999999998</v>
      </c>
      <c r="G1674" s="1081">
        <f>IF(B1674="insumo",_xlfn.XLOOKUP($D1674,Insumos!$B$1:$B$670,Insumos!$D$1:$D$670),"")</f>
        <v>88.043750000000003</v>
      </c>
      <c r="H1674" s="1081" cm="1">
        <f t="array" ref="H1674">_xlfn.IFS(B1674="Serviço",SUMIFS(H1675:$H$2465,C1675:$C$2465,$C1674),B1674="Insumo",F1674*G1674,B1674="Etapa","")</f>
        <v>42.525131250000001</v>
      </c>
      <c r="I1674" s="1082"/>
    </row>
    <row r="1675" spans="1:9" hidden="1" outlineLevel="1" x14ac:dyDescent="0.25">
      <c r="A1675" s="1079">
        <f t="shared" si="67"/>
        <v>1</v>
      </c>
      <c r="B1675" s="1079" t="s">
        <v>471</v>
      </c>
      <c r="C1675" s="1079" t="str">
        <f t="shared" si="66"/>
        <v>Pintura em tinta para piso, Aplicação Manual, 2 Demãos</v>
      </c>
      <c r="D1675" s="1079" t="s">
        <v>2054</v>
      </c>
      <c r="E1675" s="1080" t="s">
        <v>17</v>
      </c>
      <c r="F1675" s="1079"/>
      <c r="G1675" s="1081" t="str">
        <f>IF(B1675="insumo",_xlfn.XLOOKUP($D1675,Insumos!$B$1:$B$670,Insumos!$D$1:$D$670),"")</f>
        <v/>
      </c>
      <c r="H1675" s="1081" cm="1">
        <f t="array" ref="H1675">_xlfn.IFS(B1675="Serviço",SUMIFS(H1676:$H$2465,C1676:$C$2465,$C1675),B1675="Insumo",F1675*G1675,B1675="Etapa","")</f>
        <v>9.7726000000000006</v>
      </c>
      <c r="I1675" s="1082" t="s">
        <v>872</v>
      </c>
    </row>
    <row r="1676" spans="1:9" hidden="1" outlineLevel="2" x14ac:dyDescent="0.25">
      <c r="A1676" s="1079">
        <f t="shared" si="67"/>
        <v>14</v>
      </c>
      <c r="B1676" s="1079" t="s">
        <v>1362</v>
      </c>
      <c r="C1676" s="1079" t="str">
        <f t="shared" si="66"/>
        <v>Pintura em tinta para piso, Aplicação Manual, 2 Demãos</v>
      </c>
      <c r="D1676" s="1079" t="s">
        <v>2040</v>
      </c>
      <c r="E1676" s="1080" t="str">
        <f>_xlfn.XLOOKUP(D1676,Insumos!$B$1:$B$670,Insumos!$C$1:$C$670)</f>
        <v>UN</v>
      </c>
      <c r="F1676" s="1083">
        <v>0.01</v>
      </c>
      <c r="G1676" s="1081">
        <f>IF(B1676="insumo",_xlfn.XLOOKUP($D1676,Insumos!$B$1:$B$670,Insumos!$D$1:$D$670),"")</f>
        <v>11.26</v>
      </c>
      <c r="H1676" s="1081" cm="1">
        <f t="array" ref="H1676">_xlfn.IFS(B1676="Serviço",SUMIFS(H1677:$H$2465,C1677:$C$2465,$C1676),B1676="Insumo",F1676*G1676,B1676="Etapa","")</f>
        <v>0.11260000000000001</v>
      </c>
      <c r="I1676" s="1082"/>
    </row>
    <row r="1677" spans="1:9" hidden="1" outlineLevel="2" x14ac:dyDescent="0.25">
      <c r="A1677" s="1079">
        <f t="shared" si="67"/>
        <v>2</v>
      </c>
      <c r="B1677" s="1079" t="s">
        <v>1362</v>
      </c>
      <c r="C1677" s="1079" t="str">
        <f t="shared" si="66"/>
        <v>Pintura em tinta para piso, Aplicação Manual, 2 Demãos</v>
      </c>
      <c r="D1677" s="1079" t="s">
        <v>2044</v>
      </c>
      <c r="E1677" s="1080" t="str">
        <f>_xlfn.XLOOKUP(D1677,Insumos!$B$1:$B$670,Insumos!$C$1:$C$670)</f>
        <v>L</v>
      </c>
      <c r="F1677" s="1083">
        <v>0.48299999999999998</v>
      </c>
      <c r="G1677" s="1081">
        <f>IF(B1677="insumo",_xlfn.XLOOKUP($D1677,Insumos!$B$1:$B$670,Insumos!$D$1:$D$670),"")</f>
        <v>20</v>
      </c>
      <c r="H1677" s="1081" cm="1">
        <f t="array" ref="H1677">_xlfn.IFS(B1677="Serviço",SUMIFS(H1678:$H$2465,C1678:$C$2465,$C1677),B1677="Insumo",F1677*G1677,B1677="Etapa","")</f>
        <v>9.66</v>
      </c>
      <c r="I1677" s="1082"/>
    </row>
    <row r="1678" spans="1:9" hidden="1" outlineLevel="1" x14ac:dyDescent="0.25">
      <c r="A1678" s="1079">
        <f t="shared" si="67"/>
        <v>1</v>
      </c>
      <c r="B1678" s="1079" t="s">
        <v>471</v>
      </c>
      <c r="C1678" s="1079" t="str">
        <f t="shared" si="66"/>
        <v>Pintura em Resina em Piso, Aplicação Manual, 2 Demãos</v>
      </c>
      <c r="D1678" s="1079" t="s">
        <v>2055</v>
      </c>
      <c r="E1678" s="1080" t="s">
        <v>17</v>
      </c>
      <c r="F1678" s="1079"/>
      <c r="G1678" s="1081" t="str">
        <f>IF(B1678="insumo",_xlfn.XLOOKUP($D1678,Insumos!$B$1:$B$670,Insumos!$D$1:$D$670),"")</f>
        <v/>
      </c>
      <c r="H1678" s="1081" cm="1">
        <f t="array" ref="H1678">_xlfn.IFS(B1678="Serviço",SUMIFS(H1679:$H$2465,C1679:$C$2465,$C1678),B1678="Insumo",F1678*G1678,B1678="Etapa","")</f>
        <v>52.547639999999994</v>
      </c>
      <c r="I1678" s="1082" t="s">
        <v>872</v>
      </c>
    </row>
    <row r="1679" spans="1:9" hidden="1" outlineLevel="2" x14ac:dyDescent="0.25">
      <c r="A1679" s="1079">
        <f t="shared" si="67"/>
        <v>5</v>
      </c>
      <c r="B1679" s="1079" t="s">
        <v>1362</v>
      </c>
      <c r="C1679" s="1079" t="str">
        <f t="shared" si="66"/>
        <v>Pintura em Resina em Piso, Aplicação Manual, 2 Demãos</v>
      </c>
      <c r="D1679" s="1079" t="s">
        <v>2039</v>
      </c>
      <c r="E1679" s="1080" t="str">
        <f>_xlfn.XLOOKUP(D1679,Insumos!$B$1:$B$670,Insumos!$C$1:$C$670)</f>
        <v>L</v>
      </c>
      <c r="F1679" s="1083">
        <v>6.4000000000000001E-2</v>
      </c>
      <c r="G1679" s="1081">
        <f>IF(B1679="insumo",_xlfn.XLOOKUP($D1679,Insumos!$B$1:$B$670,Insumos!$D$1:$D$670),"")</f>
        <v>50.12</v>
      </c>
      <c r="H1679" s="1081" cm="1">
        <f t="array" ref="H1679">_xlfn.IFS(B1679="Serviço",SUMIFS(H1680:$H$2465,C1680:$C$2465,$C1679),B1679="Insumo",F1679*G1679,B1679="Etapa","")</f>
        <v>3.2076799999999999</v>
      </c>
      <c r="I1679" s="1082"/>
    </row>
    <row r="1680" spans="1:9" hidden="1" outlineLevel="2" x14ac:dyDescent="0.25">
      <c r="A1680" s="1079">
        <f t="shared" si="67"/>
        <v>14</v>
      </c>
      <c r="B1680" s="1079" t="s">
        <v>1362</v>
      </c>
      <c r="C1680" s="1079" t="str">
        <f t="shared" si="66"/>
        <v>Pintura em Resina em Piso, Aplicação Manual, 2 Demãos</v>
      </c>
      <c r="D1680" s="1079" t="s">
        <v>2040</v>
      </c>
      <c r="E1680" s="1080" t="str">
        <f>_xlfn.XLOOKUP(D1680,Insumos!$B$1:$B$670,Insumos!$C$1:$C$670)</f>
        <v>UN</v>
      </c>
      <c r="F1680" s="1083">
        <v>0.01</v>
      </c>
      <c r="G1680" s="1081">
        <f>IF(B1680="insumo",_xlfn.XLOOKUP($D1680,Insumos!$B$1:$B$670,Insumos!$D$1:$D$670),"")</f>
        <v>11.26</v>
      </c>
      <c r="H1680" s="1081" cm="1">
        <f t="array" ref="H1680">_xlfn.IFS(B1680="Serviço",SUMIFS(H1681:$H$2465,C1681:$C$2465,$C1680),B1680="Insumo",F1680*G1680,B1680="Etapa","")</f>
        <v>0.11260000000000001</v>
      </c>
      <c r="I1680" s="1082"/>
    </row>
    <row r="1681" spans="1:9" hidden="1" outlineLevel="2" x14ac:dyDescent="0.25">
      <c r="A1681" s="1079">
        <f t="shared" si="67"/>
        <v>5</v>
      </c>
      <c r="B1681" s="1079" t="s">
        <v>1362</v>
      </c>
      <c r="C1681" s="1079" t="str">
        <f t="shared" si="66"/>
        <v>Pintura em Resina em Piso, Aplicação Manual, 2 Demãos</v>
      </c>
      <c r="D1681" s="1079" t="s">
        <v>2042</v>
      </c>
      <c r="E1681" s="1080" t="str">
        <f>_xlfn.XLOOKUP(D1681,Insumos!$B$1:$B$670,Insumos!$C$1:$C$670)</f>
        <v>L</v>
      </c>
      <c r="F1681" s="1083">
        <v>0.48299999999999998</v>
      </c>
      <c r="G1681" s="1081">
        <f>IF(B1681="insumo",_xlfn.XLOOKUP($D1681,Insumos!$B$1:$B$670,Insumos!$D$1:$D$670),"")</f>
        <v>101.92</v>
      </c>
      <c r="H1681" s="1081" cm="1">
        <f t="array" ref="H1681">_xlfn.IFS(B1681="Serviço",SUMIFS(H1682:$H$2465,C1682:$C$2465,$C1681),B1681="Insumo",F1681*G1681,B1681="Etapa","")</f>
        <v>49.227359999999997</v>
      </c>
      <c r="I1681" s="1082"/>
    </row>
    <row r="1682" spans="1:9" hidden="1" outlineLevel="1" collapsed="1" x14ac:dyDescent="0.25">
      <c r="A1682" s="1079">
        <f t="shared" si="67"/>
        <v>1</v>
      </c>
      <c r="B1682" s="1079" t="s">
        <v>471</v>
      </c>
      <c r="C1682" s="1079" t="str">
        <f t="shared" si="66"/>
        <v>Pintura em Látex Acrilica para demarcação de vagas em piso, 1 demão</v>
      </c>
      <c r="D1682" s="1079" t="s">
        <v>2056</v>
      </c>
      <c r="E1682" s="1080" t="s">
        <v>17</v>
      </c>
      <c r="F1682" s="1079"/>
      <c r="G1682" s="1081" t="str">
        <f>IF(B1682="insumo",_xlfn.XLOOKUP($D1682,Insumos!$B$1:$B$670,Insumos!$D$1:$D$670),"")</f>
        <v/>
      </c>
      <c r="H1682" s="1081" cm="1">
        <f t="array" ref="H1682">_xlfn.IFS(B1682="Serviço",SUMIFS(H1683:$H$2465,C1683:$C$2465,$C1682),B1682="Insumo",F1682*G1682,B1682="Etapa","")</f>
        <v>5.5982500000000002</v>
      </c>
      <c r="I1682" s="1082" t="s">
        <v>872</v>
      </c>
    </row>
    <row r="1683" spans="1:9" hidden="1" outlineLevel="2" x14ac:dyDescent="0.25">
      <c r="A1683" s="1079">
        <f t="shared" si="67"/>
        <v>13</v>
      </c>
      <c r="B1683" s="1079" t="s">
        <v>1362</v>
      </c>
      <c r="C1683" s="1079" t="str">
        <f t="shared" si="66"/>
        <v>Pintura em Látex Acrilica para demarcação de vagas em piso, 1 demão</v>
      </c>
      <c r="D1683" s="1079" t="s">
        <v>2057</v>
      </c>
      <c r="E1683" s="1080" t="str">
        <f>_xlfn.XLOOKUP(D1683,Insumos!$B$1:$B$670,Insumos!$C$1:$C$670)</f>
        <v>L</v>
      </c>
      <c r="F1683" s="1083">
        <v>0.22850000000000001</v>
      </c>
      <c r="G1683" s="1081">
        <f>IF(B1683="insumo",_xlfn.XLOOKUP($D1683,Insumos!$B$1:$B$670,Insumos!$D$1:$D$670),"")</f>
        <v>24.5</v>
      </c>
      <c r="H1683" s="1081" cm="1">
        <f t="array" ref="H1683">_xlfn.IFS(B1683="Serviço",SUMIFS(H1684:$H$2465,C1684:$C$2465,$C1683),B1683="Insumo",F1683*G1683,B1683="Etapa","")</f>
        <v>5.5982500000000002</v>
      </c>
      <c r="I1683" s="1082"/>
    </row>
    <row r="1684" spans="1:9" hidden="1" outlineLevel="1" collapsed="1" x14ac:dyDescent="0.25">
      <c r="A1684" s="1079">
        <f t="shared" si="67"/>
        <v>1</v>
      </c>
      <c r="B1684" s="1079" t="s">
        <v>471</v>
      </c>
      <c r="C1684" s="1079" t="str">
        <f t="shared" si="66"/>
        <v>Pintura Com Tinta Latex Acrilica com selador e massa em Paredes Internas, 3 Demaos</v>
      </c>
      <c r="D1684" s="1079" t="s">
        <v>2058</v>
      </c>
      <c r="E1684" s="1080" t="s">
        <v>17</v>
      </c>
      <c r="F1684" s="1079"/>
      <c r="G1684" s="1081" t="str">
        <f>IF(B1684="insumo",_xlfn.XLOOKUP($D1684,Insumos!$B$1:$B$670,Insumos!$D$1:$D$670),"")</f>
        <v/>
      </c>
      <c r="H1684" s="1081" cm="1">
        <f t="array" ref="H1684">_xlfn.IFS(B1684="Serviço",SUMIFS(H1685:$H$2465,C1685:$C$2465,$C1684),B1684="Insumo",F1684*G1684,B1684="Etapa","")</f>
        <v>20.700715666666667</v>
      </c>
      <c r="I1684" s="1082" t="s">
        <v>872</v>
      </c>
    </row>
    <row r="1685" spans="1:9" hidden="1" outlineLevel="2" x14ac:dyDescent="0.25">
      <c r="A1685" s="1079">
        <f t="shared" si="67"/>
        <v>24</v>
      </c>
      <c r="B1685" s="1079" t="s">
        <v>1362</v>
      </c>
      <c r="C1685" s="1079" t="str">
        <f t="shared" si="66"/>
        <v>Pintura Com Tinta Latex Acrilica com selador e massa em Paredes Internas, 3 Demaos</v>
      </c>
      <c r="D1685" s="1079" t="s">
        <v>1384</v>
      </c>
      <c r="E1685" s="1080" t="str">
        <f>_xlfn.XLOOKUP(D1685,Insumos!$B$1:$B$670,Insumos!$C$1:$C$670)</f>
        <v>UN</v>
      </c>
      <c r="F1685" s="1083">
        <v>0.1</v>
      </c>
      <c r="G1685" s="1081">
        <f>IF(B1685="insumo",_xlfn.XLOOKUP($D1685,Insumos!$B$1:$B$670,Insumos!$D$1:$D$670),"")</f>
        <v>1.89</v>
      </c>
      <c r="H1685" s="1081" cm="1">
        <f t="array" ref="H1685">_xlfn.IFS(B1685="Serviço",SUMIFS(H1686:$H$2465,C1686:$C$2465,$C1685),B1685="Insumo",F1685*G1685,B1685="Etapa","")</f>
        <v>0.189</v>
      </c>
      <c r="I1685" s="1082"/>
    </row>
    <row r="1686" spans="1:9" hidden="1" outlineLevel="2" x14ac:dyDescent="0.25">
      <c r="A1686" s="1079">
        <f t="shared" si="67"/>
        <v>17</v>
      </c>
      <c r="B1686" s="1079" t="s">
        <v>1362</v>
      </c>
      <c r="C1686" s="1079" t="str">
        <f t="shared" si="66"/>
        <v>Pintura Com Tinta Latex Acrilica com selador e massa em Paredes Internas, 3 Demaos</v>
      </c>
      <c r="D1686" s="1079" t="s">
        <v>2059</v>
      </c>
      <c r="E1686" s="1080" t="str">
        <f>_xlfn.XLOOKUP(D1686,Insumos!$B$1:$B$670,Insumos!$C$1:$C$670)</f>
        <v>KG</v>
      </c>
      <c r="F1686" s="1083">
        <v>0.86670000000000003</v>
      </c>
      <c r="G1686" s="1081">
        <f>IF(B1686="insumo",_xlfn.XLOOKUP($D1686,Insumos!$B$1:$B$670,Insumos!$D$1:$D$670),"")</f>
        <v>6.47</v>
      </c>
      <c r="H1686" s="1081" cm="1">
        <f t="array" ref="H1686">_xlfn.IFS(B1686="Serviço",SUMIFS(H1687:$H$2465,C1687:$C$2465,$C1686),B1686="Insumo",F1686*G1686,B1686="Etapa","")</f>
        <v>5.6075489999999997</v>
      </c>
      <c r="I1686" s="1082"/>
    </row>
    <row r="1687" spans="1:9" hidden="1" outlineLevel="2" x14ac:dyDescent="0.25">
      <c r="A1687" s="1079">
        <f t="shared" si="67"/>
        <v>13</v>
      </c>
      <c r="B1687" s="1079" t="s">
        <v>1362</v>
      </c>
      <c r="C1687" s="1079" t="str">
        <f t="shared" si="66"/>
        <v>Pintura Com Tinta Latex Acrilica com selador e massa em Paredes Internas, 3 Demaos</v>
      </c>
      <c r="D1687" s="1079" t="s">
        <v>2060</v>
      </c>
      <c r="E1687" s="1080" t="str">
        <f>_xlfn.XLOOKUP(D1687,Insumos!$B$1:$B$670,Insumos!$C$1:$C$670)</f>
        <v>L</v>
      </c>
      <c r="F1687" s="1083">
        <v>0.1666</v>
      </c>
      <c r="G1687" s="1081">
        <f>IF(B1687="insumo",_xlfn.XLOOKUP($D1687,Insumos!$B$1:$B$670,Insumos!$D$1:$D$670),"")</f>
        <v>16.666666666666668</v>
      </c>
      <c r="H1687" s="1081" cm="1">
        <f t="array" ref="H1687">_xlfn.IFS(B1687="Serviço",SUMIFS(H1688:$H$2465,C1688:$C$2465,$C1687),B1687="Insumo",F1687*G1687,B1687="Etapa","")</f>
        <v>2.7766666666666668</v>
      </c>
      <c r="I1687" s="1082"/>
    </row>
    <row r="1688" spans="1:9" hidden="1" outlineLevel="2" x14ac:dyDescent="0.25">
      <c r="A1688" s="1079">
        <f t="shared" si="67"/>
        <v>13</v>
      </c>
      <c r="B1688" s="1079" t="s">
        <v>1362</v>
      </c>
      <c r="C1688" s="1079" t="str">
        <f t="shared" si="66"/>
        <v>Pintura Com Tinta Latex Acrilica com selador e massa em Paredes Internas, 3 Demaos</v>
      </c>
      <c r="D1688" s="1079" t="s">
        <v>2057</v>
      </c>
      <c r="E1688" s="1080" t="str">
        <f>_xlfn.XLOOKUP(D1688,Insumos!$B$1:$B$670,Insumos!$C$1:$C$670)</f>
        <v>L</v>
      </c>
      <c r="F1688" s="1083">
        <v>0.495</v>
      </c>
      <c r="G1688" s="1081">
        <f>IF(B1688="insumo",_xlfn.XLOOKUP($D1688,Insumos!$B$1:$B$670,Insumos!$D$1:$D$670),"")</f>
        <v>24.5</v>
      </c>
      <c r="H1688" s="1081" cm="1">
        <f t="array" ref="H1688">_xlfn.IFS(B1688="Serviço",SUMIFS(H1689:$H$2465,C1689:$C$2465,$C1688),B1688="Insumo",F1688*G1688,B1688="Etapa","")</f>
        <v>12.1275</v>
      </c>
      <c r="I1688" s="1082"/>
    </row>
    <row r="1689" spans="1:9" hidden="1" outlineLevel="1" x14ac:dyDescent="0.25">
      <c r="A1689" s="1079">
        <f t="shared" si="67"/>
        <v>1</v>
      </c>
      <c r="B1689" s="1079" t="s">
        <v>471</v>
      </c>
      <c r="C1689" s="1079" t="str">
        <f t="shared" si="66"/>
        <v>Textura acrílica aplicação em paredes internas, 1 demão (sem selador)</v>
      </c>
      <c r="D1689" s="1079" t="s">
        <v>2061</v>
      </c>
      <c r="E1689" s="1080" t="s">
        <v>17</v>
      </c>
      <c r="F1689" s="1079"/>
      <c r="G1689" s="1081" t="str">
        <f>IF(B1689="insumo",_xlfn.XLOOKUP($D1689,Insumos!$B$1:$B$670,Insumos!$D$1:$D$670),"")</f>
        <v/>
      </c>
      <c r="H1689" s="1081" cm="1">
        <f t="array" ref="H1689">_xlfn.IFS(B1689="Serviço",SUMIFS(H1690:$H$2465,C1690:$C$2465,$C1689),B1689="Insumo",F1689*G1689,B1689="Etapa","")</f>
        <v>9.1349999999999998</v>
      </c>
      <c r="I1689" s="1082" t="s">
        <v>872</v>
      </c>
    </row>
    <row r="1690" spans="1:9" hidden="1" outlineLevel="2" x14ac:dyDescent="0.25">
      <c r="A1690" s="1079">
        <f t="shared" si="67"/>
        <v>4</v>
      </c>
      <c r="B1690" s="1079" t="s">
        <v>1362</v>
      </c>
      <c r="C1690" s="1079" t="str">
        <f t="shared" si="66"/>
        <v>Textura acrílica aplicação em paredes internas, 1 demão (sem selador)</v>
      </c>
      <c r="D1690" s="1079" t="s">
        <v>2062</v>
      </c>
      <c r="E1690" s="1080" t="str">
        <f>_xlfn.XLOOKUP(D1690,Insumos!$B$1:$B$670,Insumos!$C$1:$C$670)</f>
        <v>KG</v>
      </c>
      <c r="F1690" s="1083">
        <v>1.5</v>
      </c>
      <c r="G1690" s="1081">
        <f>IF(B1690="insumo",_xlfn.XLOOKUP($D1690,Insumos!$B$1:$B$670,Insumos!$D$1:$D$670),"")</f>
        <v>6.09</v>
      </c>
      <c r="H1690" s="1081" cm="1">
        <f t="array" ref="H1690">_xlfn.IFS(B1690="Serviço",SUMIFS(H1691:$H$2465,C1691:$C$2465,$C1690),B1690="Insumo",F1690*G1690,B1690="Etapa","")</f>
        <v>9.1349999999999998</v>
      </c>
      <c r="I1690" s="1082"/>
    </row>
    <row r="1691" spans="1:9" hidden="1" outlineLevel="1" x14ac:dyDescent="0.25">
      <c r="A1691" s="1079">
        <f t="shared" si="67"/>
        <v>1</v>
      </c>
      <c r="B1691" s="1079" t="s">
        <v>471</v>
      </c>
      <c r="C1691" s="1079" t="str">
        <f t="shared" si="66"/>
        <v>Pintura em Látex Acrilica para faixa de garagem, em parede, 2 demão</v>
      </c>
      <c r="D1691" s="1079" t="s">
        <v>2063</v>
      </c>
      <c r="E1691" s="1080" t="s">
        <v>17</v>
      </c>
      <c r="F1691" s="1079"/>
      <c r="G1691" s="1081" t="str">
        <f>IF(B1691="insumo",_xlfn.XLOOKUP($D1691,Insumos!$B$1:$B$670,Insumos!$D$1:$D$670),"")</f>
        <v/>
      </c>
      <c r="H1691" s="1081" cm="1">
        <f t="array" ref="H1691">_xlfn.IFS(B1691="Serviço",SUMIFS(H1692:$H$2465,C1692:$C$2465,$C1691),B1691="Insumo",F1691*G1691,B1691="Etapa","")</f>
        <v>16.186626666666665</v>
      </c>
      <c r="I1691" s="1082" t="s">
        <v>872</v>
      </c>
    </row>
    <row r="1692" spans="1:9" hidden="1" outlineLevel="2" x14ac:dyDescent="0.25">
      <c r="A1692" s="1079">
        <f t="shared" si="67"/>
        <v>14</v>
      </c>
      <c r="B1692" s="1079" t="s">
        <v>1362</v>
      </c>
      <c r="C1692" s="1079" t="str">
        <f t="shared" si="66"/>
        <v>Pintura em Látex Acrilica para faixa de garagem, em parede, 2 demão</v>
      </c>
      <c r="D1692" s="1079" t="s">
        <v>2040</v>
      </c>
      <c r="E1692" s="1080" t="str">
        <f>_xlfn.XLOOKUP(D1692,Insumos!$B$1:$B$670,Insumos!$C$1:$C$670)</f>
        <v>UN</v>
      </c>
      <c r="F1692" s="1083">
        <v>0.01</v>
      </c>
      <c r="G1692" s="1081">
        <f>IF(B1692="insumo",_xlfn.XLOOKUP($D1692,Insumos!$B$1:$B$670,Insumos!$D$1:$D$670),"")</f>
        <v>11.26</v>
      </c>
      <c r="H1692" s="1081" cm="1">
        <f t="array" ref="H1692">_xlfn.IFS(B1692="Serviço",SUMIFS(H1693:$H$2465,C1693:$C$2465,$C1692),B1692="Insumo",F1692*G1692,B1692="Etapa","")</f>
        <v>0.11260000000000001</v>
      </c>
      <c r="I1692" s="1082"/>
    </row>
    <row r="1693" spans="1:9" hidden="1" outlineLevel="2" x14ac:dyDescent="0.25">
      <c r="A1693" s="1079">
        <f t="shared" si="67"/>
        <v>6</v>
      </c>
      <c r="B1693" s="1079" t="s">
        <v>1362</v>
      </c>
      <c r="C1693" s="1079" t="str">
        <f t="shared" si="66"/>
        <v>Pintura em Látex Acrilica para faixa de garagem, em parede, 2 demão</v>
      </c>
      <c r="D1693" s="1079" t="s">
        <v>2048</v>
      </c>
      <c r="E1693" s="1080" t="str">
        <f>_xlfn.XLOOKUP(D1693,Insumos!$B$1:$B$670,Insumos!$C$1:$C$670)</f>
        <v>L</v>
      </c>
      <c r="F1693" s="1083">
        <v>6.4000000000000001E-2</v>
      </c>
      <c r="G1693" s="1081">
        <f>IF(B1693="insumo",_xlfn.XLOOKUP($D1693,Insumos!$B$1:$B$670,Insumos!$D$1:$D$670),"")</f>
        <v>21.99</v>
      </c>
      <c r="H1693" s="1081" cm="1">
        <f t="array" ref="H1693">_xlfn.IFS(B1693="Serviço",SUMIFS(H1694:$H$2465,C1694:$C$2465,$C1693),B1693="Insumo",F1693*G1693,B1693="Etapa","")</f>
        <v>1.4073599999999999</v>
      </c>
      <c r="I1693" s="1082"/>
    </row>
    <row r="1694" spans="1:9" hidden="1" outlineLevel="2" x14ac:dyDescent="0.25">
      <c r="A1694" s="1079">
        <f t="shared" si="67"/>
        <v>2</v>
      </c>
      <c r="B1694" s="1079" t="s">
        <v>1362</v>
      </c>
      <c r="C1694" s="1079" t="str">
        <f t="shared" si="66"/>
        <v>Pintura em Látex Acrilica para faixa de garagem, em parede, 2 demão</v>
      </c>
      <c r="D1694" s="1079" t="s">
        <v>2064</v>
      </c>
      <c r="E1694" s="1080" t="str">
        <f>_xlfn.XLOOKUP(D1694,Insumos!$B$1:$B$670,Insumos!$C$1:$C$670)</f>
        <v>L</v>
      </c>
      <c r="F1694" s="1083">
        <f>0.33/2</f>
        <v>0.16500000000000001</v>
      </c>
      <c r="G1694" s="1081">
        <f>IF(B1694="insumo",_xlfn.XLOOKUP($D1694,Insumos!$B$1:$B$670,Insumos!$D$1:$D$670),"")</f>
        <v>69.444444444444443</v>
      </c>
      <c r="H1694" s="1081" cm="1">
        <f t="array" ref="H1694">_xlfn.IFS(B1694="Serviço",SUMIFS(H1695:$H$2465,C1695:$C$2465,$C1694),B1694="Insumo",F1694*G1694,B1694="Etapa","")</f>
        <v>11.458333333333334</v>
      </c>
      <c r="I1694" s="1082"/>
    </row>
    <row r="1695" spans="1:9" hidden="1" outlineLevel="2" x14ac:dyDescent="0.25">
      <c r="A1695" s="1079">
        <f t="shared" si="67"/>
        <v>1</v>
      </c>
      <c r="B1695" s="1079" t="s">
        <v>1362</v>
      </c>
      <c r="C1695" s="1079" t="str">
        <f t="shared" si="66"/>
        <v>Pintura em Látex Acrilica para faixa de garagem, em parede, 2 demão</v>
      </c>
      <c r="D1695" s="1079" t="s">
        <v>2065</v>
      </c>
      <c r="E1695" s="1080" t="str">
        <f>_xlfn.XLOOKUP(D1695,Insumos!$B$1:$B$670,Insumos!$C$1:$C$670)</f>
        <v>L</v>
      </c>
      <c r="F1695" s="1083">
        <f>0.33/2</f>
        <v>0.16500000000000001</v>
      </c>
      <c r="G1695" s="1081">
        <f>IF(B1695="insumo",_xlfn.XLOOKUP($D1695,Insumos!$B$1:$B$670,Insumos!$D$1:$D$670),"")</f>
        <v>19.444444444444443</v>
      </c>
      <c r="H1695" s="1081" cm="1">
        <f t="array" ref="H1695">_xlfn.IFS(B1695="Serviço",SUMIFS(H1696:$H$2465,C1696:$C$2465,$C1695),B1695="Insumo",F1695*G1695,B1695="Etapa","")</f>
        <v>3.208333333333333</v>
      </c>
      <c r="I1695" s="1082"/>
    </row>
    <row r="1696" spans="1:9" hidden="1" outlineLevel="1" collapsed="1" x14ac:dyDescent="0.25">
      <c r="A1696" s="1079">
        <f t="shared" si="67"/>
        <v>1</v>
      </c>
      <c r="B1696" s="1079" t="s">
        <v>471</v>
      </c>
      <c r="C1696" s="1079" t="str">
        <f t="shared" si="66"/>
        <v>Pintura em Látex Acrilica para demarcação de vagas em parede, 2 demão</v>
      </c>
      <c r="D1696" s="1079" t="s">
        <v>2066</v>
      </c>
      <c r="E1696" s="1080" t="s">
        <v>17</v>
      </c>
      <c r="F1696" s="1079"/>
      <c r="G1696" s="1081" t="str">
        <f>IF(B1696="insumo",_xlfn.XLOOKUP($D1696,Insumos!$B$1:$B$670,Insumos!$D$1:$D$670),"")</f>
        <v/>
      </c>
      <c r="H1696" s="1081" cm="1">
        <f t="array" ref="H1696">_xlfn.IFS(B1696="Serviço",SUMIFS(H1697:$H$2465,C1697:$C$2465,$C1696),B1696="Insumo",F1696*G1696,B1696="Etapa","")</f>
        <v>9.6049600000000002</v>
      </c>
      <c r="I1696" s="1082" t="s">
        <v>872</v>
      </c>
    </row>
    <row r="1697" spans="1:9" hidden="1" outlineLevel="2" x14ac:dyDescent="0.25">
      <c r="A1697" s="1079">
        <f t="shared" si="67"/>
        <v>14</v>
      </c>
      <c r="B1697" s="1079" t="s">
        <v>1362</v>
      </c>
      <c r="C1697" s="1079" t="str">
        <f t="shared" si="66"/>
        <v>Pintura em Látex Acrilica para demarcação de vagas em parede, 2 demão</v>
      </c>
      <c r="D1697" s="1079" t="s">
        <v>2040</v>
      </c>
      <c r="E1697" s="1080" t="str">
        <f>_xlfn.XLOOKUP(D1697,Insumos!$B$1:$B$670,Insumos!$C$1:$C$670)</f>
        <v>UN</v>
      </c>
      <c r="F1697" s="1083">
        <v>0.01</v>
      </c>
      <c r="G1697" s="1081">
        <f>IF(B1697="insumo",_xlfn.XLOOKUP($D1697,Insumos!$B$1:$B$670,Insumos!$D$1:$D$670),"")</f>
        <v>11.26</v>
      </c>
      <c r="H1697" s="1081" cm="1">
        <f t="array" ref="H1697">_xlfn.IFS(B1697="Serviço",SUMIFS(H1698:$H$2465,C1698:$C$2465,$C1697),B1697="Insumo",F1697*G1697,B1697="Etapa","")</f>
        <v>0.11260000000000001</v>
      </c>
      <c r="I1697" s="1082"/>
    </row>
    <row r="1698" spans="1:9" hidden="1" outlineLevel="2" x14ac:dyDescent="0.25">
      <c r="A1698" s="1079">
        <f t="shared" si="67"/>
        <v>6</v>
      </c>
      <c r="B1698" s="1079" t="s">
        <v>1362</v>
      </c>
      <c r="C1698" s="1079" t="str">
        <f t="shared" si="66"/>
        <v>Pintura em Látex Acrilica para demarcação de vagas em parede, 2 demão</v>
      </c>
      <c r="D1698" s="1079" t="s">
        <v>2048</v>
      </c>
      <c r="E1698" s="1080" t="str">
        <f>_xlfn.XLOOKUP(D1698,Insumos!$B$1:$B$670,Insumos!$C$1:$C$670)</f>
        <v>L</v>
      </c>
      <c r="F1698" s="1083">
        <v>6.4000000000000001E-2</v>
      </c>
      <c r="G1698" s="1081">
        <f>IF(B1698="insumo",_xlfn.XLOOKUP($D1698,Insumos!$B$1:$B$670,Insumos!$D$1:$D$670),"")</f>
        <v>21.99</v>
      </c>
      <c r="H1698" s="1081" cm="1">
        <f t="array" ref="H1698">_xlfn.IFS(B1698="Serviço",SUMIFS(H1699:$H$2465,C1699:$C$2465,$C1698),B1698="Insumo",F1698*G1698,B1698="Etapa","")</f>
        <v>1.4073599999999999</v>
      </c>
      <c r="I1698" s="1082"/>
    </row>
    <row r="1699" spans="1:9" hidden="1" outlineLevel="2" x14ac:dyDescent="0.25">
      <c r="A1699" s="1079">
        <f t="shared" si="67"/>
        <v>13</v>
      </c>
      <c r="B1699" s="1079" t="s">
        <v>1362</v>
      </c>
      <c r="C1699" s="1079" t="str">
        <f t="shared" si="66"/>
        <v>Pintura em Látex Acrilica para demarcação de vagas em parede, 2 demão</v>
      </c>
      <c r="D1699" s="1079" t="s">
        <v>2057</v>
      </c>
      <c r="E1699" s="1080" t="str">
        <f>_xlfn.XLOOKUP(D1699,Insumos!$B$1:$B$670,Insumos!$C$1:$C$670)</f>
        <v>L</v>
      </c>
      <c r="F1699" s="1083">
        <v>0.33</v>
      </c>
      <c r="G1699" s="1081">
        <f>IF(B1699="insumo",_xlfn.XLOOKUP($D1699,Insumos!$B$1:$B$670,Insumos!$D$1:$D$670),"")</f>
        <v>24.5</v>
      </c>
      <c r="H1699" s="1081" cm="1">
        <f t="array" ref="H1699">_xlfn.IFS(B1699="Serviço",SUMIFS(H1700:$H$2465,C1700:$C$2465,$C1699),B1699="Insumo",F1699*G1699,B1699="Etapa","")</f>
        <v>8.0850000000000009</v>
      </c>
      <c r="I1699" s="1082"/>
    </row>
    <row r="1700" spans="1:9" hidden="1" outlineLevel="1" x14ac:dyDescent="0.25">
      <c r="A1700" s="1079">
        <f t="shared" si="67"/>
        <v>1</v>
      </c>
      <c r="B1700" s="1079" t="s">
        <v>471</v>
      </c>
      <c r="C1700" s="1079" t="str">
        <f t="shared" si="66"/>
        <v>Textura Acrílica aplicação em tetos, 1 demão</v>
      </c>
      <c r="D1700" s="1079" t="s">
        <v>2067</v>
      </c>
      <c r="E1700" s="1080" t="s">
        <v>17</v>
      </c>
      <c r="F1700" s="1079"/>
      <c r="G1700" s="1081" t="str">
        <f>IF(B1700="insumo",_xlfn.XLOOKUP($D1700,Insumos!$B$1:$B$670,Insumos!$D$1:$D$670),"")</f>
        <v/>
      </c>
      <c r="H1700" s="1081" cm="1">
        <f t="array" ref="H1700">_xlfn.IFS(B1700="Serviço",SUMIFS(H1701:$H$2465,C1701:$C$2465,$C1700),B1700="Insumo",F1700*G1700,B1700="Etapa","")</f>
        <v>10.212902</v>
      </c>
      <c r="I1700" s="1082" t="s">
        <v>872</v>
      </c>
    </row>
    <row r="1701" spans="1:9" hidden="1" outlineLevel="2" x14ac:dyDescent="0.25">
      <c r="A1701" s="1079">
        <f t="shared" si="67"/>
        <v>19</v>
      </c>
      <c r="B1701" s="1079" t="s">
        <v>1362</v>
      </c>
      <c r="C1701" s="1079" t="str">
        <f t="shared" si="66"/>
        <v>Textura Acrílica aplicação em tetos, 1 demão</v>
      </c>
      <c r="D1701" s="1079" t="s">
        <v>2068</v>
      </c>
      <c r="E1701" s="1080" t="str">
        <f>_xlfn.XLOOKUP(D1701,Insumos!$B$1:$B$670,Insumos!$C$1:$C$670)</f>
        <v>L</v>
      </c>
      <c r="F1701" s="1095">
        <v>0.1666</v>
      </c>
      <c r="G1701" s="1081">
        <f>IF(B1701="insumo",_xlfn.XLOOKUP($D1701,Insumos!$B$1:$B$670,Insumos!$D$1:$D$670),"")</f>
        <v>6.47</v>
      </c>
      <c r="H1701" s="1081" cm="1">
        <f t="array" ref="H1701">_xlfn.IFS(B1701="Serviço",SUMIFS(H1702:$H$2465,C1702:$C$2465,$C1701),B1701="Insumo",F1701*G1701,B1701="Etapa","")</f>
        <v>1.0779019999999999</v>
      </c>
      <c r="I1701" s="1082"/>
    </row>
    <row r="1702" spans="1:9" hidden="1" outlineLevel="2" x14ac:dyDescent="0.25">
      <c r="A1702" s="1079">
        <f t="shared" si="67"/>
        <v>4</v>
      </c>
      <c r="B1702" s="1079" t="s">
        <v>1362</v>
      </c>
      <c r="C1702" s="1079" t="str">
        <f t="shared" si="66"/>
        <v>Textura Acrílica aplicação em tetos, 1 demão</v>
      </c>
      <c r="D1702" s="1079" t="s">
        <v>2062</v>
      </c>
      <c r="E1702" s="1080" t="str">
        <f>_xlfn.XLOOKUP(D1702,Insumos!$B$1:$B$670,Insumos!$C$1:$C$670)</f>
        <v>KG</v>
      </c>
      <c r="F1702" s="1083">
        <v>1.5</v>
      </c>
      <c r="G1702" s="1081">
        <f>IF(B1702="insumo",_xlfn.XLOOKUP($D1702,Insumos!$B$1:$B$670,Insumos!$D$1:$D$670),"")</f>
        <v>6.09</v>
      </c>
      <c r="H1702" s="1081" cm="1">
        <f t="array" ref="H1702">_xlfn.IFS(B1702="Serviço",SUMIFS(H1703:$H$2465,C1703:$C$2465,$C1702),B1702="Insumo",F1702*G1702,B1702="Etapa","")</f>
        <v>9.1349999999999998</v>
      </c>
      <c r="I1702" s="1082"/>
    </row>
    <row r="1703" spans="1:9" ht="26.25" hidden="1" customHeight="1" outlineLevel="1" x14ac:dyDescent="0.25">
      <c r="A1703" s="1079">
        <f t="shared" si="67"/>
        <v>1</v>
      </c>
      <c r="B1703" s="1079" t="s">
        <v>471</v>
      </c>
      <c r="C1703" s="1079" t="str">
        <f t="shared" si="66"/>
        <v xml:space="preserve">Pintura com tinta látex acrílica com selador em tetos, 3 demãos </v>
      </c>
      <c r="D1703" s="1079" t="s">
        <v>2069</v>
      </c>
      <c r="E1703" s="1080" t="s">
        <v>17</v>
      </c>
      <c r="F1703" s="1079"/>
      <c r="G1703" s="1081" t="str">
        <f>IF(B1703="insumo",_xlfn.XLOOKUP($D1703,Insumos!$B$1:$B$670,Insumos!$D$1:$D$670),"")</f>
        <v/>
      </c>
      <c r="H1703" s="1081" cm="1">
        <f t="array" ref="H1703">_xlfn.IFS(B1703="Serviço",SUMIFS(H1704:$H$2465,C1704:$C$2465,$C1703),B1703="Insumo",F1703*G1703,B1703="Etapa","")</f>
        <v>14.904166666666667</v>
      </c>
      <c r="I1703" s="1082" t="s">
        <v>872</v>
      </c>
    </row>
    <row r="1704" spans="1:9" hidden="1" outlineLevel="2" x14ac:dyDescent="0.25">
      <c r="A1704" s="1079">
        <f t="shared" si="67"/>
        <v>13</v>
      </c>
      <c r="B1704" s="1079" t="s">
        <v>1362</v>
      </c>
      <c r="C1704" s="1079" t="str">
        <f t="shared" si="66"/>
        <v xml:space="preserve">Pintura com tinta látex acrílica com selador em tetos, 3 demãos </v>
      </c>
      <c r="D1704" s="1079" t="s">
        <v>2060</v>
      </c>
      <c r="E1704" s="1080" t="str">
        <f>_xlfn.XLOOKUP(D1704,Insumos!$B$1:$B$670,Insumos!$C$1:$C$670)</f>
        <v>L</v>
      </c>
      <c r="F1704" s="1083">
        <v>0.1666</v>
      </c>
      <c r="G1704" s="1081">
        <f>IF(B1704="insumo",_xlfn.XLOOKUP($D1704,Insumos!$B$1:$B$670,Insumos!$D$1:$D$670),"")</f>
        <v>16.666666666666668</v>
      </c>
      <c r="H1704" s="1081" cm="1">
        <f t="array" ref="H1704">_xlfn.IFS(B1704="Serviço",SUMIFS(H1705:$H$2465,C1705:$C$2465,$C1704),B1704="Insumo",F1704*G1704,B1704="Etapa","")</f>
        <v>2.7766666666666668</v>
      </c>
      <c r="I1704" s="1082"/>
    </row>
    <row r="1705" spans="1:9" hidden="1" outlineLevel="2" x14ac:dyDescent="0.25">
      <c r="A1705" s="1079">
        <f t="shared" si="67"/>
        <v>13</v>
      </c>
      <c r="B1705" s="1079" t="s">
        <v>1362</v>
      </c>
      <c r="C1705" s="1079" t="str">
        <f t="shared" ref="C1705:C1753" si="68">IF(B1705="serviço",D1705,C1704)</f>
        <v xml:space="preserve">Pintura com tinta látex acrílica com selador em tetos, 3 demãos </v>
      </c>
      <c r="D1705" s="1079" t="s">
        <v>2057</v>
      </c>
      <c r="E1705" s="1080" t="str">
        <f>_xlfn.XLOOKUP(D1705,Insumos!$B$1:$B$670,Insumos!$C$1:$C$670)</f>
        <v>L</v>
      </c>
      <c r="F1705" s="1083">
        <v>0.495</v>
      </c>
      <c r="G1705" s="1081">
        <f>IF(B1705="insumo",_xlfn.XLOOKUP($D1705,Insumos!$B$1:$B$670,Insumos!$D$1:$D$670),"")</f>
        <v>24.5</v>
      </c>
      <c r="H1705" s="1081" cm="1">
        <f t="array" ref="H1705">_xlfn.IFS(B1705="Serviço",SUMIFS(H1706:$H$2465,C1706:$C$2465,$C1705),B1705="Insumo",F1705*G1705,B1705="Etapa","")</f>
        <v>12.1275</v>
      </c>
      <c r="I1705" s="1082"/>
    </row>
    <row r="1706" spans="1:9" ht="26.25" hidden="1" customHeight="1" outlineLevel="1" collapsed="1" x14ac:dyDescent="0.25">
      <c r="A1706" s="1079">
        <f t="shared" si="67"/>
        <v>1</v>
      </c>
      <c r="B1706" s="1079" t="s">
        <v>471</v>
      </c>
      <c r="C1706" s="1079" t="str">
        <f t="shared" si="68"/>
        <v xml:space="preserve">Pintura com tinta látex acrílica com selador e massa em tetos, 3 demãos </v>
      </c>
      <c r="D1706" s="1079" t="s">
        <v>2070</v>
      </c>
      <c r="E1706" s="1080" t="s">
        <v>17</v>
      </c>
      <c r="F1706" s="1079"/>
      <c r="G1706" s="1081" t="str">
        <f>IF(B1706="insumo",_xlfn.XLOOKUP($D1706,Insumos!$B$1:$B$670,Insumos!$D$1:$D$670),"")</f>
        <v/>
      </c>
      <c r="H1706" s="1081" cm="1">
        <f t="array" ref="H1706">_xlfn.IFS(B1706="Serviço",SUMIFS(H1707:$H$2465,C1707:$C$2465,$C1706),B1706="Insumo",F1706*G1706,B1706="Etapa","")</f>
        <v>20.700715666666667</v>
      </c>
      <c r="I1706" s="1082" t="s">
        <v>872</v>
      </c>
    </row>
    <row r="1707" spans="1:9" hidden="1" outlineLevel="2" x14ac:dyDescent="0.25">
      <c r="A1707" s="1079">
        <f t="shared" si="67"/>
        <v>24</v>
      </c>
      <c r="B1707" s="1079" t="s">
        <v>1362</v>
      </c>
      <c r="C1707" s="1079" t="str">
        <f t="shared" si="68"/>
        <v xml:space="preserve">Pintura com tinta látex acrílica com selador e massa em tetos, 3 demãos </v>
      </c>
      <c r="D1707" s="1079" t="s">
        <v>1384</v>
      </c>
      <c r="E1707" s="1080" t="str">
        <f>_xlfn.XLOOKUP(D1707,Insumos!$B$1:$B$670,Insumos!$C$1:$C$670)</f>
        <v>UN</v>
      </c>
      <c r="F1707" s="1083">
        <v>0.1</v>
      </c>
      <c r="G1707" s="1081">
        <f>IF(B1707="insumo",_xlfn.XLOOKUP($D1707,Insumos!$B$1:$B$670,Insumos!$D$1:$D$670),"")</f>
        <v>1.89</v>
      </c>
      <c r="H1707" s="1081" cm="1">
        <f t="array" ref="H1707">_xlfn.IFS(B1707="Serviço",SUMIFS(H1708:$H$2465,C1708:$C$2465,$C1707),B1707="Insumo",F1707*G1707,B1707="Etapa","")</f>
        <v>0.189</v>
      </c>
      <c r="I1707" s="1082"/>
    </row>
    <row r="1708" spans="1:9" hidden="1" outlineLevel="2" x14ac:dyDescent="0.25">
      <c r="A1708" s="1079">
        <f t="shared" si="67"/>
        <v>17</v>
      </c>
      <c r="B1708" s="1079" t="s">
        <v>1362</v>
      </c>
      <c r="C1708" s="1079" t="str">
        <f t="shared" si="68"/>
        <v xml:space="preserve">Pintura com tinta látex acrílica com selador e massa em tetos, 3 demãos </v>
      </c>
      <c r="D1708" s="1079" t="s">
        <v>2059</v>
      </c>
      <c r="E1708" s="1080" t="str">
        <f>_xlfn.XLOOKUP(D1708,Insumos!$B$1:$B$670,Insumos!$C$1:$C$670)</f>
        <v>KG</v>
      </c>
      <c r="F1708" s="1083">
        <v>0.86670000000000003</v>
      </c>
      <c r="G1708" s="1081">
        <f>IF(B1708="insumo",_xlfn.XLOOKUP($D1708,Insumos!$B$1:$B$670,Insumos!$D$1:$D$670),"")</f>
        <v>6.47</v>
      </c>
      <c r="H1708" s="1081" cm="1">
        <f t="array" ref="H1708">_xlfn.IFS(B1708="Serviço",SUMIFS(H1709:$H$2465,C1709:$C$2465,$C1708),B1708="Insumo",F1708*G1708,B1708="Etapa","")</f>
        <v>5.6075489999999997</v>
      </c>
      <c r="I1708" s="1082"/>
    </row>
    <row r="1709" spans="1:9" hidden="1" outlineLevel="2" x14ac:dyDescent="0.25">
      <c r="A1709" s="1079">
        <f t="shared" si="67"/>
        <v>13</v>
      </c>
      <c r="B1709" s="1079" t="s">
        <v>1362</v>
      </c>
      <c r="C1709" s="1079" t="str">
        <f t="shared" si="68"/>
        <v xml:space="preserve">Pintura com tinta látex acrílica com selador e massa em tetos, 3 demãos </v>
      </c>
      <c r="D1709" s="1079" t="s">
        <v>2060</v>
      </c>
      <c r="E1709" s="1080" t="str">
        <f>_xlfn.XLOOKUP(D1709,Insumos!$B$1:$B$670,Insumos!$C$1:$C$670)</f>
        <v>L</v>
      </c>
      <c r="F1709" s="1083">
        <v>0.1666</v>
      </c>
      <c r="G1709" s="1081">
        <f>IF(B1709="insumo",_xlfn.XLOOKUP($D1709,Insumos!$B$1:$B$670,Insumos!$D$1:$D$670),"")</f>
        <v>16.666666666666668</v>
      </c>
      <c r="H1709" s="1081" cm="1">
        <f t="array" ref="H1709">_xlfn.IFS(B1709="Serviço",SUMIFS(H1710:$H$2465,C1710:$C$2465,$C1709),B1709="Insumo",F1709*G1709,B1709="Etapa","")</f>
        <v>2.7766666666666668</v>
      </c>
      <c r="I1709" s="1082"/>
    </row>
    <row r="1710" spans="1:9" hidden="1" outlineLevel="2" x14ac:dyDescent="0.25">
      <c r="A1710" s="1079">
        <f t="shared" si="67"/>
        <v>13</v>
      </c>
      <c r="B1710" s="1079" t="s">
        <v>1362</v>
      </c>
      <c r="C1710" s="1079" t="str">
        <f t="shared" si="68"/>
        <v xml:space="preserve">Pintura com tinta látex acrílica com selador e massa em tetos, 3 demãos </v>
      </c>
      <c r="D1710" s="1079" t="s">
        <v>2057</v>
      </c>
      <c r="E1710" s="1080" t="str">
        <f>_xlfn.XLOOKUP(D1710,Insumos!$B$1:$B$670,Insumos!$C$1:$C$670)</f>
        <v>L</v>
      </c>
      <c r="F1710" s="1083">
        <v>0.495</v>
      </c>
      <c r="G1710" s="1081">
        <f>IF(B1710="insumo",_xlfn.XLOOKUP($D1710,Insumos!$B$1:$B$670,Insumos!$D$1:$D$670),"")</f>
        <v>24.5</v>
      </c>
      <c r="H1710" s="1081" cm="1">
        <f t="array" ref="H1710">_xlfn.IFS(B1710="Serviço",SUMIFS(H1711:$H$2465,C1711:$C$2465,$C1710),B1710="Insumo",F1710*G1710,B1710="Etapa","")</f>
        <v>12.1275</v>
      </c>
      <c r="I1710" s="1082"/>
    </row>
    <row r="1711" spans="1:9" hidden="1" outlineLevel="1" x14ac:dyDescent="0.25">
      <c r="A1711" s="1079">
        <f t="shared" si="67"/>
        <v>1</v>
      </c>
      <c r="B1711" s="1079" t="s">
        <v>471</v>
      </c>
      <c r="C1711" s="1079" t="str">
        <f t="shared" si="68"/>
        <v>Textura acrílica aplicação em paredes internas, 1 demão</v>
      </c>
      <c r="D1711" s="1079" t="s">
        <v>2071</v>
      </c>
      <c r="E1711" s="1080" t="s">
        <v>17</v>
      </c>
      <c r="F1711" s="1079"/>
      <c r="G1711" s="1081" t="str">
        <f>IF(B1711="insumo",_xlfn.XLOOKUP($D1711,Insumos!$B$1:$B$670,Insumos!$D$1:$D$670),"")</f>
        <v/>
      </c>
      <c r="H1711" s="1081" cm="1">
        <f t="array" ref="H1711">_xlfn.IFS(B1711="Serviço",SUMIFS(H1712:$H$2465,C1712:$C$2465,$C1711),B1711="Insumo",F1711*G1711,B1711="Etapa","")</f>
        <v>10.212902</v>
      </c>
      <c r="I1711" s="1082" t="s">
        <v>872</v>
      </c>
    </row>
    <row r="1712" spans="1:9" hidden="1" outlineLevel="2" x14ac:dyDescent="0.25">
      <c r="A1712" s="1079">
        <f t="shared" si="67"/>
        <v>19</v>
      </c>
      <c r="B1712" s="1079" t="s">
        <v>1362</v>
      </c>
      <c r="C1712" s="1079" t="str">
        <f t="shared" si="68"/>
        <v>Textura acrílica aplicação em paredes internas, 1 demão</v>
      </c>
      <c r="D1712" s="1079" t="s">
        <v>2068</v>
      </c>
      <c r="E1712" s="1080" t="str">
        <f>_xlfn.XLOOKUP(D1712,Insumos!$B$1:$B$670,Insumos!$C$1:$C$670)</f>
        <v>L</v>
      </c>
      <c r="F1712" s="1095">
        <v>0.1666</v>
      </c>
      <c r="G1712" s="1081">
        <f>IF(B1712="insumo",_xlfn.XLOOKUP($D1712,Insumos!$B$1:$B$670,Insumos!$D$1:$D$670),"")</f>
        <v>6.47</v>
      </c>
      <c r="H1712" s="1081" cm="1">
        <f t="array" ref="H1712">_xlfn.IFS(B1712="Serviço",SUMIFS(H1713:$H$2465,C1713:$C$2465,$C1712),B1712="Insumo",F1712*G1712,B1712="Etapa","")</f>
        <v>1.0779019999999999</v>
      </c>
      <c r="I1712" s="1082"/>
    </row>
    <row r="1713" spans="1:9" hidden="1" outlineLevel="2" x14ac:dyDescent="0.25">
      <c r="A1713" s="1079">
        <f t="shared" si="67"/>
        <v>4</v>
      </c>
      <c r="B1713" s="1079" t="s">
        <v>1362</v>
      </c>
      <c r="C1713" s="1079" t="str">
        <f t="shared" si="68"/>
        <v>Textura acrílica aplicação em paredes internas, 1 demão</v>
      </c>
      <c r="D1713" s="1079" t="s">
        <v>2062</v>
      </c>
      <c r="E1713" s="1080" t="str">
        <f>_xlfn.XLOOKUP(D1713,Insumos!$B$1:$B$670,Insumos!$C$1:$C$670)</f>
        <v>KG</v>
      </c>
      <c r="F1713" s="1083">
        <v>1.5</v>
      </c>
      <c r="G1713" s="1081">
        <f>IF(B1713="insumo",_xlfn.XLOOKUP($D1713,Insumos!$B$1:$B$670,Insumos!$D$1:$D$670),"")</f>
        <v>6.09</v>
      </c>
      <c r="H1713" s="1081" cm="1">
        <f t="array" ref="H1713">_xlfn.IFS(B1713="Serviço",SUMIFS(H1714:$H$2465,C1714:$C$2465,$C1713),B1713="Insumo",F1713*G1713,B1713="Etapa","")</f>
        <v>9.1349999999999998</v>
      </c>
      <c r="I1713" s="1082"/>
    </row>
    <row r="1714" spans="1:9" hidden="1" outlineLevel="1" collapsed="1" x14ac:dyDescent="0.25">
      <c r="A1714" s="1079">
        <f t="shared" si="67"/>
        <v>1</v>
      </c>
      <c r="B1714" s="1079" t="s">
        <v>471</v>
      </c>
      <c r="C1714" s="1079" t="str">
        <f t="shared" si="68"/>
        <v>Selador acrilico em Paredes Internas</v>
      </c>
      <c r="D1714" s="1079" t="s">
        <v>2072</v>
      </c>
      <c r="E1714" s="1080" t="s">
        <v>17</v>
      </c>
      <c r="F1714" s="1079"/>
      <c r="G1714" s="1081" t="str">
        <f>IF(B1714="insumo",_xlfn.XLOOKUP($D1714,Insumos!$B$1:$B$670,Insumos!$D$1:$D$670),"")</f>
        <v/>
      </c>
      <c r="H1714" s="1081" cm="1">
        <f t="array" ref="H1714">_xlfn.IFS(B1714="Serviço",SUMIFS(H1715:$H$2465,C1715:$C$2465,$C1714),B1714="Insumo",F1714*G1714,B1714="Etapa","")</f>
        <v>1.0779019999999999</v>
      </c>
      <c r="I1714" s="1082" t="s">
        <v>872</v>
      </c>
    </row>
    <row r="1715" spans="1:9" hidden="1" outlineLevel="2" x14ac:dyDescent="0.25">
      <c r="A1715" s="1079">
        <f t="shared" si="67"/>
        <v>19</v>
      </c>
      <c r="B1715" s="1079" t="s">
        <v>1362</v>
      </c>
      <c r="C1715" s="1079" t="str">
        <f t="shared" si="68"/>
        <v>Selador acrilico em Paredes Internas</v>
      </c>
      <c r="D1715" s="1079" t="s">
        <v>2068</v>
      </c>
      <c r="E1715" s="1080" t="str">
        <f>_xlfn.XLOOKUP(D1715,Insumos!$B$1:$B$670,Insumos!$C$1:$C$670)</f>
        <v>L</v>
      </c>
      <c r="F1715" s="1095">
        <v>0.1666</v>
      </c>
      <c r="G1715" s="1101">
        <f>IF(B1715="insumo",_xlfn.XLOOKUP($D1715,Insumos!$B$1:$B$670,Insumos!$D$1:$D$670),"")</f>
        <v>6.47</v>
      </c>
      <c r="H1715" s="1101" cm="1">
        <f t="array" ref="H1715">_xlfn.IFS(B1715="Serviço",SUMIFS(H1716:$H$2465,C1716:$C$2465,$C1715),B1715="Insumo",F1715*G1715,B1715="Etapa","")</f>
        <v>1.0779019999999999</v>
      </c>
      <c r="I1715" s="1082"/>
    </row>
    <row r="1716" spans="1:9" hidden="1" outlineLevel="1" collapsed="1" x14ac:dyDescent="0.25">
      <c r="A1716" s="1079">
        <f t="shared" si="67"/>
        <v>1</v>
      </c>
      <c r="B1716" s="1079" t="s">
        <v>471</v>
      </c>
      <c r="C1716" s="1079" t="str">
        <f t="shared" si="68"/>
        <v>Pintura Com Tinta Latex Acrilica em Paredes Internas, 3 Demaos (Somente tinta e fundo)</v>
      </c>
      <c r="D1716" s="1079" t="s">
        <v>2073</v>
      </c>
      <c r="E1716" s="1080" t="s">
        <v>17</v>
      </c>
      <c r="F1716" s="1079"/>
      <c r="G1716" s="1081" t="str">
        <f>IF(B1716="insumo",_xlfn.XLOOKUP($D1716,Insumos!$B$1:$B$670,Insumos!$D$1:$D$670),"")</f>
        <v/>
      </c>
      <c r="H1716" s="1081" cm="1">
        <f t="array" ref="H1716">_xlfn.IFS(B1716="Serviço",SUMIFS(H1717:$H$2465,C1717:$C$2465,$C1716),B1716="Insumo",F1716*G1716,B1716="Etapa","")</f>
        <v>13.205401999999999</v>
      </c>
      <c r="I1716" s="1082" t="s">
        <v>872</v>
      </c>
    </row>
    <row r="1717" spans="1:9" hidden="1" outlineLevel="2" x14ac:dyDescent="0.25">
      <c r="A1717" s="1079">
        <f t="shared" si="67"/>
        <v>13</v>
      </c>
      <c r="B1717" s="1079" t="s">
        <v>1362</v>
      </c>
      <c r="C1717" s="1079" t="str">
        <f t="shared" si="68"/>
        <v>Pintura Com Tinta Latex Acrilica em Paredes Internas, 3 Demaos (Somente tinta e fundo)</v>
      </c>
      <c r="D1717" s="1079" t="s">
        <v>2057</v>
      </c>
      <c r="E1717" s="1080" t="str">
        <f>_xlfn.XLOOKUP(D1717,Insumos!$B$1:$B$670,Insumos!$C$1:$C$670)</f>
        <v>L</v>
      </c>
      <c r="F1717" s="1095">
        <v>0.495</v>
      </c>
      <c r="G1717" s="1081">
        <f>IF(B1717="insumo",_xlfn.XLOOKUP($D1717,Insumos!$B$1:$B$670,Insumos!$D$1:$D$670),"")</f>
        <v>24.5</v>
      </c>
      <c r="H1717" s="1081" cm="1">
        <f t="array" ref="H1717">_xlfn.IFS(B1717="Serviço",SUMIFS(H1718:$H$2465,C1718:$C$2465,$C1717),B1717="Insumo",F1717*G1717,B1717="Etapa","")</f>
        <v>12.1275</v>
      </c>
      <c r="I1717" s="1082"/>
    </row>
    <row r="1718" spans="1:9" hidden="1" outlineLevel="2" x14ac:dyDescent="0.25">
      <c r="A1718" s="1079">
        <f t="shared" si="67"/>
        <v>19</v>
      </c>
      <c r="B1718" s="1079" t="s">
        <v>1362</v>
      </c>
      <c r="C1718" s="1079" t="str">
        <f t="shared" si="68"/>
        <v>Pintura Com Tinta Latex Acrilica em Paredes Internas, 3 Demaos (Somente tinta e fundo)</v>
      </c>
      <c r="D1718" s="1079" t="s">
        <v>2068</v>
      </c>
      <c r="E1718" s="1080" t="str">
        <f>_xlfn.XLOOKUP(D1718,Insumos!$B$1:$B$670,Insumos!$C$1:$C$670)</f>
        <v>L</v>
      </c>
      <c r="F1718" s="1095">
        <v>0.1666</v>
      </c>
      <c r="G1718" s="1081">
        <f>IF(B1718="insumo",_xlfn.XLOOKUP($D1718,Insumos!$B$1:$B$670,Insumos!$D$1:$D$670),"")</f>
        <v>6.47</v>
      </c>
      <c r="H1718" s="1081" cm="1">
        <f t="array" ref="H1718">_xlfn.IFS(B1718="Serviço",SUMIFS(H1719:$H$2465,C1719:$C$2465,$C1718),B1718="Insumo",F1718*G1718,B1718="Etapa","")</f>
        <v>1.0779019999999999</v>
      </c>
      <c r="I1718" s="1082"/>
    </row>
    <row r="1719" spans="1:9" hidden="1" outlineLevel="1" collapsed="1" x14ac:dyDescent="0.25">
      <c r="A1719" s="1079">
        <f t="shared" si="67"/>
        <v>1</v>
      </c>
      <c r="B1719" s="1079" t="s">
        <v>471</v>
      </c>
      <c r="C1719" s="1079" t="str">
        <f t="shared" si="68"/>
        <v>Pintura Com Tinta Latex Acrilica em Paredes Internas, 3 Demaos (Somente tinta)</v>
      </c>
      <c r="D1719" s="1079" t="s">
        <v>2074</v>
      </c>
      <c r="E1719" s="1080" t="s">
        <v>17</v>
      </c>
      <c r="F1719" s="1079"/>
      <c r="G1719" s="1081" t="str">
        <f>IF(B1719="insumo",_xlfn.XLOOKUP($D1719,Insumos!$B$1:$B$670,Insumos!$D$1:$D$670),"")</f>
        <v/>
      </c>
      <c r="H1719" s="1081" cm="1">
        <f t="array" ref="H1719">_xlfn.IFS(B1719="Serviço",SUMIFS(H1720:$H$2465,C1720:$C$2465,$C1719),B1719="Insumo",F1719*G1719,B1719="Etapa","")</f>
        <v>12.1275</v>
      </c>
      <c r="I1719" s="1082" t="s">
        <v>872</v>
      </c>
    </row>
    <row r="1720" spans="1:9" hidden="1" outlineLevel="2" x14ac:dyDescent="0.25">
      <c r="A1720" s="1079">
        <f t="shared" si="67"/>
        <v>13</v>
      </c>
      <c r="B1720" s="1079" t="s">
        <v>1362</v>
      </c>
      <c r="C1720" s="1079" t="str">
        <f t="shared" si="68"/>
        <v>Pintura Com Tinta Latex Acrilica em Paredes Internas, 3 Demaos (Somente tinta)</v>
      </c>
      <c r="D1720" s="1079" t="s">
        <v>2057</v>
      </c>
      <c r="E1720" s="1080" t="str">
        <f>_xlfn.XLOOKUP(D1720,Insumos!$B$1:$B$670,Insumos!$C$1:$C$670)</f>
        <v>L</v>
      </c>
      <c r="F1720" s="1095">
        <v>0.495</v>
      </c>
      <c r="G1720" s="1081">
        <f>IF(B1720="insumo",_xlfn.XLOOKUP($D1720,Insumos!$B$1:$B$670,Insumos!$D$1:$D$670),"")</f>
        <v>24.5</v>
      </c>
      <c r="H1720" s="1081" cm="1">
        <f t="array" ref="H1720">_xlfn.IFS(B1720="Serviço",SUMIFS(H1721:$H$2465,C1721:$C$2465,$C1720),B1720="Insumo",F1720*G1720,B1720="Etapa","")</f>
        <v>12.1275</v>
      </c>
      <c r="I1720" s="1082"/>
    </row>
    <row r="1721" spans="1:9" hidden="1" outlineLevel="1" collapsed="1" x14ac:dyDescent="0.25">
      <c r="A1721" s="1079">
        <f t="shared" si="67"/>
        <v>1</v>
      </c>
      <c r="B1721" s="1079" t="s">
        <v>471</v>
      </c>
      <c r="C1721" s="1079" t="str">
        <f t="shared" si="68"/>
        <v>Pintura Com Tinta Latex Acrilica em Paredes Internas, 3 Demaos (Incluso fundo e massa)</v>
      </c>
      <c r="D1721" s="1079" t="s">
        <v>2075</v>
      </c>
      <c r="E1721" s="1080" t="s">
        <v>17</v>
      </c>
      <c r="F1721" s="1079"/>
      <c r="G1721" s="1081" t="str">
        <f>IF(B1721="insumo",_xlfn.XLOOKUP($D1721,Insumos!$B$1:$B$670,Insumos!$D$1:$D$670),"")</f>
        <v/>
      </c>
      <c r="H1721" s="1081" cm="1">
        <f t="array" ref="H1721">_xlfn.IFS(B1721="Serviço",SUMIFS(H1722:$H$2465,C1722:$C$2465,$C1721),B1721="Insumo",F1721*G1721,B1721="Etapa","")</f>
        <v>19.001950999999998</v>
      </c>
      <c r="I1721" s="1082" t="s">
        <v>872</v>
      </c>
    </row>
    <row r="1722" spans="1:9" hidden="1" outlineLevel="2" x14ac:dyDescent="0.25">
      <c r="A1722" s="1079">
        <f t="shared" si="67"/>
        <v>24</v>
      </c>
      <c r="B1722" s="1079" t="s">
        <v>1362</v>
      </c>
      <c r="C1722" s="1079" t="str">
        <f t="shared" si="68"/>
        <v>Pintura Com Tinta Latex Acrilica em Paredes Internas, 3 Demaos (Incluso fundo e massa)</v>
      </c>
      <c r="D1722" s="1079" t="s">
        <v>1384</v>
      </c>
      <c r="E1722" s="1080" t="str">
        <f>_xlfn.XLOOKUP(D1722,Insumos!$B$1:$B$670,Insumos!$C$1:$C$670)</f>
        <v>UN</v>
      </c>
      <c r="F1722" s="1083">
        <v>0.1</v>
      </c>
      <c r="G1722" s="1081">
        <f>IF(B1722="insumo",_xlfn.XLOOKUP($D1722,Insumos!$B$1:$B$670,Insumos!$D$1:$D$670),"")</f>
        <v>1.89</v>
      </c>
      <c r="H1722" s="1081" cm="1">
        <f t="array" ref="H1722">_xlfn.IFS(B1722="Serviço",SUMIFS(H1723:$H$2465,C1723:$C$2465,$C1722),B1722="Insumo",F1722*G1722,B1722="Etapa","")</f>
        <v>0.189</v>
      </c>
      <c r="I1722" s="1082"/>
    </row>
    <row r="1723" spans="1:9" hidden="1" outlineLevel="2" x14ac:dyDescent="0.25">
      <c r="A1723" s="1079">
        <f t="shared" si="67"/>
        <v>17</v>
      </c>
      <c r="B1723" s="1079" t="s">
        <v>1362</v>
      </c>
      <c r="C1723" s="1079" t="str">
        <f t="shared" si="68"/>
        <v>Pintura Com Tinta Latex Acrilica em Paredes Internas, 3 Demaos (Incluso fundo e massa)</v>
      </c>
      <c r="D1723" s="1079" t="s">
        <v>2059</v>
      </c>
      <c r="E1723" s="1080" t="str">
        <f>_xlfn.XLOOKUP(D1723,Insumos!$B$1:$B$670,Insumos!$C$1:$C$670)</f>
        <v>KG</v>
      </c>
      <c r="F1723" s="1083">
        <v>0.86670000000000003</v>
      </c>
      <c r="G1723" s="1081">
        <f>IF(B1723="insumo",_xlfn.XLOOKUP($D1723,Insumos!$B$1:$B$670,Insumos!$D$1:$D$670),"")</f>
        <v>6.47</v>
      </c>
      <c r="H1723" s="1081" cm="1">
        <f t="array" ref="H1723">_xlfn.IFS(B1723="Serviço",SUMIFS(H1724:$H$2465,C1724:$C$2465,$C1723),B1723="Insumo",F1723*G1723,B1723="Etapa","")</f>
        <v>5.6075489999999997</v>
      </c>
      <c r="I1723" s="1082"/>
    </row>
    <row r="1724" spans="1:9" hidden="1" outlineLevel="2" x14ac:dyDescent="0.25">
      <c r="A1724" s="1079">
        <f t="shared" si="67"/>
        <v>19</v>
      </c>
      <c r="B1724" s="1079" t="s">
        <v>1362</v>
      </c>
      <c r="C1724" s="1079" t="str">
        <f t="shared" si="68"/>
        <v>Pintura Com Tinta Latex Acrilica em Paredes Internas, 3 Demaos (Incluso fundo e massa)</v>
      </c>
      <c r="D1724" s="1079" t="s">
        <v>2068</v>
      </c>
      <c r="E1724" s="1080" t="str">
        <f>_xlfn.XLOOKUP(D1724,Insumos!$B$1:$B$670,Insumos!$C$1:$C$670)</f>
        <v>L</v>
      </c>
      <c r="F1724" s="1083">
        <v>0.1666</v>
      </c>
      <c r="G1724" s="1081">
        <f>IF(B1724="insumo",_xlfn.XLOOKUP($D1724,Insumos!$B$1:$B$670,Insumos!$D$1:$D$670),"")</f>
        <v>6.47</v>
      </c>
      <c r="H1724" s="1081" cm="1">
        <f t="array" ref="H1724">_xlfn.IFS(B1724="Serviço",SUMIFS(H1725:$H$2465,C1725:$C$2465,$C1724),B1724="Insumo",F1724*G1724,B1724="Etapa","")</f>
        <v>1.0779019999999999</v>
      </c>
      <c r="I1724" s="1082"/>
    </row>
    <row r="1725" spans="1:9" hidden="1" outlineLevel="2" x14ac:dyDescent="0.25">
      <c r="A1725" s="1079">
        <f t="shared" si="67"/>
        <v>13</v>
      </c>
      <c r="B1725" s="1079" t="s">
        <v>1362</v>
      </c>
      <c r="C1725" s="1079" t="str">
        <f t="shared" si="68"/>
        <v>Pintura Com Tinta Latex Acrilica em Paredes Internas, 3 Demaos (Incluso fundo e massa)</v>
      </c>
      <c r="D1725" s="1079" t="s">
        <v>2057</v>
      </c>
      <c r="E1725" s="1080" t="str">
        <f>_xlfn.XLOOKUP(D1725,Insumos!$B$1:$B$670,Insumos!$C$1:$C$670)</f>
        <v>L</v>
      </c>
      <c r="F1725" s="1083">
        <v>0.495</v>
      </c>
      <c r="G1725" s="1081">
        <f>IF(B1725="insumo",_xlfn.XLOOKUP($D1725,Insumos!$B$1:$B$670,Insumos!$D$1:$D$670),"")</f>
        <v>24.5</v>
      </c>
      <c r="H1725" s="1081" cm="1">
        <f t="array" ref="H1725">_xlfn.IFS(B1725="Serviço",SUMIFS(H1726:$H$2465,C1726:$C$2465,$C1725),B1725="Insumo",F1725*G1725,B1725="Etapa","")</f>
        <v>12.1275</v>
      </c>
      <c r="I1725" s="1082"/>
    </row>
    <row r="1726" spans="1:9" hidden="1" outlineLevel="1" collapsed="1" x14ac:dyDescent="0.25">
      <c r="A1726" s="1079">
        <f t="shared" si="67"/>
        <v>1</v>
      </c>
      <c r="B1726" s="1079" t="s">
        <v>471</v>
      </c>
      <c r="C1726" s="1079" t="str">
        <f t="shared" si="68"/>
        <v>Calçadada/passeio em concreto intertravado</v>
      </c>
      <c r="D1726" s="1079" t="s">
        <v>2076</v>
      </c>
      <c r="E1726" s="1080" t="s">
        <v>17</v>
      </c>
      <c r="F1726" s="1079"/>
      <c r="G1726" s="1081" t="str">
        <f>IF(B1726="insumo",_xlfn.XLOOKUP($D1726,Insumos!$B$1:$B$670,Insumos!$D$1:$D$670),"")</f>
        <v/>
      </c>
      <c r="H1726" s="1081" cm="1">
        <f t="array" ref="H1726">_xlfn.IFS(B1726="Serviço",SUMIFS(H1727:$H$2465,C1727:$C$2465,$C1726),B1726="Insumo",F1726*G1726,B1726="Etapa","")</f>
        <v>78.128686000000016</v>
      </c>
      <c r="I1726" s="1082" t="s">
        <v>872</v>
      </c>
    </row>
    <row r="1727" spans="1:9" hidden="1" outlineLevel="2" x14ac:dyDescent="0.25">
      <c r="A1727" s="1079">
        <f t="shared" si="67"/>
        <v>2</v>
      </c>
      <c r="B1727" s="1079" t="s">
        <v>1362</v>
      </c>
      <c r="C1727" s="1079" t="str">
        <f t="shared" si="68"/>
        <v>Calçadada/passeio em concreto intertravado</v>
      </c>
      <c r="D1727" s="1079" t="s">
        <v>2024</v>
      </c>
      <c r="E1727" s="1080" t="str">
        <f>_xlfn.XLOOKUP(D1727,Insumos!$B$1:$B$670,Insumos!$C$1:$C$670)</f>
        <v>M2</v>
      </c>
      <c r="F1727" s="1083">
        <v>1.05</v>
      </c>
      <c r="G1727" s="1081">
        <f>IF(B1727="insumo",_xlfn.XLOOKUP($D1727,Insumos!$B$1:$B$670,Insumos!$D$1:$D$670),"")</f>
        <v>65.900000000000006</v>
      </c>
      <c r="H1727" s="1081" cm="1">
        <f t="array" ref="H1727">_xlfn.IFS(B1727="Serviço",SUMIFS(H1728:$H$2465,C1728:$C$2465,$C1727),B1727="Insumo",F1727*G1727,B1727="Etapa","")</f>
        <v>69.195000000000007</v>
      </c>
      <c r="I1727" s="1082"/>
    </row>
    <row r="1728" spans="1:9" hidden="1" outlineLevel="2" x14ac:dyDescent="0.25">
      <c r="A1728" s="1079">
        <f t="shared" si="67"/>
        <v>5</v>
      </c>
      <c r="B1728" s="1079" t="s">
        <v>1362</v>
      </c>
      <c r="C1728" s="1079" t="str">
        <f t="shared" si="68"/>
        <v>Calçadada/passeio em concreto intertravado</v>
      </c>
      <c r="D1728" s="1079" t="s">
        <v>2020</v>
      </c>
      <c r="E1728" s="1080" t="str">
        <f>_xlfn.XLOOKUP(D1728,Insumos!$B$1:$B$670,Insumos!$C$1:$C$670)</f>
        <v>M3</v>
      </c>
      <c r="F1728" s="1083">
        <v>6.6E-3</v>
      </c>
      <c r="G1728" s="1081">
        <f>IF(B1728="insumo",_xlfn.XLOOKUP($D1728,Insumos!$B$1:$B$670,Insumos!$D$1:$D$670),"")</f>
        <v>105.71</v>
      </c>
      <c r="H1728" s="1081" cm="1">
        <f t="array" ref="H1728">_xlfn.IFS(B1728="Serviço",SUMIFS(H1729:$H$2465,C1729:$C$2465,$C1728),B1728="Insumo",F1728*G1728,B1728="Etapa","")</f>
        <v>0.69768599999999992</v>
      </c>
      <c r="I1728" s="1082"/>
    </row>
    <row r="1729" spans="1:9" hidden="1" outlineLevel="2" x14ac:dyDescent="0.25">
      <c r="A1729" s="1079">
        <f t="shared" si="67"/>
        <v>7</v>
      </c>
      <c r="B1729" s="1079" t="s">
        <v>1362</v>
      </c>
      <c r="C1729" s="1079" t="str">
        <f t="shared" si="68"/>
        <v>Calçadada/passeio em concreto intertravado</v>
      </c>
      <c r="D1729" s="1079" t="s">
        <v>1726</v>
      </c>
      <c r="E1729" s="1080" t="str">
        <f>_xlfn.XLOOKUP(D1729,Insumos!$B$1:$B$670,Insumos!$C$1:$C$670)</f>
        <v>M3</v>
      </c>
      <c r="F1729" s="1083">
        <v>5.6800000000000003E-2</v>
      </c>
      <c r="G1729" s="1081">
        <f>IF(B1729="insumo",_xlfn.XLOOKUP($D1729,Insumos!$B$1:$B$670,Insumos!$D$1:$D$670),"")</f>
        <v>145</v>
      </c>
      <c r="H1729" s="1081" cm="1">
        <f t="array" ref="H1729">_xlfn.IFS(B1729="Serviço",SUMIFS(H1730:$H$2465,C1730:$C$2465,$C1729),B1729="Insumo",F1729*G1729,B1729="Etapa","")</f>
        <v>8.2360000000000007</v>
      </c>
      <c r="I1729" s="1082"/>
    </row>
    <row r="1730" spans="1:9" hidden="1" outlineLevel="1" collapsed="1" x14ac:dyDescent="0.25">
      <c r="A1730" s="1079">
        <f t="shared" ref="A1730:A1793" si="69">COUNTIFS($D$2:$D$2465,D1730,$B$2:$B$2465,B1730)</f>
        <v>1</v>
      </c>
      <c r="B1730" s="1079" t="s">
        <v>471</v>
      </c>
      <c r="C1730" s="1079" t="str">
        <f t="shared" si="68"/>
        <v xml:space="preserve">Calçadada/passeio em Podotátil </v>
      </c>
      <c r="D1730" s="1079" t="s">
        <v>2077</v>
      </c>
      <c r="E1730" s="1080" t="s">
        <v>17</v>
      </c>
      <c r="F1730" s="1079"/>
      <c r="G1730" s="1081" t="str">
        <f>IF(B1730="insumo",_xlfn.XLOOKUP($D1730,Insumos!$B$1:$B$670,Insumos!$D$1:$D$670),"")</f>
        <v/>
      </c>
      <c r="H1730" s="1081" cm="1">
        <f t="array" ref="H1730">_xlfn.IFS(B1730="Serviço",SUMIFS(H1731:$H$2465,C1731:$C$2465,$C1730),B1730="Insumo",F1730*G1730,B1730="Etapa","")</f>
        <v>116.97868600000002</v>
      </c>
      <c r="I1730" s="1082" t="s">
        <v>872</v>
      </c>
    </row>
    <row r="1731" spans="1:9" hidden="1" outlineLevel="2" x14ac:dyDescent="0.25">
      <c r="A1731" s="1079">
        <f t="shared" si="69"/>
        <v>1</v>
      </c>
      <c r="B1731" s="1079" t="s">
        <v>1362</v>
      </c>
      <c r="C1731" s="1079" t="str">
        <f t="shared" si="68"/>
        <v xml:space="preserve">Calçadada/passeio em Podotátil </v>
      </c>
      <c r="D1731" s="1079" t="s">
        <v>2078</v>
      </c>
      <c r="E1731" s="1080" t="str">
        <f>_xlfn.XLOOKUP(D1731,Insumos!$B$1:$B$670,Insumos!$C$1:$C$670)</f>
        <v>M2</v>
      </c>
      <c r="F1731" s="1083">
        <v>1.05</v>
      </c>
      <c r="G1731" s="1081">
        <f>IF(B1731="insumo",_xlfn.XLOOKUP($D1731,Insumos!$B$1:$B$670,Insumos!$D$1:$D$670),"")</f>
        <v>102.9</v>
      </c>
      <c r="H1731" s="1081" cm="1">
        <f t="array" ref="H1731">_xlfn.IFS(B1731="Serviço",SUMIFS(H1732:$H$2465,C1732:$C$2465,$C1731),B1731="Insumo",F1731*G1731,B1731="Etapa","")</f>
        <v>108.04500000000002</v>
      </c>
      <c r="I1731" s="1082"/>
    </row>
    <row r="1732" spans="1:9" hidden="1" outlineLevel="2" x14ac:dyDescent="0.25">
      <c r="A1732" s="1079">
        <f t="shared" si="69"/>
        <v>5</v>
      </c>
      <c r="B1732" s="1079" t="s">
        <v>1362</v>
      </c>
      <c r="C1732" s="1079" t="str">
        <f t="shared" si="68"/>
        <v xml:space="preserve">Calçadada/passeio em Podotátil </v>
      </c>
      <c r="D1732" s="1079" t="s">
        <v>2020</v>
      </c>
      <c r="E1732" s="1080" t="str">
        <f>_xlfn.XLOOKUP(D1732,Insumos!$B$1:$B$670,Insumos!$C$1:$C$670)</f>
        <v>M3</v>
      </c>
      <c r="F1732" s="1083">
        <v>6.6E-3</v>
      </c>
      <c r="G1732" s="1081">
        <f>IF(B1732="insumo",_xlfn.XLOOKUP($D1732,Insumos!$B$1:$B$670,Insumos!$D$1:$D$670),"")</f>
        <v>105.71</v>
      </c>
      <c r="H1732" s="1081" cm="1">
        <f t="array" ref="H1732">_xlfn.IFS(B1732="Serviço",SUMIFS(H1733:$H$2465,C1733:$C$2465,$C1732),B1732="Insumo",F1732*G1732,B1732="Etapa","")</f>
        <v>0.69768599999999992</v>
      </c>
      <c r="I1732" s="1082"/>
    </row>
    <row r="1733" spans="1:9" hidden="1" outlineLevel="2" x14ac:dyDescent="0.25">
      <c r="A1733" s="1079">
        <f t="shared" si="69"/>
        <v>7</v>
      </c>
      <c r="B1733" s="1079" t="s">
        <v>1362</v>
      </c>
      <c r="C1733" s="1079" t="str">
        <f t="shared" si="68"/>
        <v xml:space="preserve">Calçadada/passeio em Podotátil </v>
      </c>
      <c r="D1733" s="1079" t="s">
        <v>1726</v>
      </c>
      <c r="E1733" s="1080" t="str">
        <f>_xlfn.XLOOKUP(D1733,Insumos!$B$1:$B$670,Insumos!$C$1:$C$670)</f>
        <v>M3</v>
      </c>
      <c r="F1733" s="1083">
        <v>5.6800000000000003E-2</v>
      </c>
      <c r="G1733" s="1081">
        <f>IF(B1733="insumo",_xlfn.XLOOKUP($D1733,Insumos!$B$1:$B$670,Insumos!$D$1:$D$670),"")</f>
        <v>145</v>
      </c>
      <c r="H1733" s="1081" cm="1">
        <f t="array" ref="H1733">_xlfn.IFS(B1733="Serviço",SUMIFS(H1734:$H$2465,C1734:$C$2465,$C1733),B1733="Insumo",F1733*G1733,B1733="Etapa","")</f>
        <v>8.2360000000000007</v>
      </c>
      <c r="I1733" s="1082"/>
    </row>
    <row r="1734" spans="1:9" hidden="1" outlineLevel="1" collapsed="1" x14ac:dyDescent="0.25">
      <c r="A1734" s="1079">
        <f t="shared" si="69"/>
        <v>1</v>
      </c>
      <c r="B1734" s="1079" t="s">
        <v>471</v>
      </c>
      <c r="C1734" s="1079" t="str">
        <f t="shared" si="68"/>
        <v>Mão de obra para pintura em pisos , 2 demãos</v>
      </c>
      <c r="D1734" s="1079" t="s">
        <v>2079</v>
      </c>
      <c r="E1734" s="1080" t="s">
        <v>17</v>
      </c>
      <c r="F1734" s="1083"/>
      <c r="G1734" s="1081" t="str">
        <f>IF(B1734="insumo",_xlfn.XLOOKUP($D1734,Insumos!$B$1:$B$670,Insumos!$D$1:$D$670),"")</f>
        <v/>
      </c>
      <c r="H1734" s="1081" cm="1">
        <f t="array" ref="H1734">_xlfn.IFS(B1734="Serviço",SUMIFS(H1735:$H$2465,C1735:$C$2465,$C1734),B1734="Insumo",F1734*G1734,B1734="Etapa","")</f>
        <v>55</v>
      </c>
      <c r="I1734" s="1082" t="s">
        <v>872</v>
      </c>
    </row>
    <row r="1735" spans="1:9" hidden="1" outlineLevel="2" x14ac:dyDescent="0.25">
      <c r="A1735" s="1079">
        <f t="shared" si="69"/>
        <v>1</v>
      </c>
      <c r="B1735" s="1079" t="s">
        <v>1362</v>
      </c>
      <c r="C1735" s="1079" t="str">
        <f t="shared" si="68"/>
        <v>Mão de obra para pintura em pisos , 2 demãos</v>
      </c>
      <c r="D1735" s="1079" t="s">
        <v>2079</v>
      </c>
      <c r="E1735" s="1080" t="str">
        <f>_xlfn.XLOOKUP(D1735,Insumos!$B$1:$B$670,Insumos!$C$1:$C$670)</f>
        <v>M2</v>
      </c>
      <c r="F1735" s="1083">
        <v>1</v>
      </c>
      <c r="G1735" s="1081">
        <f>IF(B1735="insumo",_xlfn.XLOOKUP($D1735,Insumos!$B$1:$B$670,Insumos!$D$1:$D$670),"")</f>
        <v>55</v>
      </c>
      <c r="H1735" s="1081" cm="1">
        <f t="array" ref="H1735">_xlfn.IFS(B1735="Serviço",SUMIFS(H1736:$H$2465,C1736:$C$2465,$C1735),B1735="Insumo",F1735*G1735,B1735="Etapa","")</f>
        <v>55</v>
      </c>
      <c r="I1735" s="1082"/>
    </row>
    <row r="1736" spans="1:9" hidden="1" outlineLevel="1" collapsed="1" x14ac:dyDescent="0.25">
      <c r="A1736" s="1079">
        <f t="shared" si="69"/>
        <v>1</v>
      </c>
      <c r="B1736" s="1079" t="s">
        <v>471</v>
      </c>
      <c r="C1736" s="1079" t="str">
        <f t="shared" si="68"/>
        <v>Mão de obra para pintura em rodapés, 3 demãos</v>
      </c>
      <c r="D1736" s="1079" t="s">
        <v>2080</v>
      </c>
      <c r="E1736" s="1080" t="s">
        <v>17</v>
      </c>
      <c r="F1736" s="1083"/>
      <c r="G1736" s="1081" t="str">
        <f>IF(B1736="insumo",_xlfn.XLOOKUP($D1736,Insumos!$B$1:$B$670,Insumos!$D$1:$D$670),"")</f>
        <v/>
      </c>
      <c r="H1736" s="1081" cm="1">
        <f t="array" ref="H1736">_xlfn.IFS(B1736="Serviço",SUMIFS(H1737:$H$2465,C1737:$C$2465,$C1736),B1736="Insumo",F1736*G1736,B1736="Etapa","")</f>
        <v>55</v>
      </c>
      <c r="I1736" s="1082" t="s">
        <v>872</v>
      </c>
    </row>
    <row r="1737" spans="1:9" hidden="1" outlineLevel="2" x14ac:dyDescent="0.25">
      <c r="A1737" s="1079">
        <f t="shared" si="69"/>
        <v>1</v>
      </c>
      <c r="B1737" s="1079" t="s">
        <v>1362</v>
      </c>
      <c r="C1737" s="1079" t="str">
        <f t="shared" si="68"/>
        <v>Mão de obra para pintura em rodapés, 3 demãos</v>
      </c>
      <c r="D1737" s="1079" t="s">
        <v>2080</v>
      </c>
      <c r="E1737" s="1080" t="str">
        <f>_xlfn.XLOOKUP(D1737,Insumos!$B$1:$B$670,Insumos!$C$1:$C$670)</f>
        <v>M2</v>
      </c>
      <c r="F1737" s="1083">
        <v>1</v>
      </c>
      <c r="G1737" s="1081">
        <f>IF(B1737="insumo",_xlfn.XLOOKUP($D1737,Insumos!$B$1:$B$670,Insumos!$D$1:$D$670),"")</f>
        <v>55</v>
      </c>
      <c r="H1737" s="1081" cm="1">
        <f t="array" ref="H1737">_xlfn.IFS(B1737="Serviço",SUMIFS(H1738:$H$2465,C1738:$C$2465,$C1737),B1737="Insumo",F1737*G1737,B1737="Etapa","")</f>
        <v>55</v>
      </c>
      <c r="I1737" s="1082"/>
    </row>
    <row r="1738" spans="1:9" hidden="1" outlineLevel="1" collapsed="1" x14ac:dyDescent="0.25">
      <c r="A1738" s="1079">
        <f t="shared" si="69"/>
        <v>1</v>
      </c>
      <c r="B1738" s="1079" t="s">
        <v>471</v>
      </c>
      <c r="C1738" s="1079" t="str">
        <f t="shared" si="68"/>
        <v>Mão de obra para demarcação de vagas em piso, 2 demãos</v>
      </c>
      <c r="D1738" s="1079" t="s">
        <v>2081</v>
      </c>
      <c r="E1738" s="1080" t="s">
        <v>17</v>
      </c>
      <c r="F1738" s="1083"/>
      <c r="G1738" s="1081" t="str">
        <f>IF(B1738="insumo",_xlfn.XLOOKUP($D1738,Insumos!$B$1:$B$670,Insumos!$D$1:$D$670),"")</f>
        <v/>
      </c>
      <c r="H1738" s="1081" cm="1">
        <f t="array" ref="H1738">_xlfn.IFS(B1738="Serviço",SUMIFS(H1739:$H$2465,C1739:$C$2465,$C1738),B1738="Insumo",F1738*G1738,B1738="Etapa","")</f>
        <v>23</v>
      </c>
      <c r="I1738" s="1082" t="s">
        <v>872</v>
      </c>
    </row>
    <row r="1739" spans="1:9" hidden="1" outlineLevel="2" x14ac:dyDescent="0.25">
      <c r="A1739" s="1079">
        <f t="shared" si="69"/>
        <v>3</v>
      </c>
      <c r="B1739" s="1079" t="s">
        <v>1362</v>
      </c>
      <c r="C1739" s="1079" t="str">
        <f t="shared" si="68"/>
        <v>Mão de obra para demarcação de vagas em piso, 2 demãos</v>
      </c>
      <c r="D1739" s="1079" t="s">
        <v>2082</v>
      </c>
      <c r="E1739" s="1080" t="str">
        <f>_xlfn.XLOOKUP(D1739,Insumos!$B$1:$B$670,Insumos!$C$1:$C$670)</f>
        <v>M2</v>
      </c>
      <c r="F1739" s="1083">
        <v>1</v>
      </c>
      <c r="G1739" s="1081">
        <f>IF(B1739="insumo",_xlfn.XLOOKUP($D1739,Insumos!$B$1:$B$670,Insumos!$D$1:$D$670),"")</f>
        <v>23</v>
      </c>
      <c r="H1739" s="1081" cm="1">
        <f t="array" ref="H1739">_xlfn.IFS(B1739="Serviço",SUMIFS(H1740:$H$2465,C1740:$C$2465,$C1739),B1739="Insumo",F1739*G1739,B1739="Etapa","")</f>
        <v>23</v>
      </c>
      <c r="I1739" s="1082"/>
    </row>
    <row r="1740" spans="1:9" hidden="1" outlineLevel="1" collapsed="1" x14ac:dyDescent="0.25">
      <c r="A1740" s="1079">
        <f t="shared" si="69"/>
        <v>1</v>
      </c>
      <c r="B1740" s="1079" t="s">
        <v>471</v>
      </c>
      <c r="C1740" s="1079" t="str">
        <f t="shared" si="68"/>
        <v>Mão de obra para demarcação de vagas em parede, 2 demãos</v>
      </c>
      <c r="D1740" s="1079" t="s">
        <v>2083</v>
      </c>
      <c r="E1740" s="1080" t="s">
        <v>17</v>
      </c>
      <c r="F1740" s="1083"/>
      <c r="G1740" s="1081" t="str">
        <f>IF(B1740="insumo",_xlfn.XLOOKUP($D1740,Insumos!$B$1:$B$670,Insumos!$D$1:$D$670),"")</f>
        <v/>
      </c>
      <c r="H1740" s="1081" cm="1">
        <f t="array" ref="H1740">_xlfn.IFS(B1740="Serviço",SUMIFS(H1741:$H$2465,C1741:$C$2465,$C1740),B1740="Insumo",F1740*G1740,B1740="Etapa","")</f>
        <v>23</v>
      </c>
      <c r="I1740" s="1082" t="s">
        <v>872</v>
      </c>
    </row>
    <row r="1741" spans="1:9" hidden="1" outlineLevel="2" x14ac:dyDescent="0.25">
      <c r="A1741" s="1079">
        <f t="shared" si="69"/>
        <v>3</v>
      </c>
      <c r="B1741" s="1079" t="s">
        <v>1362</v>
      </c>
      <c r="C1741" s="1079" t="str">
        <f t="shared" si="68"/>
        <v>Mão de obra para demarcação de vagas em parede, 2 demãos</v>
      </c>
      <c r="D1741" s="1079" t="s">
        <v>2082</v>
      </c>
      <c r="E1741" s="1080" t="str">
        <f>_xlfn.XLOOKUP(D1741,Insumos!$B$1:$B$670,Insumos!$C$1:$C$670)</f>
        <v>M2</v>
      </c>
      <c r="F1741" s="1083">
        <v>1</v>
      </c>
      <c r="G1741" s="1081">
        <f>IF(B1741="insumo",_xlfn.XLOOKUP($D1741,Insumos!$B$1:$B$670,Insumos!$D$1:$D$670),"")</f>
        <v>23</v>
      </c>
      <c r="H1741" s="1081" cm="1">
        <f t="array" ref="H1741">_xlfn.IFS(B1741="Serviço",SUMIFS(H1742:$H$2465,C1742:$C$2465,$C1741),B1741="Insumo",F1741*G1741,B1741="Etapa","")</f>
        <v>23</v>
      </c>
      <c r="I1741" s="1082"/>
    </row>
    <row r="1742" spans="1:9" hidden="1" outlineLevel="1" collapsed="1" x14ac:dyDescent="0.25">
      <c r="A1742" s="1079">
        <f t="shared" si="69"/>
        <v>1</v>
      </c>
      <c r="B1742" s="1079" t="s">
        <v>471</v>
      </c>
      <c r="C1742" s="1079" t="str">
        <f t="shared" si="68"/>
        <v>Mão de obra para demarcação de vagas, 3 demãos</v>
      </c>
      <c r="D1742" s="1079" t="s">
        <v>2082</v>
      </c>
      <c r="E1742" s="1080" t="s">
        <v>17</v>
      </c>
      <c r="F1742" s="1083"/>
      <c r="G1742" s="1081" t="str">
        <f>IF(B1742="insumo",_xlfn.XLOOKUP($D1742,Insumos!$B$1:$B$670,Insumos!$D$1:$D$670),"")</f>
        <v/>
      </c>
      <c r="H1742" s="1081" cm="1">
        <f t="array" ref="H1742">_xlfn.IFS(B1742="Serviço",SUMIFS(H1743:$H$2465,C1743:$C$2465,$C1742),B1742="Insumo",F1742*G1742,B1742="Etapa","")</f>
        <v>23</v>
      </c>
      <c r="I1742" s="1082" t="s">
        <v>872</v>
      </c>
    </row>
    <row r="1743" spans="1:9" hidden="1" outlineLevel="2" x14ac:dyDescent="0.25">
      <c r="A1743" s="1079">
        <f t="shared" si="69"/>
        <v>3</v>
      </c>
      <c r="B1743" s="1079" t="s">
        <v>1362</v>
      </c>
      <c r="C1743" s="1079" t="str">
        <f t="shared" si="68"/>
        <v>Mão de obra para demarcação de vagas, 3 demãos</v>
      </c>
      <c r="D1743" s="1079" t="s">
        <v>2082</v>
      </c>
      <c r="E1743" s="1080" t="str">
        <f>_xlfn.XLOOKUP(D1743,Insumos!$B$1:$B$670,Insumos!$C$1:$C$670)</f>
        <v>M2</v>
      </c>
      <c r="F1743" s="1083">
        <v>1</v>
      </c>
      <c r="G1743" s="1081">
        <f>IF(B1743="insumo",_xlfn.XLOOKUP($D1743,Insumos!$B$1:$B$670,Insumos!$D$1:$D$670),"")</f>
        <v>23</v>
      </c>
      <c r="H1743" s="1081" cm="1">
        <f t="array" ref="H1743">_xlfn.IFS(B1743="Serviço",SUMIFS(H1744:$H$2465,C1744:$C$2465,$C1743),B1743="Insumo",F1743*G1743,B1743="Etapa","")</f>
        <v>23</v>
      </c>
      <c r="I1743" s="1082"/>
    </row>
    <row r="1744" spans="1:9" hidden="1" outlineLevel="1" collapsed="1" x14ac:dyDescent="0.25">
      <c r="A1744" s="1079">
        <f t="shared" si="69"/>
        <v>1</v>
      </c>
      <c r="B1744" s="1079" t="s">
        <v>471</v>
      </c>
      <c r="C1744" s="1079" t="str">
        <f t="shared" si="68"/>
        <v>Mão de obra para Textura em paredes internas, 1 demãos</v>
      </c>
      <c r="D1744" s="1079" t="s">
        <v>1310</v>
      </c>
      <c r="E1744" s="1080" t="s">
        <v>17</v>
      </c>
      <c r="F1744" s="1083"/>
      <c r="G1744" s="1081" t="str">
        <f>IF(B1744="insumo",_xlfn.XLOOKUP($D1744,Insumos!$B$1:$B$670,Insumos!$D$1:$D$670),"")</f>
        <v/>
      </c>
      <c r="H1744" s="1081" cm="1">
        <f t="array" ref="H1744">_xlfn.IFS(B1744="Serviço",SUMIFS(H1745:$H$2465,C1745:$C$2465,$C1744),B1744="Insumo",F1744*G1744,B1744="Etapa","")</f>
        <v>45</v>
      </c>
      <c r="I1744" s="1082" t="s">
        <v>872</v>
      </c>
    </row>
    <row r="1745" spans="1:9" hidden="1" outlineLevel="2" x14ac:dyDescent="0.25">
      <c r="A1745" s="1079">
        <f t="shared" si="69"/>
        <v>1</v>
      </c>
      <c r="B1745" s="1079" t="s">
        <v>1362</v>
      </c>
      <c r="C1745" s="1079" t="str">
        <f t="shared" si="68"/>
        <v>Mão de obra para Textura em paredes internas, 1 demãos</v>
      </c>
      <c r="D1745" s="1079" t="s">
        <v>1310</v>
      </c>
      <c r="E1745" s="1080" t="str">
        <f>_xlfn.XLOOKUP(D1745,Insumos!$B$1:$B$670,Insumos!$C$1:$C$670)</f>
        <v>M2</v>
      </c>
      <c r="F1745" s="1083">
        <v>1</v>
      </c>
      <c r="G1745" s="1081">
        <f>IF(B1745="insumo",_xlfn.XLOOKUP($D1745,Insumos!$B$1:$B$670,Insumos!$D$1:$D$670),"")</f>
        <v>45</v>
      </c>
      <c r="H1745" s="1081" cm="1">
        <f t="array" ref="H1745">_xlfn.IFS(B1745="Serviço",SUMIFS(H1746:$H$2465,C1746:$C$2465,$C1745),B1745="Insumo",F1745*G1745,B1745="Etapa","")</f>
        <v>45</v>
      </c>
      <c r="I1745" s="1082"/>
    </row>
    <row r="1746" spans="1:9" hidden="1" outlineLevel="1" collapsed="1" x14ac:dyDescent="0.25">
      <c r="A1746" s="1079">
        <f t="shared" si="69"/>
        <v>1</v>
      </c>
      <c r="B1746" s="1079" t="s">
        <v>471</v>
      </c>
      <c r="C1746" s="1079" t="str">
        <f t="shared" si="68"/>
        <v>Mão de obra para selador nos dutos em paredes internas, 1 demãos</v>
      </c>
      <c r="D1746" s="1079" t="s">
        <v>2084</v>
      </c>
      <c r="E1746" s="1080" t="s">
        <v>17</v>
      </c>
      <c r="F1746" s="1083"/>
      <c r="G1746" s="1081" t="str">
        <f>IF(B1746="insumo",_xlfn.XLOOKUP($D1746,Insumos!$B$1:$B$670,Insumos!$D$1:$D$670),"")</f>
        <v/>
      </c>
      <c r="H1746" s="1081" cm="1">
        <f t="array" ref="H1746">_xlfn.IFS(B1746="Serviço",SUMIFS(H1747:$H$2465,C1747:$C$2465,$C1746),B1746="Insumo",F1746*G1746,B1746="Etapa","")</f>
        <v>6</v>
      </c>
      <c r="I1746" s="1082" t="s">
        <v>872</v>
      </c>
    </row>
    <row r="1747" spans="1:9" hidden="1" outlineLevel="2" x14ac:dyDescent="0.25">
      <c r="A1747" s="1079">
        <f t="shared" si="69"/>
        <v>1</v>
      </c>
      <c r="B1747" s="1079" t="s">
        <v>1362</v>
      </c>
      <c r="C1747" s="1079" t="str">
        <f t="shared" si="68"/>
        <v>Mão de obra para selador nos dutos em paredes internas, 1 demãos</v>
      </c>
      <c r="D1747" s="1079" t="s">
        <v>2084</v>
      </c>
      <c r="E1747" s="1080" t="str">
        <f>_xlfn.XLOOKUP(D1747,Insumos!$B$1:$B$670,Insumos!$C$1:$C$670)</f>
        <v>M2</v>
      </c>
      <c r="F1747" s="1083">
        <v>1</v>
      </c>
      <c r="G1747" s="1081">
        <f>IF(B1747="insumo",_xlfn.XLOOKUP($D1747,Insumos!$B$1:$B$670,Insumos!$D$1:$D$670),"")</f>
        <v>6</v>
      </c>
      <c r="H1747" s="1081" cm="1">
        <f t="array" ref="H1747">_xlfn.IFS(B1747="Serviço",SUMIFS(H1748:$H$2465,C1748:$C$2465,$C1747),B1747="Insumo",F1747*G1747,B1747="Etapa","")</f>
        <v>6</v>
      </c>
      <c r="I1747" s="1082"/>
    </row>
    <row r="1748" spans="1:9" hidden="1" outlineLevel="1" collapsed="1" x14ac:dyDescent="0.25">
      <c r="A1748" s="1079">
        <f t="shared" si="69"/>
        <v>1</v>
      </c>
      <c r="B1748" s="1079" t="s">
        <v>471</v>
      </c>
      <c r="C1748" s="1079" t="str">
        <f t="shared" si="68"/>
        <v>Mão de obra para pintura em paredes internas, 3 demãos</v>
      </c>
      <c r="D1748" s="1079" t="s">
        <v>1311</v>
      </c>
      <c r="E1748" s="1080" t="s">
        <v>17</v>
      </c>
      <c r="F1748" s="1083"/>
      <c r="G1748" s="1081" t="str">
        <f>IF(B1748="insumo",_xlfn.XLOOKUP($D1748,Insumos!$B$1:$B$670,Insumos!$D$1:$D$670),"")</f>
        <v/>
      </c>
      <c r="H1748" s="1081" cm="1">
        <f t="array" ref="H1748">_xlfn.IFS(B1748="Serviço",SUMIFS(H1749:$H$2465,C1749:$C$2465,$C1748),B1748="Insumo",F1748*G1748,B1748="Etapa","")</f>
        <v>45</v>
      </c>
      <c r="I1748" s="1082" t="s">
        <v>872</v>
      </c>
    </row>
    <row r="1749" spans="1:9" hidden="1" outlineLevel="2" x14ac:dyDescent="0.25">
      <c r="A1749" s="1079">
        <f t="shared" si="69"/>
        <v>1</v>
      </c>
      <c r="B1749" s="1079" t="s">
        <v>1362</v>
      </c>
      <c r="C1749" s="1079" t="str">
        <f t="shared" si="68"/>
        <v>Mão de obra para pintura em paredes internas, 3 demãos</v>
      </c>
      <c r="D1749" s="1079" t="s">
        <v>1311</v>
      </c>
      <c r="E1749" s="1080" t="str">
        <f>_xlfn.XLOOKUP(D1749,Insumos!$B$1:$B$670,Insumos!$C$1:$C$670)</f>
        <v>UN</v>
      </c>
      <c r="F1749" s="1083">
        <v>1</v>
      </c>
      <c r="G1749" s="1081">
        <f>IF(B1749="insumo",_xlfn.XLOOKUP($D1749,Insumos!$B$1:$B$670,Insumos!$D$1:$D$670),"")</f>
        <v>45</v>
      </c>
      <c r="H1749" s="1081" cm="1">
        <f t="array" ref="H1749">_xlfn.IFS(B1749="Serviço",SUMIFS(H1750:$H$2465,C1750:$C$2465,$C1749),B1749="Insumo",F1749*G1749,B1749="Etapa","")</f>
        <v>45</v>
      </c>
      <c r="I1749" s="1082"/>
    </row>
    <row r="1750" spans="1:9" hidden="1" outlineLevel="1" collapsed="1" x14ac:dyDescent="0.25">
      <c r="A1750" s="1079">
        <f t="shared" si="69"/>
        <v>1</v>
      </c>
      <c r="B1750" s="1079" t="s">
        <v>471</v>
      </c>
      <c r="C1750" s="1079" t="str">
        <f t="shared" si="68"/>
        <v>Mão de obra para pintura em teto, 3 demãos</v>
      </c>
      <c r="D1750" s="1079" t="s">
        <v>2085</v>
      </c>
      <c r="E1750" s="1080" t="s">
        <v>17</v>
      </c>
      <c r="F1750" s="1083"/>
      <c r="G1750" s="1081" t="str">
        <f>IF(B1750="insumo",_xlfn.XLOOKUP($D1750,Insumos!$B$1:$B$670,Insumos!$D$1:$D$670),"")</f>
        <v/>
      </c>
      <c r="H1750" s="1081" cm="1">
        <f t="array" ref="H1750">_xlfn.IFS(B1750="Serviço",SUMIFS(H1751:$H$2465,C1751:$C$2465,$C1750),B1750="Insumo",F1750*G1750,B1750="Etapa","")</f>
        <v>45</v>
      </c>
      <c r="I1750" s="1082" t="s">
        <v>872</v>
      </c>
    </row>
    <row r="1751" spans="1:9" hidden="1" outlineLevel="2" x14ac:dyDescent="0.25">
      <c r="A1751" s="1079">
        <f t="shared" si="69"/>
        <v>1</v>
      </c>
      <c r="B1751" s="1079" t="s">
        <v>1362</v>
      </c>
      <c r="C1751" s="1079" t="str">
        <f t="shared" si="68"/>
        <v>Mão de obra para pintura em teto, 3 demãos</v>
      </c>
      <c r="D1751" s="1079" t="s">
        <v>2085</v>
      </c>
      <c r="E1751" s="1080" t="str">
        <f>_xlfn.XLOOKUP(D1751,Insumos!$B$1:$B$670,Insumos!$C$1:$C$670)</f>
        <v>UN</v>
      </c>
      <c r="F1751" s="1083">
        <v>1</v>
      </c>
      <c r="G1751" s="1081">
        <f>IF(B1751="insumo",_xlfn.XLOOKUP($D1751,Insumos!$B$1:$B$670,Insumos!$D$1:$D$670),"")</f>
        <v>45</v>
      </c>
      <c r="H1751" s="1081" cm="1">
        <f t="array" ref="H1751">_xlfn.IFS(B1751="Serviço",SUMIFS(H1752:$H$2465,C1752:$C$2465,$C1751),B1751="Insumo",F1751*G1751,B1751="Etapa","")</f>
        <v>45</v>
      </c>
      <c r="I1751" s="1082"/>
    </row>
    <row r="1752" spans="1:9" hidden="1" outlineLevel="1" collapsed="1" x14ac:dyDescent="0.25">
      <c r="A1752" s="1079">
        <f t="shared" si="69"/>
        <v>1</v>
      </c>
      <c r="B1752" s="1079" t="s">
        <v>471</v>
      </c>
      <c r="C1752" s="1079" t="str">
        <f t="shared" si="68"/>
        <v>Mão de obra para textura em teto, 1 demão</v>
      </c>
      <c r="D1752" s="1079" t="s">
        <v>2086</v>
      </c>
      <c r="E1752" s="1080" t="s">
        <v>17</v>
      </c>
      <c r="F1752" s="1083"/>
      <c r="G1752" s="1081" t="str">
        <f>IF(B1752="insumo",_xlfn.XLOOKUP($D1752,Insumos!$B$1:$B$670,Insumos!$D$1:$D$670),"")</f>
        <v/>
      </c>
      <c r="H1752" s="1081" cm="1">
        <f t="array" ref="H1752">_xlfn.IFS(B1752="Serviço",SUMIFS(H1753:$H$2465,C1753:$C$2465,$C1752),B1752="Insumo",F1752*G1752,B1752="Etapa","")</f>
        <v>45</v>
      </c>
      <c r="I1752" s="1082" t="s">
        <v>872</v>
      </c>
    </row>
    <row r="1753" spans="1:9" hidden="1" outlineLevel="2" x14ac:dyDescent="0.25">
      <c r="A1753" s="1079">
        <f t="shared" si="69"/>
        <v>1</v>
      </c>
      <c r="B1753" s="1079" t="s">
        <v>1362</v>
      </c>
      <c r="C1753" s="1079" t="str">
        <f t="shared" si="68"/>
        <v>Mão de obra para textura em teto, 1 demão</v>
      </c>
      <c r="D1753" s="1079" t="s">
        <v>2086</v>
      </c>
      <c r="E1753" s="1080" t="str">
        <f>_xlfn.XLOOKUP(D1753,Insumos!$B$1:$B$670,Insumos!$C$1:$C$670)</f>
        <v>M2</v>
      </c>
      <c r="F1753" s="1083">
        <v>1</v>
      </c>
      <c r="G1753" s="1081">
        <f>IF(B1753="insumo",_xlfn.XLOOKUP($D1753,Insumos!$B$1:$B$670,Insumos!$D$1:$D$670),"")</f>
        <v>45</v>
      </c>
      <c r="H1753" s="1081" cm="1">
        <f t="array" ref="H1753">_xlfn.IFS(B1753="Serviço",SUMIFS(H1754:$H$2465,C1754:$C$2465,$C1753),B1753="Insumo",F1753*G1753,B1753="Etapa","")</f>
        <v>45</v>
      </c>
      <c r="I1753" s="1082"/>
    </row>
    <row r="1754" spans="1:9" collapsed="1" x14ac:dyDescent="0.25">
      <c r="A1754" s="1076">
        <f t="shared" si="69"/>
        <v>1</v>
      </c>
      <c r="B1754" s="1076" t="s">
        <v>469</v>
      </c>
      <c r="C1754" s="1076"/>
      <c r="D1754" s="1076" t="s">
        <v>2087</v>
      </c>
      <c r="E1754" s="1077"/>
      <c r="F1754" s="1078"/>
      <c r="G1754" s="1084" t="str">
        <f>IF(B1754="insumo",_xlfn.XLOOKUP($D1754,Insumos!$B$1:$B$670,Insumos!$D$1:$D$670),"")</f>
        <v/>
      </c>
      <c r="H1754" s="1084" t="str" cm="1">
        <f t="array" ref="H1754">_xlfn.IFS(B1754="Serviço",SUMIFS(H1755:$H$2465,C1755:$C$2465,$C1754),B1754="Insumo",F1754*G1754,B1754="Etapa","")</f>
        <v/>
      </c>
      <c r="I1754" s="1078"/>
    </row>
    <row r="1755" spans="1:9" hidden="1" outlineLevel="1" collapsed="1" x14ac:dyDescent="0.25">
      <c r="A1755" s="1079">
        <f t="shared" si="69"/>
        <v>1</v>
      </c>
      <c r="B1755" s="1079" t="s">
        <v>471</v>
      </c>
      <c r="C1755" s="1079" t="str">
        <f t="shared" ref="C1755:C1822" si="70">IF(B1755="serviço",D1755,C1754)</f>
        <v>Esquadrias de Alumínio - fornecimento e instalação</v>
      </c>
      <c r="D1755" s="1079" t="s">
        <v>1323</v>
      </c>
      <c r="E1755" s="1080" t="s">
        <v>17</v>
      </c>
      <c r="F1755" s="1079"/>
      <c r="G1755" s="1081" t="str">
        <f>IF(B1755="insumo",_xlfn.XLOOKUP($D1755,Insumos!$B$1:$B$670,Insumos!$D$1:$D$670),"")</f>
        <v/>
      </c>
      <c r="H1755" s="1081" cm="1">
        <f t="array" ref="H1755">_xlfn.IFS(B1755="Serviço",SUMIFS(H1756:$H$2465,C1756:$C$2465,$C1755),B1755="Insumo",F1755*G1755,B1755="Etapa","")</f>
        <v>1350</v>
      </c>
      <c r="I1755" s="1082" t="s">
        <v>872</v>
      </c>
    </row>
    <row r="1756" spans="1:9" hidden="1" outlineLevel="2" x14ac:dyDescent="0.25">
      <c r="A1756" s="1079">
        <f t="shared" si="69"/>
        <v>1</v>
      </c>
      <c r="B1756" s="1079" t="s">
        <v>1362</v>
      </c>
      <c r="C1756" s="1079" t="str">
        <f t="shared" si="70"/>
        <v>Esquadrias de Alumínio - fornecimento e instalação</v>
      </c>
      <c r="D1756" s="1079" t="s">
        <v>1323</v>
      </c>
      <c r="E1756" s="1080" t="str">
        <f>_xlfn.XLOOKUP(D1756,Insumos!$B$1:$B$670,Insumos!$C$1:$C$670)</f>
        <v>M2</v>
      </c>
      <c r="F1756" s="1083">
        <v>1</v>
      </c>
      <c r="G1756" s="1081">
        <f>IF(B1756="insumo",_xlfn.XLOOKUP($D1756,Insumos!$B$1:$B$670,Insumos!$D$1:$D$670),"")</f>
        <v>1350</v>
      </c>
      <c r="H1756" s="1081" cm="1">
        <f t="array" ref="H1756">_xlfn.IFS(B1756="Serviço",SUMIFS(H1757:$H$2465,C1757:$C$2465,$C1756),B1756="Insumo",F1756*G1756,B1756="Etapa","")</f>
        <v>1350</v>
      </c>
      <c r="I1756" s="1082"/>
    </row>
    <row r="1757" spans="1:9" hidden="1" outlineLevel="1" x14ac:dyDescent="0.25">
      <c r="A1757" s="1079">
        <f t="shared" si="69"/>
        <v>1</v>
      </c>
      <c r="B1757" s="1079" t="s">
        <v>471</v>
      </c>
      <c r="C1757" s="1079" t="str">
        <f t="shared" si="70"/>
        <v>Contramarco de aço galvanizado Fixados com Argamassa</v>
      </c>
      <c r="D1757" s="1079" t="s">
        <v>2088</v>
      </c>
      <c r="E1757" s="1080" t="s">
        <v>3</v>
      </c>
      <c r="F1757" s="1079"/>
      <c r="G1757" s="1081" t="str">
        <f>IF(B1757="insumo",_xlfn.XLOOKUP($D1757,Insumos!$B$1:$B$670,Insumos!$D$1:$D$670),"")</f>
        <v/>
      </c>
      <c r="H1757" s="1081" cm="1">
        <f t="array" ref="H1757">_xlfn.IFS(B1757="Serviço",SUMIFS(H1758:$H$2465,C1758:$C$2465,$C1757),B1757="Insumo",F1757*G1757,B1757="Etapa","")</f>
        <v>36.85</v>
      </c>
      <c r="I1757" s="1082" t="s">
        <v>872</v>
      </c>
    </row>
    <row r="1758" spans="1:9" hidden="1" outlineLevel="2" x14ac:dyDescent="0.25">
      <c r="A1758" s="1079">
        <f t="shared" si="69"/>
        <v>1</v>
      </c>
      <c r="B1758" s="1079" t="s">
        <v>1362</v>
      </c>
      <c r="C1758" s="1079" t="str">
        <f t="shared" si="70"/>
        <v>Contramarco de aço galvanizado Fixados com Argamassa</v>
      </c>
      <c r="D1758" s="1079" t="s">
        <v>2089</v>
      </c>
      <c r="E1758" s="1080" t="str">
        <f>_xlfn.XLOOKUP(D1758,Insumos!$B$1:$B$670,Insumos!$C$1:$C$670)</f>
        <v>M</v>
      </c>
      <c r="F1758" s="1083">
        <v>1</v>
      </c>
      <c r="G1758" s="1081">
        <f>IF(B1758="insumo",_xlfn.XLOOKUP($D1758,Insumos!$B$1:$B$670,Insumos!$D$1:$D$670),"")</f>
        <v>36</v>
      </c>
      <c r="H1758" s="1081" cm="1">
        <f t="array" ref="H1758">_xlfn.IFS(B1758="Serviço",SUMIFS(H1759:$H$2465,C1759:$C$2465,$C1758),B1758="Insumo",F1758*G1758,B1758="Etapa","")</f>
        <v>36</v>
      </c>
      <c r="I1758" s="1082"/>
    </row>
    <row r="1759" spans="1:9" hidden="1" outlineLevel="2" x14ac:dyDescent="0.25">
      <c r="A1759" s="1079">
        <f t="shared" si="69"/>
        <v>15</v>
      </c>
      <c r="B1759" s="1079" t="s">
        <v>1362</v>
      </c>
      <c r="C1759" s="1079" t="str">
        <f t="shared" si="70"/>
        <v>Contramarco de aço galvanizado Fixados com Argamassa</v>
      </c>
      <c r="D1759" s="1079" t="s">
        <v>1632</v>
      </c>
      <c r="E1759" s="1080" t="str">
        <f>_xlfn.XLOOKUP(D1759,Insumos!$B$1:$B$670,Insumos!$C$1:$C$670)</f>
        <v>M3</v>
      </c>
      <c r="F1759" s="1083">
        <v>2E-3</v>
      </c>
      <c r="G1759" s="1081">
        <f>IF(B1759="insumo",_xlfn.XLOOKUP($D1759,Insumos!$B$1:$B$670,Insumos!$D$1:$D$670),"")</f>
        <v>425</v>
      </c>
      <c r="H1759" s="1081" cm="1">
        <f t="array" ref="H1759">_xlfn.IFS(B1759="Serviço",SUMIFS(H1760:$H$2465,C1760:$C$2465,$C1759),B1759="Insumo",F1759*G1759,B1759="Etapa","")</f>
        <v>0.85</v>
      </c>
      <c r="I1759" s="1082"/>
    </row>
    <row r="1760" spans="1:9" hidden="1" outlineLevel="1" x14ac:dyDescent="0.25">
      <c r="A1760" s="1079">
        <f t="shared" si="69"/>
        <v>1</v>
      </c>
      <c r="B1760" s="1079" t="s">
        <v>471</v>
      </c>
      <c r="C1760" s="1079" t="str">
        <f t="shared" si="70"/>
        <v>Contramarco de Alumínio, Fixação com Argamassa</v>
      </c>
      <c r="D1760" s="1079" t="s">
        <v>1325</v>
      </c>
      <c r="E1760" s="1080" t="s">
        <v>3</v>
      </c>
      <c r="F1760" s="1079"/>
      <c r="G1760" s="1081" t="str">
        <f>IF(B1760="insumo",_xlfn.XLOOKUP($D1760,Insumos!$B$1:$B$670,Insumos!$D$1:$D$670),"")</f>
        <v/>
      </c>
      <c r="H1760" s="1081" cm="1">
        <f t="array" ref="H1760">_xlfn.IFS(B1760="Serviço",SUMIFS(H1761:$H$2465,C1761:$C$2465,$C1760),B1760="Insumo",F1760*G1760,B1760="Etapa","")</f>
        <v>8.24</v>
      </c>
      <c r="I1760" s="1082" t="s">
        <v>872</v>
      </c>
    </row>
    <row r="1761" spans="1:9" hidden="1" outlineLevel="2" x14ac:dyDescent="0.25">
      <c r="A1761" s="1079">
        <f t="shared" si="69"/>
        <v>1</v>
      </c>
      <c r="B1761" s="1079" t="s">
        <v>1362</v>
      </c>
      <c r="C1761" s="1079" t="str">
        <f t="shared" si="70"/>
        <v>Contramarco de Alumínio, Fixação com Argamassa</v>
      </c>
      <c r="D1761" s="1079" t="s">
        <v>2090</v>
      </c>
      <c r="E1761" s="1080" t="str">
        <f>_xlfn.XLOOKUP(D1761,Insumos!$B$1:$B$670,Insumos!$C$1:$C$670)</f>
        <v>M</v>
      </c>
      <c r="F1761" s="1083">
        <v>1</v>
      </c>
      <c r="G1761" s="1081">
        <f>IF(B1761="insumo",_xlfn.XLOOKUP($D1761,Insumos!$B$1:$B$670,Insumos!$D$1:$D$670),"")</f>
        <v>7.39</v>
      </c>
      <c r="H1761" s="1081" cm="1">
        <f t="array" ref="H1761">_xlfn.IFS(B1761="Serviço",SUMIFS(H1762:$H$2465,C1762:$C$2465,$C1761),B1761="Insumo",F1761*G1761,B1761="Etapa","")</f>
        <v>7.39</v>
      </c>
      <c r="I1761" s="1082"/>
    </row>
    <row r="1762" spans="1:9" hidden="1" outlineLevel="2" x14ac:dyDescent="0.25">
      <c r="A1762" s="1079">
        <f t="shared" si="69"/>
        <v>15</v>
      </c>
      <c r="B1762" s="1079" t="s">
        <v>1362</v>
      </c>
      <c r="C1762" s="1079" t="str">
        <f t="shared" si="70"/>
        <v>Contramarco de Alumínio, Fixação com Argamassa</v>
      </c>
      <c r="D1762" s="1079" t="s">
        <v>1632</v>
      </c>
      <c r="E1762" s="1080" t="str">
        <f>_xlfn.XLOOKUP(D1762,Insumos!$B$1:$B$670,Insumos!$C$1:$C$670)</f>
        <v>M3</v>
      </c>
      <c r="F1762" s="1083">
        <v>2E-3</v>
      </c>
      <c r="G1762" s="1081">
        <f>IF(B1762="insumo",_xlfn.XLOOKUP($D1762,Insumos!$B$1:$B$670,Insumos!$D$1:$D$670),"")</f>
        <v>425</v>
      </c>
      <c r="H1762" s="1081" cm="1">
        <f t="array" ref="H1762">_xlfn.IFS(B1762="Serviço",SUMIFS(H1766:$H$2465,C1766:$C$2465,$C1762),B1762="Insumo",F1762*G1762,B1762="Etapa","")</f>
        <v>0.85</v>
      </c>
      <c r="I1762" s="1082"/>
    </row>
    <row r="1763" spans="1:9" hidden="1" outlineLevel="1" x14ac:dyDescent="0.25">
      <c r="A1763" s="1079">
        <f t="shared" si="69"/>
        <v>1</v>
      </c>
      <c r="B1763" s="1079" t="s">
        <v>471</v>
      </c>
      <c r="C1763" s="1079" t="str">
        <f t="shared" si="70"/>
        <v>Contramarco pequeno de Alumínio, Fixação com Argamassa</v>
      </c>
      <c r="D1763" s="1079" t="s">
        <v>2091</v>
      </c>
      <c r="E1763" s="1080" t="s">
        <v>491</v>
      </c>
      <c r="F1763" s="1079"/>
      <c r="G1763" s="1081" t="str">
        <f>IF(B1763="insumo",_xlfn.XLOOKUP($D1763,Insumos!$B$1:$B$670,Insumos!$D$1:$D$670),"")</f>
        <v/>
      </c>
      <c r="H1763" s="1081" cm="1">
        <f t="array" ref="H1763">_xlfn.IFS(B1763="Serviço",SUMIFS(H1764:$H$2465,C1764:$C$2465,$C1763),B1763="Insumo",F1763*G1763,B1763="Etapa","")</f>
        <v>67.040000000000006</v>
      </c>
      <c r="I1763" s="1082" t="s">
        <v>872</v>
      </c>
    </row>
    <row r="1764" spans="1:9" hidden="1" outlineLevel="2" x14ac:dyDescent="0.25">
      <c r="A1764" s="1079">
        <f t="shared" si="69"/>
        <v>1</v>
      </c>
      <c r="B1764" s="1079" t="s">
        <v>1362</v>
      </c>
      <c r="C1764" s="1079" t="str">
        <f t="shared" si="70"/>
        <v>Contramarco pequeno de Alumínio, Fixação com Argamassa</v>
      </c>
      <c r="D1764" s="1079" t="s">
        <v>2092</v>
      </c>
      <c r="E1764" s="1080" t="str">
        <f>_xlfn.XLOOKUP(D1764,Insumos!$B$1:$B$670,Insumos!$C$1:$C$670)</f>
        <v>Un</v>
      </c>
      <c r="F1764" s="1083">
        <v>1</v>
      </c>
      <c r="G1764" s="1081">
        <f>IF(B1764="insumo",_xlfn.XLOOKUP($D1764,Insumos!$B$1:$B$670,Insumos!$D$1:$D$670),"")</f>
        <v>65</v>
      </c>
      <c r="H1764" s="1081" cm="1">
        <f t="array" ref="H1764">_xlfn.IFS(B1764="Serviço",SUMIFS(H1765:$H$2465,C1765:$C$2465,$C1764),B1764="Insumo",F1764*G1764,B1764="Etapa","")</f>
        <v>65</v>
      </c>
      <c r="I1764" s="1082"/>
    </row>
    <row r="1765" spans="1:9" hidden="1" outlineLevel="2" x14ac:dyDescent="0.25">
      <c r="A1765" s="1079">
        <f t="shared" si="69"/>
        <v>15</v>
      </c>
      <c r="B1765" s="1079" t="s">
        <v>1362</v>
      </c>
      <c r="C1765" s="1079" t="str">
        <f t="shared" si="70"/>
        <v>Contramarco pequeno de Alumínio, Fixação com Argamassa</v>
      </c>
      <c r="D1765" s="1079" t="s">
        <v>1632</v>
      </c>
      <c r="E1765" s="1080" t="str">
        <f>_xlfn.XLOOKUP(D1765,Insumos!$B$1:$B$670,Insumos!$C$1:$C$670)</f>
        <v>M3</v>
      </c>
      <c r="F1765" s="1083">
        <f>0.002*2.4</f>
        <v>4.7999999999999996E-3</v>
      </c>
      <c r="G1765" s="1081">
        <f>IF(B1765="insumo",_xlfn.XLOOKUP($D1765,Insumos!$B$1:$B$670,Insumos!$D$1:$D$670),"")</f>
        <v>425</v>
      </c>
      <c r="H1765" s="1081" cm="1">
        <f t="array" ref="H1765">_xlfn.IFS(B1765="Serviço",SUMIFS(H1766:$H$2465,C1766:$C$2465,$C1765),B1765="Insumo",F1765*G1765,B1765="Etapa","")</f>
        <v>2.04</v>
      </c>
      <c r="I1765" s="1082"/>
    </row>
    <row r="1766" spans="1:9" hidden="1" outlineLevel="1" x14ac:dyDescent="0.25">
      <c r="A1766" s="1079">
        <f t="shared" si="69"/>
        <v>1</v>
      </c>
      <c r="B1766" s="1079" t="s">
        <v>471</v>
      </c>
      <c r="C1766" s="1079" t="str">
        <f t="shared" si="70"/>
        <v>Contramarco grande de Alumínio, Fixação com Argamassa</v>
      </c>
      <c r="D1766" s="1079" t="s">
        <v>2093</v>
      </c>
      <c r="E1766" s="1080" t="s">
        <v>491</v>
      </c>
      <c r="F1766" s="1079"/>
      <c r="G1766" s="1081" t="str">
        <f>IF(B1766="insumo",_xlfn.XLOOKUP($D1766,Insumos!$B$1:$B$670,Insumos!$D$1:$D$670),"")</f>
        <v/>
      </c>
      <c r="H1766" s="1081" cm="1">
        <f t="array" ref="H1766">_xlfn.IFS(B1766="Serviço",SUMIFS(H1767:$H$2465,C1767:$C$2465,$C1766),B1766="Insumo",F1766*G1766,B1766="Etapa","")</f>
        <v>157.04</v>
      </c>
      <c r="I1766" s="1082" t="s">
        <v>872</v>
      </c>
    </row>
    <row r="1767" spans="1:9" hidden="1" outlineLevel="2" x14ac:dyDescent="0.25">
      <c r="A1767" s="1079">
        <f t="shared" si="69"/>
        <v>1</v>
      </c>
      <c r="B1767" s="1079" t="s">
        <v>1362</v>
      </c>
      <c r="C1767" s="1079" t="str">
        <f t="shared" si="70"/>
        <v>Contramarco grande de Alumínio, Fixação com Argamassa</v>
      </c>
      <c r="D1767" s="1079" t="s">
        <v>2094</v>
      </c>
      <c r="E1767" s="1080" t="str">
        <f>_xlfn.XLOOKUP(D1767,Insumos!$B$1:$B$670,Insumos!$C$1:$C$670)</f>
        <v>Un</v>
      </c>
      <c r="F1767" s="1083">
        <v>1</v>
      </c>
      <c r="G1767" s="1081">
        <f>IF(B1767="insumo",_xlfn.XLOOKUP($D1767,Insumos!$B$1:$B$670,Insumos!$D$1:$D$670),"")</f>
        <v>155</v>
      </c>
      <c r="H1767" s="1081" cm="1">
        <f t="array" ref="H1767">_xlfn.IFS(B1767="Serviço",SUMIFS(H1768:$H$2465,C1768:$C$2465,$C1767),B1767="Insumo",F1767*G1767,B1767="Etapa","")</f>
        <v>155</v>
      </c>
      <c r="I1767" s="1082"/>
    </row>
    <row r="1768" spans="1:9" hidden="1" outlineLevel="2" x14ac:dyDescent="0.25">
      <c r="A1768" s="1079">
        <f t="shared" si="69"/>
        <v>15</v>
      </c>
      <c r="B1768" s="1079" t="s">
        <v>1362</v>
      </c>
      <c r="C1768" s="1079" t="str">
        <f t="shared" si="70"/>
        <v>Contramarco grande de Alumínio, Fixação com Argamassa</v>
      </c>
      <c r="D1768" s="1079" t="s">
        <v>1632</v>
      </c>
      <c r="E1768" s="1080" t="str">
        <f>_xlfn.XLOOKUP(D1768,Insumos!$B$1:$B$670,Insumos!$C$1:$C$670)</f>
        <v>M3</v>
      </c>
      <c r="F1768" s="1083">
        <f>0.002*2.4</f>
        <v>4.7999999999999996E-3</v>
      </c>
      <c r="G1768" s="1081">
        <f>IF(B1768="insumo",_xlfn.XLOOKUP($D1768,Insumos!$B$1:$B$670,Insumos!$D$1:$D$670),"")</f>
        <v>425</v>
      </c>
      <c r="H1768" s="1081" cm="1">
        <f t="array" ref="H1768">_xlfn.IFS(B1768="Serviço",SUMIFS(H1769:$H$2465,C1769:$C$2465,$C1768),B1768="Insumo",F1768*G1768,B1768="Etapa","")</f>
        <v>2.04</v>
      </c>
      <c r="I1768" s="1082"/>
    </row>
    <row r="1769" spans="1:9" hidden="1" outlineLevel="1" x14ac:dyDescent="0.25">
      <c r="A1769" s="1079">
        <f t="shared" si="69"/>
        <v>1</v>
      </c>
      <c r="B1769" s="1079" t="s">
        <v>471</v>
      </c>
      <c r="C1769" s="1079" t="str">
        <f t="shared" si="70"/>
        <v>Brise de Alumínio - Decoração Fachada</v>
      </c>
      <c r="D1769" s="1079" t="s">
        <v>1328</v>
      </c>
      <c r="E1769" s="1080" t="s">
        <v>17</v>
      </c>
      <c r="F1769" s="1079"/>
      <c r="G1769" s="1081" t="str">
        <f>IF(B1769="insumo",_xlfn.XLOOKUP($D1769,Insumos!$B$1:$B$670,Insumos!$D$1:$D$670),"")</f>
        <v/>
      </c>
      <c r="H1769" s="1081" cm="1">
        <f t="array" ref="H1769">_xlfn.IFS(B1769="Serviço",SUMIFS(H1770:$H$2465,C1770:$C$2465,$C1769),B1769="Insumo",F1769*G1769,B1769="Etapa","")</f>
        <v>1415.0275930380642</v>
      </c>
      <c r="I1769" s="1082" t="s">
        <v>872</v>
      </c>
    </row>
    <row r="1770" spans="1:9" hidden="1" outlineLevel="2" x14ac:dyDescent="0.25">
      <c r="A1770" s="1079">
        <f t="shared" si="69"/>
        <v>2</v>
      </c>
      <c r="B1770" s="1079" t="s">
        <v>1362</v>
      </c>
      <c r="C1770" s="1079" t="str">
        <f t="shared" si="70"/>
        <v>Brise de Alumínio - Decoração Fachada</v>
      </c>
      <c r="D1770" s="1079" t="s">
        <v>2095</v>
      </c>
      <c r="E1770" s="1080" t="str">
        <f>_xlfn.XLOOKUP(D1770,Insumos!$B$1:$B$670,Insumos!$C$1:$C$670)</f>
        <v>M2</v>
      </c>
      <c r="F1770" s="1083">
        <v>1</v>
      </c>
      <c r="G1770" s="1081">
        <f>IF(B1770="insumo",_xlfn.XLOOKUP($D1770,Insumos!$B$1:$B$670,Insumos!$D$1:$D$670),"")</f>
        <v>1415.0275930380642</v>
      </c>
      <c r="H1770" s="1081" cm="1">
        <f t="array" ref="H1770">_xlfn.IFS(B1770="Serviço",SUMIFS(H1771:$H$2465,C1771:$C$2465,$C1770),B1770="Insumo",F1770*G1770,B1770="Etapa","")</f>
        <v>1415.0275930380642</v>
      </c>
      <c r="I1770" s="1082"/>
    </row>
    <row r="1771" spans="1:9" hidden="1" outlineLevel="1" collapsed="1" x14ac:dyDescent="0.25">
      <c r="A1771" s="1079">
        <f t="shared" si="69"/>
        <v>1</v>
      </c>
      <c r="B1771" s="1079" t="s">
        <v>471</v>
      </c>
      <c r="C1771" s="1079" t="str">
        <f t="shared" si="70"/>
        <v>Brise de Madeira - Decoração Fachada</v>
      </c>
      <c r="D1771" s="1079" t="s">
        <v>2096</v>
      </c>
      <c r="E1771" s="1080" t="s">
        <v>17</v>
      </c>
      <c r="F1771" s="1079"/>
      <c r="G1771" s="1081" t="str">
        <f>IF(B1771="insumo",_xlfn.XLOOKUP($D1771,Insumos!$B$1:$B$670,Insumos!$D$1:$D$670),"")</f>
        <v/>
      </c>
      <c r="H1771" s="1081" cm="1">
        <f t="array" ref="H1771">_xlfn.IFS(B1771="Serviço",SUMIFS(H1772:$H$2465,C1772:$C$2465,$C1771),B1771="Insumo",F1771*G1771,B1771="Etapa","")</f>
        <v>1031.7460317460318</v>
      </c>
      <c r="I1771" s="1082" t="s">
        <v>872</v>
      </c>
    </row>
    <row r="1772" spans="1:9" hidden="1" outlineLevel="2" x14ac:dyDescent="0.25">
      <c r="A1772" s="1079">
        <f t="shared" si="69"/>
        <v>1</v>
      </c>
      <c r="B1772" s="1079" t="s">
        <v>1362</v>
      </c>
      <c r="C1772" s="1079" t="str">
        <f t="shared" si="70"/>
        <v>Brise de Madeira - Decoração Fachada</v>
      </c>
      <c r="D1772" s="1079" t="s">
        <v>2096</v>
      </c>
      <c r="E1772" s="1080" t="str">
        <f>_xlfn.XLOOKUP(D1772,Insumos!$B$1:$B$670,Insumos!$C$1:$C$670)</f>
        <v>M2</v>
      </c>
      <c r="F1772" s="1083">
        <v>1</v>
      </c>
      <c r="G1772" s="1081">
        <f>IF(B1772="insumo",_xlfn.XLOOKUP($D1772,Insumos!$B$1:$B$670,Insumos!$D$1:$D$670),"")</f>
        <v>1031.7460317460318</v>
      </c>
      <c r="H1772" s="1081" cm="1">
        <f t="array" ref="H1772">_xlfn.IFS(B1772="Serviço",SUMIFS(H1773:$H$2465,C1773:$C$2465,$C1772),B1772="Insumo",F1772*G1772,B1772="Etapa","")</f>
        <v>1031.7460317460318</v>
      </c>
      <c r="I1772" s="1082"/>
    </row>
    <row r="1773" spans="1:9" hidden="1" outlineLevel="1" x14ac:dyDescent="0.25">
      <c r="A1773" s="1079">
        <f t="shared" si="69"/>
        <v>1</v>
      </c>
      <c r="B1773" s="1079" t="s">
        <v>471</v>
      </c>
      <c r="C1773" s="1079" t="str">
        <f t="shared" si="70"/>
        <v>Guarda Corpo de Vidro e Aluminio - fornecimento e instalação</v>
      </c>
      <c r="D1773" s="1079" t="s">
        <v>1324</v>
      </c>
      <c r="E1773" s="1080" t="s">
        <v>17</v>
      </c>
      <c r="F1773" s="1079"/>
      <c r="G1773" s="1081" t="str">
        <f>IF(B1773="insumo",_xlfn.XLOOKUP($D1773,Insumos!$B$1:$B$670,Insumos!$D$1:$D$670),"")</f>
        <v/>
      </c>
      <c r="H1773" s="1081" cm="1">
        <f t="array" ref="H1773">_xlfn.IFS(B1773="Serviço",SUMIFS(H1774:$H$2465,C1774:$C$2465,$C1773),B1773="Insumo",F1773*G1773,B1773="Etapa","")</f>
        <v>935.99</v>
      </c>
      <c r="I1773" s="1082" t="s">
        <v>872</v>
      </c>
    </row>
    <row r="1774" spans="1:9" hidden="1" outlineLevel="2" x14ac:dyDescent="0.25">
      <c r="A1774" s="1079">
        <f t="shared" si="69"/>
        <v>1</v>
      </c>
      <c r="B1774" s="1079" t="s">
        <v>1362</v>
      </c>
      <c r="C1774" s="1079" t="str">
        <f t="shared" si="70"/>
        <v>Guarda Corpo de Vidro e Aluminio - fornecimento e instalação</v>
      </c>
      <c r="D1774" s="1079" t="s">
        <v>1324</v>
      </c>
      <c r="E1774" s="1080" t="str">
        <f>_xlfn.XLOOKUP(D1774,Insumos!$B$1:$B$670,Insumos!$C$1:$C$670)</f>
        <v>M2</v>
      </c>
      <c r="F1774" s="1083">
        <v>1</v>
      </c>
      <c r="G1774" s="1081">
        <f>IF(B1774="insumo",_xlfn.XLOOKUP($D1774,Insumos!$B$1:$B$670,Insumos!$D$1:$D$670),"")</f>
        <v>935.99</v>
      </c>
      <c r="H1774" s="1081" cm="1">
        <f t="array" ref="H1774">_xlfn.IFS(B1774="Serviço",SUMIFS(H1775:$H$2465,C1775:$C$2465,$C1774),B1774="Insumo",F1774*G1774,B1774="Etapa","")</f>
        <v>935.99</v>
      </c>
      <c r="I1774" s="1082"/>
    </row>
    <row r="1775" spans="1:9" hidden="1" outlineLevel="1" collapsed="1" x14ac:dyDescent="0.25">
      <c r="A1775" s="1079">
        <f t="shared" si="69"/>
        <v>1</v>
      </c>
      <c r="B1775" s="1079" t="s">
        <v>471</v>
      </c>
      <c r="C1775" s="1079" t="str">
        <f t="shared" si="70"/>
        <v>Guarda Corpo de aluminio (gradil) - fornecimento e instalação</v>
      </c>
      <c r="D1775" s="1079" t="s">
        <v>2097</v>
      </c>
      <c r="E1775" s="1080" t="s">
        <v>17</v>
      </c>
      <c r="F1775" s="1079"/>
      <c r="G1775" s="1081" t="str">
        <f>IF(B1775="insumo",_xlfn.XLOOKUP($D1775,Insumos!$B$1:$B$670,Insumos!$D$1:$D$670),"")</f>
        <v/>
      </c>
      <c r="H1775" s="1081" cm="1">
        <f t="array" ref="H1775">_xlfn.IFS(B1775="Serviço",SUMIFS(H1776:$H$2465,C1776:$C$2465,$C1775),B1775="Insumo",F1775*G1775,B1775="Etapa","")</f>
        <v>599.91</v>
      </c>
      <c r="I1775" s="1082" t="s">
        <v>872</v>
      </c>
    </row>
    <row r="1776" spans="1:9" hidden="1" outlineLevel="2" x14ac:dyDescent="0.25">
      <c r="A1776" s="1079">
        <f t="shared" si="69"/>
        <v>1</v>
      </c>
      <c r="B1776" s="1079" t="s">
        <v>1362</v>
      </c>
      <c r="C1776" s="1079" t="str">
        <f t="shared" si="70"/>
        <v>Guarda Corpo de aluminio (gradil) - fornecimento e instalação</v>
      </c>
      <c r="D1776" s="1079" t="s">
        <v>2097</v>
      </c>
      <c r="E1776" s="1080" t="str">
        <f>_xlfn.XLOOKUP(D1776,Insumos!$B$1:$B$670,Insumos!$C$1:$C$670)</f>
        <v>M2</v>
      </c>
      <c r="F1776" s="1083">
        <v>1</v>
      </c>
      <c r="G1776" s="1081">
        <f>IF(B1776="insumo",_xlfn.XLOOKUP($D1776,Insumos!$B$1:$B$670,Insumos!$D$1:$D$670),"")</f>
        <v>599.91</v>
      </c>
      <c r="H1776" s="1081" cm="1">
        <f t="array" ref="H1776">_xlfn.IFS(B1776="Serviço",SUMIFS(H1777:$H$2465,C1777:$C$2465,$C1776),B1776="Insumo",F1776*G1776,B1776="Etapa","")</f>
        <v>599.91</v>
      </c>
      <c r="I1776" s="1082"/>
    </row>
    <row r="1777" spans="1:9" hidden="1" outlineLevel="1" x14ac:dyDescent="0.25">
      <c r="A1777" s="1079">
        <f t="shared" si="69"/>
        <v>1</v>
      </c>
      <c r="B1777" s="1079" t="s">
        <v>471</v>
      </c>
      <c r="C1777" s="1079" t="str">
        <f t="shared" si="70"/>
        <v>Pele de vidro</v>
      </c>
      <c r="D1777" s="1079" t="s">
        <v>2098</v>
      </c>
      <c r="E1777" s="1080" t="s">
        <v>17</v>
      </c>
      <c r="F1777" s="1079"/>
      <c r="G1777" s="1081" t="str">
        <f>IF(B1777="insumo",_xlfn.XLOOKUP($D1777,Insumos!$B$1:$B$670,Insumos!$D$1:$D$670),"")</f>
        <v/>
      </c>
      <c r="H1777" s="1081" cm="1">
        <f t="array" ref="H1777">_xlfn.IFS(B1777="Serviço",SUMIFS(H1778:$H$2465,C1778:$C$2465,$C1777),B1777="Insumo",F1777*G1777,B1777="Etapa","")</f>
        <v>1533.99</v>
      </c>
      <c r="I1777" s="1082" t="s">
        <v>872</v>
      </c>
    </row>
    <row r="1778" spans="1:9" hidden="1" outlineLevel="2" x14ac:dyDescent="0.25">
      <c r="A1778" s="1079">
        <f t="shared" si="69"/>
        <v>1</v>
      </c>
      <c r="B1778" s="1079" t="s">
        <v>1362</v>
      </c>
      <c r="C1778" s="1079" t="str">
        <f t="shared" si="70"/>
        <v>Pele de vidro</v>
      </c>
      <c r="D1778" s="1079" t="s">
        <v>2098</v>
      </c>
      <c r="E1778" s="1080" t="str">
        <f>_xlfn.XLOOKUP(D1778,Insumos!$B$1:$B$670,Insumos!$C$1:$C$670)</f>
        <v>M2</v>
      </c>
      <c r="F1778" s="1083">
        <v>1</v>
      </c>
      <c r="G1778" s="1081">
        <f>IF(B1778="insumo",_xlfn.XLOOKUP($D1778,Insumos!$B$1:$B$670,Insumos!$D$1:$D$670),"")</f>
        <v>1533.99</v>
      </c>
      <c r="H1778" s="1081" cm="1">
        <f t="array" ref="H1778">_xlfn.IFS(B1778="Serviço",SUMIFS(H1779:$H$2465,C1779:$C$2465,$C1778),B1778="Insumo",F1778*G1778,B1778="Etapa","")</f>
        <v>1533.99</v>
      </c>
      <c r="I1778" s="1082"/>
    </row>
    <row r="1779" spans="1:9" hidden="1" outlineLevel="1" collapsed="1" x14ac:dyDescent="0.25">
      <c r="A1779" s="1079">
        <f t="shared" si="69"/>
        <v>1</v>
      </c>
      <c r="B1779" s="1079" t="s">
        <v>471</v>
      </c>
      <c r="C1779" s="1079" t="str">
        <f t="shared" si="70"/>
        <v>Alçapão de aluminio</v>
      </c>
      <c r="D1779" s="1079" t="s">
        <v>2099</v>
      </c>
      <c r="E1779" s="1080" t="s">
        <v>17</v>
      </c>
      <c r="F1779" s="1079"/>
      <c r="G1779" s="1081" t="str">
        <f>IF(B1779="insumo",_xlfn.XLOOKUP($D1779,Insumos!$B$1:$B$670,Insumos!$D$1:$D$670),"")</f>
        <v/>
      </c>
      <c r="H1779" s="1081" cm="1">
        <f t="array" ref="H1779">_xlfn.IFS(B1779="Serviço",SUMIFS(H1780:$H$2465,C1780:$C$2465,$C1779),B1779="Insumo",F1779*G1779,B1779="Etapa","")</f>
        <v>1014</v>
      </c>
      <c r="I1779" s="1082" t="s">
        <v>872</v>
      </c>
    </row>
    <row r="1780" spans="1:9" hidden="1" outlineLevel="2" x14ac:dyDescent="0.25">
      <c r="A1780" s="1079">
        <f t="shared" si="69"/>
        <v>1</v>
      </c>
      <c r="B1780" s="1079" t="s">
        <v>1362</v>
      </c>
      <c r="C1780" s="1079" t="str">
        <f t="shared" si="70"/>
        <v>Alçapão de aluminio</v>
      </c>
      <c r="D1780" s="1079" t="s">
        <v>2099</v>
      </c>
      <c r="E1780" s="1080" t="str">
        <f>_xlfn.XLOOKUP(D1780,Insumos!$B$1:$B$670,Insumos!$C$1:$C$670)</f>
        <v>un</v>
      </c>
      <c r="F1780" s="1083">
        <v>1</v>
      </c>
      <c r="G1780" s="1081">
        <f>IF(B1780="insumo",_xlfn.XLOOKUP($D1780,Insumos!$B$1:$B$670,Insumos!$D$1:$D$670),"")</f>
        <v>1014</v>
      </c>
      <c r="H1780" s="1081" cm="1">
        <f t="array" ref="H1780">_xlfn.IFS(B1780="Serviço",SUMIFS(H1781:$H$2465,C1781:$C$2465,$C1780),B1780="Insumo",F1780*G1780,B1780="Etapa","")</f>
        <v>1014</v>
      </c>
      <c r="I1780" s="1082"/>
    </row>
    <row r="1781" spans="1:9" hidden="1" outlineLevel="1" collapsed="1" x14ac:dyDescent="0.25">
      <c r="A1781" s="1079">
        <f t="shared" si="69"/>
        <v>1</v>
      </c>
      <c r="B1781" s="1079" t="s">
        <v>471</v>
      </c>
      <c r="C1781" s="1079" t="str">
        <f t="shared" si="70"/>
        <v>Portão de vidro - 85x280 cm</v>
      </c>
      <c r="D1781" s="1079" t="s">
        <v>2100</v>
      </c>
      <c r="E1781" s="1080" t="s">
        <v>17</v>
      </c>
      <c r="F1781" s="1079"/>
      <c r="G1781" s="1081" t="str">
        <f>IF(B1781="insumo",_xlfn.XLOOKUP($D1781,Insumos!$B$1:$B$670,Insumos!$D$1:$D$670),"")</f>
        <v/>
      </c>
      <c r="H1781" s="1081" cm="1">
        <f t="array" ref="H1781">_xlfn.IFS(B1781="Serviço",SUMIFS(H1782:$H$2465,C1782:$C$2465,$C1781),B1781="Insumo",F1781*G1781,B1781="Etapa","")</f>
        <v>3893.2833333333333</v>
      </c>
      <c r="I1781" s="1082" t="s">
        <v>872</v>
      </c>
    </row>
    <row r="1782" spans="1:9" hidden="1" outlineLevel="2" x14ac:dyDescent="0.25">
      <c r="A1782" s="1079">
        <f t="shared" si="69"/>
        <v>1</v>
      </c>
      <c r="B1782" s="1079" t="s">
        <v>1362</v>
      </c>
      <c r="C1782" s="1079" t="str">
        <f t="shared" si="70"/>
        <v>Portão de vidro - 85x280 cm</v>
      </c>
      <c r="D1782" s="1079" t="s">
        <v>2100</v>
      </c>
      <c r="E1782" s="1080" t="str">
        <f>_xlfn.XLOOKUP(D1782,Insumos!$B$1:$B$670,Insumos!$C$1:$C$670)</f>
        <v>M2</v>
      </c>
      <c r="F1782" s="1083">
        <v>1</v>
      </c>
      <c r="G1782" s="1081">
        <f>IF(B1782="insumo",_xlfn.XLOOKUP($D1782,Insumos!$B$1:$B$670,Insumos!$D$1:$D$670),"")</f>
        <v>3893.2833333333333</v>
      </c>
      <c r="H1782" s="1081" cm="1">
        <f t="array" ref="H1782">_xlfn.IFS(B1782="Serviço",SUMIFS(H1783:$H$2465,C1783:$C$2465,$C1782),B1782="Insumo",F1782*G1782,B1782="Etapa","")</f>
        <v>3893.2833333333333</v>
      </c>
      <c r="I1782" s="1082"/>
    </row>
    <row r="1783" spans="1:9" hidden="1" outlineLevel="1" x14ac:dyDescent="0.25">
      <c r="A1783" s="1079">
        <f t="shared" si="69"/>
        <v>1</v>
      </c>
      <c r="B1783" s="1079" t="s">
        <v>471</v>
      </c>
      <c r="C1783" s="1079" t="str">
        <f t="shared" si="70"/>
        <v>Moldura em alumínio para churrasqueiras - fornecimento e instalação</v>
      </c>
      <c r="D1783" s="1079" t="s">
        <v>2101</v>
      </c>
      <c r="E1783" s="1080" t="s">
        <v>281</v>
      </c>
      <c r="F1783" s="1079"/>
      <c r="G1783" s="1081" t="str">
        <f>IF(B1783="insumo",_xlfn.XLOOKUP($D1783,Insumos!$B$1:$B$670,Insumos!$D$1:$D$670),"")</f>
        <v/>
      </c>
      <c r="H1783" s="1081" cm="1">
        <f t="array" ref="H1783">_xlfn.IFS(B1783="Serviço",SUMIFS(H1784:$H$2465,C1784:$C$2465,$C1783),B1783="Insumo",F1783*G1783,B1783="Etapa","")</f>
        <v>530</v>
      </c>
      <c r="I1783" s="1082" t="s">
        <v>872</v>
      </c>
    </row>
    <row r="1784" spans="1:9" hidden="1" outlineLevel="2" x14ac:dyDescent="0.25">
      <c r="A1784" s="1079">
        <f t="shared" si="69"/>
        <v>1</v>
      </c>
      <c r="B1784" s="1079" t="s">
        <v>1362</v>
      </c>
      <c r="C1784" s="1079" t="str">
        <f t="shared" si="70"/>
        <v>Moldura em alumínio para churrasqueiras - fornecimento e instalação</v>
      </c>
      <c r="D1784" s="1079" t="s">
        <v>2101</v>
      </c>
      <c r="E1784" s="1080" t="str">
        <f>_xlfn.XLOOKUP(D1784,Insumos!$B$1:$B$670,Insumos!$C$1:$C$670)</f>
        <v>M</v>
      </c>
      <c r="F1784" s="1083">
        <v>1</v>
      </c>
      <c r="G1784" s="1081">
        <f>IF(B1784="insumo",_xlfn.XLOOKUP($D1784,Insumos!$B$1:$B$670,Insumos!$D$1:$D$670),"")</f>
        <v>530</v>
      </c>
      <c r="H1784" s="1081" cm="1">
        <f t="array" ref="H1784">_xlfn.IFS(B1784="Serviço",SUMIFS(H1785:$H$2465,C1785:$C$2465,$C1784),B1784="Insumo",F1784*G1784,B1784="Etapa","")</f>
        <v>530</v>
      </c>
      <c r="I1784" s="1082"/>
    </row>
    <row r="1785" spans="1:9" hidden="1" outlineLevel="1" collapsed="1" x14ac:dyDescent="0.25">
      <c r="A1785" s="1079">
        <f t="shared" si="69"/>
        <v>1</v>
      </c>
      <c r="B1785" s="1079" t="s">
        <v>471</v>
      </c>
      <c r="C1785" s="1079" t="str">
        <f t="shared" si="70"/>
        <v>Enchimento - Esquadrias</v>
      </c>
      <c r="D1785" s="1079" t="s">
        <v>2102</v>
      </c>
      <c r="E1785" s="1080" t="s">
        <v>1426</v>
      </c>
      <c r="F1785" s="1079"/>
      <c r="G1785" s="1081" t="str">
        <f>IF(B1785="insumo",_xlfn.XLOOKUP($D1785,Insumos!$B$1:$B$670,Insumos!$D$1:$D$670),"")</f>
        <v/>
      </c>
      <c r="H1785" s="1081" cm="1">
        <f t="array" ref="H1785">_xlfn.IFS(B1785="Serviço",SUMIFS(H1786:$H$2465,C1786:$C$2465,$C1785),B1785="Insumo",F1785*G1785,B1785="Etapa","")</f>
        <v>1478.7500000000002</v>
      </c>
      <c r="I1785" s="1082" t="s">
        <v>872</v>
      </c>
    </row>
    <row r="1786" spans="1:9" hidden="1" outlineLevel="2" x14ac:dyDescent="0.25">
      <c r="A1786" s="1079">
        <f t="shared" si="69"/>
        <v>12</v>
      </c>
      <c r="B1786" s="1079" t="s">
        <v>1362</v>
      </c>
      <c r="C1786" s="1079" t="str">
        <f t="shared" si="70"/>
        <v>Enchimento - Esquadrias</v>
      </c>
      <c r="D1786" s="1079" t="s">
        <v>1612</v>
      </c>
      <c r="E1786" s="1080" t="str">
        <f>_xlfn.XLOOKUP(D1786,Insumos!$B$1:$B$670,Insumos!$C$1:$C$670)</f>
        <v>M3</v>
      </c>
      <c r="F1786" s="1083">
        <v>0.35</v>
      </c>
      <c r="G1786" s="1081">
        <f>IF(B1786="insumo",_xlfn.XLOOKUP($D1786,Insumos!$B$1:$B$670,Insumos!$D$1:$D$670),"")</f>
        <v>425</v>
      </c>
      <c r="H1786" s="1081" cm="1">
        <f t="array" ref="H1786">_xlfn.IFS(B1786="Serviço",SUMIFS(H1787:$H$2465,C1787:$C$2465,$C1786),B1786="Insumo",F1786*G1786,B1786="Etapa","")</f>
        <v>148.75</v>
      </c>
      <c r="I1786" s="1082"/>
    </row>
    <row r="1787" spans="1:9" hidden="1" outlineLevel="2" x14ac:dyDescent="0.25">
      <c r="A1787" s="1079">
        <f t="shared" si="69"/>
        <v>3</v>
      </c>
      <c r="B1787" s="1079" t="s">
        <v>1362</v>
      </c>
      <c r="C1787" s="1079" t="str">
        <f t="shared" si="70"/>
        <v>Enchimento - Esquadrias</v>
      </c>
      <c r="D1787" s="1079" t="s">
        <v>1667</v>
      </c>
      <c r="E1787" s="1080" t="str">
        <f>_xlfn.XLOOKUP(D1787,Insumos!$B$1:$B$670,Insumos!$C$1:$C$670)</f>
        <v>KG</v>
      </c>
      <c r="F1787" s="1083">
        <v>7.0000000000000009</v>
      </c>
      <c r="G1787" s="1081">
        <f>IF(B1787="insumo",_xlfn.XLOOKUP($D1787,Insumos!$B$1:$B$670,Insumos!$D$1:$D$670),"")</f>
        <v>190</v>
      </c>
      <c r="H1787" s="1081" cm="1">
        <f t="array" ref="H1787">_xlfn.IFS(B1787="Serviço",SUMIFS(H1788:$H$2465,C1788:$C$2465,$C1787),B1787="Insumo",F1787*G1787,B1787="Etapa","")</f>
        <v>1330.0000000000002</v>
      </c>
      <c r="I1787" s="1082"/>
    </row>
    <row r="1788" spans="1:9" hidden="1" outlineLevel="1" collapsed="1" x14ac:dyDescent="0.25">
      <c r="A1788" s="1079">
        <f t="shared" si="69"/>
        <v>1</v>
      </c>
      <c r="B1788" s="1079" t="s">
        <v>471</v>
      </c>
      <c r="C1788" s="1079" t="str">
        <f t="shared" si="70"/>
        <v>Corrimão de Madeira - fornecimento e instalação</v>
      </c>
      <c r="D1788" s="1079" t="s">
        <v>2103</v>
      </c>
      <c r="E1788" s="1080" t="s">
        <v>281</v>
      </c>
      <c r="F1788" s="1079"/>
      <c r="G1788" s="1081" t="str">
        <f>IF(B1788="insumo",_xlfn.XLOOKUP($D1788,Insumos!$B$1:$B$670,Insumos!$D$1:$D$670),"")</f>
        <v/>
      </c>
      <c r="H1788" s="1081" cm="1">
        <f t="array" ref="H1788">_xlfn.IFS(B1788="Serviço",SUMIFS(H1789:$H$2465,C1789:$C$2465,$C1788),B1788="Insumo",F1788*G1788,B1788="Etapa","")</f>
        <v>80</v>
      </c>
      <c r="I1788" s="1082" t="s">
        <v>872</v>
      </c>
    </row>
    <row r="1789" spans="1:9" hidden="1" outlineLevel="2" x14ac:dyDescent="0.25">
      <c r="A1789" s="1079">
        <f t="shared" si="69"/>
        <v>1</v>
      </c>
      <c r="B1789" s="1079" t="s">
        <v>1362</v>
      </c>
      <c r="C1789" s="1079" t="str">
        <f t="shared" si="70"/>
        <v>Corrimão de Madeira - fornecimento e instalação</v>
      </c>
      <c r="D1789" s="1079" t="s">
        <v>2103</v>
      </c>
      <c r="E1789" s="1080" t="str">
        <f>_xlfn.XLOOKUP(D1789,Insumos!$B$1:$B$670,Insumos!$C$1:$C$670)</f>
        <v>M</v>
      </c>
      <c r="F1789" s="1083">
        <v>1</v>
      </c>
      <c r="G1789" s="1081">
        <f>IF(B1789="insumo",_xlfn.XLOOKUP($D1789,Insumos!$B$1:$B$670,Insumos!$D$1:$D$670),"")</f>
        <v>80</v>
      </c>
      <c r="H1789" s="1081" cm="1">
        <f t="array" ref="H1789">_xlfn.IFS(B1789="Serviço",SUMIFS(H1790:$H$2465,C1790:$C$2465,$C1789),B1789="Insumo",F1789*G1789,B1789="Etapa","")</f>
        <v>80</v>
      </c>
      <c r="I1789" s="1082"/>
    </row>
    <row r="1790" spans="1:9" hidden="1" outlineLevel="1" collapsed="1" x14ac:dyDescent="0.25">
      <c r="A1790" s="1079">
        <f t="shared" si="69"/>
        <v>1</v>
      </c>
      <c r="B1790" s="1079" t="s">
        <v>471</v>
      </c>
      <c r="C1790" s="1079" t="str">
        <f t="shared" si="70"/>
        <v>Corrimão de inox - fornecimento e instalação</v>
      </c>
      <c r="D1790" s="1079" t="s">
        <v>2104</v>
      </c>
      <c r="E1790" s="1080" t="s">
        <v>281</v>
      </c>
      <c r="F1790" s="1079"/>
      <c r="G1790" s="1081" t="str">
        <f>IF(B1790="insumo",_xlfn.XLOOKUP($D1790,Insumos!$B$1:$B$670,Insumos!$D$1:$D$670),"")</f>
        <v/>
      </c>
      <c r="H1790" s="1081" cm="1">
        <f t="array" ref="H1790">_xlfn.IFS(B1790="Serviço",SUMIFS(H1791:$H$2465,C1791:$C$2465,$C1790),B1790="Insumo",F1790*G1790,B1790="Etapa","")</f>
        <v>650</v>
      </c>
      <c r="I1790" s="1082" t="s">
        <v>872</v>
      </c>
    </row>
    <row r="1791" spans="1:9" hidden="1" outlineLevel="2" x14ac:dyDescent="0.25">
      <c r="A1791" s="1079">
        <f t="shared" si="69"/>
        <v>1</v>
      </c>
      <c r="B1791" s="1079" t="s">
        <v>1362</v>
      </c>
      <c r="C1791" s="1079" t="str">
        <f t="shared" si="70"/>
        <v>Corrimão de inox - fornecimento e instalação</v>
      </c>
      <c r="D1791" s="1079" t="s">
        <v>2104</v>
      </c>
      <c r="E1791" s="1080" t="str">
        <f>_xlfn.XLOOKUP(D1791,Insumos!$B$1:$B$670,Insumos!$C$1:$C$670)</f>
        <v>M</v>
      </c>
      <c r="F1791" s="1083">
        <v>1</v>
      </c>
      <c r="G1791" s="1081">
        <f>IF(B1791="insumo",_xlfn.XLOOKUP($D1791,Insumos!$B$1:$B$670,Insumos!$D$1:$D$670),"")</f>
        <v>650</v>
      </c>
      <c r="H1791" s="1081" cm="1">
        <f t="array" ref="H1791">_xlfn.IFS(B1791="Serviço",SUMIFS(H1792:$H$2465,C1792:$C$2465,$C1791),B1791="Insumo",F1791*G1791,B1791="Etapa","")</f>
        <v>650</v>
      </c>
      <c r="I1791" s="1082"/>
    </row>
    <row r="1792" spans="1:9" hidden="1" outlineLevel="1" x14ac:dyDescent="0.25">
      <c r="A1792" s="1079">
        <f t="shared" si="69"/>
        <v>1</v>
      </c>
      <c r="B1792" s="1079" t="s">
        <v>471</v>
      </c>
      <c r="C1792" s="1079" t="str">
        <f t="shared" si="70"/>
        <v>Porta de madeira de abrir - 90x210cm (kit completo) com painel ripado - fixação com espuma expansiva</v>
      </c>
      <c r="D1792" s="1079" t="s">
        <v>2585</v>
      </c>
      <c r="E1792" s="1080" t="s">
        <v>17</v>
      </c>
      <c r="F1792" s="1079"/>
      <c r="G1792" s="1081" t="str">
        <f>IF(B1792="insumo",_xlfn.XLOOKUP($D1792,Insumos!$B$1:$B$670,Insumos!$D$1:$D$670),"")</f>
        <v/>
      </c>
      <c r="H1792" s="1081" cm="1">
        <f t="array" ref="H1792">_xlfn.IFS(B1792="Serviço",SUMIFS(H1793:$H$2465,C1793:$C$2465,$C1792),B1792="Insumo",F1792*G1792,B1792="Etapa","")</f>
        <v>2770.027593038064</v>
      </c>
      <c r="I1792" s="1082" t="s">
        <v>872</v>
      </c>
    </row>
    <row r="1793" spans="1:9" hidden="1" outlineLevel="2" x14ac:dyDescent="0.25">
      <c r="A1793" s="1079">
        <f t="shared" si="69"/>
        <v>2</v>
      </c>
      <c r="B1793" s="1079" t="s">
        <v>1362</v>
      </c>
      <c r="C1793" s="1079" t="str">
        <f t="shared" si="70"/>
        <v>Porta de madeira de abrir - 90x210cm (kit completo) com painel ripado - fixação com espuma expansiva</v>
      </c>
      <c r="D1793" s="1079" t="s">
        <v>2119</v>
      </c>
      <c r="E1793" s="1080" t="str">
        <f>_xlfn.XLOOKUP(D1793,Insumos!$B$1:$B$670,Insumos!$C$1:$C$670)</f>
        <v>M2</v>
      </c>
      <c r="F1793" s="1083">
        <v>1</v>
      </c>
      <c r="G1793" s="1081">
        <f>IF(B1793="insumo",_xlfn.XLOOKUP($D1793,Insumos!$B$1:$B$670,Insumos!$D$1:$D$670),"")</f>
        <v>1300</v>
      </c>
      <c r="H1793" s="1081" cm="1">
        <f t="array" ref="H1793">_xlfn.IFS(B1793="Serviço",SUMIFS(H1794:$H$2465,C1794:$C$2465,$C1793),B1793="Insumo",F1793*G1793,B1793="Etapa","")</f>
        <v>1300</v>
      </c>
      <c r="I1793" s="1082"/>
    </row>
    <row r="1794" spans="1:9" hidden="1" outlineLevel="2" x14ac:dyDescent="0.25">
      <c r="A1794" s="1079">
        <f t="shared" ref="A1794:A1857" si="71">COUNTIFS($D$2:$D$2465,D1794,$B$2:$B$2465,B1794)</f>
        <v>2</v>
      </c>
      <c r="B1794" s="1079" t="s">
        <v>1362</v>
      </c>
      <c r="C1794" s="1079" t="str">
        <f>IF(B1794="serviço",D1794,C1792)</f>
        <v>Porta de madeira de abrir - 90x210cm (kit completo) com painel ripado - fixação com espuma expansiva</v>
      </c>
      <c r="D1794" s="1079" t="s">
        <v>2095</v>
      </c>
      <c r="E1794" s="1080" t="str">
        <f>_xlfn.XLOOKUP(D1794,Insumos!$B$1:$B$670,Insumos!$C$1:$C$670)</f>
        <v>M2</v>
      </c>
      <c r="F1794" s="1083">
        <v>1</v>
      </c>
      <c r="G1794" s="1081">
        <f>IF(B1794="insumo",_xlfn.XLOOKUP($D1794,Insumos!$B$1:$B$670,Insumos!$D$1:$D$670),"")</f>
        <v>1415.0275930380642</v>
      </c>
      <c r="H1794" s="1081" cm="1">
        <f t="array" ref="H1794">_xlfn.IFS(B1794="Serviço",SUMIFS(H1795:$H$2465,C1795:$C$2465,$C1794),B1794="Insumo",F1794*G1794,B1794="Etapa","")</f>
        <v>1415.0275930380642</v>
      </c>
      <c r="I1794" s="1082"/>
    </row>
    <row r="1795" spans="1:9" hidden="1" outlineLevel="2" x14ac:dyDescent="0.25">
      <c r="A1795" s="1079">
        <f t="shared" si="71"/>
        <v>15</v>
      </c>
      <c r="B1795" s="1079" t="s">
        <v>1362</v>
      </c>
      <c r="C1795" s="1079" t="str">
        <f>IF(B1795="serviço",D1795,C1793)</f>
        <v>Porta de madeira de abrir - 90x210cm (kit completo) com painel ripado - fixação com espuma expansiva</v>
      </c>
      <c r="D1795" s="1079" t="s">
        <v>2107</v>
      </c>
      <c r="E1795" s="1080" t="str">
        <f>_xlfn.XLOOKUP(D1795,Insumos!$B$1:$B$670,Insumos!$C$1:$C$670)</f>
        <v>un</v>
      </c>
      <c r="F1795" s="1083">
        <v>1</v>
      </c>
      <c r="G1795" s="1081">
        <f>IF(B1795="insumo",_xlfn.XLOOKUP($D1795,Insumos!$B$1:$B$670,Insumos!$D$1:$D$670),"")</f>
        <v>55</v>
      </c>
      <c r="H1795" s="1081" cm="1">
        <f t="array" ref="H1795">_xlfn.IFS(B1795="Serviço",SUMIFS(H1796:$H$2465,C1796:$C$2465,$C1795),B1795="Insumo",F1795*G1795,B1795="Etapa","")</f>
        <v>55</v>
      </c>
      <c r="I1795" s="1082"/>
    </row>
    <row r="1796" spans="1:9" hidden="1" outlineLevel="1" x14ac:dyDescent="0.25">
      <c r="A1796" s="1079">
        <f t="shared" si="71"/>
        <v>1</v>
      </c>
      <c r="B1796" s="1079" t="s">
        <v>471</v>
      </c>
      <c r="C1796" s="1079" t="str">
        <f t="shared" si="70"/>
        <v>Porta de madeira de abrir - 60x150cm (kit completo) - fixação com espuma expansiva</v>
      </c>
      <c r="D1796" s="1079" t="s">
        <v>2105</v>
      </c>
      <c r="E1796" s="1080" t="s">
        <v>17</v>
      </c>
      <c r="F1796" s="1079"/>
      <c r="G1796" s="1081" t="str">
        <f>IF(B1796="insumo",_xlfn.XLOOKUP($D1796,Insumos!$B$1:$B$670,Insumos!$D$1:$D$670),"")</f>
        <v/>
      </c>
      <c r="H1796" s="1081" cm="1">
        <f t="array" ref="H1796">_xlfn.IFS(B1796="Serviço",SUMIFS(H1797:$H$2465,C1797:$C$2465,$C1796),B1796="Insumo",F1796*G1796,B1796="Etapa","")</f>
        <v>1055</v>
      </c>
      <c r="I1796" s="1082" t="s">
        <v>872</v>
      </c>
    </row>
    <row r="1797" spans="1:9" hidden="1" outlineLevel="2" x14ac:dyDescent="0.25">
      <c r="A1797" s="1079">
        <f t="shared" si="71"/>
        <v>1</v>
      </c>
      <c r="B1797" s="1079" t="s">
        <v>1362</v>
      </c>
      <c r="C1797" s="1079" t="str">
        <f t="shared" si="70"/>
        <v>Porta de madeira de abrir - 60x150cm (kit completo) - fixação com espuma expansiva</v>
      </c>
      <c r="D1797" s="1079" t="s">
        <v>2106</v>
      </c>
      <c r="E1797" s="1080" t="str">
        <f>_xlfn.XLOOKUP(D1797,Insumos!$B$1:$B$670,Insumos!$C$1:$C$670)</f>
        <v>M2</v>
      </c>
      <c r="F1797" s="1083">
        <v>1</v>
      </c>
      <c r="G1797" s="1081">
        <f>IF(B1797="insumo",_xlfn.XLOOKUP($D1797,Insumos!$B$1:$B$670,Insumos!$D$1:$D$670),"")</f>
        <v>1000</v>
      </c>
      <c r="H1797" s="1081" cm="1">
        <f t="array" ref="H1797">_xlfn.IFS(B1797="Serviço",SUMIFS(H1798:$H$2465,C1798:$C$2465,$C1797),B1797="Insumo",F1797*G1797,B1797="Etapa","")</f>
        <v>1000</v>
      </c>
      <c r="I1797" s="1082"/>
    </row>
    <row r="1798" spans="1:9" hidden="1" outlineLevel="2" x14ac:dyDescent="0.25">
      <c r="A1798" s="1079">
        <f t="shared" si="71"/>
        <v>15</v>
      </c>
      <c r="B1798" s="1079" t="s">
        <v>1362</v>
      </c>
      <c r="C1798" s="1079" t="str">
        <f t="shared" si="70"/>
        <v>Porta de madeira de abrir - 60x150cm (kit completo) - fixação com espuma expansiva</v>
      </c>
      <c r="D1798" s="1079" t="s">
        <v>2107</v>
      </c>
      <c r="E1798" s="1080" t="str">
        <f>_xlfn.XLOOKUP(D1798,Insumos!$B$1:$B$670,Insumos!$C$1:$C$670)</f>
        <v>un</v>
      </c>
      <c r="F1798" s="1083">
        <v>1</v>
      </c>
      <c r="G1798" s="1081">
        <f>IF(B1798="insumo",_xlfn.XLOOKUP($D1798,Insumos!$B$1:$B$670,Insumos!$D$1:$D$670),"")</f>
        <v>55</v>
      </c>
      <c r="H1798" s="1081" cm="1">
        <f t="array" ref="H1798">_xlfn.IFS(B1798="Serviço",SUMIFS(H1799:$H$2465,C1799:$C$2465,$C1798),B1798="Insumo",F1798*G1798,B1798="Etapa","")</f>
        <v>55</v>
      </c>
      <c r="I1798" s="1082"/>
    </row>
    <row r="1799" spans="1:9" hidden="1" outlineLevel="1" x14ac:dyDescent="0.25">
      <c r="A1799" s="1079">
        <f t="shared" si="71"/>
        <v>1</v>
      </c>
      <c r="B1799" s="1079" t="s">
        <v>471</v>
      </c>
      <c r="C1799" s="1079" t="str">
        <f t="shared" si="70"/>
        <v>Porta de madeira de abrir - 60x215cm (kit completo) - fixação com espuma expansiva</v>
      </c>
      <c r="D1799" s="1079" t="s">
        <v>2108</v>
      </c>
      <c r="E1799" s="1080" t="s">
        <v>17</v>
      </c>
      <c r="F1799" s="1079"/>
      <c r="G1799" s="1081" t="str">
        <f>IF(B1799="insumo",_xlfn.XLOOKUP($D1799,Insumos!$B$1:$B$670,Insumos!$D$1:$D$670),"")</f>
        <v/>
      </c>
      <c r="H1799" s="1081" cm="1">
        <f t="array" ref="H1799">_xlfn.IFS(B1799="Serviço",SUMIFS(H1800:$H$2465,C1800:$C$2465,$C1799),B1799="Insumo",F1799*G1799,B1799="Etapa","")</f>
        <v>1355</v>
      </c>
      <c r="I1799" s="1082" t="s">
        <v>872</v>
      </c>
    </row>
    <row r="1800" spans="1:9" hidden="1" outlineLevel="2" x14ac:dyDescent="0.25">
      <c r="A1800" s="1079">
        <f t="shared" si="71"/>
        <v>1</v>
      </c>
      <c r="B1800" s="1079" t="s">
        <v>1362</v>
      </c>
      <c r="C1800" s="1079" t="str">
        <f t="shared" si="70"/>
        <v>Porta de madeira de abrir - 60x215cm (kit completo) - fixação com espuma expansiva</v>
      </c>
      <c r="D1800" s="1079" t="s">
        <v>2109</v>
      </c>
      <c r="E1800" s="1080" t="str">
        <f>_xlfn.XLOOKUP(D1800,Insumos!$B$1:$B$670,Insumos!$C$1:$C$670)</f>
        <v>M2</v>
      </c>
      <c r="F1800" s="1083">
        <v>1</v>
      </c>
      <c r="G1800" s="1081">
        <f>IF(B1800="insumo",_xlfn.XLOOKUP($D1800,Insumos!$B$1:$B$670,Insumos!$D$1:$D$670),"")</f>
        <v>1300</v>
      </c>
      <c r="H1800" s="1081" cm="1">
        <f t="array" ref="H1800">_xlfn.IFS(B1800="Serviço",SUMIFS(H1801:$H$2465,C1801:$C$2465,$C1800),B1800="Insumo",F1800*G1800,B1800="Etapa","")</f>
        <v>1300</v>
      </c>
      <c r="I1800" s="1082"/>
    </row>
    <row r="1801" spans="1:9" hidden="1" outlineLevel="2" x14ac:dyDescent="0.25">
      <c r="A1801" s="1079">
        <f t="shared" si="71"/>
        <v>15</v>
      </c>
      <c r="B1801" s="1079" t="s">
        <v>1362</v>
      </c>
      <c r="C1801" s="1079" t="str">
        <f t="shared" si="70"/>
        <v>Porta de madeira de abrir - 60x215cm (kit completo) - fixação com espuma expansiva</v>
      </c>
      <c r="D1801" s="1079" t="s">
        <v>2107</v>
      </c>
      <c r="E1801" s="1080" t="str">
        <f>_xlfn.XLOOKUP(D1801,Insumos!$B$1:$B$670,Insumos!$C$1:$C$670)</f>
        <v>un</v>
      </c>
      <c r="F1801" s="1083">
        <v>1</v>
      </c>
      <c r="G1801" s="1081">
        <f>IF(B1801="insumo",_xlfn.XLOOKUP($D1801,Insumos!$B$1:$B$670,Insumos!$D$1:$D$670),"")</f>
        <v>55</v>
      </c>
      <c r="H1801" s="1081" cm="1">
        <f t="array" ref="H1801">_xlfn.IFS(B1801="Serviço",SUMIFS(H1802:$H$2465,C1802:$C$2465,$C1801),B1801="Insumo",F1801*G1801,B1801="Etapa","")</f>
        <v>55</v>
      </c>
      <c r="I1801" s="1082"/>
    </row>
    <row r="1802" spans="1:9" hidden="1" outlineLevel="1" x14ac:dyDescent="0.25">
      <c r="A1802" s="1079">
        <f t="shared" si="71"/>
        <v>1</v>
      </c>
      <c r="B1802" s="1079" t="s">
        <v>471</v>
      </c>
      <c r="C1802" s="1079" t="str">
        <f t="shared" si="70"/>
        <v>Porta de madeira de abrir - 70x210cm (kit completo) - fixação com espuma expansiva</v>
      </c>
      <c r="D1802" s="1079" t="s">
        <v>2110</v>
      </c>
      <c r="E1802" s="1080" t="s">
        <v>17</v>
      </c>
      <c r="F1802" s="1079"/>
      <c r="G1802" s="1081" t="str">
        <f>IF(B1802="insumo",_xlfn.XLOOKUP($D1802,Insumos!$B$1:$B$670,Insumos!$D$1:$D$670),"")</f>
        <v/>
      </c>
      <c r="H1802" s="1081" cm="1">
        <f t="array" ref="H1802">_xlfn.IFS(B1802="Serviço",SUMIFS(H1803:$H$2465,C1803:$C$2465,$C1802),B1802="Insumo",F1802*G1802,B1802="Etapa","")</f>
        <v>1355</v>
      </c>
      <c r="I1802" s="1082" t="s">
        <v>872</v>
      </c>
    </row>
    <row r="1803" spans="1:9" hidden="1" outlineLevel="2" x14ac:dyDescent="0.25">
      <c r="A1803" s="1079">
        <f t="shared" si="71"/>
        <v>1</v>
      </c>
      <c r="B1803" s="1079" t="s">
        <v>1362</v>
      </c>
      <c r="C1803" s="1079" t="str">
        <f t="shared" si="70"/>
        <v>Porta de madeira de abrir - 70x210cm (kit completo) - fixação com espuma expansiva</v>
      </c>
      <c r="D1803" s="1079" t="s">
        <v>2111</v>
      </c>
      <c r="E1803" s="1080" t="str">
        <f>_xlfn.XLOOKUP(D1803,Insumos!$B$1:$B$670,Insumos!$C$1:$C$670)</f>
        <v>M2</v>
      </c>
      <c r="F1803" s="1083">
        <v>1</v>
      </c>
      <c r="G1803" s="1081">
        <f>IF(B1803="insumo",_xlfn.XLOOKUP($D1803,Insumos!$B$1:$B$670,Insumos!$D$1:$D$670),"")</f>
        <v>1300</v>
      </c>
      <c r="H1803" s="1081" cm="1">
        <f t="array" ref="H1803">_xlfn.IFS(B1803="Serviço",SUMIFS(H1804:$H$2465,C1804:$C$2465,$C1803),B1803="Insumo",F1803*G1803,B1803="Etapa","")</f>
        <v>1300</v>
      </c>
      <c r="I1803" s="1082"/>
    </row>
    <row r="1804" spans="1:9" hidden="1" outlineLevel="2" x14ac:dyDescent="0.25">
      <c r="A1804" s="1079">
        <f t="shared" si="71"/>
        <v>15</v>
      </c>
      <c r="B1804" s="1079" t="s">
        <v>1362</v>
      </c>
      <c r="C1804" s="1079" t="str">
        <f t="shared" si="70"/>
        <v>Porta de madeira de abrir - 70x210cm (kit completo) - fixação com espuma expansiva</v>
      </c>
      <c r="D1804" s="1079" t="s">
        <v>2107</v>
      </c>
      <c r="E1804" s="1080" t="str">
        <f>_xlfn.XLOOKUP(D1804,Insumos!$B$1:$B$670,Insumos!$C$1:$C$670)</f>
        <v>un</v>
      </c>
      <c r="F1804" s="1083">
        <v>1</v>
      </c>
      <c r="G1804" s="1081">
        <f>IF(B1804="insumo",_xlfn.XLOOKUP($D1804,Insumos!$B$1:$B$670,Insumos!$D$1:$D$670),"")</f>
        <v>55</v>
      </c>
      <c r="H1804" s="1081" cm="1">
        <f t="array" ref="H1804">_xlfn.IFS(B1804="Serviço",SUMIFS(H1805:$H$2465,C1805:$C$2465,$C1804),B1804="Insumo",F1804*G1804,B1804="Etapa","")</f>
        <v>55</v>
      </c>
      <c r="I1804" s="1082"/>
    </row>
    <row r="1805" spans="1:9" hidden="1" outlineLevel="1" collapsed="1" x14ac:dyDescent="0.25">
      <c r="A1805" s="1079">
        <f t="shared" si="71"/>
        <v>1</v>
      </c>
      <c r="B1805" s="1079" t="s">
        <v>471</v>
      </c>
      <c r="C1805" s="1079" t="str">
        <f t="shared" si="70"/>
        <v>Porta de madeira de abrir - 76x210cm (kit completo) - fixação com espuma expansiva</v>
      </c>
      <c r="D1805" s="1079" t="s">
        <v>2112</v>
      </c>
      <c r="E1805" s="1080" t="s">
        <v>17</v>
      </c>
      <c r="F1805" s="1079"/>
      <c r="G1805" s="1081" t="str">
        <f>IF(B1805="insumo",_xlfn.XLOOKUP($D1805,Insumos!$B$1:$B$670,Insumos!$D$1:$D$670),"")</f>
        <v/>
      </c>
      <c r="H1805" s="1081" cm="1">
        <f t="array" ref="H1805">_xlfn.IFS(B1805="Serviço",SUMIFS(H1806:$H$2465,C1806:$C$2465,$C1805),B1805="Insumo",F1805*G1805,B1805="Etapa","")</f>
        <v>1355</v>
      </c>
      <c r="I1805" s="1082" t="s">
        <v>872</v>
      </c>
    </row>
    <row r="1806" spans="1:9" hidden="1" outlineLevel="2" x14ac:dyDescent="0.25">
      <c r="A1806" s="1079">
        <f t="shared" si="71"/>
        <v>1</v>
      </c>
      <c r="B1806" s="1079" t="s">
        <v>1362</v>
      </c>
      <c r="C1806" s="1079" t="str">
        <f t="shared" si="70"/>
        <v>Porta de madeira de abrir - 76x210cm (kit completo) - fixação com espuma expansiva</v>
      </c>
      <c r="D1806" s="1079" t="s">
        <v>2113</v>
      </c>
      <c r="E1806" s="1080" t="str">
        <f>_xlfn.XLOOKUP(D1806,Insumos!$B$1:$B$670,Insumos!$C$1:$C$670)</f>
        <v>M2</v>
      </c>
      <c r="F1806" s="1083">
        <v>1</v>
      </c>
      <c r="G1806" s="1081">
        <f>IF(B1806="insumo",_xlfn.XLOOKUP($D1806,Insumos!$B$1:$B$670,Insumos!$D$1:$D$670),"")</f>
        <v>1300</v>
      </c>
      <c r="H1806" s="1081" cm="1">
        <f t="array" ref="H1806">_xlfn.IFS(B1806="Serviço",SUMIFS(H1807:$H$2465,C1807:$C$2465,$C1806),B1806="Insumo",F1806*G1806,B1806="Etapa","")</f>
        <v>1300</v>
      </c>
      <c r="I1806" s="1082"/>
    </row>
    <row r="1807" spans="1:9" hidden="1" outlineLevel="2" x14ac:dyDescent="0.25">
      <c r="A1807" s="1079">
        <f t="shared" si="71"/>
        <v>15</v>
      </c>
      <c r="B1807" s="1079" t="s">
        <v>1362</v>
      </c>
      <c r="C1807" s="1079" t="str">
        <f t="shared" si="70"/>
        <v>Porta de madeira de abrir - 76x210cm (kit completo) - fixação com espuma expansiva</v>
      </c>
      <c r="D1807" s="1079" t="s">
        <v>2107</v>
      </c>
      <c r="E1807" s="1080" t="str">
        <f>_xlfn.XLOOKUP(D1807,Insumos!$B$1:$B$670,Insumos!$C$1:$C$670)</f>
        <v>un</v>
      </c>
      <c r="F1807" s="1083">
        <v>1</v>
      </c>
      <c r="G1807" s="1081">
        <f>IF(B1807="insumo",_xlfn.XLOOKUP($D1807,Insumos!$B$1:$B$670,Insumos!$D$1:$D$670),"")</f>
        <v>55</v>
      </c>
      <c r="H1807" s="1081" cm="1">
        <f t="array" ref="H1807">_xlfn.IFS(B1807="Serviço",SUMIFS(H1808:$H$2465,C1808:$C$2465,$C1807),B1807="Insumo",F1807*G1807,B1807="Etapa","")</f>
        <v>55</v>
      </c>
      <c r="I1807" s="1082"/>
    </row>
    <row r="1808" spans="1:9" hidden="1" outlineLevel="1" collapsed="1" x14ac:dyDescent="0.25">
      <c r="A1808" s="1079">
        <f t="shared" si="71"/>
        <v>1</v>
      </c>
      <c r="B1808" s="1079" t="s">
        <v>471</v>
      </c>
      <c r="C1808" s="1079" t="str">
        <f t="shared" si="70"/>
        <v>Porta de madeira de abrir - 80x215cm (kit completo) - fixação com espuma expansiva</v>
      </c>
      <c r="D1808" s="1079" t="s">
        <v>2114</v>
      </c>
      <c r="E1808" s="1080" t="s">
        <v>17</v>
      </c>
      <c r="F1808" s="1079"/>
      <c r="G1808" s="1081" t="str">
        <f>IF(B1808="insumo",_xlfn.XLOOKUP($D1808,Insumos!$B$1:$B$670,Insumos!$D$1:$D$670),"")</f>
        <v/>
      </c>
      <c r="H1808" s="1081" cm="1">
        <f t="array" ref="H1808">_xlfn.IFS(B1808="Serviço",SUMIFS(H1809:$H$2465,C1809:$C$2465,$C1808),B1808="Insumo",F1808*G1808,B1808="Etapa","")</f>
        <v>1355</v>
      </c>
      <c r="I1808" s="1082" t="s">
        <v>872</v>
      </c>
    </row>
    <row r="1809" spans="1:9" hidden="1" outlineLevel="2" x14ac:dyDescent="0.25">
      <c r="A1809" s="1079">
        <f t="shared" si="71"/>
        <v>1</v>
      </c>
      <c r="B1809" s="1079" t="s">
        <v>1362</v>
      </c>
      <c r="C1809" s="1079" t="str">
        <f t="shared" si="70"/>
        <v>Porta de madeira de abrir - 80x215cm (kit completo) - fixação com espuma expansiva</v>
      </c>
      <c r="D1809" s="1079" t="s">
        <v>2115</v>
      </c>
      <c r="E1809" s="1080" t="str">
        <f>_xlfn.XLOOKUP(D1809,Insumos!$B$1:$B$670,Insumos!$C$1:$C$670)</f>
        <v>M2</v>
      </c>
      <c r="F1809" s="1083">
        <v>1</v>
      </c>
      <c r="G1809" s="1081">
        <f>IF(B1809="insumo",_xlfn.XLOOKUP($D1809,Insumos!$B$1:$B$670,Insumos!$D$1:$D$670),"")</f>
        <v>1300</v>
      </c>
      <c r="H1809" s="1081" cm="1">
        <f t="array" ref="H1809">_xlfn.IFS(B1809="Serviço",SUMIFS(H1810:$H$2465,C1810:$C$2465,$C1809),B1809="Insumo",F1809*G1809,B1809="Etapa","")</f>
        <v>1300</v>
      </c>
      <c r="I1809" s="1082"/>
    </row>
    <row r="1810" spans="1:9" hidden="1" outlineLevel="2" x14ac:dyDescent="0.25">
      <c r="A1810" s="1079">
        <f t="shared" si="71"/>
        <v>15</v>
      </c>
      <c r="B1810" s="1079" t="s">
        <v>1362</v>
      </c>
      <c r="C1810" s="1079" t="str">
        <f t="shared" si="70"/>
        <v>Porta de madeira de abrir - 80x215cm (kit completo) - fixação com espuma expansiva</v>
      </c>
      <c r="D1810" s="1079" t="s">
        <v>2107</v>
      </c>
      <c r="E1810" s="1080" t="str">
        <f>_xlfn.XLOOKUP(D1810,Insumos!$B$1:$B$670,Insumos!$C$1:$C$670)</f>
        <v>un</v>
      </c>
      <c r="F1810" s="1083">
        <v>1</v>
      </c>
      <c r="G1810" s="1081">
        <f>IF(B1810="insumo",_xlfn.XLOOKUP($D1810,Insumos!$B$1:$B$670,Insumos!$D$1:$D$670),"")</f>
        <v>55</v>
      </c>
      <c r="H1810" s="1081" cm="1">
        <f t="array" ref="H1810">_xlfn.IFS(B1810="Serviço",SUMIFS(H1811:$H$2465,C1811:$C$2465,$C1810),B1810="Insumo",F1810*G1810,B1810="Etapa","")</f>
        <v>55</v>
      </c>
      <c r="I1810" s="1082"/>
    </row>
    <row r="1811" spans="1:9" hidden="1" outlineLevel="1" x14ac:dyDescent="0.25">
      <c r="A1811" s="1079">
        <f t="shared" si="71"/>
        <v>1</v>
      </c>
      <c r="B1811" s="1079" t="s">
        <v>471</v>
      </c>
      <c r="C1811" s="1079" t="str">
        <f t="shared" si="70"/>
        <v>Porta de madeira de abrir - 60x210cm (kit completo) - fixação com espuma expansiva</v>
      </c>
      <c r="D1811" s="1079" t="s">
        <v>2116</v>
      </c>
      <c r="E1811" s="1080" t="s">
        <v>17</v>
      </c>
      <c r="F1811" s="1079"/>
      <c r="G1811" s="1081" t="str">
        <f>IF(B1811="insumo",_xlfn.XLOOKUP($D1811,Insumos!$B$1:$B$670,Insumos!$D$1:$D$670),"")</f>
        <v/>
      </c>
      <c r="H1811" s="1081" cm="1">
        <f t="array" ref="H1811">_xlfn.IFS(B1811="Serviço",SUMIFS(H1812:$H$2465,C1812:$C$2465,$C1811),B1811="Insumo",F1811*G1811,B1811="Etapa","")</f>
        <v>1355</v>
      </c>
      <c r="I1811" s="1082" t="s">
        <v>872</v>
      </c>
    </row>
    <row r="1812" spans="1:9" hidden="1" outlineLevel="2" x14ac:dyDescent="0.25">
      <c r="A1812" s="1079">
        <f t="shared" si="71"/>
        <v>1</v>
      </c>
      <c r="B1812" s="1079" t="s">
        <v>1362</v>
      </c>
      <c r="C1812" s="1079" t="str">
        <f t="shared" si="70"/>
        <v>Porta de madeira de abrir - 60x210cm (kit completo) - fixação com espuma expansiva</v>
      </c>
      <c r="D1812" s="1079" t="s">
        <v>2117</v>
      </c>
      <c r="E1812" s="1080" t="str">
        <f>_xlfn.XLOOKUP(D1812,Insumos!$B$1:$B$670,Insumos!$C$1:$C$670)</f>
        <v>M2</v>
      </c>
      <c r="F1812" s="1083">
        <v>1</v>
      </c>
      <c r="G1812" s="1081">
        <f>IF(B1812="insumo",_xlfn.XLOOKUP($D1812,Insumos!$B$1:$B$670,Insumos!$D$1:$D$670),"")</f>
        <v>1300</v>
      </c>
      <c r="H1812" s="1081" cm="1">
        <f t="array" ref="H1812">_xlfn.IFS(B1812="Serviço",SUMIFS(H1813:$H$2465,C1813:$C$2465,$C1812),B1812="Insumo",F1812*G1812,B1812="Etapa","")</f>
        <v>1300</v>
      </c>
      <c r="I1812" s="1082"/>
    </row>
    <row r="1813" spans="1:9" hidden="1" outlineLevel="2" x14ac:dyDescent="0.25">
      <c r="A1813" s="1079">
        <f t="shared" si="71"/>
        <v>15</v>
      </c>
      <c r="B1813" s="1079" t="s">
        <v>1362</v>
      </c>
      <c r="C1813" s="1079" t="str">
        <f t="shared" si="70"/>
        <v>Porta de madeira de abrir - 60x210cm (kit completo) - fixação com espuma expansiva</v>
      </c>
      <c r="D1813" s="1079" t="s">
        <v>2107</v>
      </c>
      <c r="E1813" s="1080" t="str">
        <f>_xlfn.XLOOKUP(D1813,Insumos!$B$1:$B$670,Insumos!$C$1:$C$670)</f>
        <v>un</v>
      </c>
      <c r="F1813" s="1083">
        <v>1</v>
      </c>
      <c r="G1813" s="1081">
        <f>IF(B1813="insumo",_xlfn.XLOOKUP($D1813,Insumos!$B$1:$B$670,Insumos!$D$1:$D$670),"")</f>
        <v>55</v>
      </c>
      <c r="H1813" s="1081" cm="1">
        <f t="array" ref="H1813">_xlfn.IFS(B1813="Serviço",SUMIFS(H1814:$H$2465,C1814:$C$2465,$C1813),B1813="Insumo",F1813*G1813,B1813="Etapa","")</f>
        <v>55</v>
      </c>
      <c r="I1813" s="1082"/>
    </row>
    <row r="1814" spans="1:9" hidden="1" outlineLevel="1" x14ac:dyDescent="0.25">
      <c r="A1814" s="1079">
        <f t="shared" si="71"/>
        <v>1</v>
      </c>
      <c r="B1814" s="1079" t="s">
        <v>471</v>
      </c>
      <c r="C1814" s="1079" t="str">
        <f t="shared" si="70"/>
        <v>Porta de madeira de abrir - 80x210cm (kit completo) - fixação com espuma expansiva</v>
      </c>
      <c r="D1814" s="1079" t="s">
        <v>1326</v>
      </c>
      <c r="E1814" s="1080" t="s">
        <v>17</v>
      </c>
      <c r="F1814" s="1079"/>
      <c r="G1814" s="1081" t="str">
        <f>IF(B1814="insumo",_xlfn.XLOOKUP($D1814,Insumos!$B$1:$B$670,Insumos!$D$1:$D$670),"")</f>
        <v/>
      </c>
      <c r="H1814" s="1081" cm="1">
        <f t="array" ref="H1814">_xlfn.IFS(B1814="Serviço",SUMIFS(H1815:$H$2465,C1815:$C$2465,$C1814),B1814="Insumo",F1814*G1814,B1814="Etapa","")</f>
        <v>1355</v>
      </c>
      <c r="I1814" s="1082" t="s">
        <v>872</v>
      </c>
    </row>
    <row r="1815" spans="1:9" hidden="1" outlineLevel="2" x14ac:dyDescent="0.25">
      <c r="A1815" s="1079">
        <f t="shared" si="71"/>
        <v>1</v>
      </c>
      <c r="B1815" s="1079" t="s">
        <v>1362</v>
      </c>
      <c r="C1815" s="1079" t="str">
        <f t="shared" si="70"/>
        <v>Porta de madeira de abrir - 80x210cm (kit completo) - fixação com espuma expansiva</v>
      </c>
      <c r="D1815" s="1079" t="s">
        <v>2118</v>
      </c>
      <c r="E1815" s="1080" t="str">
        <f>_xlfn.XLOOKUP(D1815,Insumos!$B$1:$B$670,Insumos!$C$1:$C$670)</f>
        <v>M2</v>
      </c>
      <c r="F1815" s="1083">
        <v>1</v>
      </c>
      <c r="G1815" s="1081">
        <f>IF(B1815="insumo",_xlfn.XLOOKUP($D1815,Insumos!$B$1:$B$670,Insumos!$D$1:$D$670),"")</f>
        <v>1300</v>
      </c>
      <c r="H1815" s="1081" cm="1">
        <f t="array" ref="H1815">_xlfn.IFS(B1815="Serviço",SUMIFS(H1816:$H$2465,C1816:$C$2465,$C1815),B1815="Insumo",F1815*G1815,B1815="Etapa","")</f>
        <v>1300</v>
      </c>
      <c r="I1815" s="1082"/>
    </row>
    <row r="1816" spans="1:9" hidden="1" outlineLevel="2" x14ac:dyDescent="0.25">
      <c r="A1816" s="1079">
        <f t="shared" si="71"/>
        <v>15</v>
      </c>
      <c r="B1816" s="1079" t="s">
        <v>1362</v>
      </c>
      <c r="C1816" s="1079" t="str">
        <f t="shared" si="70"/>
        <v>Porta de madeira de abrir - 80x210cm (kit completo) - fixação com espuma expansiva</v>
      </c>
      <c r="D1816" s="1079" t="s">
        <v>2107</v>
      </c>
      <c r="E1816" s="1080" t="str">
        <f>_xlfn.XLOOKUP(D1816,Insumos!$B$1:$B$670,Insumos!$C$1:$C$670)</f>
        <v>un</v>
      </c>
      <c r="F1816" s="1083">
        <v>1</v>
      </c>
      <c r="G1816" s="1081">
        <f>IF(B1816="insumo",_xlfn.XLOOKUP($D1816,Insumos!$B$1:$B$670,Insumos!$D$1:$D$670),"")</f>
        <v>55</v>
      </c>
      <c r="H1816" s="1081" cm="1">
        <f t="array" ref="H1816">_xlfn.IFS(B1816="Serviço",SUMIFS(H1817:$H$2465,C1817:$C$2465,$C1816),B1816="Insumo",F1816*G1816,B1816="Etapa","")</f>
        <v>55</v>
      </c>
      <c r="I1816" s="1082"/>
    </row>
    <row r="1817" spans="1:9" hidden="1" outlineLevel="1" x14ac:dyDescent="0.25">
      <c r="A1817" s="1079">
        <f t="shared" si="71"/>
        <v>1</v>
      </c>
      <c r="B1817" s="1079" t="s">
        <v>471</v>
      </c>
      <c r="C1817" s="1079" t="str">
        <f t="shared" si="70"/>
        <v>Porta de madeira de abrir - 90x210cm (kit completo) - fixação com espuma expansiva</v>
      </c>
      <c r="D1817" s="1079" t="s">
        <v>1327</v>
      </c>
      <c r="E1817" s="1080" t="s">
        <v>17</v>
      </c>
      <c r="F1817" s="1079"/>
      <c r="G1817" s="1081" t="str">
        <f>IF(B1817="insumo",_xlfn.XLOOKUP($D1817,Insumos!$B$1:$B$670,Insumos!$D$1:$D$670),"")</f>
        <v/>
      </c>
      <c r="H1817" s="1081" cm="1">
        <f t="array" ref="H1817">_xlfn.IFS(B1817="Serviço",SUMIFS(H1818:$H$2465,C1818:$C$2465,$C1817),B1817="Insumo",F1817*G1817,B1817="Etapa","")</f>
        <v>1355</v>
      </c>
      <c r="I1817" s="1082" t="s">
        <v>872</v>
      </c>
    </row>
    <row r="1818" spans="1:9" hidden="1" outlineLevel="2" x14ac:dyDescent="0.25">
      <c r="A1818" s="1079">
        <f t="shared" si="71"/>
        <v>2</v>
      </c>
      <c r="B1818" s="1079" t="s">
        <v>1362</v>
      </c>
      <c r="C1818" s="1079" t="str">
        <f t="shared" si="70"/>
        <v>Porta de madeira de abrir - 90x210cm (kit completo) - fixação com espuma expansiva</v>
      </c>
      <c r="D1818" s="1079" t="s">
        <v>2119</v>
      </c>
      <c r="E1818" s="1080" t="str">
        <f>_xlfn.XLOOKUP(D1818,Insumos!$B$1:$B$670,Insumos!$C$1:$C$670)</f>
        <v>M2</v>
      </c>
      <c r="F1818" s="1083">
        <v>1</v>
      </c>
      <c r="G1818" s="1081">
        <f>IF(B1818="insumo",_xlfn.XLOOKUP($D1818,Insumos!$B$1:$B$670,Insumos!$D$1:$D$670),"")</f>
        <v>1300</v>
      </c>
      <c r="H1818" s="1081" cm="1">
        <f t="array" ref="H1818">_xlfn.IFS(B1818="Serviço",SUMIFS(H1819:$H$2465,C1819:$C$2465,$C1818),B1818="Insumo",F1818*G1818,B1818="Etapa","")</f>
        <v>1300</v>
      </c>
      <c r="I1818" s="1082"/>
    </row>
    <row r="1819" spans="1:9" hidden="1" outlineLevel="2" x14ac:dyDescent="0.25">
      <c r="A1819" s="1079">
        <f t="shared" si="71"/>
        <v>15</v>
      </c>
      <c r="B1819" s="1079" t="s">
        <v>1362</v>
      </c>
      <c r="C1819" s="1079" t="str">
        <f t="shared" si="70"/>
        <v>Porta de madeira de abrir - 90x210cm (kit completo) - fixação com espuma expansiva</v>
      </c>
      <c r="D1819" s="1079" t="s">
        <v>2107</v>
      </c>
      <c r="E1819" s="1080" t="str">
        <f>_xlfn.XLOOKUP(D1819,Insumos!$B$1:$B$670,Insumos!$C$1:$C$670)</f>
        <v>un</v>
      </c>
      <c r="F1819" s="1083">
        <v>1</v>
      </c>
      <c r="G1819" s="1081">
        <f>IF(B1819="insumo",_xlfn.XLOOKUP($D1819,Insumos!$B$1:$B$670,Insumos!$D$1:$D$670),"")</f>
        <v>55</v>
      </c>
      <c r="H1819" s="1081" cm="1">
        <f t="array" ref="H1819">_xlfn.IFS(B1819="Serviço",SUMIFS(H1820:$H$2465,C1820:$C$2465,$C1819),B1819="Insumo",F1819*G1819,B1819="Etapa","")</f>
        <v>55</v>
      </c>
      <c r="I1819" s="1082"/>
    </row>
    <row r="1820" spans="1:9" hidden="1" outlineLevel="1" collapsed="1" x14ac:dyDescent="0.25">
      <c r="A1820" s="1079">
        <f t="shared" si="71"/>
        <v>1</v>
      </c>
      <c r="B1820" s="1079" t="s">
        <v>471</v>
      </c>
      <c r="C1820" s="1079" t="str">
        <f t="shared" si="70"/>
        <v>Porta de madeira de abrir - 90x215cm (kit completo) - fixação com espuma expansiva</v>
      </c>
      <c r="D1820" s="1079" t="s">
        <v>2120</v>
      </c>
      <c r="E1820" s="1080" t="s">
        <v>17</v>
      </c>
      <c r="F1820" s="1079"/>
      <c r="G1820" s="1081" t="str">
        <f>IF(B1820="insumo",_xlfn.XLOOKUP($D1820,Insumos!$B$1:$B$670,Insumos!$D$1:$D$670),"")</f>
        <v/>
      </c>
      <c r="H1820" s="1081" cm="1">
        <f t="array" ref="H1820">_xlfn.IFS(B1820="Serviço",SUMIFS(H1821:$H$2465,C1821:$C$2465,$C1820),B1820="Insumo",F1820*G1820,B1820="Etapa","")</f>
        <v>1355</v>
      </c>
      <c r="I1820" s="1082" t="s">
        <v>872</v>
      </c>
    </row>
    <row r="1821" spans="1:9" hidden="1" outlineLevel="2" x14ac:dyDescent="0.25">
      <c r="A1821" s="1079">
        <f t="shared" si="71"/>
        <v>1</v>
      </c>
      <c r="B1821" s="1079" t="s">
        <v>1362</v>
      </c>
      <c r="C1821" s="1079" t="str">
        <f t="shared" si="70"/>
        <v>Porta de madeira de abrir - 90x215cm (kit completo) - fixação com espuma expansiva</v>
      </c>
      <c r="D1821" s="1079" t="s">
        <v>2121</v>
      </c>
      <c r="E1821" s="1080" t="str">
        <f>_xlfn.XLOOKUP(D1821,Insumos!$B$1:$B$670,Insumos!$C$1:$C$670)</f>
        <v>M2</v>
      </c>
      <c r="F1821" s="1083">
        <v>1</v>
      </c>
      <c r="G1821" s="1081">
        <f>IF(B1821="insumo",_xlfn.XLOOKUP($D1821,Insumos!$B$1:$B$670,Insumos!$D$1:$D$670),"")</f>
        <v>1300</v>
      </c>
      <c r="H1821" s="1081" cm="1">
        <f t="array" ref="H1821">_xlfn.IFS(B1821="Serviço",SUMIFS(H1822:$H$2465,C1822:$C$2465,$C1821),B1821="Insumo",F1821*G1821,B1821="Etapa","")</f>
        <v>1300</v>
      </c>
      <c r="I1821" s="1082"/>
    </row>
    <row r="1822" spans="1:9" hidden="1" outlineLevel="2" x14ac:dyDescent="0.25">
      <c r="A1822" s="1079">
        <f t="shared" si="71"/>
        <v>15</v>
      </c>
      <c r="B1822" s="1079" t="s">
        <v>1362</v>
      </c>
      <c r="C1822" s="1079" t="str">
        <f t="shared" si="70"/>
        <v>Porta de madeira de abrir - 90x215cm (kit completo) - fixação com espuma expansiva</v>
      </c>
      <c r="D1822" s="1079" t="s">
        <v>2107</v>
      </c>
      <c r="E1822" s="1080" t="str">
        <f>_xlfn.XLOOKUP(D1822,Insumos!$B$1:$B$670,Insumos!$C$1:$C$670)</f>
        <v>un</v>
      </c>
      <c r="F1822" s="1083">
        <v>1</v>
      </c>
      <c r="G1822" s="1081">
        <f>IF(B1822="insumo",_xlfn.XLOOKUP($D1822,Insumos!$B$1:$B$670,Insumos!$D$1:$D$670),"")</f>
        <v>55</v>
      </c>
      <c r="H1822" s="1081" cm="1">
        <f t="array" ref="H1822">_xlfn.IFS(B1822="Serviço",SUMIFS(H1823:$H$2465,C1823:$C$2465,$C1822),B1822="Insumo",F1822*G1822,B1822="Etapa","")</f>
        <v>55</v>
      </c>
      <c r="I1822" s="1082"/>
    </row>
    <row r="1823" spans="1:9" hidden="1" outlineLevel="1" collapsed="1" x14ac:dyDescent="0.25">
      <c r="A1823" s="1079">
        <f t="shared" si="71"/>
        <v>1</v>
      </c>
      <c r="B1823" s="1079" t="s">
        <v>471</v>
      </c>
      <c r="C1823" s="1079" t="str">
        <f t="shared" ref="C1823:C1873" si="72">IF(B1823="serviço",D1823,C1822)</f>
        <v>Porta de madeira de abrir - 100x210cm (kit completo) - fixação com espuma expansiva</v>
      </c>
      <c r="D1823" s="1079" t="s">
        <v>2122</v>
      </c>
      <c r="E1823" s="1080" t="s">
        <v>17</v>
      </c>
      <c r="F1823" s="1079"/>
      <c r="G1823" s="1081" t="str">
        <f>IF(B1823="insumo",_xlfn.XLOOKUP($D1823,Insumos!$B$1:$B$670,Insumos!$D$1:$D$670),"")</f>
        <v/>
      </c>
      <c r="H1823" s="1081" cm="1">
        <f t="array" ref="H1823">_xlfn.IFS(B1823="Serviço",SUMIFS(H1824:$H$2465,C1824:$C$2465,$C1823),B1823="Insumo",F1823*G1823,B1823="Etapa","")</f>
        <v>1355</v>
      </c>
      <c r="I1823" s="1082" t="s">
        <v>872</v>
      </c>
    </row>
    <row r="1824" spans="1:9" hidden="1" outlineLevel="2" x14ac:dyDescent="0.25">
      <c r="A1824" s="1079">
        <f t="shared" si="71"/>
        <v>1</v>
      </c>
      <c r="B1824" s="1079" t="s">
        <v>1362</v>
      </c>
      <c r="C1824" s="1079" t="str">
        <f t="shared" si="72"/>
        <v>Porta de madeira de abrir - 100x210cm (kit completo) - fixação com espuma expansiva</v>
      </c>
      <c r="D1824" s="1079" t="s">
        <v>2123</v>
      </c>
      <c r="E1824" s="1080" t="str">
        <f>_xlfn.XLOOKUP(D1824,Insumos!$B$1:$B$670,Insumos!$C$1:$C$670)</f>
        <v>M2</v>
      </c>
      <c r="F1824" s="1083">
        <v>1</v>
      </c>
      <c r="G1824" s="1081">
        <f>IF(B1824="insumo",_xlfn.XLOOKUP($D1824,Insumos!$B$1:$B$670,Insumos!$D$1:$D$670),"")</f>
        <v>1300</v>
      </c>
      <c r="H1824" s="1081" cm="1">
        <f t="array" ref="H1824">_xlfn.IFS(B1824="Serviço",SUMIFS(H1825:$H$2465,C1825:$C$2465,$C1824),B1824="Insumo",F1824*G1824,B1824="Etapa","")</f>
        <v>1300</v>
      </c>
      <c r="I1824" s="1082"/>
    </row>
    <row r="1825" spans="1:9" hidden="1" outlineLevel="2" x14ac:dyDescent="0.25">
      <c r="A1825" s="1079">
        <f t="shared" si="71"/>
        <v>15</v>
      </c>
      <c r="B1825" s="1079" t="s">
        <v>1362</v>
      </c>
      <c r="C1825" s="1079" t="str">
        <f t="shared" si="72"/>
        <v>Porta de madeira de abrir - 100x210cm (kit completo) - fixação com espuma expansiva</v>
      </c>
      <c r="D1825" s="1079" t="s">
        <v>2107</v>
      </c>
      <c r="E1825" s="1080" t="str">
        <f>_xlfn.XLOOKUP(D1825,Insumos!$B$1:$B$670,Insumos!$C$1:$C$670)</f>
        <v>un</v>
      </c>
      <c r="F1825" s="1083">
        <v>1</v>
      </c>
      <c r="G1825" s="1081">
        <f>IF(B1825="insumo",_xlfn.XLOOKUP($D1825,Insumos!$B$1:$B$670,Insumos!$D$1:$D$670),"")</f>
        <v>55</v>
      </c>
      <c r="H1825" s="1081" cm="1">
        <f t="array" ref="H1825">_xlfn.IFS(B1825="Serviço",SUMIFS(H1826:$H$2465,C1826:$C$2465,$C1825),B1825="Insumo",F1825*G1825,B1825="Etapa","")</f>
        <v>55</v>
      </c>
      <c r="I1825" s="1082"/>
    </row>
    <row r="1826" spans="1:9" hidden="1" outlineLevel="1" collapsed="1" x14ac:dyDescent="0.25">
      <c r="A1826" s="1079">
        <f t="shared" si="71"/>
        <v>1</v>
      </c>
      <c r="B1826" s="1079" t="s">
        <v>471</v>
      </c>
      <c r="C1826" s="1079" t="str">
        <f t="shared" si="72"/>
        <v>Porta de madeira de abrir - 105x215cm (kit completo) - fixação com espuma expansiva</v>
      </c>
      <c r="D1826" s="1079" t="s">
        <v>2124</v>
      </c>
      <c r="E1826" s="1080" t="s">
        <v>17</v>
      </c>
      <c r="F1826" s="1079"/>
      <c r="G1826" s="1081" t="str">
        <f>IF(B1826="insumo",_xlfn.XLOOKUP($D1826,Insumos!$B$1:$B$670,Insumos!$D$1:$D$670),"")</f>
        <v/>
      </c>
      <c r="H1826" s="1081" cm="1">
        <f t="array" ref="H1826">_xlfn.IFS(B1826="Serviço",SUMIFS(H1827:$H$2465,C1827:$C$2465,$C1826),B1826="Insumo",F1826*G1826,B1826="Etapa","")</f>
        <v>1355</v>
      </c>
      <c r="I1826" s="1082" t="s">
        <v>872</v>
      </c>
    </row>
    <row r="1827" spans="1:9" hidden="1" outlineLevel="2" x14ac:dyDescent="0.25">
      <c r="A1827" s="1079">
        <f t="shared" si="71"/>
        <v>1</v>
      </c>
      <c r="B1827" s="1079" t="s">
        <v>1362</v>
      </c>
      <c r="C1827" s="1079" t="str">
        <f t="shared" si="72"/>
        <v>Porta de madeira de abrir - 105x215cm (kit completo) - fixação com espuma expansiva</v>
      </c>
      <c r="D1827" s="1079" t="s">
        <v>2125</v>
      </c>
      <c r="E1827" s="1080" t="str">
        <f>_xlfn.XLOOKUP(D1827,Insumos!$B$1:$B$670,Insumos!$C$1:$C$670)</f>
        <v>M2</v>
      </c>
      <c r="F1827" s="1083">
        <v>1</v>
      </c>
      <c r="G1827" s="1081">
        <f>IF(B1827="insumo",_xlfn.XLOOKUP($D1827,Insumos!$B$1:$B$670,Insumos!$D$1:$D$670),"")</f>
        <v>1300</v>
      </c>
      <c r="H1827" s="1081" cm="1">
        <f t="array" ref="H1827">_xlfn.IFS(B1827="Serviço",SUMIFS(H1828:$H$2465,C1828:$C$2465,$C1827),B1827="Insumo",F1827*G1827,B1827="Etapa","")</f>
        <v>1300</v>
      </c>
      <c r="I1827" s="1082"/>
    </row>
    <row r="1828" spans="1:9" hidden="1" outlineLevel="2" x14ac:dyDescent="0.25">
      <c r="A1828" s="1079">
        <f t="shared" si="71"/>
        <v>15</v>
      </c>
      <c r="B1828" s="1079" t="s">
        <v>1362</v>
      </c>
      <c r="C1828" s="1079" t="str">
        <f t="shared" si="72"/>
        <v>Porta de madeira de abrir - 105x215cm (kit completo) - fixação com espuma expansiva</v>
      </c>
      <c r="D1828" s="1079" t="s">
        <v>2107</v>
      </c>
      <c r="E1828" s="1080" t="str">
        <f>_xlfn.XLOOKUP(D1828,Insumos!$B$1:$B$670,Insumos!$C$1:$C$670)</f>
        <v>un</v>
      </c>
      <c r="F1828" s="1083">
        <v>1</v>
      </c>
      <c r="G1828" s="1081">
        <f>IF(B1828="insumo",_xlfn.XLOOKUP($D1828,Insumos!$B$1:$B$670,Insumos!$D$1:$D$670),"")</f>
        <v>55</v>
      </c>
      <c r="H1828" s="1081" cm="1">
        <f t="array" ref="H1828">_xlfn.IFS(B1828="Serviço",SUMIFS(H1829:$H$2465,C1829:$C$2465,$C1828),B1828="Insumo",F1828*G1828,B1828="Etapa","")</f>
        <v>55</v>
      </c>
      <c r="I1828" s="1082"/>
    </row>
    <row r="1829" spans="1:9" hidden="1" outlineLevel="1" collapsed="1" x14ac:dyDescent="0.25">
      <c r="A1829" s="1079">
        <f t="shared" si="71"/>
        <v>1</v>
      </c>
      <c r="B1829" s="1079" t="s">
        <v>471</v>
      </c>
      <c r="C1829" s="1079" t="str">
        <f t="shared" si="72"/>
        <v>Porta de madeira de abrir - 140x210cm (kit completo) - fixação com espuma expansiva</v>
      </c>
      <c r="D1829" s="1079" t="s">
        <v>2126</v>
      </c>
      <c r="E1829" s="1080" t="s">
        <v>17</v>
      </c>
      <c r="F1829" s="1079"/>
      <c r="G1829" s="1081" t="str">
        <f>IF(B1829="insumo",_xlfn.XLOOKUP($D1829,Insumos!$B$1:$B$670,Insumos!$D$1:$D$670),"")</f>
        <v/>
      </c>
      <c r="H1829" s="1081" cm="1">
        <f t="array" ref="H1829">_xlfn.IFS(B1829="Serviço",SUMIFS(H1830:$H$2465,C1830:$C$2465,$C1829),B1829="Insumo",F1829*G1829,B1829="Etapa","")</f>
        <v>1355</v>
      </c>
      <c r="I1829" s="1082" t="s">
        <v>872</v>
      </c>
    </row>
    <row r="1830" spans="1:9" hidden="1" outlineLevel="2" x14ac:dyDescent="0.25">
      <c r="A1830" s="1079">
        <f t="shared" si="71"/>
        <v>1</v>
      </c>
      <c r="B1830" s="1079" t="s">
        <v>1362</v>
      </c>
      <c r="C1830" s="1079" t="str">
        <f t="shared" si="72"/>
        <v>Porta de madeira de abrir - 140x210cm (kit completo) - fixação com espuma expansiva</v>
      </c>
      <c r="D1830" s="1079" t="s">
        <v>2127</v>
      </c>
      <c r="E1830" s="1080" t="str">
        <f>_xlfn.XLOOKUP(D1830,Insumos!$B$1:$B$670,Insumos!$C$1:$C$670)</f>
        <v>M2</v>
      </c>
      <c r="F1830" s="1083">
        <v>1</v>
      </c>
      <c r="G1830" s="1081">
        <f>IF(B1830="insumo",_xlfn.XLOOKUP($D1830,Insumos!$B$1:$B$670,Insumos!$D$1:$D$670),"")</f>
        <v>1300</v>
      </c>
      <c r="H1830" s="1081" cm="1">
        <f t="array" ref="H1830">_xlfn.IFS(B1830="Serviço",SUMIFS(H1831:$H$2465,C1831:$C$2465,$C1830),B1830="Insumo",F1830*G1830,B1830="Etapa","")</f>
        <v>1300</v>
      </c>
      <c r="I1830" s="1082"/>
    </row>
    <row r="1831" spans="1:9" hidden="1" outlineLevel="2" x14ac:dyDescent="0.25">
      <c r="A1831" s="1079">
        <f t="shared" si="71"/>
        <v>15</v>
      </c>
      <c r="B1831" s="1079" t="s">
        <v>1362</v>
      </c>
      <c r="C1831" s="1079" t="str">
        <f t="shared" si="72"/>
        <v>Porta de madeira de abrir - 140x210cm (kit completo) - fixação com espuma expansiva</v>
      </c>
      <c r="D1831" s="1079" t="s">
        <v>2107</v>
      </c>
      <c r="E1831" s="1080" t="str">
        <f>_xlfn.XLOOKUP(D1831,Insumos!$B$1:$B$670,Insumos!$C$1:$C$670)</f>
        <v>un</v>
      </c>
      <c r="F1831" s="1083">
        <v>1</v>
      </c>
      <c r="G1831" s="1081">
        <f>IF(B1831="insumo",_xlfn.XLOOKUP($D1831,Insumos!$B$1:$B$670,Insumos!$D$1:$D$670),"")</f>
        <v>55</v>
      </c>
      <c r="H1831" s="1081" cm="1">
        <f t="array" ref="H1831">_xlfn.IFS(B1831="Serviço",SUMIFS(H1832:$H$2465,C1832:$C$2465,$C1831),B1831="Insumo",F1831*G1831,B1831="Etapa","")</f>
        <v>55</v>
      </c>
      <c r="I1831" s="1082"/>
    </row>
    <row r="1832" spans="1:9" hidden="1" outlineLevel="1" collapsed="1" x14ac:dyDescent="0.25">
      <c r="A1832" s="1079">
        <f t="shared" si="71"/>
        <v>1</v>
      </c>
      <c r="B1832" s="1079" t="s">
        <v>471</v>
      </c>
      <c r="C1832" s="1079" t="str">
        <f t="shared" si="72"/>
        <v>Porta de madeira de Correr - 60x210cm (kit completo) - fixação com espuma expansiva</v>
      </c>
      <c r="D1832" s="1079" t="s">
        <v>2128</v>
      </c>
      <c r="E1832" s="1080" t="s">
        <v>17</v>
      </c>
      <c r="F1832" s="1079"/>
      <c r="G1832" s="1081" t="str">
        <f>IF(B1832="insumo",_xlfn.XLOOKUP($D1832,Insumos!$B$1:$B$670,Insumos!$D$1:$D$670),"")</f>
        <v/>
      </c>
      <c r="H1832" s="1081" cm="1">
        <f t="array" ref="H1832">_xlfn.IFS(B1832="Serviço",SUMIFS(H1833:$H$2465,C1833:$C$2465,$C1832),B1832="Insumo",F1832*G1832,B1832="Etapa","")</f>
        <v>1413.5</v>
      </c>
      <c r="I1832" s="1082" t="s">
        <v>872</v>
      </c>
    </row>
    <row r="1833" spans="1:9" hidden="1" outlineLevel="2" x14ac:dyDescent="0.25">
      <c r="A1833" s="1079">
        <f t="shared" si="71"/>
        <v>1</v>
      </c>
      <c r="B1833" s="1079" t="s">
        <v>1362</v>
      </c>
      <c r="C1833" s="1079" t="str">
        <f t="shared" si="72"/>
        <v>Porta de madeira de Correr - 60x210cm (kit completo) - fixação com espuma expansiva</v>
      </c>
      <c r="D1833" s="1079" t="s">
        <v>2129</v>
      </c>
      <c r="E1833" s="1080" t="str">
        <f>_xlfn.XLOOKUP(D1833,Insumos!$B$1:$B$670,Insumos!$C$1:$C$670)</f>
        <v>M2</v>
      </c>
      <c r="F1833" s="1083">
        <v>1</v>
      </c>
      <c r="G1833" s="1081">
        <f>IF(B1833="insumo",_xlfn.XLOOKUP($D1833,Insumos!$B$1:$B$670,Insumos!$D$1:$D$670),"")</f>
        <v>1358.5</v>
      </c>
      <c r="H1833" s="1081" cm="1">
        <f t="array" ref="H1833">_xlfn.IFS(B1833="Serviço",SUMIFS(H1834:$H$2465,C1834:$C$2465,$C1833),B1833="Insumo",F1833*G1833,B1833="Etapa","")</f>
        <v>1358.5</v>
      </c>
      <c r="I1833" s="1082"/>
    </row>
    <row r="1834" spans="1:9" hidden="1" outlineLevel="2" x14ac:dyDescent="0.25">
      <c r="A1834" s="1079">
        <f t="shared" si="71"/>
        <v>15</v>
      </c>
      <c r="B1834" s="1079" t="s">
        <v>1362</v>
      </c>
      <c r="C1834" s="1079" t="str">
        <f t="shared" si="72"/>
        <v>Porta de madeira de Correr - 60x210cm (kit completo) - fixação com espuma expansiva</v>
      </c>
      <c r="D1834" s="1079" t="s">
        <v>2107</v>
      </c>
      <c r="E1834" s="1080" t="str">
        <f>_xlfn.XLOOKUP(D1834,Insumos!$B$1:$B$670,Insumos!$C$1:$C$670)</f>
        <v>un</v>
      </c>
      <c r="F1834" s="1083">
        <v>1</v>
      </c>
      <c r="G1834" s="1081">
        <f>IF(B1834="insumo",_xlfn.XLOOKUP($D1834,Insumos!$B$1:$B$670,Insumos!$D$1:$D$670),"")</f>
        <v>55</v>
      </c>
      <c r="H1834" s="1081" cm="1">
        <f t="array" ref="H1834">_xlfn.IFS(B1834="Serviço",SUMIFS(H1835:$H$2465,C1835:$C$2465,$C1834),B1834="Insumo",F1834*G1834,B1834="Etapa","")</f>
        <v>55</v>
      </c>
      <c r="I1834" s="1082"/>
    </row>
    <row r="1835" spans="1:9" hidden="1" outlineLevel="1" collapsed="1" x14ac:dyDescent="0.25">
      <c r="A1835" s="1079">
        <f t="shared" si="71"/>
        <v>1</v>
      </c>
      <c r="B1835" s="1079" t="s">
        <v>471</v>
      </c>
      <c r="C1835" s="1079" t="str">
        <f t="shared" si="72"/>
        <v>Porta de madeira de Correr - 80x210cm (kit completo) - fixação com espuma expansiva</v>
      </c>
      <c r="D1835" s="1079" t="s">
        <v>2130</v>
      </c>
      <c r="E1835" s="1080" t="s">
        <v>17</v>
      </c>
      <c r="F1835" s="1079"/>
      <c r="G1835" s="1081" t="str">
        <f>IF(B1835="insumo",_xlfn.XLOOKUP($D1835,Insumos!$B$1:$B$670,Insumos!$D$1:$D$670),"")</f>
        <v/>
      </c>
      <c r="H1835" s="1081" cm="1">
        <f t="array" ref="H1835">_xlfn.IFS(B1835="Serviço",SUMIFS(H1836:$H$2465,C1836:$C$2465,$C1835),B1835="Insumo",F1835*G1835,B1835="Etapa","")</f>
        <v>1413.5</v>
      </c>
      <c r="I1835" s="1082" t="s">
        <v>872</v>
      </c>
    </row>
    <row r="1836" spans="1:9" hidden="1" outlineLevel="2" x14ac:dyDescent="0.25">
      <c r="A1836" s="1079">
        <f t="shared" si="71"/>
        <v>1</v>
      </c>
      <c r="B1836" s="1079" t="s">
        <v>1362</v>
      </c>
      <c r="C1836" s="1079" t="str">
        <f t="shared" si="72"/>
        <v>Porta de madeira de Correr - 80x210cm (kit completo) - fixação com espuma expansiva</v>
      </c>
      <c r="D1836" s="1079" t="s">
        <v>2131</v>
      </c>
      <c r="E1836" s="1080" t="str">
        <f>_xlfn.XLOOKUP(D1836,Insumos!$B$1:$B$670,Insumos!$C$1:$C$670)</f>
        <v>M2</v>
      </c>
      <c r="F1836" s="1083">
        <v>1</v>
      </c>
      <c r="G1836" s="1081">
        <f>IF(B1836="insumo",_xlfn.XLOOKUP($D1836,Insumos!$B$1:$B$670,Insumos!$D$1:$D$670),"")</f>
        <v>1358.5</v>
      </c>
      <c r="H1836" s="1081" cm="1">
        <f t="array" ref="H1836">_xlfn.IFS(B1836="Serviço",SUMIFS(H1837:$H$2465,C1837:$C$2465,$C1836),B1836="Insumo",F1836*G1836,B1836="Etapa","")</f>
        <v>1358.5</v>
      </c>
      <c r="I1836" s="1082"/>
    </row>
    <row r="1837" spans="1:9" hidden="1" outlineLevel="2" x14ac:dyDescent="0.25">
      <c r="A1837" s="1079">
        <f t="shared" si="71"/>
        <v>15</v>
      </c>
      <c r="B1837" s="1079" t="s">
        <v>1362</v>
      </c>
      <c r="C1837" s="1079" t="str">
        <f t="shared" si="72"/>
        <v>Porta de madeira de Correr - 80x210cm (kit completo) - fixação com espuma expansiva</v>
      </c>
      <c r="D1837" s="1079" t="s">
        <v>2107</v>
      </c>
      <c r="E1837" s="1080" t="str">
        <f>_xlfn.XLOOKUP(D1837,Insumos!$B$1:$B$670,Insumos!$C$1:$C$670)</f>
        <v>un</v>
      </c>
      <c r="F1837" s="1083">
        <v>1</v>
      </c>
      <c r="G1837" s="1081">
        <f>IF(B1837="insumo",_xlfn.XLOOKUP($D1837,Insumos!$B$1:$B$670,Insumos!$D$1:$D$670),"")</f>
        <v>55</v>
      </c>
      <c r="H1837" s="1081" cm="1">
        <f t="array" ref="H1837">_xlfn.IFS(B1837="Serviço",SUMIFS(H1838:$H$2465,C1838:$C$2465,$C1837),B1837="Insumo",F1837*G1837,B1837="Etapa","")</f>
        <v>55</v>
      </c>
      <c r="I1837" s="1082"/>
    </row>
    <row r="1838" spans="1:9" hidden="1" outlineLevel="1" collapsed="1" x14ac:dyDescent="0.25">
      <c r="A1838" s="1079">
        <f t="shared" si="71"/>
        <v>1</v>
      </c>
      <c r="B1838" s="1079" t="s">
        <v>471</v>
      </c>
      <c r="C1838" s="1079" t="str">
        <f t="shared" si="72"/>
        <v>Fechadura Eletronica</v>
      </c>
      <c r="D1838" s="1079" t="s">
        <v>2132</v>
      </c>
      <c r="E1838" s="1080" t="s">
        <v>17</v>
      </c>
      <c r="F1838" s="1079"/>
      <c r="G1838" s="1081" t="str">
        <f>IF(B1838="insumo",_xlfn.XLOOKUP($D1838,Insumos!$B$1:$B$670,Insumos!$D$1:$D$670),"")</f>
        <v/>
      </c>
      <c r="H1838" s="1081" cm="1">
        <f t="array" ref="H1838">_xlfn.IFS(B1838="Serviço",SUMIFS(H1839:$H$2465,C1839:$C$2465,$C1838),B1838="Insumo",F1838*G1838,B1838="Etapa","")</f>
        <v>1386</v>
      </c>
      <c r="I1838" s="1082" t="s">
        <v>872</v>
      </c>
    </row>
    <row r="1839" spans="1:9" hidden="1" outlineLevel="2" x14ac:dyDescent="0.25">
      <c r="A1839" s="1079">
        <f t="shared" si="71"/>
        <v>1</v>
      </c>
      <c r="B1839" s="1079" t="s">
        <v>1362</v>
      </c>
      <c r="C1839" s="1079" t="str">
        <f t="shared" si="72"/>
        <v>Fechadura Eletronica</v>
      </c>
      <c r="D1839" s="1079" t="s">
        <v>2133</v>
      </c>
      <c r="E1839" s="1080" t="str">
        <f>_xlfn.XLOOKUP(D1839,Insumos!$B$1:$B$670,Insumos!$C$1:$C$670)</f>
        <v>un</v>
      </c>
      <c r="F1839" s="1083">
        <v>1</v>
      </c>
      <c r="G1839" s="1081">
        <f>IF(B1839="insumo",_xlfn.XLOOKUP($D1839,Insumos!$B$1:$B$670,Insumos!$D$1:$D$670),"")</f>
        <v>1386</v>
      </c>
      <c r="H1839" s="1081" cm="1">
        <f t="array" ref="H1839">_xlfn.IFS(B1839="Serviço",SUMIFS(H1840:$H$2465,C1840:$C$2465,$C1839),B1839="Insumo",F1839*G1839,B1839="Etapa","")</f>
        <v>1386</v>
      </c>
      <c r="I1839" s="1082"/>
    </row>
    <row r="1840" spans="1:9" hidden="1" outlineLevel="1" collapsed="1" x14ac:dyDescent="0.25">
      <c r="A1840" s="1079">
        <f t="shared" si="71"/>
        <v>1</v>
      </c>
      <c r="B1840" s="1079" t="s">
        <v>471</v>
      </c>
      <c r="C1840" s="1079" t="str">
        <f t="shared" si="72"/>
        <v xml:space="preserve">Fechadura comum </v>
      </c>
      <c r="D1840" s="1079" t="s">
        <v>2134</v>
      </c>
      <c r="E1840" s="1080" t="s">
        <v>17</v>
      </c>
      <c r="F1840" s="1079"/>
      <c r="G1840" s="1096" t="str">
        <f>IF(B1840="insumo",_xlfn.XLOOKUP($D1840,Insumos!$B$1:$B$670,Insumos!$D$1:$D$670),"")</f>
        <v/>
      </c>
      <c r="H1840" s="1096" cm="1">
        <f t="array" ref="H1840">_xlfn.IFS(B1840="Serviço",SUMIFS(H1841:$H$2465,C1841:$C$2465,$C1840),B1840="Insumo",F1840*G1840,B1840="Etapa","")</f>
        <v>232.46</v>
      </c>
      <c r="I1840" s="1082" t="s">
        <v>872</v>
      </c>
    </row>
    <row r="1841" spans="1:9" hidden="1" outlineLevel="2" x14ac:dyDescent="0.25">
      <c r="A1841" s="1079">
        <f t="shared" si="71"/>
        <v>1</v>
      </c>
      <c r="B1841" s="1079" t="s">
        <v>1362</v>
      </c>
      <c r="C1841" s="1079" t="str">
        <f t="shared" si="72"/>
        <v xml:space="preserve">Fechadura comum </v>
      </c>
      <c r="D1841" s="1079" t="s">
        <v>2135</v>
      </c>
      <c r="E1841" s="1080" t="str">
        <f>_xlfn.XLOOKUP(D1841,Insumos!$B$1:$B$670,Insumos!$C$1:$C$670)</f>
        <v>un</v>
      </c>
      <c r="F1841" s="1083">
        <v>1</v>
      </c>
      <c r="G1841" s="1096">
        <f>IF(B1841="insumo",_xlfn.XLOOKUP($D1841,Insumos!$B$1:$B$670,Insumos!$D$1:$D$670),"")</f>
        <v>232.46</v>
      </c>
      <c r="H1841" s="1096" cm="1">
        <f t="array" ref="H1841">_xlfn.IFS(B1841="Serviço",SUMIFS(H1842:$H$2465,C1842:$C$2465,$C1841),B1841="Insumo",F1841*G1841,B1841="Etapa","")</f>
        <v>232.46</v>
      </c>
      <c r="I1841" s="1082"/>
    </row>
    <row r="1842" spans="1:9" hidden="1" outlineLevel="1" collapsed="1" x14ac:dyDescent="0.25">
      <c r="A1842" s="1079">
        <f t="shared" si="71"/>
        <v>1</v>
      </c>
      <c r="B1842" s="1079" t="s">
        <v>471</v>
      </c>
      <c r="C1842" s="1079" t="str">
        <f t="shared" si="72"/>
        <v>Porta corta-fogo, 1 folha, 80x210 cm</v>
      </c>
      <c r="D1842" s="1079" t="s">
        <v>2136</v>
      </c>
      <c r="E1842" s="1080" t="s">
        <v>17</v>
      </c>
      <c r="F1842" s="1079"/>
      <c r="G1842" s="1081" t="str">
        <f>IF(B1842="insumo",_xlfn.XLOOKUP($D1842,Insumos!$B$1:$B$670,Insumos!$D$1:$D$670),"")</f>
        <v/>
      </c>
      <c r="H1842" s="1081" cm="1">
        <f t="array" ref="H1842">_xlfn.IFS(B1842="Serviço",SUMIFS(H1843:$H$2465,C1843:$C$2465,$C1842),B1842="Insumo",F1842*G1842,B1842="Etapa","")</f>
        <v>1100</v>
      </c>
      <c r="I1842" s="1082" t="s">
        <v>872</v>
      </c>
    </row>
    <row r="1843" spans="1:9" hidden="1" outlineLevel="2" x14ac:dyDescent="0.25">
      <c r="A1843" s="1079">
        <f t="shared" si="71"/>
        <v>1</v>
      </c>
      <c r="B1843" s="1079" t="s">
        <v>1362</v>
      </c>
      <c r="C1843" s="1079" t="str">
        <f t="shared" si="72"/>
        <v>Porta corta-fogo, 1 folha, 80x210 cm</v>
      </c>
      <c r="D1843" s="1079" t="s">
        <v>2136</v>
      </c>
      <c r="E1843" s="1080" t="str">
        <f>_xlfn.XLOOKUP(D1843,Insumos!$B$1:$B$670,Insumos!$C$1:$C$670)</f>
        <v>un</v>
      </c>
      <c r="F1843" s="1083">
        <v>1</v>
      </c>
      <c r="G1843" s="1081">
        <f>IF(B1843="insumo",_xlfn.XLOOKUP($D1843,Insumos!$B$1:$B$670,Insumos!$D$1:$D$670),"")</f>
        <v>1100</v>
      </c>
      <c r="H1843" s="1081" cm="1">
        <f t="array" ref="H1843">_xlfn.IFS(B1843="Serviço",SUMIFS(H1844:$H$2465,C1844:$C$2465,$C1843),B1843="Insumo",F1843*G1843,B1843="Etapa","")</f>
        <v>1100</v>
      </c>
      <c r="I1843" s="1082"/>
    </row>
    <row r="1844" spans="1:9" hidden="1" outlineLevel="1" collapsed="1" x14ac:dyDescent="0.25">
      <c r="A1844" s="1079">
        <f t="shared" si="71"/>
        <v>1</v>
      </c>
      <c r="B1844" s="1079" t="s">
        <v>471</v>
      </c>
      <c r="C1844" s="1079" t="str">
        <f t="shared" si="72"/>
        <v>Porta corta-fogo, 1 folha, 96x210 cm</v>
      </c>
      <c r="D1844" s="1079" t="s">
        <v>2137</v>
      </c>
      <c r="E1844" s="1080" t="s">
        <v>17</v>
      </c>
      <c r="F1844" s="1079"/>
      <c r="G1844" s="1081" t="str">
        <f>IF(B1844="insumo",_xlfn.XLOOKUP($D1844,Insumos!$B$1:$B$670,Insumos!$D$1:$D$670),"")</f>
        <v/>
      </c>
      <c r="H1844" s="1081" cm="1">
        <f t="array" ref="H1844">_xlfn.IFS(B1844="Serviço",SUMIFS(H1845:$H$2465,C1845:$C$2465,$C1844),B1844="Insumo",F1844*G1844,B1844="Etapa","")</f>
        <v>2530</v>
      </c>
      <c r="I1844" s="1082" t="s">
        <v>872</v>
      </c>
    </row>
    <row r="1845" spans="1:9" hidden="1" outlineLevel="2" x14ac:dyDescent="0.25">
      <c r="A1845" s="1079">
        <f t="shared" si="71"/>
        <v>1</v>
      </c>
      <c r="B1845" s="1079" t="s">
        <v>1362</v>
      </c>
      <c r="C1845" s="1079" t="str">
        <f t="shared" si="72"/>
        <v>Porta corta-fogo, 1 folha, 96x210 cm</v>
      </c>
      <c r="D1845" s="1079" t="s">
        <v>2137</v>
      </c>
      <c r="E1845" s="1080" t="str">
        <f>_xlfn.XLOOKUP(D1845,Insumos!$B$1:$B$670,Insumos!$C$1:$C$670)</f>
        <v>un</v>
      </c>
      <c r="F1845" s="1083">
        <v>1</v>
      </c>
      <c r="G1845" s="1081">
        <f>IF(B1845="insumo",_xlfn.XLOOKUP($D1845,Insumos!$B$1:$B$670,Insumos!$D$1:$D$670),"")</f>
        <v>2530</v>
      </c>
      <c r="H1845" s="1081" cm="1">
        <f t="array" ref="H1845">_xlfn.IFS(B1845="Serviço",SUMIFS(H1846:$H$2465,C1846:$C$2465,$C1845),B1845="Insumo",F1845*G1845,B1845="Etapa","")</f>
        <v>2530</v>
      </c>
      <c r="I1845" s="1082"/>
    </row>
    <row r="1846" spans="1:9" hidden="1" outlineLevel="1" collapsed="1" x14ac:dyDescent="0.25">
      <c r="A1846" s="1079">
        <f t="shared" si="71"/>
        <v>1</v>
      </c>
      <c r="B1846" s="1079" t="s">
        <v>471</v>
      </c>
      <c r="C1846" s="1079" t="str">
        <f t="shared" si="72"/>
        <v>Portão, 1 folha, 500x235 cm</v>
      </c>
      <c r="D1846" s="1079" t="s">
        <v>2138</v>
      </c>
      <c r="E1846" s="1080" t="s">
        <v>17</v>
      </c>
      <c r="F1846" s="1079"/>
      <c r="G1846" s="1081" t="str">
        <f>IF(B1846="insumo",_xlfn.XLOOKUP($D1846,Insumos!$B$1:$B$670,Insumos!$D$1:$D$670),"")</f>
        <v/>
      </c>
      <c r="H1846" s="1081" cm="1">
        <f t="array" ref="H1846">_xlfn.IFS(B1846="Serviço",SUMIFS(H1847:$H$2465,C1847:$C$2465,$C1846),B1846="Insumo",F1846*G1846,B1846="Etapa","")</f>
        <v>13011.726190476189</v>
      </c>
      <c r="I1846" s="1082" t="s">
        <v>872</v>
      </c>
    </row>
    <row r="1847" spans="1:9" hidden="1" outlineLevel="2" x14ac:dyDescent="0.25">
      <c r="A1847" s="1079">
        <f t="shared" si="71"/>
        <v>1</v>
      </c>
      <c r="B1847" s="1079" t="s">
        <v>1362</v>
      </c>
      <c r="C1847" s="1079" t="str">
        <f t="shared" si="72"/>
        <v>Portão, 1 folha, 500x235 cm</v>
      </c>
      <c r="D1847" s="1079" t="s">
        <v>2138</v>
      </c>
      <c r="E1847" s="1080" t="str">
        <f>_xlfn.XLOOKUP(D1847,Insumos!$B$1:$B$670,Insumos!$C$1:$C$670)</f>
        <v>un</v>
      </c>
      <c r="F1847" s="1083">
        <v>1</v>
      </c>
      <c r="G1847" s="1081">
        <f>IF(B1847="insumo",_xlfn.XLOOKUP($D1847,Insumos!$B$1:$B$670,Insumos!$D$1:$D$670),"")</f>
        <v>13011.726190476189</v>
      </c>
      <c r="H1847" s="1081" cm="1">
        <f t="array" ref="H1847">_xlfn.IFS(B1847="Serviço",SUMIFS(H1848:$H$2465,C1848:$C$2465,$C1847),B1847="Insumo",F1847*G1847,B1847="Etapa","")</f>
        <v>13011.726190476189</v>
      </c>
      <c r="I1847" s="1082"/>
    </row>
    <row r="1848" spans="1:9" hidden="1" outlineLevel="1" collapsed="1" x14ac:dyDescent="0.25">
      <c r="A1848" s="1079">
        <f t="shared" si="71"/>
        <v>1</v>
      </c>
      <c r="B1848" s="1079" t="s">
        <v>471</v>
      </c>
      <c r="C1848" s="1079" t="str">
        <f t="shared" si="72"/>
        <v>Portão, 1 folha, 320x295 cm</v>
      </c>
      <c r="D1848" s="1079" t="s">
        <v>2139</v>
      </c>
      <c r="E1848" s="1080" t="s">
        <v>17</v>
      </c>
      <c r="F1848" s="1079"/>
      <c r="G1848" s="1081" t="str">
        <f>IF(B1848="insumo",_xlfn.XLOOKUP($D1848,Insumos!$B$1:$B$670,Insumos!$D$1:$D$670),"")</f>
        <v/>
      </c>
      <c r="H1848" s="1081" cm="1">
        <f t="array" ref="H1848">_xlfn.IFS(B1848="Serviço",SUMIFS(H1849:$H$2465,C1849:$C$2465,$C1848),B1848="Insumo",F1848*G1848,B1848="Etapa","")</f>
        <v>10453.67619047619</v>
      </c>
      <c r="I1848" s="1082" t="s">
        <v>872</v>
      </c>
    </row>
    <row r="1849" spans="1:9" hidden="1" outlineLevel="2" x14ac:dyDescent="0.25">
      <c r="A1849" s="1079">
        <f t="shared" si="71"/>
        <v>1</v>
      </c>
      <c r="B1849" s="1079" t="s">
        <v>1362</v>
      </c>
      <c r="C1849" s="1079" t="str">
        <f t="shared" si="72"/>
        <v>Portão, 1 folha, 320x295 cm</v>
      </c>
      <c r="D1849" s="1079" t="s">
        <v>2139</v>
      </c>
      <c r="E1849" s="1080" t="str">
        <f>_xlfn.XLOOKUP(D1849,Insumos!$B$1:$B$670,Insumos!$C$1:$C$670)</f>
        <v>un</v>
      </c>
      <c r="F1849" s="1083">
        <v>1</v>
      </c>
      <c r="G1849" s="1081">
        <f>IF(B1849="insumo",_xlfn.XLOOKUP($D1849,Insumos!$B$1:$B$670,Insumos!$D$1:$D$670),"")</f>
        <v>10453.67619047619</v>
      </c>
      <c r="H1849" s="1081" cm="1">
        <f t="array" ref="H1849">_xlfn.IFS(B1849="Serviço",SUMIFS(H1850:$H$2465,C1850:$C$2465,$C1849),B1849="Insumo",F1849*G1849,B1849="Etapa","")</f>
        <v>10453.67619047619</v>
      </c>
      <c r="I1849" s="1082"/>
    </row>
    <row r="1850" spans="1:9" hidden="1" outlineLevel="1" collapsed="1" x14ac:dyDescent="0.25">
      <c r="A1850" s="1079">
        <f t="shared" si="71"/>
        <v>1</v>
      </c>
      <c r="B1850" s="1079" t="s">
        <v>471</v>
      </c>
      <c r="C1850" s="1079" t="str">
        <f t="shared" si="72"/>
        <v>Portão, 1 folha, 350x240 cm</v>
      </c>
      <c r="D1850" s="1079" t="s">
        <v>2140</v>
      </c>
      <c r="E1850" s="1080" t="s">
        <v>17</v>
      </c>
      <c r="F1850" s="1079"/>
      <c r="G1850" s="1081" t="str">
        <f>IF(B1850="insumo",_xlfn.XLOOKUP($D1850,Insumos!$B$1:$B$670,Insumos!$D$1:$D$670),"")</f>
        <v/>
      </c>
      <c r="H1850" s="1081" cm="1">
        <f t="array" ref="H1850">_xlfn.IFS(B1850="Serviço",SUMIFS(H1851:$H$2465,C1851:$C$2465,$C1850),B1850="Insumo",F1850*G1850,B1850="Etapa","")</f>
        <v>9302</v>
      </c>
      <c r="I1850" s="1082" t="s">
        <v>872</v>
      </c>
    </row>
    <row r="1851" spans="1:9" hidden="1" outlineLevel="2" x14ac:dyDescent="0.25">
      <c r="A1851" s="1079">
        <f t="shared" si="71"/>
        <v>1</v>
      </c>
      <c r="B1851" s="1079" t="s">
        <v>1362</v>
      </c>
      <c r="C1851" s="1079" t="str">
        <f t="shared" si="72"/>
        <v>Portão, 1 folha, 350x240 cm</v>
      </c>
      <c r="D1851" s="1079" t="s">
        <v>2140</v>
      </c>
      <c r="E1851" s="1080" t="str">
        <f>_xlfn.XLOOKUP(D1851,Insumos!$B$1:$B$670,Insumos!$C$1:$C$670)</f>
        <v>un</v>
      </c>
      <c r="F1851" s="1083">
        <v>1</v>
      </c>
      <c r="G1851" s="1081">
        <f>IF(B1851="insumo",_xlfn.XLOOKUP($D1851,Insumos!$B$1:$B$670,Insumos!$D$1:$D$670),"")</f>
        <v>9302</v>
      </c>
      <c r="H1851" s="1081" cm="1">
        <f t="array" ref="H1851">_xlfn.IFS(B1851="Serviço",SUMIFS(H1852:$H$2465,C1852:$C$2465,$C1851),B1851="Insumo",F1851*G1851,B1851="Etapa","")</f>
        <v>9302</v>
      </c>
      <c r="I1851" s="1082"/>
    </row>
    <row r="1852" spans="1:9" hidden="1" outlineLevel="1" collapsed="1" x14ac:dyDescent="0.25">
      <c r="A1852" s="1079">
        <f t="shared" si="71"/>
        <v>1</v>
      </c>
      <c r="B1852" s="1079" t="s">
        <v>471</v>
      </c>
      <c r="C1852" s="1079" t="str">
        <f t="shared" si="72"/>
        <v>Porta venezianada metálica, 1 folha, 60x80 cm</v>
      </c>
      <c r="D1852" s="1079" t="s">
        <v>2141</v>
      </c>
      <c r="E1852" s="1080" t="s">
        <v>17</v>
      </c>
      <c r="F1852" s="1079"/>
      <c r="G1852" s="1081" t="str">
        <f>IF(B1852="insumo",_xlfn.XLOOKUP($D1852,Insumos!$B$1:$B$670,Insumos!$D$1:$D$670),"")</f>
        <v/>
      </c>
      <c r="H1852" s="1081" cm="1">
        <f t="array" ref="H1852">_xlfn.IFS(B1852="Serviço",SUMIFS(H1853:$H$2465,C1853:$C$2465,$C1852),B1852="Insumo",F1852*G1852,B1852="Etapa","")</f>
        <v>975</v>
      </c>
      <c r="I1852" s="1082" t="s">
        <v>872</v>
      </c>
    </row>
    <row r="1853" spans="1:9" hidden="1" outlineLevel="2" x14ac:dyDescent="0.25">
      <c r="A1853" s="1079">
        <f t="shared" si="71"/>
        <v>1</v>
      </c>
      <c r="B1853" s="1079" t="s">
        <v>1362</v>
      </c>
      <c r="C1853" s="1079" t="str">
        <f t="shared" si="72"/>
        <v>Porta venezianada metálica, 1 folha, 60x80 cm</v>
      </c>
      <c r="D1853" s="1079" t="s">
        <v>2141</v>
      </c>
      <c r="E1853" s="1080" t="str">
        <f>_xlfn.XLOOKUP(D1853,Insumos!$B$1:$B$670,Insumos!$C$1:$C$670)</f>
        <v>un</v>
      </c>
      <c r="F1853" s="1083">
        <v>1</v>
      </c>
      <c r="G1853" s="1081">
        <f>IF(B1853="insumo",_xlfn.XLOOKUP($D1853,Insumos!$B$1:$B$670,Insumos!$D$1:$D$670),"")</f>
        <v>975</v>
      </c>
      <c r="H1853" s="1081" cm="1">
        <f t="array" ref="H1853">_xlfn.IFS(B1853="Serviço",SUMIFS(H1854:$H$2465,C1854:$C$2465,$C1853),B1853="Insumo",F1853*G1853,B1853="Etapa","")</f>
        <v>975</v>
      </c>
      <c r="I1853" s="1082"/>
    </row>
    <row r="1854" spans="1:9" hidden="1" outlineLevel="1" collapsed="1" x14ac:dyDescent="0.25">
      <c r="A1854" s="1079">
        <f t="shared" si="71"/>
        <v>1</v>
      </c>
      <c r="B1854" s="1079" t="s">
        <v>471</v>
      </c>
      <c r="C1854" s="1079" t="str">
        <f t="shared" si="72"/>
        <v>Porta metálica, 1 folha, 80x150 cm</v>
      </c>
      <c r="D1854" s="1079" t="s">
        <v>2142</v>
      </c>
      <c r="E1854" s="1080" t="s">
        <v>17</v>
      </c>
      <c r="F1854" s="1079"/>
      <c r="G1854" s="1081" t="str">
        <f>IF(B1854="insumo",_xlfn.XLOOKUP($D1854,Insumos!$B$1:$B$670,Insumos!$D$1:$D$670),"")</f>
        <v/>
      </c>
      <c r="H1854" s="1081" cm="1">
        <f t="array" ref="H1854">_xlfn.IFS(B1854="Serviço",SUMIFS(H1855:$H$2465,C1855:$C$2465,$C1854),B1854="Insumo",F1854*G1854,B1854="Etapa","")</f>
        <v>2968</v>
      </c>
      <c r="I1854" s="1082" t="s">
        <v>872</v>
      </c>
    </row>
    <row r="1855" spans="1:9" hidden="1" outlineLevel="2" x14ac:dyDescent="0.25">
      <c r="A1855" s="1079">
        <f t="shared" si="71"/>
        <v>1</v>
      </c>
      <c r="B1855" s="1079" t="s">
        <v>1362</v>
      </c>
      <c r="C1855" s="1079" t="str">
        <f t="shared" si="72"/>
        <v>Porta metálica, 1 folha, 80x150 cm</v>
      </c>
      <c r="D1855" s="1079" t="s">
        <v>2142</v>
      </c>
      <c r="E1855" s="1080" t="str">
        <f>_xlfn.XLOOKUP(D1855,Insumos!$B$1:$B$670,Insumos!$C$1:$C$670)</f>
        <v>un</v>
      </c>
      <c r="F1855" s="1083">
        <v>1</v>
      </c>
      <c r="G1855" s="1081">
        <f>IF(B1855="insumo",_xlfn.XLOOKUP($D1855,Insumos!$B$1:$B$670,Insumos!$D$1:$D$670),"")</f>
        <v>2968</v>
      </c>
      <c r="H1855" s="1081" cm="1">
        <f t="array" ref="H1855">_xlfn.IFS(B1855="Serviço",SUMIFS(H1856:$H$2465,C1856:$C$2465,$C1855),B1855="Insumo",F1855*G1855,B1855="Etapa","")</f>
        <v>2968</v>
      </c>
      <c r="I1855" s="1082"/>
    </row>
    <row r="1856" spans="1:9" hidden="1" outlineLevel="1" collapsed="1" x14ac:dyDescent="0.25">
      <c r="A1856" s="1079">
        <f t="shared" si="71"/>
        <v>1</v>
      </c>
      <c r="B1856" s="1079" t="s">
        <v>471</v>
      </c>
      <c r="C1856" s="1079" t="str">
        <f t="shared" si="72"/>
        <v>Porta corta-fogo, 2 folha, 152x126 cm</v>
      </c>
      <c r="D1856" s="1079" t="s">
        <v>2143</v>
      </c>
      <c r="E1856" s="1080" t="s">
        <v>17</v>
      </c>
      <c r="F1856" s="1079"/>
      <c r="G1856" s="1081" t="str">
        <f>IF(B1856="insumo",_xlfn.XLOOKUP($D1856,Insumos!$B$1:$B$670,Insumos!$D$1:$D$670),"")</f>
        <v/>
      </c>
      <c r="H1856" s="1081" cm="1">
        <f t="array" ref="H1856">_xlfn.IFS(B1856="Serviço",SUMIFS(H1857:$H$2465,C1857:$C$2465,$C1856),B1856="Insumo",F1856*G1856,B1856="Etapa","")</f>
        <v>1089.6084620689658</v>
      </c>
      <c r="I1856" s="1082" t="s">
        <v>872</v>
      </c>
    </row>
    <row r="1857" spans="1:9" hidden="1" outlineLevel="2" x14ac:dyDescent="0.25">
      <c r="A1857" s="1079">
        <f t="shared" si="71"/>
        <v>1</v>
      </c>
      <c r="B1857" s="1079" t="s">
        <v>1362</v>
      </c>
      <c r="C1857" s="1079" t="str">
        <f t="shared" si="72"/>
        <v>Porta corta-fogo, 2 folha, 152x126 cm</v>
      </c>
      <c r="D1857" s="1079" t="s">
        <v>2143</v>
      </c>
      <c r="E1857" s="1080" t="str">
        <f>_xlfn.XLOOKUP(D1857,Insumos!$B$1:$B$670,Insumos!$C$1:$C$670)</f>
        <v>un</v>
      </c>
      <c r="F1857" s="1083">
        <v>1</v>
      </c>
      <c r="G1857" s="1081">
        <f>IF(B1857="insumo",_xlfn.XLOOKUP($D1857,Insumos!$B$1:$B$670,Insumos!$D$1:$D$670),"")</f>
        <v>1089.6084620689658</v>
      </c>
      <c r="H1857" s="1081" cm="1">
        <f t="array" ref="H1857">_xlfn.IFS(B1857="Serviço",SUMIFS(H1858:$H$2465,C1858:$C$2465,$C1857),B1857="Insumo",F1857*G1857,B1857="Etapa","")</f>
        <v>1089.6084620689658</v>
      </c>
      <c r="I1857" s="1082"/>
    </row>
    <row r="1858" spans="1:9" hidden="1" outlineLevel="1" collapsed="1" x14ac:dyDescent="0.25">
      <c r="A1858" s="1079">
        <f t="shared" ref="A1858:A1921" si="73">COUNTIFS($D$2:$D$2465,D1858,$B$2:$B$2465,B1858)</f>
        <v>1</v>
      </c>
      <c r="B1858" s="1079" t="s">
        <v>471</v>
      </c>
      <c r="C1858" s="1079" t="str">
        <f t="shared" si="72"/>
        <v>Escada de marinheiro</v>
      </c>
      <c r="D1858" s="1079" t="s">
        <v>2144</v>
      </c>
      <c r="E1858" s="1080" t="s">
        <v>17</v>
      </c>
      <c r="F1858" s="1079"/>
      <c r="G1858" s="1081" t="str">
        <f>IF(B1858="insumo",_xlfn.XLOOKUP($D1858,Insumos!$B$1:$B$670,Insumos!$D$1:$D$670),"")</f>
        <v/>
      </c>
      <c r="H1858" s="1081" cm="1">
        <f t="array" ref="H1858">_xlfn.IFS(B1858="Serviço",SUMIFS(H1859:$H$2465,C1859:$C$2465,$C1858),B1858="Insumo",F1858*G1858,B1858="Etapa","")</f>
        <v>2405</v>
      </c>
      <c r="I1858" s="1082" t="s">
        <v>872</v>
      </c>
    </row>
    <row r="1859" spans="1:9" hidden="1" outlineLevel="2" x14ac:dyDescent="0.25">
      <c r="A1859" s="1079">
        <f t="shared" si="73"/>
        <v>1</v>
      </c>
      <c r="B1859" s="1079" t="s">
        <v>1362</v>
      </c>
      <c r="C1859" s="1079" t="str">
        <f t="shared" si="72"/>
        <v>Escada de marinheiro</v>
      </c>
      <c r="D1859" s="1079" t="s">
        <v>2144</v>
      </c>
      <c r="E1859" s="1080" t="str">
        <f>_xlfn.XLOOKUP(D1859,Insumos!$B$1:$B$670,Insumos!$C$1:$C$670)</f>
        <v>un</v>
      </c>
      <c r="F1859" s="1083">
        <v>1</v>
      </c>
      <c r="G1859" s="1081">
        <f>IF(B1859="insumo",_xlfn.XLOOKUP($D1859,Insumos!$B$1:$B$670,Insumos!$D$1:$D$670),"")</f>
        <v>2405</v>
      </c>
      <c r="H1859" s="1081" cm="1">
        <f t="array" ref="H1859">_xlfn.IFS(B1859="Serviço",SUMIFS(H1860:$H$2465,C1860:$C$2465,$C1859),B1859="Insumo",F1859*G1859,B1859="Etapa","")</f>
        <v>2405</v>
      </c>
      <c r="I1859" s="1082"/>
    </row>
    <row r="1860" spans="1:9" hidden="1" outlineLevel="1" collapsed="1" x14ac:dyDescent="0.25">
      <c r="A1860" s="1079">
        <f t="shared" si="73"/>
        <v>1</v>
      </c>
      <c r="B1860" s="1079" t="s">
        <v>471</v>
      </c>
      <c r="C1860" s="1079" t="str">
        <f t="shared" si="72"/>
        <v>Escada marinheiro com gaiola de proteção, h=6 m</v>
      </c>
      <c r="D1860" s="1079" t="s">
        <v>2145</v>
      </c>
      <c r="E1860" s="1080" t="s">
        <v>17</v>
      </c>
      <c r="F1860" s="1079"/>
      <c r="G1860" s="1096" t="str">
        <f>IF(B1860="insumo",_xlfn.XLOOKUP($D1860,Insumos!$B$1:$B$670,Insumos!$D$1:$D$670),"")</f>
        <v/>
      </c>
      <c r="H1860" s="1096" cm="1">
        <f t="array" ref="H1860">_xlfn.IFS(B1860="Serviço",SUMIFS(H1861:$H$2465,C1861:$C$2465,$C1860),B1860="Insumo",F1860*G1860,B1860="Etapa","")</f>
        <v>6500</v>
      </c>
      <c r="I1860" s="1082" t="s">
        <v>872</v>
      </c>
    </row>
    <row r="1861" spans="1:9" hidden="1" outlineLevel="2" x14ac:dyDescent="0.25">
      <c r="A1861" s="1079">
        <f t="shared" si="73"/>
        <v>1</v>
      </c>
      <c r="B1861" s="1079" t="s">
        <v>1362</v>
      </c>
      <c r="C1861" s="1079" t="str">
        <f t="shared" si="72"/>
        <v>Escada marinheiro com gaiola de proteção, h=6 m</v>
      </c>
      <c r="D1861" s="1079" t="s">
        <v>2145</v>
      </c>
      <c r="E1861" s="1080" t="str">
        <f>_xlfn.XLOOKUP(D1861,Insumos!$B$1:$B$670,Insumos!$C$1:$C$670)</f>
        <v>un</v>
      </c>
      <c r="F1861" s="1083">
        <v>1</v>
      </c>
      <c r="G1861" s="1096">
        <f>IF(B1861="insumo",_xlfn.XLOOKUP($D1861,Insumos!$B$1:$B$670,Insumos!$D$1:$D$670),"")</f>
        <v>6500</v>
      </c>
      <c r="H1861" s="1096" cm="1">
        <f t="array" ref="H1861">_xlfn.IFS(B1861="Serviço",SUMIFS(H1862:$H$2465,C1862:$C$2465,$C1861),B1861="Insumo",F1861*G1861,B1861="Etapa","")</f>
        <v>6500</v>
      </c>
      <c r="I1861" s="1082"/>
    </row>
    <row r="1862" spans="1:9" hidden="1" outlineLevel="1" collapsed="1" x14ac:dyDescent="0.25">
      <c r="A1862" s="1079">
        <f t="shared" si="73"/>
        <v>1</v>
      </c>
      <c r="B1862" s="1079" t="s">
        <v>471</v>
      </c>
      <c r="C1862" s="1079" t="str">
        <f t="shared" si="72"/>
        <v>Mão de obra de fixação de contramarco de aço</v>
      </c>
      <c r="D1862" s="1079" t="s">
        <v>2584</v>
      </c>
      <c r="E1862" s="1080" t="s">
        <v>3</v>
      </c>
      <c r="F1862" s="1079"/>
      <c r="G1862" s="1081" t="str">
        <f>IF(B1862="insumo",_xlfn.XLOOKUP($D1862,Insumos!$B$1:$B$670,Insumos!$D$1:$D$670),"")</f>
        <v/>
      </c>
      <c r="H1862" s="1081" cm="1">
        <f t="array" ref="H1862">_xlfn.IFS(B1862="Serviço",SUMIFS(H1863:$H$2465,C1863:$C$2465,$C1862),B1862="Insumo",F1862*G1862,B1862="Etapa","")</f>
        <v>30</v>
      </c>
      <c r="I1862" s="1082" t="s">
        <v>872</v>
      </c>
    </row>
    <row r="1863" spans="1:9" hidden="1" outlineLevel="2" x14ac:dyDescent="0.25">
      <c r="A1863" s="1079">
        <f t="shared" si="73"/>
        <v>1</v>
      </c>
      <c r="B1863" s="1079" t="s">
        <v>1362</v>
      </c>
      <c r="C1863" s="1079" t="str">
        <f t="shared" si="72"/>
        <v>Mão de obra de fixação de contramarco de aço</v>
      </c>
      <c r="D1863" s="1079" t="s">
        <v>2146</v>
      </c>
      <c r="E1863" s="1080" t="str">
        <f>_xlfn.XLOOKUP(D1863,Insumos!$B$1:$B$670,Insumos!$C$1:$C$670)</f>
        <v>M2</v>
      </c>
      <c r="F1863" s="1083">
        <v>1</v>
      </c>
      <c r="G1863" s="1081">
        <f>IF(B1863="insumo",_xlfn.XLOOKUP($D1863,Insumos!$B$1:$B$670,Insumos!$D$1:$D$670),"")</f>
        <v>30</v>
      </c>
      <c r="H1863" s="1081" cm="1">
        <f t="array" ref="H1863">_xlfn.IFS(B1863="Serviço",SUMIFS(H1866:$H$2465,C1866:$C$2465,$C1863),B1863="Insumo",F1863*G1863,B1863="Etapa","")</f>
        <v>30</v>
      </c>
      <c r="I1863" s="1082"/>
    </row>
    <row r="1864" spans="1:9" ht="15.75" hidden="1" customHeight="1" outlineLevel="1" x14ac:dyDescent="0.25">
      <c r="A1864" s="1079">
        <f t="shared" si="73"/>
        <v>1</v>
      </c>
      <c r="B1864" s="1079" t="s">
        <v>471</v>
      </c>
      <c r="C1864" s="1079" t="str">
        <f t="shared" si="72"/>
        <v>Mão de obra de fixação de contramarco de aluminio pequeno</v>
      </c>
      <c r="D1864" s="1079" t="s">
        <v>2583</v>
      </c>
      <c r="E1864" s="1080" t="s">
        <v>3</v>
      </c>
      <c r="F1864" s="1079"/>
      <c r="G1864" s="1081" t="str">
        <f>IF(B1864="insumo",_xlfn.XLOOKUP($D1864,Insumos!$B$1:$B$670,Insumos!$D$1:$D$670),"")</f>
        <v/>
      </c>
      <c r="H1864" s="1081" cm="1">
        <f t="array" ref="H1864">_xlfn.IFS(B1864="Serviço",SUMIFS(H1865:$H$2465,C1865:$C$2465,$C1864),B1864="Insumo",F1864*G1864,B1864="Etapa","")</f>
        <v>36</v>
      </c>
      <c r="I1864" s="1082" t="s">
        <v>872</v>
      </c>
    </row>
    <row r="1865" spans="1:9" hidden="1" outlineLevel="2" x14ac:dyDescent="0.25">
      <c r="A1865" s="1079">
        <f t="shared" si="73"/>
        <v>1</v>
      </c>
      <c r="B1865" s="1079" t="s">
        <v>1362</v>
      </c>
      <c r="C1865" s="1079" t="str">
        <f t="shared" si="72"/>
        <v>Mão de obra de fixação de contramarco de aluminio pequeno</v>
      </c>
      <c r="D1865" s="1079" t="s">
        <v>2147</v>
      </c>
      <c r="E1865" s="1080" t="str">
        <f>_xlfn.XLOOKUP(D1865,Insumos!$B$1:$B$670,Insumos!$C$1:$C$670)</f>
        <v>Un</v>
      </c>
      <c r="F1865" s="1083">
        <v>1</v>
      </c>
      <c r="G1865" s="1081">
        <f>IF(B1865="insumo",_xlfn.XLOOKUP($D1865,Insumos!$B$1:$B$670,Insumos!$D$1:$D$670),"")</f>
        <v>36</v>
      </c>
      <c r="H1865" s="1081" cm="1">
        <f t="array" ref="H1865">_xlfn.IFS(B1865="Serviço",SUMIFS(H1866:$H$2465,C1866:$C$2465,$C1865),B1865="Insumo",F1865*G1865,B1865="Etapa","")</f>
        <v>36</v>
      </c>
      <c r="I1865" s="1082"/>
    </row>
    <row r="1866" spans="1:9" ht="15.75" hidden="1" customHeight="1" outlineLevel="1" x14ac:dyDescent="0.25">
      <c r="A1866" s="1079">
        <f t="shared" si="73"/>
        <v>1</v>
      </c>
      <c r="B1866" s="1079" t="s">
        <v>471</v>
      </c>
      <c r="C1866" s="1079" t="str">
        <f t="shared" si="72"/>
        <v>Mão de obra de fixação de contramarco de aluminio grande</v>
      </c>
      <c r="D1866" s="1079" t="s">
        <v>2582</v>
      </c>
      <c r="E1866" s="1080" t="s">
        <v>3</v>
      </c>
      <c r="F1866" s="1079"/>
      <c r="G1866" s="1081" t="str">
        <f>IF(B1866="insumo",_xlfn.XLOOKUP($D1866,Insumos!$B$1:$B$670,Insumos!$D$1:$D$670),"")</f>
        <v/>
      </c>
      <c r="H1866" s="1081" cm="1">
        <f t="array" ref="H1866">_xlfn.IFS(B1866="Serviço",SUMIFS(H1867:$H$2465,C1867:$C$2465,$C1866),B1866="Insumo",F1866*G1866,B1866="Etapa","")</f>
        <v>72</v>
      </c>
      <c r="I1866" s="1082" t="s">
        <v>872</v>
      </c>
    </row>
    <row r="1867" spans="1:9" hidden="1" outlineLevel="2" x14ac:dyDescent="0.25">
      <c r="A1867" s="1079">
        <f t="shared" si="73"/>
        <v>1</v>
      </c>
      <c r="B1867" s="1079" t="s">
        <v>1362</v>
      </c>
      <c r="C1867" s="1079" t="str">
        <f t="shared" si="72"/>
        <v>Mão de obra de fixação de contramarco de aluminio grande</v>
      </c>
      <c r="D1867" s="1079" t="s">
        <v>2148</v>
      </c>
      <c r="E1867" s="1080" t="str">
        <f>_xlfn.XLOOKUP(D1867,Insumos!$B$1:$B$670,Insumos!$C$1:$C$670)</f>
        <v>Un</v>
      </c>
      <c r="F1867" s="1083">
        <v>1</v>
      </c>
      <c r="G1867" s="1081">
        <f>IF(B1867="insumo",_xlfn.XLOOKUP($D1867,Insumos!$B$1:$B$670,Insumos!$D$1:$D$670),"")</f>
        <v>72</v>
      </c>
      <c r="H1867" s="1081" cm="1">
        <f t="array" ref="H1867">_xlfn.IFS(B1867="Serviço",SUMIFS(H1868:$H$2465,C1868:$C$2465,$C1867),B1867="Insumo",F1867*G1867,B1867="Etapa","")</f>
        <v>72</v>
      </c>
      <c r="I1867" s="1082"/>
    </row>
    <row r="1868" spans="1:9" hidden="1" outlineLevel="1" collapsed="1" x14ac:dyDescent="0.25">
      <c r="A1868" s="1079">
        <f t="shared" si="73"/>
        <v>1</v>
      </c>
      <c r="B1868" s="1079" t="s">
        <v>471</v>
      </c>
      <c r="C1868" s="1079" t="str">
        <f t="shared" si="72"/>
        <v>Mão de obra de fixação de contramarco de aluminio</v>
      </c>
      <c r="D1868" s="1079" t="s">
        <v>2581</v>
      </c>
      <c r="E1868" s="1080" t="s">
        <v>3</v>
      </c>
      <c r="F1868" s="1079"/>
      <c r="G1868" s="1081" t="str">
        <f>IF(B1868="insumo",_xlfn.XLOOKUP($D1868,Insumos!$B$1:$B$670,Insumos!$D$1:$D$670),"")</f>
        <v/>
      </c>
      <c r="H1868" s="1081" cm="1">
        <f t="array" ref="H1868">_xlfn.IFS(B1868="Serviço",SUMIFS(H1869:$H$2465,C1869:$C$2465,$C1868),B1868="Insumo",F1868*G1868,B1868="Etapa","")</f>
        <v>15</v>
      </c>
      <c r="I1868" s="1082" t="s">
        <v>872</v>
      </c>
    </row>
    <row r="1869" spans="1:9" hidden="1" outlineLevel="2" x14ac:dyDescent="0.25">
      <c r="A1869" s="1079">
        <f t="shared" si="73"/>
        <v>1</v>
      </c>
      <c r="B1869" s="1079" t="s">
        <v>1362</v>
      </c>
      <c r="C1869" s="1079" t="str">
        <f t="shared" si="72"/>
        <v>Mão de obra de fixação de contramarco de aluminio</v>
      </c>
      <c r="D1869" s="1079" t="s">
        <v>2149</v>
      </c>
      <c r="E1869" s="1080" t="str">
        <f>_xlfn.XLOOKUP(D1869,Insumos!$B$1:$B$670,Insumos!$C$1:$C$670)</f>
        <v>M2</v>
      </c>
      <c r="F1869" s="1083">
        <v>1</v>
      </c>
      <c r="G1869" s="1081">
        <f>IF(B1869="insumo",_xlfn.XLOOKUP($D1869,Insumos!$B$1:$B$670,Insumos!$D$1:$D$670),"")</f>
        <v>15</v>
      </c>
      <c r="H1869" s="1081" cm="1">
        <f t="array" ref="H1869">_xlfn.IFS(B1869="Serviço",SUMIFS(H1870:$H$2465,C1870:$C$2465,$C1869),B1869="Insumo",F1869*G1869,B1869="Etapa","")</f>
        <v>15</v>
      </c>
      <c r="I1869" s="1082"/>
    </row>
    <row r="1870" spans="1:9" hidden="1" outlineLevel="1" collapsed="1" x14ac:dyDescent="0.25">
      <c r="A1870" s="1079">
        <f t="shared" si="73"/>
        <v>1</v>
      </c>
      <c r="B1870" s="1079" t="s">
        <v>471</v>
      </c>
      <c r="C1870" s="1079" t="str">
        <f t="shared" si="72"/>
        <v>Mão de obra para instalação de portas corta-fogo</v>
      </c>
      <c r="D1870" s="1079" t="s">
        <v>2150</v>
      </c>
      <c r="E1870" s="1080" t="s">
        <v>17</v>
      </c>
      <c r="F1870" s="1079"/>
      <c r="G1870" s="1081" t="str">
        <f>IF(B1870="insumo",_xlfn.XLOOKUP($D1870,Insumos!$B$1:$B$670,Insumos!$D$1:$D$670),"")</f>
        <v/>
      </c>
      <c r="H1870" s="1081" cm="1">
        <f t="array" ref="H1870">_xlfn.IFS(B1870="Serviço",SUMIFS(H1871:$H$2465,C1871:$C$2465,$C1870),B1870="Insumo",F1870*G1870,B1870="Etapa","")</f>
        <v>300</v>
      </c>
      <c r="I1870" s="1082" t="s">
        <v>872</v>
      </c>
    </row>
    <row r="1871" spans="1:9" hidden="1" outlineLevel="2" x14ac:dyDescent="0.25">
      <c r="A1871" s="1079">
        <f t="shared" si="73"/>
        <v>1</v>
      </c>
      <c r="B1871" s="1079" t="s">
        <v>1362</v>
      </c>
      <c r="C1871" s="1079" t="str">
        <f t="shared" si="72"/>
        <v>Mão de obra para instalação de portas corta-fogo</v>
      </c>
      <c r="D1871" s="1079" t="s">
        <v>2150</v>
      </c>
      <c r="E1871" s="1080" t="str">
        <f>_xlfn.XLOOKUP(D1871,Insumos!$B$1:$B$670,Insumos!$C$1:$C$670)</f>
        <v>un</v>
      </c>
      <c r="F1871" s="1083">
        <v>1</v>
      </c>
      <c r="G1871" s="1081">
        <f>IF(B1871="insumo",_xlfn.XLOOKUP($D1871,Insumos!$B$1:$B$670,Insumos!$D$1:$D$670),"")</f>
        <v>300</v>
      </c>
      <c r="H1871" s="1081" cm="1">
        <f t="array" ref="H1871">_xlfn.IFS(B1871="Serviço",SUMIFS(H1872:$H$2465,C1872:$C$2465,$C1871),B1871="Insumo",F1871*G1871,B1871="Etapa","")</f>
        <v>300</v>
      </c>
      <c r="I1871" s="1082"/>
    </row>
    <row r="1872" spans="1:9" hidden="1" outlineLevel="1" collapsed="1" x14ac:dyDescent="0.25">
      <c r="A1872" s="1079">
        <f t="shared" si="73"/>
        <v>1</v>
      </c>
      <c r="B1872" s="1079" t="s">
        <v>471</v>
      </c>
      <c r="C1872" s="1079" t="str">
        <f t="shared" si="72"/>
        <v>Mão de obra para instalação de portas de madeira</v>
      </c>
      <c r="D1872" s="1079" t="s">
        <v>1329</v>
      </c>
      <c r="E1872" s="1080" t="s">
        <v>17</v>
      </c>
      <c r="F1872" s="1083"/>
      <c r="G1872" s="1081" t="str">
        <f>IF(B1872="insumo",_xlfn.XLOOKUP($D1872,Insumos!$B$1:$B$670,Insumos!$D$1:$D$670),"")</f>
        <v/>
      </c>
      <c r="H1872" s="1081" cm="1">
        <f t="array" ref="H1872">_xlfn.IFS(B1872="Serviço",SUMIFS(H1873:$H$2465,C1873:$C$2465,$C1872),B1872="Insumo",F1872*G1872,B1872="Etapa","")</f>
        <v>300</v>
      </c>
      <c r="I1872" s="1082" t="s">
        <v>872</v>
      </c>
    </row>
    <row r="1873" spans="1:9" hidden="1" outlineLevel="2" x14ac:dyDescent="0.25">
      <c r="A1873" s="1079">
        <f t="shared" si="73"/>
        <v>1</v>
      </c>
      <c r="B1873" s="1079" t="s">
        <v>1362</v>
      </c>
      <c r="C1873" s="1079" t="str">
        <f t="shared" si="72"/>
        <v>Mão de obra para instalação de portas de madeira</v>
      </c>
      <c r="D1873" s="1079" t="s">
        <v>1329</v>
      </c>
      <c r="E1873" s="1080" t="str">
        <f>_xlfn.XLOOKUP(D1873,Insumos!$B$1:$B$670,Insumos!$C$1:$C$670)</f>
        <v>UN</v>
      </c>
      <c r="F1873" s="1083">
        <v>1</v>
      </c>
      <c r="G1873" s="1081">
        <f>IF(B1873="insumo",_xlfn.XLOOKUP($D1873,Insumos!$B$1:$B$670,Insumos!$D$1:$D$670),"")</f>
        <v>300</v>
      </c>
      <c r="H1873" s="1081" cm="1">
        <f t="array" ref="H1873">_xlfn.IFS(B1873="Serviço",SUMIFS(H1874:$H$2465,C1874:$C$2465,$C1873),B1873="Insumo",F1873*G1873,B1873="Etapa","")</f>
        <v>300</v>
      </c>
      <c r="I1873" s="1082"/>
    </row>
    <row r="1874" spans="1:9" collapsed="1" x14ac:dyDescent="0.25">
      <c r="A1874" s="1076">
        <f t="shared" si="73"/>
        <v>1</v>
      </c>
      <c r="B1874" s="1076" t="s">
        <v>469</v>
      </c>
      <c r="C1874" s="1076"/>
      <c r="D1874" s="1076" t="s">
        <v>2151</v>
      </c>
      <c r="E1874" s="1077"/>
      <c r="F1874" s="1078"/>
      <c r="G1874" s="1084" t="str">
        <f>IF(B1874="insumo",_xlfn.XLOOKUP($D1874,Insumos!$B$1:$B$670,Insumos!$D$1:$D$670),"")</f>
        <v/>
      </c>
      <c r="H1874" s="1084" t="str" cm="1">
        <f t="array" ref="H1874">_xlfn.IFS(B1874="Serviço",SUMIFS(H1875:$H$2465,C1875:$C$2465,$C1874),B1874="Insumo",F1874*G1874,B1874="Etapa","")</f>
        <v/>
      </c>
      <c r="I1874" s="1078"/>
    </row>
    <row r="1875" spans="1:9" hidden="1" outlineLevel="1" collapsed="1" x14ac:dyDescent="0.25">
      <c r="A1875" s="1079">
        <f t="shared" si="73"/>
        <v>1</v>
      </c>
      <c r="B1875" s="1079" t="s">
        <v>471</v>
      </c>
      <c r="C1875" s="1079" t="str">
        <f t="shared" ref="C1875:C1946" si="74">IF(B1875="serviço",D1875,C1874)</f>
        <v xml:space="preserve">Revestimento em Pastilhas Cerâmicas Para Fachada com Junta de 3mm </v>
      </c>
      <c r="D1875" s="1079" t="s">
        <v>2152</v>
      </c>
      <c r="E1875" s="1080" t="s">
        <v>17</v>
      </c>
      <c r="F1875" s="1079"/>
      <c r="G1875" s="1081" t="str">
        <f>IF(B1875="insumo",_xlfn.XLOOKUP($D1875,Insumos!$B$1:$B$670,Insumos!$D$1:$D$670),"")</f>
        <v/>
      </c>
      <c r="H1875" s="1081" cm="1">
        <f t="array" ref="H1875">_xlfn.IFS(B1875="Serviço",SUMIFS(H1876:$H$2465,C1876:$C$2465,$C1875),B1875="Insumo",F1875*G1875,B1875="Etapa","")</f>
        <v>169.535</v>
      </c>
      <c r="I1875" s="1082" t="s">
        <v>872</v>
      </c>
    </row>
    <row r="1876" spans="1:9" hidden="1" outlineLevel="2" x14ac:dyDescent="0.25">
      <c r="A1876" s="1079">
        <f t="shared" si="73"/>
        <v>3</v>
      </c>
      <c r="B1876" s="1079" t="s">
        <v>1362</v>
      </c>
      <c r="C1876" s="1079" t="str">
        <f t="shared" si="74"/>
        <v xml:space="preserve">Revestimento em Pastilhas Cerâmicas Para Fachada com Junta de 3mm </v>
      </c>
      <c r="D1876" s="1079" t="s">
        <v>1808</v>
      </c>
      <c r="E1876" s="1080" t="str">
        <f>_xlfn.XLOOKUP(D1876,Insumos!$B$1:$B$670,Insumos!$C$1:$C$670)</f>
        <v>M2</v>
      </c>
      <c r="F1876" s="1083">
        <v>1.1000000000000001</v>
      </c>
      <c r="G1876" s="1081">
        <f>IF(B1876="insumo",_xlfn.XLOOKUP($D1876,Insumos!$B$1:$B$670,Insumos!$D$1:$D$670),"")</f>
        <v>127.9</v>
      </c>
      <c r="H1876" s="1081" cm="1">
        <f t="array" ref="H1876">_xlfn.IFS(B1876="Serviço",SUMIFS(H1877:$H$2465,C1877:$C$2465,$C1876),B1876="Insumo",F1876*G1876,B1876="Etapa","")</f>
        <v>140.69000000000003</v>
      </c>
      <c r="I1876" s="1082"/>
    </row>
    <row r="1877" spans="1:9" hidden="1" outlineLevel="2" x14ac:dyDescent="0.25">
      <c r="A1877" s="1079">
        <f t="shared" si="73"/>
        <v>87</v>
      </c>
      <c r="B1877" s="1079" t="s">
        <v>1362</v>
      </c>
      <c r="C1877" s="1079" t="str">
        <f t="shared" si="74"/>
        <v xml:space="preserve">Revestimento em Pastilhas Cerâmicas Para Fachada com Junta de 3mm </v>
      </c>
      <c r="D1877" s="1079" t="s">
        <v>1762</v>
      </c>
      <c r="E1877" s="1080" t="str">
        <f>_xlfn.XLOOKUP(D1877,Insumos!$B$1:$B$670,Insumos!$C$1:$C$670)</f>
        <v>KG</v>
      </c>
      <c r="F1877" s="1083">
        <v>9</v>
      </c>
      <c r="G1877" s="1081">
        <f>IF(B1877="insumo",_xlfn.XLOOKUP($D1877,Insumos!$B$1:$B$670,Insumos!$D$1:$D$670),"")</f>
        <v>2.5499999999999998</v>
      </c>
      <c r="H1877" s="1081" cm="1">
        <f t="array" ref="H1877">_xlfn.IFS(B1877="Serviço",SUMIFS(H1878:$H$2465,C1878:$C$2465,$C1877),B1877="Insumo",F1877*G1877,B1877="Etapa","")</f>
        <v>22.95</v>
      </c>
      <c r="I1877" s="1082"/>
    </row>
    <row r="1878" spans="1:9" hidden="1" outlineLevel="2" x14ac:dyDescent="0.25">
      <c r="A1878" s="1079">
        <f t="shared" si="73"/>
        <v>56</v>
      </c>
      <c r="B1878" s="1079" t="s">
        <v>1362</v>
      </c>
      <c r="C1878" s="1079" t="str">
        <f t="shared" si="74"/>
        <v xml:space="preserve">Revestimento em Pastilhas Cerâmicas Para Fachada com Junta de 3mm </v>
      </c>
      <c r="D1878" s="1079" t="s">
        <v>1786</v>
      </c>
      <c r="E1878" s="1080" t="str">
        <f>_xlfn.XLOOKUP(D1878,Insumos!$B$1:$B$670,Insumos!$C$1:$C$670)</f>
        <v>UN</v>
      </c>
      <c r="F1878" s="1083">
        <v>4</v>
      </c>
      <c r="G1878" s="1081">
        <f>IF(B1878="insumo",_xlfn.XLOOKUP($D1878,Insumos!$B$1:$B$670,Insumos!$D$1:$D$670),"")</f>
        <v>0.08</v>
      </c>
      <c r="H1878" s="1081" cm="1">
        <f t="array" ref="H1878">_xlfn.IFS(B1878="Serviço",SUMIFS(H1879:$H$2465,C1879:$C$2465,$C1878),B1878="Insumo",F1878*G1878,B1878="Etapa","")</f>
        <v>0.32</v>
      </c>
      <c r="I1878" s="1082"/>
    </row>
    <row r="1879" spans="1:9" hidden="1" outlineLevel="2" x14ac:dyDescent="0.25">
      <c r="A1879" s="1079">
        <f t="shared" si="73"/>
        <v>50</v>
      </c>
      <c r="B1879" s="1079" t="s">
        <v>1362</v>
      </c>
      <c r="C1879" s="1079" t="str">
        <f t="shared" si="74"/>
        <v xml:space="preserve">Revestimento em Pastilhas Cerâmicas Para Fachada com Junta de 3mm </v>
      </c>
      <c r="D1879" s="1079" t="s">
        <v>1787</v>
      </c>
      <c r="E1879" s="1080" t="str">
        <f>_xlfn.XLOOKUP(D1879,Insumos!$B$1:$B$670,Insumos!$C$1:$C$670)</f>
        <v>KG</v>
      </c>
      <c r="F1879" s="1083">
        <v>0.5</v>
      </c>
      <c r="G1879" s="1081">
        <f>IF(B1879="insumo",_xlfn.XLOOKUP($D1879,Insumos!$B$1:$B$670,Insumos!$D$1:$D$670),"")</f>
        <v>11.15</v>
      </c>
      <c r="H1879" s="1081" cm="1">
        <f t="array" ref="H1879">_xlfn.IFS(B1879="Serviço",SUMIFS(H1880:$H$2465,C1880:$C$2465,$C1879),B1879="Insumo",F1879*G1879,B1879="Etapa","")</f>
        <v>5.5750000000000002</v>
      </c>
      <c r="I1879" s="1082"/>
    </row>
    <row r="1880" spans="1:9" hidden="1" outlineLevel="1" collapsed="1" x14ac:dyDescent="0.25">
      <c r="A1880" s="1079">
        <f t="shared" si="73"/>
        <v>1</v>
      </c>
      <c r="B1880" s="1079" t="s">
        <v>471</v>
      </c>
      <c r="C1880" s="1079" t="str">
        <f t="shared" si="74"/>
        <v>Revestimento em Porcelanato amadeirado, rejunte cimentício, aplicação em Fachada</v>
      </c>
      <c r="D1880" s="1079" t="s">
        <v>2153</v>
      </c>
      <c r="E1880" s="1080" t="s">
        <v>17</v>
      </c>
      <c r="F1880" s="1079"/>
      <c r="G1880" s="1081" t="str">
        <f>IF(B1880="insumo",_xlfn.XLOOKUP($D1880,Insumos!$B$1:$B$670,Insumos!$D$1:$D$670),"")</f>
        <v/>
      </c>
      <c r="H1880" s="1081" cm="1">
        <f t="array" ref="H1880">_xlfn.IFS(B1880="Serviço",SUMIFS(H1881:$H$2465,C1881:$C$2465,$C1880),B1880="Insumo",F1880*G1880,B1880="Etapa","")</f>
        <v>149.72399999999999</v>
      </c>
      <c r="I1880" s="1082" t="s">
        <v>872</v>
      </c>
    </row>
    <row r="1881" spans="1:9" hidden="1" outlineLevel="2" x14ac:dyDescent="0.25">
      <c r="A1881" s="1079">
        <f t="shared" si="73"/>
        <v>3</v>
      </c>
      <c r="B1881" s="1079" t="s">
        <v>1362</v>
      </c>
      <c r="C1881" s="1079" t="str">
        <f t="shared" si="74"/>
        <v>Revestimento em Porcelanato amadeirado, rejunte cimentício, aplicação em Fachada</v>
      </c>
      <c r="D1881" s="1079" t="s">
        <v>1933</v>
      </c>
      <c r="E1881" s="1080" t="str">
        <f>_xlfn.XLOOKUP(D1881,Insumos!$B$1:$B$670,Insumos!$C$1:$C$670)</f>
        <v>M2</v>
      </c>
      <c r="F1881" s="1083">
        <v>1.1000000000000001</v>
      </c>
      <c r="G1881" s="1081">
        <f>IF(B1881="insumo",_xlfn.XLOOKUP($D1881,Insumos!$B$1:$B$670,Insumos!$D$1:$D$670),"")</f>
        <v>109.89</v>
      </c>
      <c r="H1881" s="1081" cm="1">
        <f t="array" ref="H1881">_xlfn.IFS(B1881="Serviço",SUMIFS(H1882:$H$2465,C1882:$C$2465,$C1881),B1881="Insumo",F1881*G1881,B1881="Etapa","")</f>
        <v>120.879</v>
      </c>
      <c r="I1881" s="1082"/>
    </row>
    <row r="1882" spans="1:9" hidden="1" outlineLevel="2" x14ac:dyDescent="0.25">
      <c r="A1882" s="1079">
        <f t="shared" si="73"/>
        <v>87</v>
      </c>
      <c r="B1882" s="1079" t="s">
        <v>1362</v>
      </c>
      <c r="C1882" s="1079" t="str">
        <f t="shared" si="74"/>
        <v>Revestimento em Porcelanato amadeirado, rejunte cimentício, aplicação em Fachada</v>
      </c>
      <c r="D1882" s="1079" t="s">
        <v>1762</v>
      </c>
      <c r="E1882" s="1080" t="str">
        <f>_xlfn.XLOOKUP(D1882,Insumos!$B$1:$B$670,Insumos!$C$1:$C$670)</f>
        <v>KG</v>
      </c>
      <c r="F1882" s="1083">
        <v>9</v>
      </c>
      <c r="G1882" s="1081">
        <f>IF(B1882="insumo",_xlfn.XLOOKUP($D1882,Insumos!$B$1:$B$670,Insumos!$D$1:$D$670),"")</f>
        <v>2.5499999999999998</v>
      </c>
      <c r="H1882" s="1081" cm="1">
        <f t="array" ref="H1882">_xlfn.IFS(B1882="Serviço",SUMIFS(H1883:$H$2465,C1883:$C$2465,$C1882),B1882="Insumo",F1882*G1882,B1882="Etapa","")</f>
        <v>22.95</v>
      </c>
      <c r="I1882" s="1082"/>
    </row>
    <row r="1883" spans="1:9" hidden="1" outlineLevel="2" x14ac:dyDescent="0.25">
      <c r="A1883" s="1079">
        <f t="shared" si="73"/>
        <v>56</v>
      </c>
      <c r="B1883" s="1079" t="s">
        <v>1362</v>
      </c>
      <c r="C1883" s="1079" t="str">
        <f t="shared" si="74"/>
        <v>Revestimento em Porcelanato amadeirado, rejunte cimentício, aplicação em Fachada</v>
      </c>
      <c r="D1883" s="1079" t="s">
        <v>1786</v>
      </c>
      <c r="E1883" s="1080" t="str">
        <f>_xlfn.XLOOKUP(D1883,Insumos!$B$1:$B$670,Insumos!$C$1:$C$670)</f>
        <v>UN</v>
      </c>
      <c r="F1883" s="1083">
        <v>4</v>
      </c>
      <c r="G1883" s="1081">
        <f>IF(B1883="insumo",_xlfn.XLOOKUP($D1883,Insumos!$B$1:$B$670,Insumos!$D$1:$D$670),"")</f>
        <v>0.08</v>
      </c>
      <c r="H1883" s="1081" cm="1">
        <f t="array" ref="H1883">_xlfn.IFS(B1883="Serviço",SUMIFS(H1884:$H$2465,C1884:$C$2465,$C1883),B1883="Insumo",F1883*G1883,B1883="Etapa","")</f>
        <v>0.32</v>
      </c>
      <c r="I1883" s="1082"/>
    </row>
    <row r="1884" spans="1:9" hidden="1" outlineLevel="2" x14ac:dyDescent="0.25">
      <c r="A1884" s="1079">
        <f t="shared" si="73"/>
        <v>50</v>
      </c>
      <c r="B1884" s="1079" t="s">
        <v>1362</v>
      </c>
      <c r="C1884" s="1079" t="str">
        <f t="shared" si="74"/>
        <v>Revestimento em Porcelanato amadeirado, rejunte cimentício, aplicação em Fachada</v>
      </c>
      <c r="D1884" s="1079" t="s">
        <v>1787</v>
      </c>
      <c r="E1884" s="1080" t="str">
        <f>_xlfn.XLOOKUP(D1884,Insumos!$B$1:$B$670,Insumos!$C$1:$C$670)</f>
        <v>KG</v>
      </c>
      <c r="F1884" s="1083">
        <v>0.5</v>
      </c>
      <c r="G1884" s="1081">
        <f>IF(B1884="insumo",_xlfn.XLOOKUP($D1884,Insumos!$B$1:$B$670,Insumos!$D$1:$D$670),"")</f>
        <v>11.15</v>
      </c>
      <c r="H1884" s="1081" cm="1">
        <f t="array" ref="H1884">_xlfn.IFS(B1884="Serviço",SUMIFS(H1885:$H$2465,C1885:$C$2465,$C1884),B1884="Insumo",F1884*G1884,B1884="Etapa","")</f>
        <v>5.5750000000000002</v>
      </c>
      <c r="I1884" s="1082"/>
    </row>
    <row r="1885" spans="1:9" hidden="1" outlineLevel="1" collapsed="1" x14ac:dyDescent="0.25">
      <c r="A1885" s="1079">
        <f t="shared" si="73"/>
        <v>1</v>
      </c>
      <c r="B1885" s="1079" t="s">
        <v>471</v>
      </c>
      <c r="C1885" s="1079" t="str">
        <f t="shared" si="74"/>
        <v>Junta de movimentação em emboço</v>
      </c>
      <c r="D1885" s="1079" t="s">
        <v>2154</v>
      </c>
      <c r="E1885" s="1080" t="s">
        <v>17</v>
      </c>
      <c r="F1885" s="1079"/>
      <c r="G1885" s="1081" t="str">
        <f>IF(B1885="insumo",_xlfn.XLOOKUP($D1885,Insumos!$B$1:$B$670,Insumos!$D$1:$D$670),"")</f>
        <v/>
      </c>
      <c r="H1885" s="1081" cm="1">
        <f t="array" ref="H1885">_xlfn.IFS(B1885="Serviço",SUMIFS(H1886:$H$2465,C1886:$C$2465,$C1885),B1885="Insumo",F1885*G1885,B1885="Etapa","")</f>
        <v>4.8899999999999997</v>
      </c>
      <c r="I1885" s="1082" t="s">
        <v>872</v>
      </c>
    </row>
    <row r="1886" spans="1:9" hidden="1" outlineLevel="2" x14ac:dyDescent="0.25">
      <c r="A1886" s="1079">
        <f t="shared" si="73"/>
        <v>1</v>
      </c>
      <c r="B1886" s="1079" t="s">
        <v>1362</v>
      </c>
      <c r="C1886" s="1079" t="str">
        <f t="shared" si="74"/>
        <v>Junta de movimentação em emboço</v>
      </c>
      <c r="D1886" s="1079" t="s">
        <v>2155</v>
      </c>
      <c r="E1886" s="1080" t="str">
        <f>_xlfn.XLOOKUP(D1886,Insumos!$B$1:$B$670,Insumos!$C$1:$C$670)</f>
        <v>m</v>
      </c>
      <c r="F1886" s="1083">
        <v>1</v>
      </c>
      <c r="G1886" s="1081">
        <f>IF(B1886="insumo",_xlfn.XLOOKUP($D1886,Insumos!$B$1:$B$670,Insumos!$D$1:$D$670),"")</f>
        <v>1.72</v>
      </c>
      <c r="H1886" s="1081" cm="1">
        <f t="array" ref="H1886">_xlfn.IFS(B1886="Serviço",SUMIFS(H1887:$H$2465,C1887:$C$2465,$C1886),B1886="Insumo",F1886*G1886,B1886="Etapa","")</f>
        <v>1.72</v>
      </c>
      <c r="I1886" s="1082"/>
    </row>
    <row r="1887" spans="1:9" hidden="1" outlineLevel="2" x14ac:dyDescent="0.25">
      <c r="A1887" s="1079">
        <f t="shared" si="73"/>
        <v>8</v>
      </c>
      <c r="B1887" s="1079" t="s">
        <v>1362</v>
      </c>
      <c r="C1887" s="1079" t="str">
        <f t="shared" si="74"/>
        <v>Junta de movimentação em emboço</v>
      </c>
      <c r="D1887" s="1079" t="s">
        <v>2156</v>
      </c>
      <c r="E1887" s="1080" t="str">
        <f>_xlfn.XLOOKUP(D1887,Insumos!$B$1:$B$670,Insumos!$C$1:$C$670)</f>
        <v>UN</v>
      </c>
      <c r="F1887" s="1083">
        <v>0.1</v>
      </c>
      <c r="G1887" s="1081">
        <f>IF(B1887="insumo",_xlfn.XLOOKUP($D1887,Insumos!$B$1:$B$670,Insumos!$D$1:$D$670),"")</f>
        <v>31.7</v>
      </c>
      <c r="H1887" s="1081" cm="1">
        <f t="array" ref="H1887">_xlfn.IFS(B1887="Serviço",SUMIFS(H1888:$H$2465,C1888:$C$2465,$C1887),B1887="Insumo",F1887*G1887,B1887="Etapa","")</f>
        <v>3.17</v>
      </c>
      <c r="I1887" s="1082"/>
    </row>
    <row r="1888" spans="1:9" hidden="1" outlineLevel="1" collapsed="1" x14ac:dyDescent="0.25">
      <c r="A1888" s="1079">
        <f t="shared" si="73"/>
        <v>1</v>
      </c>
      <c r="B1888" s="1079" t="s">
        <v>471</v>
      </c>
      <c r="C1888" s="1079" t="str">
        <f t="shared" si="74"/>
        <v>Massa unica para reboco externo em argamassa estabilizada, espessura de 2,5cm, com execução desempenado fino</v>
      </c>
      <c r="D1888" s="1079" t="s">
        <v>2157</v>
      </c>
      <c r="E1888" s="1080" t="s">
        <v>17</v>
      </c>
      <c r="F1888" s="1079"/>
      <c r="G1888" s="1081" t="str">
        <f>IF(B1888="insumo",_xlfn.XLOOKUP($D1888,Insumos!$B$1:$B$670,Insumos!$D$1:$D$670),"")</f>
        <v/>
      </c>
      <c r="H1888" s="1081" cm="1">
        <f t="array" ref="H1888">_xlfn.IFS(B1888="Serviço",SUMIFS(H1889:$H$2465,C1889:$C$2465,$C1888),B1888="Insumo",F1888*G1888,B1888="Etapa","")</f>
        <v>15.898575000000001</v>
      </c>
      <c r="I1888" s="1082" t="s">
        <v>872</v>
      </c>
    </row>
    <row r="1889" spans="1:9" hidden="1" outlineLevel="2" x14ac:dyDescent="0.25">
      <c r="A1889" s="1079">
        <f t="shared" si="73"/>
        <v>4</v>
      </c>
      <c r="B1889" s="1079" t="s">
        <v>1362</v>
      </c>
      <c r="C1889" s="1079" t="str">
        <f t="shared" si="74"/>
        <v>Massa unica para reboco externo em argamassa estabilizada, espessura de 2,5cm, com execução desempenado fino</v>
      </c>
      <c r="D1889" s="1079" t="s">
        <v>1776</v>
      </c>
      <c r="E1889" s="1080" t="str">
        <f>_xlfn.XLOOKUP(D1889,Insumos!$B$1:$B$670,Insumos!$C$1:$C$670)</f>
        <v>M3</v>
      </c>
      <c r="F1889" s="1083">
        <v>2.6250000000000002E-2</v>
      </c>
      <c r="G1889" s="1081">
        <f>IF(B1889="insumo",_xlfn.XLOOKUP($D1889,Insumos!$B$1:$B$670,Insumos!$D$1:$D$670),"")</f>
        <v>605.66</v>
      </c>
      <c r="H1889" s="1081" cm="1">
        <f t="array" ref="H1889">_xlfn.IFS(B1889="Serviço",SUMIFS(H1890:$H$2465,C1890:$C$2465,$C1889),B1889="Insumo",F1889*G1889,B1889="Etapa","")</f>
        <v>15.898575000000001</v>
      </c>
      <c r="I1889" s="1082"/>
    </row>
    <row r="1890" spans="1:9" hidden="1" outlineLevel="1" x14ac:dyDescent="0.25">
      <c r="A1890" s="1079">
        <f t="shared" si="73"/>
        <v>1</v>
      </c>
      <c r="B1890" s="1079" t="s">
        <v>471</v>
      </c>
      <c r="C1890" s="1079" t="str">
        <f t="shared" si="74"/>
        <v>Chapisco externo de argamassa preparada em obra de cimento e areia - traço 1:4 - aplicação em paredes externas</v>
      </c>
      <c r="D1890" s="1079" t="s">
        <v>2158</v>
      </c>
      <c r="E1890" s="1080" t="s">
        <v>17</v>
      </c>
      <c r="F1890" s="1079"/>
      <c r="G1890" s="1081" t="str">
        <f>IF(B1890="insumo",_xlfn.XLOOKUP($D1890,Insumos!$B$1:$B$670,Insumos!$D$1:$D$670),"")</f>
        <v/>
      </c>
      <c r="H1890" s="1081" cm="1">
        <f t="array" ref="H1890">_xlfn.IFS(B1890="Serviço",SUMIFS(H1891:$H$2465,C1891:$C$2465,$C1890),B1890="Insumo",F1890*G1890,B1890="Etapa","")</f>
        <v>3.28945</v>
      </c>
      <c r="I1890" s="1082" t="s">
        <v>872</v>
      </c>
    </row>
    <row r="1891" spans="1:9" ht="18" hidden="1" outlineLevel="2" x14ac:dyDescent="0.25">
      <c r="A1891" s="1079">
        <f t="shared" si="73"/>
        <v>2</v>
      </c>
      <c r="B1891" s="1079" t="s">
        <v>1362</v>
      </c>
      <c r="C1891" s="1079" t="str">
        <f t="shared" si="74"/>
        <v>Chapisco externo de argamassa preparada em obra de cimento e areia - traço 1:4 - aplicação em paredes externas</v>
      </c>
      <c r="D1891" s="1094" t="s">
        <v>1773</v>
      </c>
      <c r="E1891" s="1080" t="s">
        <v>1426</v>
      </c>
      <c r="F1891" s="1083">
        <v>5.0000000000000001E-3</v>
      </c>
      <c r="G1891" s="1081">
        <f>IF(B1891="insumo",_xlfn.XLOOKUP($D1891,Insumos!$B$1:$B$670,Insumos!$D$1:$D$670),"")</f>
        <v>657.89</v>
      </c>
      <c r="H1891" s="1081" cm="1">
        <f t="array" ref="H1891">_xlfn.IFS(B1891="Serviço",SUMIFS(H1892:$H$2465,C1892:$C$2465,$C1891),B1891="Insumo",F1891*G1891,B1891="Etapa","")</f>
        <v>3.28945</v>
      </c>
      <c r="I1891" s="1082"/>
    </row>
    <row r="1892" spans="1:9" hidden="1" outlineLevel="1" collapsed="1" x14ac:dyDescent="0.25">
      <c r="A1892" s="1079">
        <f t="shared" si="73"/>
        <v>1</v>
      </c>
      <c r="B1892" s="1079" t="s">
        <v>471</v>
      </c>
      <c r="C1892" s="1079" t="str">
        <f t="shared" si="74"/>
        <v>Chapisco externo aplicado em estruturas de concreto, de argamassa ACIII, com desempenadeira dentada</v>
      </c>
      <c r="D1892" s="1079" t="s">
        <v>2159</v>
      </c>
      <c r="E1892" s="1080" t="s">
        <v>17</v>
      </c>
      <c r="F1892" s="1079"/>
      <c r="G1892" s="1081" t="str">
        <f>IF(B1892="insumo",_xlfn.XLOOKUP($D1892,Insumos!$B$1:$B$670,Insumos!$D$1:$D$670),"")</f>
        <v/>
      </c>
      <c r="H1892" s="1081" cm="1">
        <f t="array" ref="H1892">_xlfn.IFS(B1892="Serviço",SUMIFS(H1893:$H$2465,C1893:$C$2465,$C1892),B1892="Insumo",F1892*G1892,B1892="Etapa","")</f>
        <v>12.75</v>
      </c>
      <c r="I1892" s="1082" t="s">
        <v>872</v>
      </c>
    </row>
    <row r="1893" spans="1:9" hidden="1" outlineLevel="2" x14ac:dyDescent="0.25">
      <c r="A1893" s="1079">
        <f t="shared" si="73"/>
        <v>87</v>
      </c>
      <c r="B1893" s="1079" t="s">
        <v>1362</v>
      </c>
      <c r="C1893" s="1079" t="str">
        <f t="shared" si="74"/>
        <v>Chapisco externo aplicado em estruturas de concreto, de argamassa ACIII, com desempenadeira dentada</v>
      </c>
      <c r="D1893" s="1079" t="s">
        <v>1762</v>
      </c>
      <c r="E1893" s="1080" t="str">
        <f>_xlfn.XLOOKUP(D1893,Insumos!$B$1:$B$670,Insumos!$C$1:$C$670)</f>
        <v>KG</v>
      </c>
      <c r="F1893" s="1083">
        <v>5</v>
      </c>
      <c r="G1893" s="1081">
        <f>IF(B1893="insumo",_xlfn.XLOOKUP($D1893,Insumos!$B$1:$B$670,Insumos!$D$1:$D$670),"")</f>
        <v>2.5499999999999998</v>
      </c>
      <c r="H1893" s="1081" cm="1">
        <f t="array" ref="H1893">_xlfn.IFS(B1893="Serviço",SUMIFS(H1894:$H$2465,C1894:$C$2465,$C1893),B1893="Insumo",F1893*G1893,B1893="Etapa","")</f>
        <v>12.75</v>
      </c>
      <c r="I1893" s="1082"/>
    </row>
    <row r="1894" spans="1:9" hidden="1" outlineLevel="1" x14ac:dyDescent="0.25">
      <c r="A1894" s="1079">
        <f t="shared" si="73"/>
        <v>1</v>
      </c>
      <c r="B1894" s="1079" t="s">
        <v>471</v>
      </c>
      <c r="C1894" s="1079" t="str">
        <f t="shared" si="74"/>
        <v>Chapisco externo aplicado em estruturas de concreto, com argamassa pré-fabricada adesiva de cimento colante, aplicação convencional</v>
      </c>
      <c r="D1894" s="1079" t="s">
        <v>2160</v>
      </c>
      <c r="E1894" s="1080" t="s">
        <v>17</v>
      </c>
      <c r="F1894" s="1079"/>
      <c r="G1894" s="1081" t="str">
        <f>IF(B1894="insumo",_xlfn.XLOOKUP($D1894,Insumos!$B$1:$B$670,Insumos!$D$1:$D$670),"")</f>
        <v/>
      </c>
      <c r="H1894" s="1081" cm="1">
        <f t="array" ref="H1894">_xlfn.IFS(B1894="Serviço",SUMIFS(H1895:$H$2465,C1895:$C$2465,$C1894),B1894="Insumo",F1894*G1894,B1894="Etapa","")</f>
        <v>19.535849999999996</v>
      </c>
      <c r="I1894" s="1082" t="s">
        <v>872</v>
      </c>
    </row>
    <row r="1895" spans="1:9" hidden="1" outlineLevel="2" x14ac:dyDescent="0.25">
      <c r="A1895" s="1079">
        <f t="shared" si="73"/>
        <v>87</v>
      </c>
      <c r="B1895" s="1079" t="s">
        <v>1362</v>
      </c>
      <c r="C1895" s="1079" t="str">
        <f t="shared" si="74"/>
        <v>Chapisco externo aplicado em estruturas de concreto, com argamassa pré-fabricada adesiva de cimento colante, aplicação convencional</v>
      </c>
      <c r="D1895" s="1079" t="s">
        <v>1762</v>
      </c>
      <c r="E1895" s="1080" t="str">
        <f>_xlfn.XLOOKUP(D1895,Insumos!$B$1:$B$670,Insumos!$C$1:$C$670)</f>
        <v>KG</v>
      </c>
      <c r="F1895" s="1083">
        <v>6.34</v>
      </c>
      <c r="G1895" s="1081">
        <f>IF(B1895="insumo",_xlfn.XLOOKUP($D1895,Insumos!$B$1:$B$670,Insumos!$D$1:$D$670),"")</f>
        <v>2.5499999999999998</v>
      </c>
      <c r="H1895" s="1081" cm="1">
        <f t="array" ref="H1895">_xlfn.IFS(B1895="Serviço",SUMIFS(H1896:$H$2465,C1896:$C$2465,$C1895),B1895="Insumo",F1895*G1895,B1895="Etapa","")</f>
        <v>16.166999999999998</v>
      </c>
      <c r="I1895" s="1082"/>
    </row>
    <row r="1896" spans="1:9" hidden="1" outlineLevel="2" x14ac:dyDescent="0.25">
      <c r="A1896" s="1079">
        <f t="shared" si="73"/>
        <v>4</v>
      </c>
      <c r="B1896" s="1079" t="s">
        <v>1362</v>
      </c>
      <c r="C1896" s="1079" t="str">
        <f t="shared" si="74"/>
        <v>Chapisco externo aplicado em estruturas de concreto, com argamassa pré-fabricada adesiva de cimento colante, aplicação convencional</v>
      </c>
      <c r="D1896" s="1079" t="s">
        <v>1764</v>
      </c>
      <c r="E1896" s="1080" t="str">
        <f>_xlfn.XLOOKUP(D1896,Insumos!$B$1:$B$670,Insumos!$C$1:$C$670)</f>
        <v>KG</v>
      </c>
      <c r="F1896" s="1083">
        <v>0.3</v>
      </c>
      <c r="G1896" s="1081">
        <f>IF(B1896="insumo",_xlfn.XLOOKUP($D1896,Insumos!$B$1:$B$670,Insumos!$D$1:$D$670),"")</f>
        <v>11.2295</v>
      </c>
      <c r="H1896" s="1081" cm="1">
        <f t="array" ref="H1896">_xlfn.IFS(B1896="Serviço",SUMIFS(H1899:$H$2465,C1899:$C$2465,$C1896),B1896="Insumo",F1896*G1896,B1896="Etapa","")</f>
        <v>3.3688499999999997</v>
      </c>
      <c r="I1896" s="1082"/>
    </row>
    <row r="1897" spans="1:9" hidden="1" outlineLevel="1" x14ac:dyDescent="0.25">
      <c r="A1897" s="1079">
        <f t="shared" si="73"/>
        <v>1</v>
      </c>
      <c r="B1897" s="1079" t="s">
        <v>471</v>
      </c>
      <c r="C1897" s="1079" t="str">
        <f t="shared" ref="C1897:C1898" si="75">IF(B1897="serviço",D1897,C1896)</f>
        <v>Acabamentos para Parede verde com treliça e plantas trepadeiras em Fachadas - Material e mão de obra</v>
      </c>
      <c r="D1897" s="1079" t="s">
        <v>2587</v>
      </c>
      <c r="E1897" s="1080" t="s">
        <v>17</v>
      </c>
      <c r="F1897" s="1079"/>
      <c r="G1897" s="1081" t="str">
        <f>IF(B1897="insumo",_xlfn.XLOOKUP($D1897,Insumos!$B$1:$B$670,Insumos!$D$1:$D$670),"")</f>
        <v/>
      </c>
      <c r="H1897" s="1081" cm="1">
        <f t="array" ref="H1897">_xlfn.IFS(B1897="Serviço",SUMIFS(H1898:$H$2465,C1898:$C$2465,$C1897),B1897="Insumo",F1897*G1897,B1897="Etapa","")</f>
        <v>550</v>
      </c>
      <c r="I1897" s="1082" t="s">
        <v>872</v>
      </c>
    </row>
    <row r="1898" spans="1:9" hidden="1" outlineLevel="2" x14ac:dyDescent="0.25">
      <c r="A1898" s="1079">
        <f t="shared" si="73"/>
        <v>1</v>
      </c>
      <c r="B1898" s="1079" t="s">
        <v>1362</v>
      </c>
      <c r="C1898" s="1079" t="str">
        <f t="shared" si="75"/>
        <v>Acabamentos para Parede verde com treliça e plantas trepadeiras em Fachadas - Material e mão de obra</v>
      </c>
      <c r="D1898" s="1079" t="s">
        <v>2587</v>
      </c>
      <c r="E1898" s="1080" t="str">
        <f>_xlfn.XLOOKUP(D1898,Insumos!$B$1:$B$670,Insumos!$C$1:$C$670)</f>
        <v>M2</v>
      </c>
      <c r="F1898" s="1083">
        <v>1</v>
      </c>
      <c r="G1898" s="1081">
        <f>IF(B1898="insumo",_xlfn.XLOOKUP($D1898,Insumos!$B$1:$B$670,Insumos!$D$1:$D$670),"")</f>
        <v>550</v>
      </c>
      <c r="H1898" s="1081" cm="1">
        <f t="array" ref="H1898">_xlfn.IFS(B1898="Serviço",SUMIFS(H1899:$H$2465,C1899:$C$2465,$C1898),B1898="Insumo",F1898*G1898,B1898="Etapa","")</f>
        <v>550</v>
      </c>
      <c r="I1898" s="1082"/>
    </row>
    <row r="1899" spans="1:9" hidden="1" outlineLevel="1" x14ac:dyDescent="0.25">
      <c r="A1899" s="1079">
        <f t="shared" si="73"/>
        <v>1</v>
      </c>
      <c r="B1899" s="1079" t="s">
        <v>471</v>
      </c>
      <c r="C1899" s="1079" t="str">
        <f>IF(B1899="serviço",D1899,C1896)</f>
        <v>Revestimento  externo de porcelanato retificado em Paredes, Cinza claro, Placa 60 x 60cm com Junta de 2mm</v>
      </c>
      <c r="D1899" s="1079" t="s">
        <v>2161</v>
      </c>
      <c r="E1899" s="1080" t="s">
        <v>17</v>
      </c>
      <c r="F1899" s="1079"/>
      <c r="G1899" s="1081" t="str">
        <f>IF(B1899="insumo",_xlfn.XLOOKUP($D1899,Insumos!$B$1:$B$670,Insumos!$D$1:$D$670),"")</f>
        <v/>
      </c>
      <c r="H1899" s="1081" cm="1">
        <f t="array" ref="H1899">_xlfn.IFS(B1899="Serviço",SUMIFS(H1900:$H$2465,C1900:$C$2465,$C1899),B1899="Insumo",F1899*G1899,B1899="Etapa","")</f>
        <v>92.147999999999996</v>
      </c>
      <c r="I1899" s="1082" t="s">
        <v>872</v>
      </c>
    </row>
    <row r="1900" spans="1:9" hidden="1" outlineLevel="2" x14ac:dyDescent="0.25">
      <c r="A1900" s="1079">
        <f t="shared" si="73"/>
        <v>1</v>
      </c>
      <c r="B1900" s="1079" t="s">
        <v>1362</v>
      </c>
      <c r="C1900" s="1079" t="str">
        <f t="shared" si="74"/>
        <v>Revestimento  externo de porcelanato retificado em Paredes, Cinza claro, Placa 60 x 60cm com Junta de 2mm</v>
      </c>
      <c r="D1900" s="1079" t="s">
        <v>2162</v>
      </c>
      <c r="E1900" s="1080" t="str">
        <f>_xlfn.XLOOKUP(D1900,Insumos!$B$1:$B$670,Insumos!$C$1:$C$670)</f>
        <v>M2</v>
      </c>
      <c r="F1900" s="1083">
        <v>1.1000000000000001</v>
      </c>
      <c r="G1900" s="1081">
        <f>IF(B1900="insumo",_xlfn.XLOOKUP($D1900,Insumos!$B$1:$B$670,Insumos!$D$1:$D$670),"")</f>
        <v>62.9</v>
      </c>
      <c r="H1900" s="1081" cm="1">
        <f t="array" ref="H1900">_xlfn.IFS(B1900="Serviço",SUMIFS(H1901:$H$2465,C1901:$C$2465,$C1900),B1900="Insumo",F1900*G1900,B1900="Etapa","")</f>
        <v>69.19</v>
      </c>
      <c r="I1900" s="1082"/>
    </row>
    <row r="1901" spans="1:9" hidden="1" outlineLevel="2" x14ac:dyDescent="0.25">
      <c r="A1901" s="1079">
        <f t="shared" si="73"/>
        <v>87</v>
      </c>
      <c r="B1901" s="1079" t="s">
        <v>1362</v>
      </c>
      <c r="C1901" s="1079" t="str">
        <f t="shared" si="74"/>
        <v>Revestimento  externo de porcelanato retificado em Paredes, Cinza claro, Placa 60 x 60cm com Junta de 2mm</v>
      </c>
      <c r="D1901" s="1079" t="s">
        <v>1762</v>
      </c>
      <c r="E1901" s="1080" t="str">
        <f>_xlfn.XLOOKUP(D1901,Insumos!$B$1:$B$670,Insumos!$C$1:$C$670)</f>
        <v>KG</v>
      </c>
      <c r="F1901" s="1083">
        <v>8.8000000000000007</v>
      </c>
      <c r="G1901" s="1081">
        <f>IF(B1901="insumo",_xlfn.XLOOKUP($D1901,Insumos!$B$1:$B$670,Insumos!$D$1:$D$670),"")</f>
        <v>2.5499999999999998</v>
      </c>
      <c r="H1901" s="1081" cm="1">
        <f t="array" ref="H1901">_xlfn.IFS(B1901="Serviço",SUMIFS(H1902:$H$2465,C1902:$C$2465,$C1901),B1901="Insumo",F1901*G1901,B1901="Etapa","")</f>
        <v>22.44</v>
      </c>
      <c r="I1901" s="1082"/>
    </row>
    <row r="1902" spans="1:9" hidden="1" outlineLevel="2" x14ac:dyDescent="0.25">
      <c r="A1902" s="1079">
        <f t="shared" si="73"/>
        <v>56</v>
      </c>
      <c r="B1902" s="1079" t="s">
        <v>1362</v>
      </c>
      <c r="C1902" s="1079" t="str">
        <f t="shared" si="74"/>
        <v>Revestimento  externo de porcelanato retificado em Paredes, Cinza claro, Placa 60 x 60cm com Junta de 2mm</v>
      </c>
      <c r="D1902" s="1079" t="s">
        <v>1786</v>
      </c>
      <c r="E1902" s="1080" t="str">
        <f>_xlfn.XLOOKUP(D1902,Insumos!$B$1:$B$670,Insumos!$C$1:$C$670)</f>
        <v>UN</v>
      </c>
      <c r="F1902" s="1083">
        <v>1</v>
      </c>
      <c r="G1902" s="1081">
        <f>IF(B1902="insumo",_xlfn.XLOOKUP($D1902,Insumos!$B$1:$B$670,Insumos!$D$1:$D$670),"")</f>
        <v>0.08</v>
      </c>
      <c r="H1902" s="1081" cm="1">
        <f t="array" ref="H1902">_xlfn.IFS(B1902="Serviço",SUMIFS(H1903:$H$2465,C1903:$C$2465,$C1902),B1902="Insumo",F1902*G1902,B1902="Etapa","")</f>
        <v>0.08</v>
      </c>
      <c r="I1902" s="1082"/>
    </row>
    <row r="1903" spans="1:9" hidden="1" outlineLevel="2" x14ac:dyDescent="0.25">
      <c r="A1903" s="1079">
        <f t="shared" si="73"/>
        <v>13</v>
      </c>
      <c r="B1903" s="1079" t="s">
        <v>1362</v>
      </c>
      <c r="C1903" s="1079" t="str">
        <f t="shared" si="74"/>
        <v>Revestimento  externo de porcelanato retificado em Paredes, Cinza claro, Placa 60 x 60cm com Junta de 2mm</v>
      </c>
      <c r="D1903" s="1079" t="s">
        <v>1789</v>
      </c>
      <c r="E1903" s="1080" t="str">
        <f>_xlfn.XLOOKUP(D1903,Insumos!$B$1:$B$670,Insumos!$C$1:$C$670)</f>
        <v>KG</v>
      </c>
      <c r="F1903" s="1083">
        <v>0.01</v>
      </c>
      <c r="G1903" s="1081">
        <f>IF(B1903="insumo",_xlfn.XLOOKUP($D1903,Insumos!$B$1:$B$670,Insumos!$D$1:$D$670),"")</f>
        <v>43.8</v>
      </c>
      <c r="H1903" s="1081" cm="1">
        <f t="array" ref="H1903">_xlfn.IFS(B1903="Serviço",SUMIFS(H1904:$H$2465,C1904:$C$2465,$C1903),B1903="Insumo",F1903*G1903,B1903="Etapa","")</f>
        <v>0.438</v>
      </c>
      <c r="I1903" s="1082"/>
    </row>
    <row r="1904" spans="1:9" hidden="1" outlineLevel="1" x14ac:dyDescent="0.25">
      <c r="A1904" s="1079">
        <f t="shared" si="73"/>
        <v>1</v>
      </c>
      <c r="B1904" s="1079" t="s">
        <v>471</v>
      </c>
      <c r="C1904" s="1079" t="str">
        <f t="shared" si="74"/>
        <v>Revestimento  externo de porcelanato retificado em Paredes, Cinza, Placa 60 x 60cm com Junta de 2mm</v>
      </c>
      <c r="D1904" s="1079" t="s">
        <v>2163</v>
      </c>
      <c r="E1904" s="1080" t="s">
        <v>17</v>
      </c>
      <c r="F1904" s="1079"/>
      <c r="G1904" s="1081" t="str">
        <f>IF(B1904="insumo",_xlfn.XLOOKUP($D1904,Insumos!$B$1:$B$670,Insumos!$D$1:$D$670),"")</f>
        <v/>
      </c>
      <c r="H1904" s="1081" cm="1">
        <f t="array" ref="H1904">_xlfn.IFS(B1904="Serviço",SUMIFS(H1905:$H$2465,C1905:$C$2465,$C1904),B1904="Insumo",F1904*G1904,B1904="Etapa","")</f>
        <v>105.458</v>
      </c>
      <c r="I1904" s="1082" t="s">
        <v>872</v>
      </c>
    </row>
    <row r="1905" spans="1:9" hidden="1" outlineLevel="2" x14ac:dyDescent="0.25">
      <c r="A1905" s="1079">
        <f t="shared" si="73"/>
        <v>1</v>
      </c>
      <c r="B1905" s="1079" t="s">
        <v>1362</v>
      </c>
      <c r="C1905" s="1079" t="str">
        <f t="shared" si="74"/>
        <v>Revestimento  externo de porcelanato retificado em Paredes, Cinza, Placa 60 x 60cm com Junta de 2mm</v>
      </c>
      <c r="D1905" s="1079" t="s">
        <v>2164</v>
      </c>
      <c r="E1905" s="1080" t="str">
        <f>_xlfn.XLOOKUP(D1905,Insumos!$B$1:$B$670,Insumos!$C$1:$C$670)</f>
        <v>M2</v>
      </c>
      <c r="F1905" s="1083">
        <v>1.1000000000000001</v>
      </c>
      <c r="G1905" s="1081">
        <f>IF(B1905="insumo",_xlfn.XLOOKUP($D1905,Insumos!$B$1:$B$670,Insumos!$D$1:$D$670),"")</f>
        <v>75</v>
      </c>
      <c r="H1905" s="1081" cm="1">
        <f t="array" ref="H1905">_xlfn.IFS(B1905="Serviço",SUMIFS(H1906:$H$2465,C1906:$C$2465,$C1905),B1905="Insumo",F1905*G1905,B1905="Etapa","")</f>
        <v>82.5</v>
      </c>
      <c r="I1905" s="1082"/>
    </row>
    <row r="1906" spans="1:9" hidden="1" outlineLevel="2" x14ac:dyDescent="0.25">
      <c r="A1906" s="1079">
        <f t="shared" si="73"/>
        <v>87</v>
      </c>
      <c r="B1906" s="1079" t="s">
        <v>1362</v>
      </c>
      <c r="C1906" s="1079" t="str">
        <f t="shared" si="74"/>
        <v>Revestimento  externo de porcelanato retificado em Paredes, Cinza, Placa 60 x 60cm com Junta de 2mm</v>
      </c>
      <c r="D1906" s="1079" t="s">
        <v>1762</v>
      </c>
      <c r="E1906" s="1080" t="str">
        <f>_xlfn.XLOOKUP(D1906,Insumos!$B$1:$B$670,Insumos!$C$1:$C$670)</f>
        <v>KG</v>
      </c>
      <c r="F1906" s="1083">
        <v>8.8000000000000007</v>
      </c>
      <c r="G1906" s="1081">
        <f>IF(B1906="insumo",_xlfn.XLOOKUP($D1906,Insumos!$B$1:$B$670,Insumos!$D$1:$D$670),"")</f>
        <v>2.5499999999999998</v>
      </c>
      <c r="H1906" s="1081" cm="1">
        <f t="array" ref="H1906">_xlfn.IFS(B1906="Serviço",SUMIFS(H1907:$H$2465,C1907:$C$2465,$C1906),B1906="Insumo",F1906*G1906,B1906="Etapa","")</f>
        <v>22.44</v>
      </c>
      <c r="I1906" s="1082"/>
    </row>
    <row r="1907" spans="1:9" hidden="1" outlineLevel="2" x14ac:dyDescent="0.25">
      <c r="A1907" s="1079">
        <f t="shared" si="73"/>
        <v>56</v>
      </c>
      <c r="B1907" s="1079" t="s">
        <v>1362</v>
      </c>
      <c r="C1907" s="1079" t="str">
        <f t="shared" si="74"/>
        <v>Revestimento  externo de porcelanato retificado em Paredes, Cinza, Placa 60 x 60cm com Junta de 2mm</v>
      </c>
      <c r="D1907" s="1079" t="s">
        <v>1786</v>
      </c>
      <c r="E1907" s="1080" t="str">
        <f>_xlfn.XLOOKUP(D1907,Insumos!$B$1:$B$670,Insumos!$C$1:$C$670)</f>
        <v>UN</v>
      </c>
      <c r="F1907" s="1083">
        <v>1</v>
      </c>
      <c r="G1907" s="1081">
        <f>IF(B1907="insumo",_xlfn.XLOOKUP($D1907,Insumos!$B$1:$B$670,Insumos!$D$1:$D$670),"")</f>
        <v>0.08</v>
      </c>
      <c r="H1907" s="1081" cm="1">
        <f t="array" ref="H1907">_xlfn.IFS(B1907="Serviço",SUMIFS(H1908:$H$2465,C1908:$C$2465,$C1907),B1907="Insumo",F1907*G1907,B1907="Etapa","")</f>
        <v>0.08</v>
      </c>
      <c r="I1907" s="1082"/>
    </row>
    <row r="1908" spans="1:9" hidden="1" outlineLevel="2" x14ac:dyDescent="0.25">
      <c r="A1908" s="1079">
        <f t="shared" si="73"/>
        <v>13</v>
      </c>
      <c r="B1908" s="1079" t="s">
        <v>1362</v>
      </c>
      <c r="C1908" s="1079" t="str">
        <f t="shared" si="74"/>
        <v>Revestimento  externo de porcelanato retificado em Paredes, Cinza, Placa 60 x 60cm com Junta de 2mm</v>
      </c>
      <c r="D1908" s="1079" t="s">
        <v>1789</v>
      </c>
      <c r="E1908" s="1080" t="str">
        <f>_xlfn.XLOOKUP(D1908,Insumos!$B$1:$B$670,Insumos!$C$1:$C$670)</f>
        <v>KG</v>
      </c>
      <c r="F1908" s="1083">
        <v>0.01</v>
      </c>
      <c r="G1908" s="1081">
        <f>IF(B1908="insumo",_xlfn.XLOOKUP($D1908,Insumos!$B$1:$B$670,Insumos!$D$1:$D$670),"")</f>
        <v>43.8</v>
      </c>
      <c r="H1908" s="1081" cm="1">
        <f t="array" ref="H1908">_xlfn.IFS(B1908="Serviço",SUMIFS(H1909:$H$2465,C1909:$C$2465,$C1908),B1908="Insumo",F1908*G1908,B1908="Etapa","")</f>
        <v>0.438</v>
      </c>
      <c r="I1908" s="1082"/>
    </row>
    <row r="1909" spans="1:9" hidden="1" outlineLevel="1" x14ac:dyDescent="0.25">
      <c r="A1909" s="1079">
        <f t="shared" si="73"/>
        <v>1</v>
      </c>
      <c r="B1909" s="1079" t="s">
        <v>471</v>
      </c>
      <c r="C1909" s="1079" t="str">
        <f t="shared" si="74"/>
        <v>Revestimento  externo de porcelanato retificado Preto em Paredes, Placa 60 x 60cm com Junta de 2mm</v>
      </c>
      <c r="D1909" s="1079" t="s">
        <v>2165</v>
      </c>
      <c r="E1909" s="1080" t="s">
        <v>17</v>
      </c>
      <c r="F1909" s="1079"/>
      <c r="G1909" s="1081" t="str">
        <f>IF(B1909="insumo",_xlfn.XLOOKUP($D1909,Insumos!$B$1:$B$670,Insumos!$D$1:$D$670),"")</f>
        <v/>
      </c>
      <c r="H1909" s="1081" cm="1">
        <f t="array" ref="H1909">_xlfn.IFS(B1909="Serviço",SUMIFS(H1910:$H$2465,C1910:$C$2465,$C1909),B1909="Insumo",F1909*G1909,B1909="Etapa","")</f>
        <v>99.896888888888896</v>
      </c>
      <c r="I1909" s="1082" t="s">
        <v>872</v>
      </c>
    </row>
    <row r="1910" spans="1:9" hidden="1" outlineLevel="2" x14ac:dyDescent="0.25">
      <c r="A1910" s="1079">
        <f t="shared" si="73"/>
        <v>1</v>
      </c>
      <c r="B1910" s="1079" t="s">
        <v>1362</v>
      </c>
      <c r="C1910" s="1079" t="str">
        <f t="shared" si="74"/>
        <v>Revestimento  externo de porcelanato retificado Preto em Paredes, Placa 60 x 60cm com Junta de 2mm</v>
      </c>
      <c r="D1910" s="1079" t="s">
        <v>2166</v>
      </c>
      <c r="E1910" s="1080" t="str">
        <f>_xlfn.XLOOKUP(D1910,Insumos!$B$1:$B$670,Insumos!$C$1:$C$670)</f>
        <v>M2</v>
      </c>
      <c r="F1910" s="1083">
        <v>1.1000000000000001</v>
      </c>
      <c r="G1910" s="1081">
        <f>IF(B1910="insumo",_xlfn.XLOOKUP($D1910,Insumos!$B$1:$B$670,Insumos!$D$1:$D$670),"")</f>
        <v>69.944444444444443</v>
      </c>
      <c r="H1910" s="1081" cm="1">
        <f t="array" ref="H1910">_xlfn.IFS(B1910="Serviço",SUMIFS(H1911:$H$2465,C1911:$C$2465,$C1910),B1910="Insumo",F1910*G1910,B1910="Etapa","")</f>
        <v>76.938888888888897</v>
      </c>
      <c r="I1910" s="1082"/>
    </row>
    <row r="1911" spans="1:9" hidden="1" outlineLevel="2" x14ac:dyDescent="0.25">
      <c r="A1911" s="1079">
        <f t="shared" si="73"/>
        <v>87</v>
      </c>
      <c r="B1911" s="1079" t="s">
        <v>1362</v>
      </c>
      <c r="C1911" s="1079" t="str">
        <f t="shared" si="74"/>
        <v>Revestimento  externo de porcelanato retificado Preto em Paredes, Placa 60 x 60cm com Junta de 2mm</v>
      </c>
      <c r="D1911" s="1079" t="s">
        <v>1762</v>
      </c>
      <c r="E1911" s="1080" t="str">
        <f>_xlfn.XLOOKUP(D1911,Insumos!$B$1:$B$670,Insumos!$C$1:$C$670)</f>
        <v>KG</v>
      </c>
      <c r="F1911" s="1083">
        <v>8.8000000000000007</v>
      </c>
      <c r="G1911" s="1081">
        <f>IF(B1911="insumo",_xlfn.XLOOKUP($D1911,Insumos!$B$1:$B$670,Insumos!$D$1:$D$670),"")</f>
        <v>2.5499999999999998</v>
      </c>
      <c r="H1911" s="1081" cm="1">
        <f t="array" ref="H1911">_xlfn.IFS(B1911="Serviço",SUMIFS(H1912:$H$2465,C1912:$C$2465,$C1911),B1911="Insumo",F1911*G1911,B1911="Etapa","")</f>
        <v>22.44</v>
      </c>
      <c r="I1911" s="1082"/>
    </row>
    <row r="1912" spans="1:9" hidden="1" outlineLevel="2" x14ac:dyDescent="0.25">
      <c r="A1912" s="1079">
        <f t="shared" si="73"/>
        <v>56</v>
      </c>
      <c r="B1912" s="1079" t="s">
        <v>1362</v>
      </c>
      <c r="C1912" s="1079" t="str">
        <f t="shared" si="74"/>
        <v>Revestimento  externo de porcelanato retificado Preto em Paredes, Placa 60 x 60cm com Junta de 2mm</v>
      </c>
      <c r="D1912" s="1079" t="s">
        <v>1786</v>
      </c>
      <c r="E1912" s="1080" t="str">
        <f>_xlfn.XLOOKUP(D1912,Insumos!$B$1:$B$670,Insumos!$C$1:$C$670)</f>
        <v>UN</v>
      </c>
      <c r="F1912" s="1083">
        <v>1</v>
      </c>
      <c r="G1912" s="1081">
        <f>IF(B1912="insumo",_xlfn.XLOOKUP($D1912,Insumos!$B$1:$B$670,Insumos!$D$1:$D$670),"")</f>
        <v>0.08</v>
      </c>
      <c r="H1912" s="1081" cm="1">
        <f t="array" ref="H1912">_xlfn.IFS(B1912="Serviço",SUMIFS(H1913:$H$2465,C1913:$C$2465,$C1912),B1912="Insumo",F1912*G1912,B1912="Etapa","")</f>
        <v>0.08</v>
      </c>
      <c r="I1912" s="1082"/>
    </row>
    <row r="1913" spans="1:9" hidden="1" outlineLevel="2" x14ac:dyDescent="0.25">
      <c r="A1913" s="1079">
        <f t="shared" si="73"/>
        <v>13</v>
      </c>
      <c r="B1913" s="1079" t="s">
        <v>1362</v>
      </c>
      <c r="C1913" s="1079" t="str">
        <f t="shared" si="74"/>
        <v>Revestimento  externo de porcelanato retificado Preto em Paredes, Placa 60 x 60cm com Junta de 2mm</v>
      </c>
      <c r="D1913" s="1079" t="s">
        <v>1789</v>
      </c>
      <c r="E1913" s="1080" t="str">
        <f>_xlfn.XLOOKUP(D1913,Insumos!$B$1:$B$670,Insumos!$C$1:$C$670)</f>
        <v>KG</v>
      </c>
      <c r="F1913" s="1083">
        <v>0.01</v>
      </c>
      <c r="G1913" s="1081">
        <f>IF(B1913="insumo",_xlfn.XLOOKUP($D1913,Insumos!$B$1:$B$670,Insumos!$D$1:$D$670),"")</f>
        <v>43.8</v>
      </c>
      <c r="H1913" s="1081" cm="1">
        <f t="array" ref="H1913">_xlfn.IFS(B1913="Serviço",SUMIFS(H1914:$H$2465,C1914:$C$2465,$C1913),B1913="Insumo",F1913*G1913,B1913="Etapa","")</f>
        <v>0.438</v>
      </c>
      <c r="I1913" s="1082"/>
    </row>
    <row r="1914" spans="1:9" hidden="1" outlineLevel="1" x14ac:dyDescent="0.25">
      <c r="A1914" s="1079">
        <f t="shared" si="73"/>
        <v>1</v>
      </c>
      <c r="B1914" s="1079" t="s">
        <v>471</v>
      </c>
      <c r="C1914" s="1079" t="str">
        <f t="shared" si="74"/>
        <v>Revestimento em Porcelanato Estructure Rústico, Yndiara, rejunte acrilico, aplicação em Fachada - Material e mão de obra</v>
      </c>
      <c r="D1914" s="1079" t="s">
        <v>2597</v>
      </c>
      <c r="E1914" s="1080" t="s">
        <v>17</v>
      </c>
      <c r="F1914" s="1079"/>
      <c r="G1914" s="1081" t="str">
        <f>IF(B1914="insumo",_xlfn.XLOOKUP($D1914,Insumos!$B$1:$B$670,Insumos!$D$1:$D$670),"")</f>
        <v/>
      </c>
      <c r="H1914" s="1081" cm="1">
        <f t="array" ref="H1914">_xlfn.IFS(B1914="Serviço",SUMIFS(H1915:$H$2465,C1915:$C$2465,$C1914),B1914="Insumo",F1914*G1914,B1914="Etapa","")</f>
        <v>491.95799999999997</v>
      </c>
      <c r="I1914" s="1082" t="s">
        <v>872</v>
      </c>
    </row>
    <row r="1915" spans="1:9" hidden="1" outlineLevel="2" x14ac:dyDescent="0.25">
      <c r="A1915" s="1079">
        <f t="shared" si="73"/>
        <v>1</v>
      </c>
      <c r="B1915" s="1079" t="s">
        <v>1362</v>
      </c>
      <c r="C1915" s="1079" t="str">
        <f t="shared" si="74"/>
        <v>Revestimento em Porcelanato Estructure Rústico, Yndiara, rejunte acrilico, aplicação em Fachada - Material e mão de obra</v>
      </c>
      <c r="D1915" s="1079" t="s">
        <v>2596</v>
      </c>
      <c r="E1915" s="1080" t="str">
        <f>_xlfn.XLOOKUP(D1915,Insumos!$B$1:$B$670,Insumos!$C$1:$C$670)</f>
        <v>M2</v>
      </c>
      <c r="F1915" s="1083">
        <v>1.1000000000000001</v>
      </c>
      <c r="G1915" s="1081">
        <f>IF(B1915="insumo",_xlfn.XLOOKUP($D1915,Insumos!$B$1:$B$670,Insumos!$D$1:$D$670),"")</f>
        <v>290</v>
      </c>
      <c r="H1915" s="1081" cm="1">
        <f t="array" ref="H1915">_xlfn.IFS(B1915="Serviço",SUMIFS(H1916:$H$2465,C1916:$C$2465,$C1915),B1915="Insumo",F1915*G1915,B1915="Etapa","")</f>
        <v>319</v>
      </c>
      <c r="I1915" s="1082"/>
    </row>
    <row r="1916" spans="1:9" hidden="1" outlineLevel="2" x14ac:dyDescent="0.25">
      <c r="A1916" s="1079">
        <f t="shared" si="73"/>
        <v>87</v>
      </c>
      <c r="B1916" s="1079" t="s">
        <v>1362</v>
      </c>
      <c r="C1916" s="1079" t="str">
        <f t="shared" si="74"/>
        <v>Revestimento em Porcelanato Estructure Rústico, Yndiara, rejunte acrilico, aplicação em Fachada - Material e mão de obra</v>
      </c>
      <c r="D1916" s="1079" t="s">
        <v>1762</v>
      </c>
      <c r="E1916" s="1080" t="str">
        <f>_xlfn.XLOOKUP(D1916,Insumos!$B$1:$B$670,Insumos!$C$1:$C$670)</f>
        <v>KG</v>
      </c>
      <c r="F1916" s="1083">
        <v>8.8000000000000007</v>
      </c>
      <c r="G1916" s="1081">
        <f>IF(B1916="insumo",_xlfn.XLOOKUP($D1916,Insumos!$B$1:$B$670,Insumos!$D$1:$D$670),"")</f>
        <v>2.5499999999999998</v>
      </c>
      <c r="H1916" s="1081" cm="1">
        <f t="array" ref="H1916">_xlfn.IFS(B1916="Serviço",SUMIFS(H1917:$H$2465,C1917:$C$2465,$C1916),B1916="Insumo",F1916*G1916,B1916="Etapa","")</f>
        <v>22.44</v>
      </c>
      <c r="I1916" s="1082"/>
    </row>
    <row r="1917" spans="1:9" hidden="1" outlineLevel="2" x14ac:dyDescent="0.25">
      <c r="A1917" s="1079">
        <f t="shared" si="73"/>
        <v>56</v>
      </c>
      <c r="B1917" s="1079" t="s">
        <v>1362</v>
      </c>
      <c r="C1917" s="1079" t="str">
        <f t="shared" si="74"/>
        <v>Revestimento em Porcelanato Estructure Rústico, Yndiara, rejunte acrilico, aplicação em Fachada - Material e mão de obra</v>
      </c>
      <c r="D1917" s="1079" t="s">
        <v>1786</v>
      </c>
      <c r="E1917" s="1080" t="str">
        <f>_xlfn.XLOOKUP(D1917,Insumos!$B$1:$B$670,Insumos!$C$1:$C$670)</f>
        <v>UN</v>
      </c>
      <c r="F1917" s="1083">
        <v>1</v>
      </c>
      <c r="G1917" s="1081">
        <f>IF(B1917="insumo",_xlfn.XLOOKUP($D1917,Insumos!$B$1:$B$670,Insumos!$D$1:$D$670),"")</f>
        <v>0.08</v>
      </c>
      <c r="H1917" s="1081" cm="1">
        <f t="array" ref="H1917">_xlfn.IFS(B1917="Serviço",SUMIFS(H1918:$H$2465,C1918:$C$2465,$C1917),B1917="Insumo",F1917*G1917,B1917="Etapa","")</f>
        <v>0.08</v>
      </c>
      <c r="I1917" s="1082"/>
    </row>
    <row r="1918" spans="1:9" hidden="1" outlineLevel="2" x14ac:dyDescent="0.25">
      <c r="A1918" s="1079">
        <f t="shared" si="73"/>
        <v>13</v>
      </c>
      <c r="B1918" s="1079" t="s">
        <v>1362</v>
      </c>
      <c r="C1918" s="1079" t="str">
        <f t="shared" si="74"/>
        <v>Revestimento em Porcelanato Estructure Rústico, Yndiara, rejunte acrilico, aplicação em Fachada - Material e mão de obra</v>
      </c>
      <c r="D1918" s="1079" t="s">
        <v>1789</v>
      </c>
      <c r="E1918" s="1080" t="str">
        <f>_xlfn.XLOOKUP(D1918,Insumos!$B$1:$B$670,Insumos!$C$1:$C$670)</f>
        <v>KG</v>
      </c>
      <c r="F1918" s="1083">
        <v>0.01</v>
      </c>
      <c r="G1918" s="1081">
        <f>IF(B1918="insumo",_xlfn.XLOOKUP($D1918,Insumos!$B$1:$B$670,Insumos!$D$1:$D$670),"")</f>
        <v>43.8</v>
      </c>
      <c r="H1918" s="1081" cm="1">
        <f t="array" ref="H1918">_xlfn.IFS(B1918="Serviço",SUMIFS(H1919:$H$2465,C1919:$C$2465,$C1918),B1918="Insumo",F1918*G1918,B1918="Etapa","")</f>
        <v>0.438</v>
      </c>
      <c r="I1918" s="1082"/>
    </row>
    <row r="1919" spans="1:9" hidden="1" outlineLevel="2" x14ac:dyDescent="0.25">
      <c r="A1919" s="1079">
        <f t="shared" si="73"/>
        <v>2</v>
      </c>
      <c r="B1919" s="1079" t="s">
        <v>1362</v>
      </c>
      <c r="C1919" s="1079" t="str">
        <f t="shared" si="74"/>
        <v>Revestimento em Porcelanato Estructure Rústico, Yndiara, rejunte acrilico, aplicação em Fachada - Material e mão de obra</v>
      </c>
      <c r="D1919" s="1079" t="s">
        <v>1332</v>
      </c>
      <c r="E1919" s="1080" t="str">
        <f>_xlfn.XLOOKUP(D1919,Insumos!$B$1:$B$670,Insumos!$C$1:$C$670)</f>
        <v>UN</v>
      </c>
      <c r="F1919" s="1083">
        <v>1</v>
      </c>
      <c r="G1919" s="1081">
        <f>IF(B1919="insumo",_xlfn.XLOOKUP($D1919,Insumos!$B$1:$B$670,Insumos!$D$1:$D$670),"")</f>
        <v>150</v>
      </c>
      <c r="H1919" s="1081" cm="1">
        <f t="array" ref="H1919">_xlfn.IFS(B1919="Serviço",SUMIFS(H1920:$H$2465,C1920:$C$2465,$C1919),B1919="Insumo",F1919*G1919,B1919="Etapa","")</f>
        <v>150</v>
      </c>
      <c r="I1919" s="1082"/>
    </row>
    <row r="1920" spans="1:9" hidden="1" outlineLevel="1" collapsed="1" x14ac:dyDescent="0.25">
      <c r="A1920" s="1079">
        <f t="shared" si="73"/>
        <v>1</v>
      </c>
      <c r="B1920" s="1079" t="s">
        <v>471</v>
      </c>
      <c r="C1920" s="1079" t="str">
        <f t="shared" si="74"/>
        <v>Moldura em EPS fachada</v>
      </c>
      <c r="D1920" s="1079" t="s">
        <v>2167</v>
      </c>
      <c r="E1920" s="1080" t="s">
        <v>17</v>
      </c>
      <c r="F1920" s="1079"/>
      <c r="G1920" s="1081" t="str">
        <f>IF(B1920="insumo",_xlfn.XLOOKUP($D1920,Insumos!$B$1:$B$670,Insumos!$D$1:$D$670),"")</f>
        <v/>
      </c>
      <c r="H1920" s="1081" cm="1">
        <f t="array" ref="H1920">_xlfn.IFS(B1920="Serviço",SUMIFS(H1921:$H$2465,C1921:$C$2465,$C1920),B1920="Insumo",F1920*G1920,B1920="Etapa","")</f>
        <v>1600.1415151515153</v>
      </c>
      <c r="I1920" s="1082" t="s">
        <v>872</v>
      </c>
    </row>
    <row r="1921" spans="1:9" hidden="1" outlineLevel="2" x14ac:dyDescent="0.25">
      <c r="A1921" s="1079">
        <f t="shared" si="73"/>
        <v>1</v>
      </c>
      <c r="B1921" s="1079" t="s">
        <v>1362</v>
      </c>
      <c r="C1921" s="1079" t="str">
        <f t="shared" si="74"/>
        <v>Moldura em EPS fachada</v>
      </c>
      <c r="D1921" s="1079" t="s">
        <v>2168</v>
      </c>
      <c r="E1921" s="1080" t="str">
        <f>_xlfn.XLOOKUP(D1921,Insumos!$B$1:$B$670,Insumos!$C$1:$C$670)</f>
        <v>M3</v>
      </c>
      <c r="F1921" s="1083">
        <v>1.1000000000000001</v>
      </c>
      <c r="G1921" s="1081">
        <f>IF(B1921="insumo",_xlfn.XLOOKUP($D1921,Insumos!$B$1:$B$670,Insumos!$D$1:$D$670),"")</f>
        <v>1377.4104683195592</v>
      </c>
      <c r="H1921" s="1081" cm="1">
        <f t="array" ref="H1921">_xlfn.IFS(B1921="Serviço",SUMIFS(H1922:$H$2465,C1922:$C$2465,$C1921),B1921="Insumo",F1921*G1921,B1921="Etapa","")</f>
        <v>1515.1515151515152</v>
      </c>
      <c r="I1921" s="1082"/>
    </row>
    <row r="1922" spans="1:9" hidden="1" outlineLevel="2" x14ac:dyDescent="0.25">
      <c r="A1922" s="1079">
        <f t="shared" ref="A1922:A1985" si="76">COUNTIFS($D$2:$D$2465,D1922,$B$2:$B$2465,B1922)</f>
        <v>87</v>
      </c>
      <c r="B1922" s="1079" t="s">
        <v>1362</v>
      </c>
      <c r="C1922" s="1079" t="str">
        <f t="shared" si="74"/>
        <v>Moldura em EPS fachada</v>
      </c>
      <c r="D1922" s="1079" t="s">
        <v>1762</v>
      </c>
      <c r="E1922" s="1080" t="str">
        <f>_xlfn.XLOOKUP(D1922,Insumos!$B$1:$B$670,Insumos!$C$1:$C$670)</f>
        <v>KG</v>
      </c>
      <c r="F1922" s="1083">
        <v>9</v>
      </c>
      <c r="G1922" s="1081">
        <f>IF(B1922="insumo",_xlfn.XLOOKUP($D1922,Insumos!$B$1:$B$670,Insumos!$D$1:$D$670),"")</f>
        <v>2.5499999999999998</v>
      </c>
      <c r="H1922" s="1081" cm="1">
        <f t="array" ref="H1922">_xlfn.IFS(B1922="Serviço",SUMIFS(H1923:$H$2465,C1923:$C$2465,$C1922),B1922="Insumo",F1922*G1922,B1922="Etapa","")</f>
        <v>22.95</v>
      </c>
      <c r="I1922" s="1082"/>
    </row>
    <row r="1923" spans="1:9" hidden="1" outlineLevel="2" x14ac:dyDescent="0.25">
      <c r="A1923" s="1079">
        <f t="shared" si="76"/>
        <v>1</v>
      </c>
      <c r="B1923" s="1079" t="s">
        <v>1362</v>
      </c>
      <c r="C1923" s="1079" t="str">
        <f t="shared" si="74"/>
        <v>Moldura em EPS fachada</v>
      </c>
      <c r="D1923" s="1079" t="s">
        <v>2169</v>
      </c>
      <c r="E1923" s="1080" t="str">
        <f>_xlfn.XLOOKUP(D1923,Insumos!$B$1:$B$670,Insumos!$C$1:$C$670)</f>
        <v>UN</v>
      </c>
      <c r="F1923" s="1083">
        <v>12</v>
      </c>
      <c r="G1923" s="1081">
        <f>IF(B1923="insumo",_xlfn.XLOOKUP($D1923,Insumos!$B$1:$B$670,Insumos!$D$1:$D$670),"")</f>
        <v>5.17</v>
      </c>
      <c r="H1923" s="1081" cm="1">
        <f t="array" ref="H1923">_xlfn.IFS(B1923="Serviço",SUMIFS(H1924:$H$2465,C1924:$C$2465,$C1923),B1923="Insumo",F1923*G1923,B1923="Etapa","")</f>
        <v>62.04</v>
      </c>
      <c r="I1923" s="1082"/>
    </row>
    <row r="1924" spans="1:9" hidden="1" outlineLevel="1" collapsed="1" x14ac:dyDescent="0.25">
      <c r="A1924" s="1079">
        <f t="shared" si="76"/>
        <v>1</v>
      </c>
      <c r="B1924" s="1079" t="s">
        <v>471</v>
      </c>
      <c r="C1924" s="1079" t="str">
        <f t="shared" si="74"/>
        <v>Revestimento em Pedra Natural Aplicado em Fachadas</v>
      </c>
      <c r="D1924" s="1079" t="s">
        <v>2170</v>
      </c>
      <c r="E1924" s="1080" t="s">
        <v>17</v>
      </c>
      <c r="F1924" s="1079"/>
      <c r="G1924" s="1081" t="str">
        <f>IF(B1924="insumo",_xlfn.XLOOKUP($D1924,Insumos!$B$1:$B$670,Insumos!$D$1:$D$670),"")</f>
        <v/>
      </c>
      <c r="H1924" s="1081" cm="1">
        <f t="array" ref="H1924">_xlfn.IFS(B1924="Serviço",SUMIFS(H1925:$H$2465,C1925:$C$2465,$C1924),B1924="Insumo",F1924*G1924,B1924="Etapa","")</f>
        <v>856.61500000000012</v>
      </c>
      <c r="I1924" s="1082" t="s">
        <v>872</v>
      </c>
    </row>
    <row r="1925" spans="1:9" hidden="1" outlineLevel="2" x14ac:dyDescent="0.25">
      <c r="A1925" s="1079">
        <f t="shared" si="76"/>
        <v>10</v>
      </c>
      <c r="B1925" s="1079" t="s">
        <v>1362</v>
      </c>
      <c r="C1925" s="1079" t="str">
        <f t="shared" si="74"/>
        <v>Revestimento em Pedra Natural Aplicado em Fachadas</v>
      </c>
      <c r="D1925" s="1079" t="s">
        <v>1813</v>
      </c>
      <c r="E1925" s="1080" t="str">
        <f>_xlfn.XLOOKUP(D1925,Insumos!$B$1:$B$670,Insumos!$C$1:$C$670)</f>
        <v>M2</v>
      </c>
      <c r="F1925" s="1083">
        <v>1.1000000000000001</v>
      </c>
      <c r="G1925" s="1081">
        <f>IF(B1925="insumo",_xlfn.XLOOKUP($D1925,Insumos!$B$1:$B$670,Insumos!$D$1:$D$670),"")</f>
        <v>750</v>
      </c>
      <c r="H1925" s="1081" cm="1">
        <f t="array" ref="H1925">_xlfn.IFS(B1925="Serviço",SUMIFS(H1926:$H$2465,C1926:$C$2465,$C1925),B1925="Insumo",F1925*G1925,B1925="Etapa","")</f>
        <v>825.00000000000011</v>
      </c>
      <c r="I1925" s="1082"/>
    </row>
    <row r="1926" spans="1:9" hidden="1" outlineLevel="2" x14ac:dyDescent="0.25">
      <c r="A1926" s="1079">
        <f t="shared" si="76"/>
        <v>87</v>
      </c>
      <c r="B1926" s="1079" t="s">
        <v>1362</v>
      </c>
      <c r="C1926" s="1079" t="str">
        <f t="shared" si="74"/>
        <v>Revestimento em Pedra Natural Aplicado em Fachadas</v>
      </c>
      <c r="D1926" s="1079" t="s">
        <v>1762</v>
      </c>
      <c r="E1926" s="1080" t="str">
        <f>_xlfn.XLOOKUP(D1926,Insumos!$B$1:$B$670,Insumos!$C$1:$C$670)</f>
        <v>KG</v>
      </c>
      <c r="F1926" s="1083">
        <v>9</v>
      </c>
      <c r="G1926" s="1081">
        <f>IF(B1926="insumo",_xlfn.XLOOKUP($D1926,Insumos!$B$1:$B$670,Insumos!$D$1:$D$670),"")</f>
        <v>2.5499999999999998</v>
      </c>
      <c r="H1926" s="1081" cm="1">
        <f t="array" ref="H1926">_xlfn.IFS(B1926="Serviço",SUMIFS(H1927:$H$2465,C1927:$C$2465,$C1926),B1926="Insumo",F1926*G1926,B1926="Etapa","")</f>
        <v>22.95</v>
      </c>
      <c r="I1926" s="1082"/>
    </row>
    <row r="1927" spans="1:9" hidden="1" outlineLevel="2" x14ac:dyDescent="0.25">
      <c r="A1927" s="1079">
        <f t="shared" si="76"/>
        <v>15</v>
      </c>
      <c r="B1927" s="1079" t="s">
        <v>1362</v>
      </c>
      <c r="C1927" s="1079" t="str">
        <f t="shared" si="74"/>
        <v>Revestimento em Pedra Natural Aplicado em Fachadas</v>
      </c>
      <c r="D1927" s="1079" t="s">
        <v>1819</v>
      </c>
      <c r="E1927" s="1080" t="str">
        <f>_xlfn.XLOOKUP(D1927,Insumos!$B$1:$B$670,Insumos!$C$1:$C$670)</f>
        <v>UN</v>
      </c>
      <c r="F1927" s="1083">
        <v>0.5</v>
      </c>
      <c r="G1927" s="1081">
        <f>IF(B1927="insumo",_xlfn.XLOOKUP($D1927,Insumos!$B$1:$B$670,Insumos!$D$1:$D$670),"")</f>
        <v>17.329999999999998</v>
      </c>
      <c r="H1927" s="1081" cm="1">
        <f t="array" ref="H1927">_xlfn.IFS(B1927="Serviço",SUMIFS(H1928:$H$2465,C1928:$C$2465,$C1927),B1927="Insumo",F1927*G1927,B1927="Etapa","")</f>
        <v>8.6649999999999991</v>
      </c>
      <c r="I1927" s="1082"/>
    </row>
    <row r="1928" spans="1:9" hidden="1" outlineLevel="1" collapsed="1" x14ac:dyDescent="0.25">
      <c r="A1928" s="1079">
        <f t="shared" si="76"/>
        <v>1</v>
      </c>
      <c r="B1928" s="1079" t="s">
        <v>471</v>
      </c>
      <c r="C1928" s="1079" t="str">
        <f t="shared" si="74"/>
        <v>Revestimento em Pedra Natural São Tomé</v>
      </c>
      <c r="D1928" s="1079" t="s">
        <v>2171</v>
      </c>
      <c r="E1928" s="1080" t="s">
        <v>17</v>
      </c>
      <c r="F1928" s="1079"/>
      <c r="G1928" s="1081" t="str">
        <f>IF(B1928="insumo",_xlfn.XLOOKUP($D1928,Insumos!$B$1:$B$670,Insumos!$D$1:$D$670),"")</f>
        <v/>
      </c>
      <c r="H1928" s="1081" cm="1">
        <f t="array" ref="H1928">_xlfn.IFS(B1928="Serviço",SUMIFS(H1929:$H$2465,C1929:$C$2465,$C1928),B1928="Insumo",F1928*G1928,B1928="Etapa","")</f>
        <v>856.61500000000012</v>
      </c>
      <c r="I1928" s="1082" t="s">
        <v>872</v>
      </c>
    </row>
    <row r="1929" spans="1:9" hidden="1" outlineLevel="2" x14ac:dyDescent="0.25">
      <c r="A1929" s="1079">
        <f t="shared" si="76"/>
        <v>1</v>
      </c>
      <c r="B1929" s="1079" t="s">
        <v>1362</v>
      </c>
      <c r="C1929" s="1079" t="str">
        <f t="shared" si="74"/>
        <v>Revestimento em Pedra Natural São Tomé</v>
      </c>
      <c r="D1929" s="1079" t="s">
        <v>2172</v>
      </c>
      <c r="E1929" s="1080" t="str">
        <f>_xlfn.XLOOKUP(D1929,Insumos!$B$1:$B$670,Insumos!$C$1:$C$670)</f>
        <v>M2</v>
      </c>
      <c r="F1929" s="1083">
        <v>1.1000000000000001</v>
      </c>
      <c r="G1929" s="1081">
        <f>IF(B1929="insumo",_xlfn.XLOOKUP($D1929,Insumos!$B$1:$B$670,Insumos!$D$1:$D$670),"")</f>
        <v>750</v>
      </c>
      <c r="H1929" s="1081" cm="1">
        <f t="array" ref="H1929">_xlfn.IFS(B1929="Serviço",SUMIFS(H1930:$H$2465,C1930:$C$2465,$C1929),B1929="Insumo",F1929*G1929,B1929="Etapa","")</f>
        <v>825.00000000000011</v>
      </c>
      <c r="I1929" s="1082"/>
    </row>
    <row r="1930" spans="1:9" hidden="1" outlineLevel="2" x14ac:dyDescent="0.25">
      <c r="A1930" s="1079">
        <f t="shared" si="76"/>
        <v>87</v>
      </c>
      <c r="B1930" s="1079" t="s">
        <v>1362</v>
      </c>
      <c r="C1930" s="1079" t="str">
        <f t="shared" si="74"/>
        <v>Revestimento em Pedra Natural São Tomé</v>
      </c>
      <c r="D1930" s="1079" t="s">
        <v>1762</v>
      </c>
      <c r="E1930" s="1080" t="str">
        <f>_xlfn.XLOOKUP(D1930,Insumos!$B$1:$B$670,Insumos!$C$1:$C$670)</f>
        <v>KG</v>
      </c>
      <c r="F1930" s="1083">
        <v>9</v>
      </c>
      <c r="G1930" s="1081">
        <f>IF(B1930="insumo",_xlfn.XLOOKUP($D1930,Insumos!$B$1:$B$670,Insumos!$D$1:$D$670),"")</f>
        <v>2.5499999999999998</v>
      </c>
      <c r="H1930" s="1081" cm="1">
        <f t="array" ref="H1930">_xlfn.IFS(B1930="Serviço",SUMIFS(H1931:$H$2465,C1931:$C$2465,$C1930),B1930="Insumo",F1930*G1930,B1930="Etapa","")</f>
        <v>22.95</v>
      </c>
      <c r="I1930" s="1082"/>
    </row>
    <row r="1931" spans="1:9" hidden="1" outlineLevel="2" x14ac:dyDescent="0.25">
      <c r="A1931" s="1079">
        <f t="shared" si="76"/>
        <v>15</v>
      </c>
      <c r="B1931" s="1079" t="s">
        <v>1362</v>
      </c>
      <c r="C1931" s="1079" t="str">
        <f t="shared" si="74"/>
        <v>Revestimento em Pedra Natural São Tomé</v>
      </c>
      <c r="D1931" s="1079" t="s">
        <v>1819</v>
      </c>
      <c r="E1931" s="1080" t="str">
        <f>_xlfn.XLOOKUP(D1931,Insumos!$B$1:$B$670,Insumos!$C$1:$C$670)</f>
        <v>UN</v>
      </c>
      <c r="F1931" s="1083">
        <v>0.5</v>
      </c>
      <c r="G1931" s="1081">
        <f>IF(B1931="insumo",_xlfn.XLOOKUP($D1931,Insumos!$B$1:$B$670,Insumos!$D$1:$D$670),"")</f>
        <v>17.329999999999998</v>
      </c>
      <c r="H1931" s="1081" cm="1">
        <f t="array" ref="H1931">_xlfn.IFS(B1931="Serviço",SUMIFS(H1932:$H$2465,C1932:$C$2465,$C1931),B1931="Insumo",F1931*G1931,B1931="Etapa","")</f>
        <v>8.6649999999999991</v>
      </c>
      <c r="I1931" s="1082"/>
    </row>
    <row r="1932" spans="1:9" hidden="1" outlineLevel="1" collapsed="1" x14ac:dyDescent="0.25">
      <c r="A1932" s="1079">
        <f t="shared" si="76"/>
        <v>1</v>
      </c>
      <c r="B1932" s="1079" t="s">
        <v>471</v>
      </c>
      <c r="C1932" s="1079" t="str">
        <f t="shared" si="74"/>
        <v>Sistema Muxarabi 100 X 100mm - Arkwood X</v>
      </c>
      <c r="D1932" s="1079" t="s">
        <v>2173</v>
      </c>
      <c r="E1932" s="1080" t="s">
        <v>17</v>
      </c>
      <c r="F1932" s="1079"/>
      <c r="G1932" s="1081" t="str">
        <f>IF(B1932="insumo",_xlfn.XLOOKUP($D1932,Insumos!$B$1:$B$670,Insumos!$D$1:$D$670),"")</f>
        <v/>
      </c>
      <c r="H1932" s="1081" cm="1">
        <f t="array" ref="H1932">_xlfn.IFS(B1932="Serviço",SUMIFS(H1933:$H$2465,C1933:$C$2465,$C1932),B1932="Insumo",F1932*G1932,B1932="Etapa","")</f>
        <v>1360</v>
      </c>
      <c r="I1932" s="1082" t="s">
        <v>872</v>
      </c>
    </row>
    <row r="1933" spans="1:9" hidden="1" outlineLevel="2" x14ac:dyDescent="0.25">
      <c r="A1933" s="1079">
        <f t="shared" si="76"/>
        <v>1</v>
      </c>
      <c r="B1933" s="1079" t="s">
        <v>1362</v>
      </c>
      <c r="C1933" s="1079" t="str">
        <f t="shared" si="74"/>
        <v>Sistema Muxarabi 100 X 100mm - Arkwood X</v>
      </c>
      <c r="D1933" s="1079" t="s">
        <v>2174</v>
      </c>
      <c r="E1933" s="1080" t="str">
        <f>_xlfn.XLOOKUP(D1933,Insumos!$B$1:$B$670,Insumos!$C$1:$C$670)</f>
        <v>M2</v>
      </c>
      <c r="F1933" s="1083">
        <v>1</v>
      </c>
      <c r="G1933" s="1081">
        <f>IF(B1933="insumo",_xlfn.XLOOKUP($D1933,Insumos!$B$1:$B$670,Insumos!$D$1:$D$670),"")</f>
        <v>1060</v>
      </c>
      <c r="H1933" s="1081" cm="1">
        <f t="array" ref="H1933">_xlfn.IFS(B1933="Serviço",SUMIFS(H1934:$H$2465,C1934:$C$2465,$C1933),B1933="Insumo",F1933*G1933,B1933="Etapa","")</f>
        <v>1060</v>
      </c>
      <c r="I1933" s="1082"/>
    </row>
    <row r="1934" spans="1:9" hidden="1" outlineLevel="2" x14ac:dyDescent="0.25">
      <c r="A1934" s="1079">
        <f t="shared" si="76"/>
        <v>2</v>
      </c>
      <c r="B1934" s="1079" t="s">
        <v>1362</v>
      </c>
      <c r="C1934" s="1079" t="str">
        <f t="shared" si="74"/>
        <v>Sistema Muxarabi 100 X 100mm - Arkwood X</v>
      </c>
      <c r="D1934" s="1079" t="s">
        <v>2175</v>
      </c>
      <c r="E1934" s="1080" t="str">
        <f>_xlfn.XLOOKUP(D1934,Insumos!$B$1:$B$670,Insumos!$C$1:$C$670)</f>
        <v>M2</v>
      </c>
      <c r="F1934" s="1083">
        <v>1</v>
      </c>
      <c r="G1934" s="1081">
        <f>IF(B1934="insumo",_xlfn.XLOOKUP($D1934,Insumos!$B$1:$B$670,Insumos!$D$1:$D$670),"")</f>
        <v>300</v>
      </c>
      <c r="H1934" s="1081" cm="1">
        <f t="array" ref="H1934">_xlfn.IFS(B1934="Serviço",SUMIFS(H1935:$H$2465,C1935:$C$2465,$C1934),B1934="Insumo",F1934*G1934,B1934="Etapa","")</f>
        <v>300</v>
      </c>
      <c r="I1934" s="1082"/>
    </row>
    <row r="1935" spans="1:9" hidden="1" outlineLevel="1" collapsed="1" x14ac:dyDescent="0.25">
      <c r="A1935" s="1079">
        <f t="shared" si="76"/>
        <v>1</v>
      </c>
      <c r="B1935" s="1079" t="s">
        <v>471</v>
      </c>
      <c r="C1935" s="1079" t="str">
        <f t="shared" si="74"/>
        <v>Sistema Brise 30x50cm - Arkwood K</v>
      </c>
      <c r="D1935" s="1079" t="s">
        <v>2176</v>
      </c>
      <c r="E1935" s="1080" t="s">
        <v>17</v>
      </c>
      <c r="F1935" s="1079"/>
      <c r="G1935" s="1081" t="str">
        <f>IF(B1935="insumo",_xlfn.XLOOKUP($D1935,Insumos!$B$1:$B$670,Insumos!$D$1:$D$670),"")</f>
        <v/>
      </c>
      <c r="H1935" s="1081" cm="1">
        <f t="array" ref="H1935">_xlfn.IFS(B1935="Serviço",SUMIFS(H1936:$H$2465,C1936:$C$2465,$C1935),B1935="Insumo",F1935*G1935,B1935="Etapa","")</f>
        <v>948</v>
      </c>
      <c r="I1935" s="1082" t="s">
        <v>872</v>
      </c>
    </row>
    <row r="1936" spans="1:9" hidden="1" outlineLevel="2" x14ac:dyDescent="0.25">
      <c r="A1936" s="1079">
        <f t="shared" si="76"/>
        <v>1</v>
      </c>
      <c r="B1936" s="1079" t="s">
        <v>1362</v>
      </c>
      <c r="C1936" s="1079" t="str">
        <f t="shared" si="74"/>
        <v>Sistema Brise 30x50cm - Arkwood K</v>
      </c>
      <c r="D1936" s="1079" t="s">
        <v>2177</v>
      </c>
      <c r="E1936" s="1080" t="str">
        <f>_xlfn.XLOOKUP(D1936,Insumos!$B$1:$B$670,Insumos!$C$1:$C$670)</f>
        <v>M2</v>
      </c>
      <c r="F1936" s="1083">
        <v>1</v>
      </c>
      <c r="G1936" s="1081">
        <f>IF(B1936="insumo",_xlfn.XLOOKUP($D1936,Insumos!$B$1:$B$670,Insumos!$D$1:$D$670),"")</f>
        <v>648</v>
      </c>
      <c r="H1936" s="1081" cm="1">
        <f t="array" ref="H1936">_xlfn.IFS(B1936="Serviço",SUMIFS(H1937:$H$2465,C1937:$C$2465,$C1936),B1936="Insumo",F1936*G1936,B1936="Etapa","")</f>
        <v>648</v>
      </c>
      <c r="I1936" s="1082"/>
    </row>
    <row r="1937" spans="1:9" hidden="1" outlineLevel="2" x14ac:dyDescent="0.25">
      <c r="A1937" s="1079">
        <f t="shared" si="76"/>
        <v>2</v>
      </c>
      <c r="B1937" s="1079" t="s">
        <v>1362</v>
      </c>
      <c r="C1937" s="1079" t="str">
        <f t="shared" si="74"/>
        <v>Sistema Brise 30x50cm - Arkwood K</v>
      </c>
      <c r="D1937" s="1079" t="s">
        <v>2175</v>
      </c>
      <c r="E1937" s="1080" t="str">
        <f>_xlfn.XLOOKUP(D1937,Insumos!$B$1:$B$670,Insumos!$C$1:$C$670)</f>
        <v>M2</v>
      </c>
      <c r="F1937" s="1083">
        <v>1</v>
      </c>
      <c r="G1937" s="1081">
        <f>IF(B1937="insumo",_xlfn.XLOOKUP($D1937,Insumos!$B$1:$B$670,Insumos!$D$1:$D$670),"")</f>
        <v>300</v>
      </c>
      <c r="H1937" s="1081" cm="1">
        <f t="array" ref="H1937">_xlfn.IFS(B1937="Serviço",SUMIFS(H1938:$H$2465,C1938:$C$2465,$C1937),B1937="Insumo",F1937*G1937,B1937="Etapa","")</f>
        <v>300</v>
      </c>
      <c r="I1937" s="1082"/>
    </row>
    <row r="1938" spans="1:9" hidden="1" outlineLevel="1" collapsed="1" x14ac:dyDescent="0.25">
      <c r="A1938" s="1079">
        <f t="shared" si="76"/>
        <v>1</v>
      </c>
      <c r="B1938" s="1079" t="s">
        <v>471</v>
      </c>
      <c r="C1938" s="1079" t="str">
        <f t="shared" si="74"/>
        <v>Pintura PVA Acrílica Cinza Externa 3 Demãos</v>
      </c>
      <c r="D1938" s="1079" t="s">
        <v>2178</v>
      </c>
      <c r="E1938" s="1080" t="s">
        <v>17</v>
      </c>
      <c r="F1938" s="1079"/>
      <c r="G1938" s="1081" t="str">
        <f>IF(B1938="insumo",_xlfn.XLOOKUP($D1938,Insumos!$B$1:$B$670,Insumos!$D$1:$D$670),"")</f>
        <v/>
      </c>
      <c r="H1938" s="1081" cm="1">
        <f t="array" ref="H1938">_xlfn.IFS(B1938="Serviço",SUMIFS(H1939:$H$2465,C1939:$C$2465,$C1938),B1938="Insumo",F1938*G1938,B1938="Etapa","")</f>
        <v>20.700715666666667</v>
      </c>
      <c r="I1938" s="1082" t="s">
        <v>872</v>
      </c>
    </row>
    <row r="1939" spans="1:9" hidden="1" outlineLevel="2" x14ac:dyDescent="0.25">
      <c r="A1939" s="1079">
        <f t="shared" si="76"/>
        <v>24</v>
      </c>
      <c r="B1939" s="1079" t="s">
        <v>1362</v>
      </c>
      <c r="C1939" s="1079" t="str">
        <f t="shared" si="74"/>
        <v>Pintura PVA Acrílica Cinza Externa 3 Demãos</v>
      </c>
      <c r="D1939" s="1079" t="s">
        <v>1384</v>
      </c>
      <c r="E1939" s="1080" t="str">
        <f>_xlfn.XLOOKUP(D1939,Insumos!$B$1:$B$670,Insumos!$C$1:$C$670)</f>
        <v>UN</v>
      </c>
      <c r="F1939" s="1083">
        <v>0.1</v>
      </c>
      <c r="G1939" s="1081">
        <f>IF(B1939="insumo",_xlfn.XLOOKUP($D1939,Insumos!$B$1:$B$670,Insumos!$D$1:$D$670),"")</f>
        <v>1.89</v>
      </c>
      <c r="H1939" s="1081" cm="1">
        <f t="array" ref="H1939">_xlfn.IFS(B1939="Serviço",SUMIFS(H1940:$H$2465,C1940:$C$2465,$C1939),B1939="Insumo",F1939*G1939,B1939="Etapa","")</f>
        <v>0.189</v>
      </c>
      <c r="I1939" s="1082"/>
    </row>
    <row r="1940" spans="1:9" hidden="1" outlineLevel="2" x14ac:dyDescent="0.25">
      <c r="A1940" s="1079">
        <f t="shared" si="76"/>
        <v>17</v>
      </c>
      <c r="B1940" s="1079" t="s">
        <v>1362</v>
      </c>
      <c r="C1940" s="1079" t="str">
        <f t="shared" si="74"/>
        <v>Pintura PVA Acrílica Cinza Externa 3 Demãos</v>
      </c>
      <c r="D1940" s="1079" t="s">
        <v>2059</v>
      </c>
      <c r="E1940" s="1080" t="str">
        <f>_xlfn.XLOOKUP(D1940,Insumos!$B$1:$B$670,Insumos!$C$1:$C$670)</f>
        <v>KG</v>
      </c>
      <c r="F1940" s="1083">
        <v>0.86670000000000003</v>
      </c>
      <c r="G1940" s="1081">
        <f>IF(B1940="insumo",_xlfn.XLOOKUP($D1940,Insumos!$B$1:$B$670,Insumos!$D$1:$D$670),"")</f>
        <v>6.47</v>
      </c>
      <c r="H1940" s="1081" cm="1">
        <f t="array" ref="H1940">_xlfn.IFS(B1940="Serviço",SUMIFS(H1941:$H$2465,C1941:$C$2465,$C1940),B1940="Insumo",F1940*G1940,B1940="Etapa","")</f>
        <v>5.6075489999999997</v>
      </c>
      <c r="I1940" s="1082"/>
    </row>
    <row r="1941" spans="1:9" hidden="1" outlineLevel="2" x14ac:dyDescent="0.25">
      <c r="A1941" s="1079">
        <f t="shared" si="76"/>
        <v>13</v>
      </c>
      <c r="B1941" s="1079" t="s">
        <v>1362</v>
      </c>
      <c r="C1941" s="1079" t="str">
        <f t="shared" si="74"/>
        <v>Pintura PVA Acrílica Cinza Externa 3 Demãos</v>
      </c>
      <c r="D1941" s="1079" t="s">
        <v>2060</v>
      </c>
      <c r="E1941" s="1080" t="str">
        <f>_xlfn.XLOOKUP(D1941,Insumos!$B$1:$B$670,Insumos!$C$1:$C$670)</f>
        <v>L</v>
      </c>
      <c r="F1941" s="1083">
        <v>0.1666</v>
      </c>
      <c r="G1941" s="1081">
        <f>IF(B1941="insumo",_xlfn.XLOOKUP($D1941,Insumos!$B$1:$B$670,Insumos!$D$1:$D$670),"")</f>
        <v>16.666666666666668</v>
      </c>
      <c r="H1941" s="1081" cm="1">
        <f t="array" ref="H1941">_xlfn.IFS(B1941="Serviço",SUMIFS(H1942:$H$2465,C1942:$C$2465,$C1941),B1941="Insumo",F1941*G1941,B1941="Etapa","")</f>
        <v>2.7766666666666668</v>
      </c>
      <c r="I1941" s="1082"/>
    </row>
    <row r="1942" spans="1:9" hidden="1" outlineLevel="2" x14ac:dyDescent="0.25">
      <c r="A1942" s="1079">
        <f t="shared" si="76"/>
        <v>13</v>
      </c>
      <c r="B1942" s="1079" t="s">
        <v>1362</v>
      </c>
      <c r="C1942" s="1079" t="str">
        <f t="shared" si="74"/>
        <v>Pintura PVA Acrílica Cinza Externa 3 Demãos</v>
      </c>
      <c r="D1942" s="1079" t="s">
        <v>2057</v>
      </c>
      <c r="E1942" s="1080" t="str">
        <f>_xlfn.XLOOKUP(D1942,Insumos!$B$1:$B$670,Insumos!$C$1:$C$670)</f>
        <v>L</v>
      </c>
      <c r="F1942" s="1083">
        <v>0.495</v>
      </c>
      <c r="G1942" s="1081">
        <f>IF(B1942="insumo",_xlfn.XLOOKUP($D1942,Insumos!$B$1:$B$670,Insumos!$D$1:$D$670),"")</f>
        <v>24.5</v>
      </c>
      <c r="H1942" s="1081" cm="1">
        <f t="array" ref="H1942">_xlfn.IFS(B1942="Serviço",SUMIFS(H1943:$H$2465,C1943:$C$2465,$C1942),B1942="Insumo",F1942*G1942,B1942="Etapa","")</f>
        <v>12.1275</v>
      </c>
      <c r="I1942" s="1082"/>
    </row>
    <row r="1943" spans="1:9" hidden="1" outlineLevel="1" collapsed="1" x14ac:dyDescent="0.25">
      <c r="A1943" s="1079">
        <f t="shared" si="76"/>
        <v>1</v>
      </c>
      <c r="B1943" s="1079" t="s">
        <v>471</v>
      </c>
      <c r="C1943" s="1079" t="str">
        <f t="shared" si="74"/>
        <v>Pintura PVA Acrílica Verde Externa 3 Demãos</v>
      </c>
      <c r="D1943" s="1079" t="s">
        <v>2179</v>
      </c>
      <c r="E1943" s="1080" t="s">
        <v>17</v>
      </c>
      <c r="F1943" s="1079"/>
      <c r="G1943" s="1081" t="str">
        <f>IF(B1943="insumo",_xlfn.XLOOKUP($D1943,Insumos!$B$1:$B$670,Insumos!$D$1:$D$670),"")</f>
        <v/>
      </c>
      <c r="H1943" s="1081" cm="1">
        <f t="array" ref="H1943">_xlfn.IFS(B1943="Serviço",SUMIFS(H1944:$H$2465,C1944:$C$2465,$C1943),B1943="Insumo",F1943*G1943,B1943="Etapa","")</f>
        <v>20.700715666666667</v>
      </c>
      <c r="I1943" s="1082" t="s">
        <v>872</v>
      </c>
    </row>
    <row r="1944" spans="1:9" hidden="1" outlineLevel="2" x14ac:dyDescent="0.25">
      <c r="A1944" s="1079">
        <f t="shared" si="76"/>
        <v>24</v>
      </c>
      <c r="B1944" s="1079" t="s">
        <v>1362</v>
      </c>
      <c r="C1944" s="1079" t="str">
        <f t="shared" si="74"/>
        <v>Pintura PVA Acrílica Verde Externa 3 Demãos</v>
      </c>
      <c r="D1944" s="1079" t="s">
        <v>1384</v>
      </c>
      <c r="E1944" s="1080" t="str">
        <f>_xlfn.XLOOKUP(D1944,Insumos!$B$1:$B$670,Insumos!$C$1:$C$670)</f>
        <v>UN</v>
      </c>
      <c r="F1944" s="1083">
        <v>0.1</v>
      </c>
      <c r="G1944" s="1081">
        <f>IF(B1944="insumo",_xlfn.XLOOKUP($D1944,Insumos!$B$1:$B$670,Insumos!$D$1:$D$670),"")</f>
        <v>1.89</v>
      </c>
      <c r="H1944" s="1081" cm="1">
        <f t="array" ref="H1944">_xlfn.IFS(B1944="Serviço",SUMIFS(H1945:$H$2465,C1945:$C$2465,$C1944),B1944="Insumo",F1944*G1944,B1944="Etapa","")</f>
        <v>0.189</v>
      </c>
      <c r="I1944" s="1082"/>
    </row>
    <row r="1945" spans="1:9" hidden="1" outlineLevel="2" x14ac:dyDescent="0.25">
      <c r="A1945" s="1079">
        <f t="shared" si="76"/>
        <v>17</v>
      </c>
      <c r="B1945" s="1079" t="s">
        <v>1362</v>
      </c>
      <c r="C1945" s="1079" t="str">
        <f t="shared" si="74"/>
        <v>Pintura PVA Acrílica Verde Externa 3 Demãos</v>
      </c>
      <c r="D1945" s="1079" t="s">
        <v>2059</v>
      </c>
      <c r="E1945" s="1080" t="str">
        <f>_xlfn.XLOOKUP(D1945,Insumos!$B$1:$B$670,Insumos!$C$1:$C$670)</f>
        <v>KG</v>
      </c>
      <c r="F1945" s="1083">
        <v>0.86670000000000003</v>
      </c>
      <c r="G1945" s="1081">
        <f>IF(B1945="insumo",_xlfn.XLOOKUP($D1945,Insumos!$B$1:$B$670,Insumos!$D$1:$D$670),"")</f>
        <v>6.47</v>
      </c>
      <c r="H1945" s="1081" cm="1">
        <f t="array" ref="H1945">_xlfn.IFS(B1945="Serviço",SUMIFS(H1946:$H$2465,C1946:$C$2465,$C1945),B1945="Insumo",F1945*G1945,B1945="Etapa","")</f>
        <v>5.6075489999999997</v>
      </c>
      <c r="I1945" s="1082"/>
    </row>
    <row r="1946" spans="1:9" hidden="1" outlineLevel="2" x14ac:dyDescent="0.25">
      <c r="A1946" s="1079">
        <f t="shared" si="76"/>
        <v>13</v>
      </c>
      <c r="B1946" s="1079" t="s">
        <v>1362</v>
      </c>
      <c r="C1946" s="1079" t="str">
        <f t="shared" si="74"/>
        <v>Pintura PVA Acrílica Verde Externa 3 Demãos</v>
      </c>
      <c r="D1946" s="1079" t="s">
        <v>2060</v>
      </c>
      <c r="E1946" s="1080" t="str">
        <f>_xlfn.XLOOKUP(D1946,Insumos!$B$1:$B$670,Insumos!$C$1:$C$670)</f>
        <v>L</v>
      </c>
      <c r="F1946" s="1083">
        <v>0.1666</v>
      </c>
      <c r="G1946" s="1081">
        <f>IF(B1946="insumo",_xlfn.XLOOKUP($D1946,Insumos!$B$1:$B$670,Insumos!$D$1:$D$670),"")</f>
        <v>16.666666666666668</v>
      </c>
      <c r="H1946" s="1081" cm="1">
        <f t="array" ref="H1946">_xlfn.IFS(B1946="Serviço",SUMIFS(H1947:$H$2465,C1947:$C$2465,$C1946),B1946="Insumo",F1946*G1946,B1946="Etapa","")</f>
        <v>2.7766666666666668</v>
      </c>
      <c r="I1946" s="1082"/>
    </row>
    <row r="1947" spans="1:9" hidden="1" outlineLevel="2" x14ac:dyDescent="0.25">
      <c r="A1947" s="1079">
        <f t="shared" si="76"/>
        <v>13</v>
      </c>
      <c r="B1947" s="1079" t="s">
        <v>1362</v>
      </c>
      <c r="C1947" s="1079" t="str">
        <f t="shared" ref="C1947:C2025" si="77">IF(B1947="serviço",D1947,C1946)</f>
        <v>Pintura PVA Acrílica Verde Externa 3 Demãos</v>
      </c>
      <c r="D1947" s="1079" t="s">
        <v>2057</v>
      </c>
      <c r="E1947" s="1080" t="str">
        <f>_xlfn.XLOOKUP(D1947,Insumos!$B$1:$B$670,Insumos!$C$1:$C$670)</f>
        <v>L</v>
      </c>
      <c r="F1947" s="1083">
        <v>0.495</v>
      </c>
      <c r="G1947" s="1081">
        <f>IF(B1947="insumo",_xlfn.XLOOKUP($D1947,Insumos!$B$1:$B$670,Insumos!$D$1:$D$670),"")</f>
        <v>24.5</v>
      </c>
      <c r="H1947" s="1081" cm="1">
        <f t="array" ref="H1947">_xlfn.IFS(B1947="Serviço",SUMIFS(H1948:$H$2465,C1948:$C$2465,$C1947),B1947="Insumo",F1947*G1947,B1947="Etapa","")</f>
        <v>12.1275</v>
      </c>
      <c r="I1947" s="1082"/>
    </row>
    <row r="1948" spans="1:9" hidden="1" outlineLevel="1" collapsed="1" x14ac:dyDescent="0.25">
      <c r="A1948" s="1079">
        <f t="shared" si="76"/>
        <v>1</v>
      </c>
      <c r="B1948" s="1079" t="s">
        <v>471</v>
      </c>
      <c r="C1948" s="1079" t="str">
        <f t="shared" si="77"/>
        <v>Pintura Com Tinta Latex Acrilica em Paredes Externas, 3 Demaos (Somente tinta)</v>
      </c>
      <c r="D1948" s="1079" t="s">
        <v>2180</v>
      </c>
      <c r="E1948" s="1080" t="s">
        <v>17</v>
      </c>
      <c r="F1948" s="1079"/>
      <c r="G1948" s="1081" t="str">
        <f>IF(B1948="insumo",_xlfn.XLOOKUP($D1948,Insumos!$B$1:$B$670,Insumos!$D$1:$D$670),"")</f>
        <v/>
      </c>
      <c r="H1948" s="1081" cm="1">
        <f t="array" ref="H1948">_xlfn.IFS(B1948="Serviço",SUMIFS(H1949:$H$2465,C1949:$C$2465,$C1948),B1948="Insumo",F1948*G1948,B1948="Etapa","")</f>
        <v>12.1275</v>
      </c>
      <c r="I1948" s="1082" t="s">
        <v>872</v>
      </c>
    </row>
    <row r="1949" spans="1:9" hidden="1" outlineLevel="2" x14ac:dyDescent="0.25">
      <c r="A1949" s="1079">
        <f t="shared" si="76"/>
        <v>13</v>
      </c>
      <c r="B1949" s="1079" t="s">
        <v>1362</v>
      </c>
      <c r="C1949" s="1079" t="str">
        <f t="shared" si="77"/>
        <v>Pintura Com Tinta Latex Acrilica em Paredes Externas, 3 Demaos (Somente tinta)</v>
      </c>
      <c r="D1949" s="1079" t="s">
        <v>2057</v>
      </c>
      <c r="E1949" s="1080" t="str">
        <f>_xlfn.XLOOKUP(D1949,Insumos!$B$1:$B$670,Insumos!$C$1:$C$670)</f>
        <v>L</v>
      </c>
      <c r="F1949" s="1095">
        <v>0.495</v>
      </c>
      <c r="G1949" s="1081">
        <f>IF(B1949="insumo",_xlfn.XLOOKUP($D1949,Insumos!$B$1:$B$670,Insumos!$D$1:$D$670),"")</f>
        <v>24.5</v>
      </c>
      <c r="H1949" s="1081" cm="1">
        <f t="array" ref="H1949">_xlfn.IFS(B1949="Serviço",SUMIFS(H1950:$H$2465,C1950:$C$2465,$C1949),B1949="Insumo",F1949*G1949,B1949="Etapa","")</f>
        <v>12.1275</v>
      </c>
      <c r="I1949" s="1082"/>
    </row>
    <row r="1950" spans="1:9" hidden="1" outlineLevel="1" collapsed="1" x14ac:dyDescent="0.25">
      <c r="A1950" s="1079">
        <f t="shared" si="76"/>
        <v>1</v>
      </c>
      <c r="B1950" s="1079" t="s">
        <v>471</v>
      </c>
      <c r="C1950" s="1079" t="str">
        <f t="shared" si="77"/>
        <v>Pintura Com Tinta Latex Acrilica em Paredes Externas, 3 Demaos (Somente tinta e fundo)</v>
      </c>
      <c r="D1950" s="1079" t="s">
        <v>2181</v>
      </c>
      <c r="E1950" s="1080" t="s">
        <v>17</v>
      </c>
      <c r="F1950" s="1079"/>
      <c r="G1950" s="1081" t="str">
        <f>IF(B1950="insumo",_xlfn.XLOOKUP($D1950,Insumos!$B$1:$B$670,Insumos!$D$1:$D$670),"")</f>
        <v/>
      </c>
      <c r="H1950" s="1081" cm="1">
        <f t="array" ref="H1950">_xlfn.IFS(B1950="Serviço",SUMIFS(H1951:$H$2465,C1951:$C$2465,$C1950),B1950="Insumo",F1950*G1950,B1950="Etapa","")</f>
        <v>13.205401999999999</v>
      </c>
      <c r="I1950" s="1082" t="s">
        <v>872</v>
      </c>
    </row>
    <row r="1951" spans="1:9" hidden="1" outlineLevel="2" x14ac:dyDescent="0.25">
      <c r="A1951" s="1079">
        <f t="shared" si="76"/>
        <v>13</v>
      </c>
      <c r="B1951" s="1079" t="s">
        <v>1362</v>
      </c>
      <c r="C1951" s="1079" t="str">
        <f t="shared" si="77"/>
        <v>Pintura Com Tinta Latex Acrilica em Paredes Externas, 3 Demaos (Somente tinta e fundo)</v>
      </c>
      <c r="D1951" s="1079" t="s">
        <v>2057</v>
      </c>
      <c r="E1951" s="1080" t="str">
        <f>_xlfn.XLOOKUP(D1951,Insumos!$B$1:$B$670,Insumos!$C$1:$C$670)</f>
        <v>L</v>
      </c>
      <c r="F1951" s="1095">
        <v>0.495</v>
      </c>
      <c r="G1951" s="1081">
        <f>IF(B1951="insumo",_xlfn.XLOOKUP($D1951,Insumos!$B$1:$B$670,Insumos!$D$1:$D$670),"")</f>
        <v>24.5</v>
      </c>
      <c r="H1951" s="1081" cm="1">
        <f t="array" ref="H1951">_xlfn.IFS(B1951="Serviço",SUMIFS(H1952:$H$2465,C1952:$C$2465,$C1951),B1951="Insumo",F1951*G1951,B1951="Etapa","")</f>
        <v>12.1275</v>
      </c>
      <c r="I1951" s="1082"/>
    </row>
    <row r="1952" spans="1:9" hidden="1" outlineLevel="2" x14ac:dyDescent="0.25">
      <c r="A1952" s="1079">
        <f t="shared" si="76"/>
        <v>19</v>
      </c>
      <c r="B1952" s="1079" t="s">
        <v>1362</v>
      </c>
      <c r="C1952" s="1079" t="str">
        <f t="shared" si="77"/>
        <v>Pintura Com Tinta Latex Acrilica em Paredes Externas, 3 Demaos (Somente tinta e fundo)</v>
      </c>
      <c r="D1952" s="1079" t="s">
        <v>2068</v>
      </c>
      <c r="E1952" s="1080" t="str">
        <f>_xlfn.XLOOKUP(D1952,Insumos!$B$1:$B$670,Insumos!$C$1:$C$670)</f>
        <v>L</v>
      </c>
      <c r="F1952" s="1095">
        <v>0.1666</v>
      </c>
      <c r="G1952" s="1081">
        <f>IF(B1952="insumo",_xlfn.XLOOKUP($D1952,Insumos!$B$1:$B$670,Insumos!$D$1:$D$670),"")</f>
        <v>6.47</v>
      </c>
      <c r="H1952" s="1081" cm="1">
        <f t="array" ref="H1952">_xlfn.IFS(B1952="Serviço",SUMIFS(H1953:$H$2465,C1953:$C$2465,$C1952),B1952="Insumo",F1952*G1952,B1952="Etapa","")</f>
        <v>1.0779019999999999</v>
      </c>
      <c r="I1952" s="1082"/>
    </row>
    <row r="1953" spans="1:9" hidden="1" outlineLevel="1" collapsed="1" x14ac:dyDescent="0.25">
      <c r="A1953" s="1079">
        <f t="shared" si="76"/>
        <v>1</v>
      </c>
      <c r="B1953" s="1079" t="s">
        <v>471</v>
      </c>
      <c r="C1953" s="1079" t="str">
        <f t="shared" si="77"/>
        <v>Pintura Com Tinta Latex Acrilica em Paredes Externas, 3 Demaos (Incluso fundo e massa) - Cor preto</v>
      </c>
      <c r="D1953" s="1079" t="s">
        <v>2182</v>
      </c>
      <c r="E1953" s="1080" t="s">
        <v>17</v>
      </c>
      <c r="F1953" s="1079"/>
      <c r="G1953" s="1081" t="str">
        <f>IF(B1953="insumo",_xlfn.XLOOKUP($D1953,Insumos!$B$1:$B$670,Insumos!$D$1:$D$670),"")</f>
        <v/>
      </c>
      <c r="H1953" s="1081" cm="1">
        <f t="array" ref="H1953">_xlfn.IFS(B1953="Serviço",SUMIFS(H1954:$H$2465,C1954:$C$2465,$C1953),B1953="Insumo",F1953*G1953,B1953="Etapa","")</f>
        <v>41.249451000000001</v>
      </c>
      <c r="I1953" s="1082" t="s">
        <v>872</v>
      </c>
    </row>
    <row r="1954" spans="1:9" hidden="1" outlineLevel="2" x14ac:dyDescent="0.25">
      <c r="A1954" s="1079">
        <f t="shared" si="76"/>
        <v>24</v>
      </c>
      <c r="B1954" s="1079" t="s">
        <v>1362</v>
      </c>
      <c r="C1954" s="1079" t="str">
        <f t="shared" si="77"/>
        <v>Pintura Com Tinta Latex Acrilica em Paredes Externas, 3 Demaos (Incluso fundo e massa) - Cor preto</v>
      </c>
      <c r="D1954" s="1079" t="s">
        <v>1384</v>
      </c>
      <c r="E1954" s="1080" t="str">
        <f>_xlfn.XLOOKUP(D1954,Insumos!$B$1:$B$670,Insumos!$C$1:$C$670)</f>
        <v>UN</v>
      </c>
      <c r="F1954" s="1083">
        <v>0.1</v>
      </c>
      <c r="G1954" s="1081">
        <f>IF(B1954="insumo",_xlfn.XLOOKUP($D1954,Insumos!$B$1:$B$670,Insumos!$D$1:$D$670),"")</f>
        <v>1.89</v>
      </c>
      <c r="H1954" s="1081" cm="1">
        <f t="array" ref="H1954">_xlfn.IFS(B1954="Serviço",SUMIFS(H1955:$H$2465,C1955:$C$2465,$C1954),B1954="Insumo",F1954*G1954,B1954="Etapa","")</f>
        <v>0.189</v>
      </c>
      <c r="I1954" s="1082"/>
    </row>
    <row r="1955" spans="1:9" hidden="1" outlineLevel="2" x14ac:dyDescent="0.25">
      <c r="A1955" s="1079">
        <f t="shared" si="76"/>
        <v>17</v>
      </c>
      <c r="B1955" s="1079" t="s">
        <v>1362</v>
      </c>
      <c r="C1955" s="1079" t="str">
        <f t="shared" si="77"/>
        <v>Pintura Com Tinta Latex Acrilica em Paredes Externas, 3 Demaos (Incluso fundo e massa) - Cor preto</v>
      </c>
      <c r="D1955" s="1079" t="s">
        <v>2059</v>
      </c>
      <c r="E1955" s="1080" t="str">
        <f>_xlfn.XLOOKUP(D1955,Insumos!$B$1:$B$670,Insumos!$C$1:$C$670)</f>
        <v>KG</v>
      </c>
      <c r="F1955" s="1083">
        <v>0.86670000000000003</v>
      </c>
      <c r="G1955" s="1081">
        <f>IF(B1955="insumo",_xlfn.XLOOKUP($D1955,Insumos!$B$1:$B$670,Insumos!$D$1:$D$670),"")</f>
        <v>6.47</v>
      </c>
      <c r="H1955" s="1081" cm="1">
        <f t="array" ref="H1955">_xlfn.IFS(B1955="Serviço",SUMIFS(H1956:$H$2465,C1956:$C$2465,$C1955),B1955="Insumo",F1955*G1955,B1955="Etapa","")</f>
        <v>5.6075489999999997</v>
      </c>
      <c r="I1955" s="1082"/>
    </row>
    <row r="1956" spans="1:9" hidden="1" outlineLevel="2" x14ac:dyDescent="0.25">
      <c r="A1956" s="1079">
        <f t="shared" si="76"/>
        <v>19</v>
      </c>
      <c r="B1956" s="1079" t="s">
        <v>1362</v>
      </c>
      <c r="C1956" s="1079" t="str">
        <f t="shared" si="77"/>
        <v>Pintura Com Tinta Latex Acrilica em Paredes Externas, 3 Demaos (Incluso fundo e massa) - Cor preto</v>
      </c>
      <c r="D1956" s="1079" t="s">
        <v>2068</v>
      </c>
      <c r="E1956" s="1080" t="str">
        <f>_xlfn.XLOOKUP(D1956,Insumos!$B$1:$B$670,Insumos!$C$1:$C$670)</f>
        <v>L</v>
      </c>
      <c r="F1956" s="1083">
        <v>0.1666</v>
      </c>
      <c r="G1956" s="1081">
        <f>IF(B1956="insumo",_xlfn.XLOOKUP($D1956,Insumos!$B$1:$B$670,Insumos!$D$1:$D$670),"")</f>
        <v>6.47</v>
      </c>
      <c r="H1956" s="1081" cm="1">
        <f t="array" ref="H1956">_xlfn.IFS(B1956="Serviço",SUMIFS(H1957:$H$2465,C1957:$C$2465,$C1956),B1956="Insumo",F1956*G1956,B1956="Etapa","")</f>
        <v>1.0779019999999999</v>
      </c>
      <c r="I1956" s="1082"/>
    </row>
    <row r="1957" spans="1:9" hidden="1" outlineLevel="2" x14ac:dyDescent="0.25">
      <c r="A1957" s="1079">
        <f t="shared" si="76"/>
        <v>2</v>
      </c>
      <c r="B1957" s="1079" t="s">
        <v>1362</v>
      </c>
      <c r="C1957" s="1079" t="str">
        <f t="shared" si="77"/>
        <v>Pintura Com Tinta Latex Acrilica em Paredes Externas, 3 Demaos (Incluso fundo e massa) - Cor preto</v>
      </c>
      <c r="D1957" s="1079" t="s">
        <v>2064</v>
      </c>
      <c r="E1957" s="1080" t="str">
        <f>_xlfn.XLOOKUP(D1957,Insumos!$B$1:$B$670,Insumos!$C$1:$C$670)</f>
        <v>L</v>
      </c>
      <c r="F1957" s="1083">
        <v>0.495</v>
      </c>
      <c r="G1957" s="1081">
        <f>IF(B1957="insumo",_xlfn.XLOOKUP($D1957,Insumos!$B$1:$B$670,Insumos!$D$1:$D$670),"")</f>
        <v>69.444444444444443</v>
      </c>
      <c r="H1957" s="1081" cm="1">
        <f t="array" ref="H1957">_xlfn.IFS(B1957="Serviço",SUMIFS(H1978:$H$2465,C1978:$C$2465,$C1957),B1957="Insumo",F1957*G1957,B1957="Etapa","")</f>
        <v>34.375</v>
      </c>
      <c r="I1957" s="1082"/>
    </row>
    <row r="1958" spans="1:9" hidden="1" outlineLevel="1" x14ac:dyDescent="0.25">
      <c r="A1958" s="1079">
        <f t="shared" si="76"/>
        <v>1</v>
      </c>
      <c r="B1958" s="1079" t="s">
        <v>471</v>
      </c>
      <c r="C1958" s="1079" t="str">
        <f t="shared" si="77"/>
        <v>Pintura Com Tinta Acetinada em Paredes Externas, 2 Demaos (Incluso fundo e massa) - Cor Cinza claro</v>
      </c>
      <c r="D1958" s="1079" t="s">
        <v>2183</v>
      </c>
      <c r="E1958" s="1080" t="s">
        <v>17</v>
      </c>
      <c r="F1958" s="1079"/>
      <c r="G1958" s="1081" t="str">
        <f>IF(B1958="insumo",_xlfn.XLOOKUP($D1958,Insumos!$B$1:$B$670,Insumos!$D$1:$D$670),"")</f>
        <v/>
      </c>
      <c r="H1958" s="1081" cm="1">
        <f t="array" ref="H1958">_xlfn.IFS(B1958="Serviço",SUMIFS(H1959:$H$2465,C1959:$C$2465,$C1958),B1958="Insumo",F1958*G1958,B1958="Etapa","")</f>
        <v>24.228996454545456</v>
      </c>
      <c r="I1958" s="1082" t="s">
        <v>872</v>
      </c>
    </row>
    <row r="1959" spans="1:9" hidden="1" outlineLevel="2" x14ac:dyDescent="0.25">
      <c r="A1959" s="1079">
        <f t="shared" si="76"/>
        <v>24</v>
      </c>
      <c r="B1959" s="1079" t="s">
        <v>1362</v>
      </c>
      <c r="C1959" s="1079" t="str">
        <f t="shared" si="77"/>
        <v>Pintura Com Tinta Acetinada em Paredes Externas, 2 Demaos (Incluso fundo e massa) - Cor Cinza claro</v>
      </c>
      <c r="D1959" s="1079" t="s">
        <v>1384</v>
      </c>
      <c r="E1959" s="1080" t="str">
        <f>_xlfn.XLOOKUP(D1959,Insumos!$B$1:$B$670,Insumos!$C$1:$C$670)</f>
        <v>UN</v>
      </c>
      <c r="F1959" s="1083">
        <v>0.1</v>
      </c>
      <c r="G1959" s="1081">
        <f>IF(B1959="insumo",_xlfn.XLOOKUP($D1959,Insumos!$B$1:$B$670,Insumos!$D$1:$D$670),"")</f>
        <v>1.89</v>
      </c>
      <c r="H1959" s="1081" cm="1">
        <f t="array" ref="H1959">_xlfn.IFS(B1959="Serviço",SUMIFS(H1960:$H$2465,C1960:$C$2465,$C1959),B1959="Insumo",F1959*G1959,B1959="Etapa","")</f>
        <v>0.189</v>
      </c>
      <c r="I1959" s="1082"/>
    </row>
    <row r="1960" spans="1:9" hidden="1" outlineLevel="2" x14ac:dyDescent="0.25">
      <c r="A1960" s="1079">
        <f t="shared" si="76"/>
        <v>17</v>
      </c>
      <c r="B1960" s="1079" t="s">
        <v>1362</v>
      </c>
      <c r="C1960" s="1079" t="str">
        <f t="shared" si="77"/>
        <v>Pintura Com Tinta Acetinada em Paredes Externas, 2 Demaos (Incluso fundo e massa) - Cor Cinza claro</v>
      </c>
      <c r="D1960" s="1079" t="s">
        <v>2059</v>
      </c>
      <c r="E1960" s="1080" t="str">
        <f>_xlfn.XLOOKUP(D1960,Insumos!$B$1:$B$670,Insumos!$C$1:$C$670)</f>
        <v>KG</v>
      </c>
      <c r="F1960" s="1083">
        <v>0.86670000000000003</v>
      </c>
      <c r="G1960" s="1081">
        <f>IF(B1960="insumo",_xlfn.XLOOKUP($D1960,Insumos!$B$1:$B$670,Insumos!$D$1:$D$670),"")</f>
        <v>6.47</v>
      </c>
      <c r="H1960" s="1081" cm="1">
        <f t="array" ref="H1960">_xlfn.IFS(B1960="Serviço",SUMIFS(H1961:$H$2465,C1961:$C$2465,$C1960),B1960="Insumo",F1960*G1960,B1960="Etapa","")</f>
        <v>5.6075489999999997</v>
      </c>
      <c r="I1960" s="1082"/>
    </row>
    <row r="1961" spans="1:9" hidden="1" outlineLevel="2" x14ac:dyDescent="0.25">
      <c r="A1961" s="1079">
        <f t="shared" si="76"/>
        <v>19</v>
      </c>
      <c r="B1961" s="1079" t="s">
        <v>1362</v>
      </c>
      <c r="C1961" s="1079" t="str">
        <f t="shared" si="77"/>
        <v>Pintura Com Tinta Acetinada em Paredes Externas, 2 Demaos (Incluso fundo e massa) - Cor Cinza claro</v>
      </c>
      <c r="D1961" s="1079" t="s">
        <v>2068</v>
      </c>
      <c r="E1961" s="1080" t="str">
        <f>_xlfn.XLOOKUP(D1961,Insumos!$B$1:$B$670,Insumos!$C$1:$C$670)</f>
        <v>L</v>
      </c>
      <c r="F1961" s="1083">
        <v>0.1666</v>
      </c>
      <c r="G1961" s="1081">
        <f>IF(B1961="insumo",_xlfn.XLOOKUP($D1961,Insumos!$B$1:$B$670,Insumos!$D$1:$D$670),"")</f>
        <v>6.47</v>
      </c>
      <c r="H1961" s="1081" cm="1">
        <f t="array" ref="H1961">_xlfn.IFS(B1961="Serviço",SUMIFS(H1962:$H$2465,C1962:$C$2465,$C1961),B1961="Insumo",F1961*G1961,B1961="Etapa","")</f>
        <v>1.0779019999999999</v>
      </c>
      <c r="I1961" s="1082"/>
    </row>
    <row r="1962" spans="1:9" hidden="1" outlineLevel="2" x14ac:dyDescent="0.25">
      <c r="A1962" s="1079">
        <f t="shared" si="76"/>
        <v>1</v>
      </c>
      <c r="B1962" s="1079" t="s">
        <v>1362</v>
      </c>
      <c r="C1962" s="1079" t="str">
        <f t="shared" si="77"/>
        <v>Pintura Com Tinta Acetinada em Paredes Externas, 2 Demaos (Incluso fundo e massa) - Cor Cinza claro</v>
      </c>
      <c r="D1962" s="1079" t="s">
        <v>2184</v>
      </c>
      <c r="E1962" s="1080" t="str">
        <f>_xlfn.XLOOKUP(D1962,Insumos!$B$1:$B$670,Insumos!$C$1:$C$670)</f>
        <v>L</v>
      </c>
      <c r="F1962" s="1083">
        <f>(16/110)*2</f>
        <v>0.29090909090909089</v>
      </c>
      <c r="G1962" s="1101">
        <f>IF(B1962="insumo",_xlfn.XLOOKUP($D1962,Insumos!$B$1:$B$670,Insumos!$D$1:$D$670),"")</f>
        <v>59.65625</v>
      </c>
      <c r="H1962" s="1101" cm="1">
        <f t="array" ref="H1962">_xlfn.IFS(B1962="Serviço",SUMIFS(H1963:$H$2465,C1963:$C$2465,$C1962),B1962="Insumo",F1962*G1962,B1962="Etapa","")</f>
        <v>17.354545454545455</v>
      </c>
      <c r="I1962" s="1082" t="s">
        <v>2185</v>
      </c>
    </row>
    <row r="1963" spans="1:9" hidden="1" outlineLevel="1" x14ac:dyDescent="0.25">
      <c r="A1963" s="1079">
        <f t="shared" si="76"/>
        <v>1</v>
      </c>
      <c r="B1963" s="1079" t="s">
        <v>471</v>
      </c>
      <c r="C1963" s="1079" t="str">
        <f t="shared" si="77"/>
        <v>Pintura Com Tinta Acetinada em Paredes Externas, 2 Demaos (Incluso fundo e massa) - Cor Marrom</v>
      </c>
      <c r="D1963" s="1079" t="s">
        <v>2186</v>
      </c>
      <c r="E1963" s="1080" t="s">
        <v>17</v>
      </c>
      <c r="F1963" s="1079"/>
      <c r="G1963" s="1081" t="str">
        <f>IF(B1963="insumo",_xlfn.XLOOKUP($D1963,Insumos!$B$1:$B$670,Insumos!$D$1:$D$670),"")</f>
        <v/>
      </c>
      <c r="H1963" s="1081" cm="1">
        <f t="array" ref="H1963">_xlfn.IFS(B1963="Serviço",SUMIFS(H1964:$H$2465,C1964:$C$2465,$C1963),B1963="Insumo",F1963*G1963,B1963="Etapa","")</f>
        <v>26.138087363636362</v>
      </c>
      <c r="I1963" s="1082" t="s">
        <v>872</v>
      </c>
    </row>
    <row r="1964" spans="1:9" hidden="1" outlineLevel="2" x14ac:dyDescent="0.25">
      <c r="A1964" s="1079">
        <f t="shared" si="76"/>
        <v>24</v>
      </c>
      <c r="B1964" s="1079" t="s">
        <v>1362</v>
      </c>
      <c r="C1964" s="1079" t="str">
        <f t="shared" si="77"/>
        <v>Pintura Com Tinta Acetinada em Paredes Externas, 2 Demaos (Incluso fundo e massa) - Cor Marrom</v>
      </c>
      <c r="D1964" s="1079" t="s">
        <v>1384</v>
      </c>
      <c r="E1964" s="1080" t="str">
        <f>_xlfn.XLOOKUP(D1964,Insumos!$B$1:$B$670,Insumos!$C$1:$C$670)</f>
        <v>UN</v>
      </c>
      <c r="F1964" s="1083">
        <v>0.1</v>
      </c>
      <c r="G1964" s="1081">
        <f>IF(B1964="insumo",_xlfn.XLOOKUP($D1964,Insumos!$B$1:$B$670,Insumos!$D$1:$D$670),"")</f>
        <v>1.89</v>
      </c>
      <c r="H1964" s="1081" cm="1">
        <f t="array" ref="H1964">_xlfn.IFS(B1964="Serviço",SUMIFS(H1965:$H$2465,C1965:$C$2465,$C1964),B1964="Insumo",F1964*G1964,B1964="Etapa","")</f>
        <v>0.189</v>
      </c>
      <c r="I1964" s="1082"/>
    </row>
    <row r="1965" spans="1:9" hidden="1" outlineLevel="2" x14ac:dyDescent="0.25">
      <c r="A1965" s="1079">
        <f t="shared" si="76"/>
        <v>17</v>
      </c>
      <c r="B1965" s="1079" t="s">
        <v>1362</v>
      </c>
      <c r="C1965" s="1079" t="str">
        <f t="shared" si="77"/>
        <v>Pintura Com Tinta Acetinada em Paredes Externas, 2 Demaos (Incluso fundo e massa) - Cor Marrom</v>
      </c>
      <c r="D1965" s="1079" t="s">
        <v>2059</v>
      </c>
      <c r="E1965" s="1080" t="str">
        <f>_xlfn.XLOOKUP(D1965,Insumos!$B$1:$B$670,Insumos!$C$1:$C$670)</f>
        <v>KG</v>
      </c>
      <c r="F1965" s="1083">
        <v>0.86670000000000003</v>
      </c>
      <c r="G1965" s="1081">
        <f>IF(B1965="insumo",_xlfn.XLOOKUP($D1965,Insumos!$B$1:$B$670,Insumos!$D$1:$D$670),"")</f>
        <v>6.47</v>
      </c>
      <c r="H1965" s="1081" cm="1">
        <f t="array" ref="H1965">_xlfn.IFS(B1965="Serviço",SUMIFS(H1966:$H$2465,C1966:$C$2465,$C1965),B1965="Insumo",F1965*G1965,B1965="Etapa","")</f>
        <v>5.6075489999999997</v>
      </c>
      <c r="I1965" s="1082"/>
    </row>
    <row r="1966" spans="1:9" hidden="1" outlineLevel="2" x14ac:dyDescent="0.25">
      <c r="A1966" s="1079">
        <f t="shared" si="76"/>
        <v>19</v>
      </c>
      <c r="B1966" s="1079" t="s">
        <v>1362</v>
      </c>
      <c r="C1966" s="1079" t="str">
        <f t="shared" si="77"/>
        <v>Pintura Com Tinta Acetinada em Paredes Externas, 2 Demaos (Incluso fundo e massa) - Cor Marrom</v>
      </c>
      <c r="D1966" s="1079" t="s">
        <v>2068</v>
      </c>
      <c r="E1966" s="1080" t="str">
        <f>_xlfn.XLOOKUP(D1966,Insumos!$B$1:$B$670,Insumos!$C$1:$C$670)</f>
        <v>L</v>
      </c>
      <c r="F1966" s="1083">
        <v>0.1666</v>
      </c>
      <c r="G1966" s="1081">
        <f>IF(B1966="insumo",_xlfn.XLOOKUP($D1966,Insumos!$B$1:$B$670,Insumos!$D$1:$D$670),"")</f>
        <v>6.47</v>
      </c>
      <c r="H1966" s="1081" cm="1">
        <f t="array" ref="H1966">_xlfn.IFS(B1966="Serviço",SUMIFS(H1967:$H$2465,C1967:$C$2465,$C1966),B1966="Insumo",F1966*G1966,B1966="Etapa","")</f>
        <v>1.0779019999999999</v>
      </c>
      <c r="I1966" s="1082"/>
    </row>
    <row r="1967" spans="1:9" hidden="1" outlineLevel="2" x14ac:dyDescent="0.25">
      <c r="A1967" s="1079">
        <f t="shared" si="76"/>
        <v>1</v>
      </c>
      <c r="B1967" s="1079" t="s">
        <v>1362</v>
      </c>
      <c r="C1967" s="1079" t="str">
        <f t="shared" si="77"/>
        <v>Pintura Com Tinta Acetinada em Paredes Externas, 2 Demaos (Incluso fundo e massa) - Cor Marrom</v>
      </c>
      <c r="D1967" s="1079" t="s">
        <v>2187</v>
      </c>
      <c r="E1967" s="1080" t="str">
        <f>_xlfn.XLOOKUP(D1967,Insumos!$B$1:$B$670,Insumos!$C$1:$C$670)</f>
        <v>L</v>
      </c>
      <c r="F1967" s="1083">
        <f>(16/110)*2</f>
        <v>0.29090909090909089</v>
      </c>
      <c r="G1967" s="1101">
        <f>IF(B1967="insumo",_xlfn.XLOOKUP($D1967,Insumos!$B$1:$B$670,Insumos!$D$1:$D$670),"")</f>
        <v>66.21875</v>
      </c>
      <c r="H1967" s="1101" cm="1">
        <f t="array" ref="H1967">_xlfn.IFS(B1967="Serviço",SUMIFS(H1968:$H$2465,C1968:$C$2465,$C1967),B1967="Insumo",F1967*G1967,B1967="Etapa","")</f>
        <v>19.263636363636362</v>
      </c>
      <c r="I1967" s="1082" t="s">
        <v>2185</v>
      </c>
    </row>
    <row r="1968" spans="1:9" hidden="1" outlineLevel="1" x14ac:dyDescent="0.25">
      <c r="A1968" s="1079">
        <f t="shared" si="76"/>
        <v>1</v>
      </c>
      <c r="B1968" s="1079" t="s">
        <v>471</v>
      </c>
      <c r="C1968" s="1079" t="str">
        <f t="shared" si="77"/>
        <v>Pintura Com  Tinta Acetinada em Paredes Externas, 2 Demaos (Incluso fundo e massa) - Cor Cinza escuro</v>
      </c>
      <c r="D1968" s="1079" t="s">
        <v>2188</v>
      </c>
      <c r="E1968" s="1080" t="s">
        <v>17</v>
      </c>
      <c r="F1968" s="1079"/>
      <c r="G1968" s="1081" t="str">
        <f>IF(B1968="insumo",_xlfn.XLOOKUP($D1968,Insumos!$B$1:$B$670,Insumos!$D$1:$D$670),"")</f>
        <v/>
      </c>
      <c r="H1968" s="1081" cm="1">
        <f t="array" ref="H1968">_xlfn.IFS(B1968="Serviço",SUMIFS(H1969:$H$2465,C1969:$C$2465,$C1968),B1968="Insumo",F1968*G1968,B1968="Etapa","")</f>
        <v>26.16354190909091</v>
      </c>
      <c r="I1968" s="1082" t="s">
        <v>872</v>
      </c>
    </row>
    <row r="1969" spans="1:9" hidden="1" outlineLevel="2" x14ac:dyDescent="0.25">
      <c r="A1969" s="1079">
        <f t="shared" si="76"/>
        <v>24</v>
      </c>
      <c r="B1969" s="1079" t="s">
        <v>1362</v>
      </c>
      <c r="C1969" s="1079" t="str">
        <f t="shared" si="77"/>
        <v>Pintura Com  Tinta Acetinada em Paredes Externas, 2 Demaos (Incluso fundo e massa) - Cor Cinza escuro</v>
      </c>
      <c r="D1969" s="1079" t="s">
        <v>1384</v>
      </c>
      <c r="E1969" s="1080" t="str">
        <f>_xlfn.XLOOKUP(D1969,Insumos!$B$1:$B$670,Insumos!$C$1:$C$670)</f>
        <v>UN</v>
      </c>
      <c r="F1969" s="1083">
        <v>0.1</v>
      </c>
      <c r="G1969" s="1081">
        <f>IF(B1969="insumo",_xlfn.XLOOKUP($D1969,Insumos!$B$1:$B$670,Insumos!$D$1:$D$670),"")</f>
        <v>1.89</v>
      </c>
      <c r="H1969" s="1081" cm="1">
        <f t="array" ref="H1969">_xlfn.IFS(B1969="Serviço",SUMIFS(H1970:$H$2465,C1970:$C$2465,$C1969),B1969="Insumo",F1969*G1969,B1969="Etapa","")</f>
        <v>0.189</v>
      </c>
      <c r="I1969" s="1082"/>
    </row>
    <row r="1970" spans="1:9" hidden="1" outlineLevel="2" x14ac:dyDescent="0.25">
      <c r="A1970" s="1079">
        <f t="shared" si="76"/>
        <v>17</v>
      </c>
      <c r="B1970" s="1079" t="s">
        <v>1362</v>
      </c>
      <c r="C1970" s="1079" t="str">
        <f t="shared" si="77"/>
        <v>Pintura Com  Tinta Acetinada em Paredes Externas, 2 Demaos (Incluso fundo e massa) - Cor Cinza escuro</v>
      </c>
      <c r="D1970" s="1079" t="s">
        <v>2059</v>
      </c>
      <c r="E1970" s="1080" t="str">
        <f>_xlfn.XLOOKUP(D1970,Insumos!$B$1:$B$670,Insumos!$C$1:$C$670)</f>
        <v>KG</v>
      </c>
      <c r="F1970" s="1083">
        <v>0.86670000000000003</v>
      </c>
      <c r="G1970" s="1081">
        <f>IF(B1970="insumo",_xlfn.XLOOKUP($D1970,Insumos!$B$1:$B$670,Insumos!$D$1:$D$670),"")</f>
        <v>6.47</v>
      </c>
      <c r="H1970" s="1081" cm="1">
        <f t="array" ref="H1970">_xlfn.IFS(B1970="Serviço",SUMIFS(H1971:$H$2465,C1971:$C$2465,$C1970),B1970="Insumo",F1970*G1970,B1970="Etapa","")</f>
        <v>5.6075489999999997</v>
      </c>
      <c r="I1970" s="1082"/>
    </row>
    <row r="1971" spans="1:9" hidden="1" outlineLevel="2" x14ac:dyDescent="0.25">
      <c r="A1971" s="1079">
        <f t="shared" si="76"/>
        <v>19</v>
      </c>
      <c r="B1971" s="1079" t="s">
        <v>1362</v>
      </c>
      <c r="C1971" s="1079" t="str">
        <f t="shared" si="77"/>
        <v>Pintura Com  Tinta Acetinada em Paredes Externas, 2 Demaos (Incluso fundo e massa) - Cor Cinza escuro</v>
      </c>
      <c r="D1971" s="1079" t="s">
        <v>2068</v>
      </c>
      <c r="E1971" s="1080" t="str">
        <f>_xlfn.XLOOKUP(D1971,Insumos!$B$1:$B$670,Insumos!$C$1:$C$670)</f>
        <v>L</v>
      </c>
      <c r="F1971" s="1083">
        <v>0.1666</v>
      </c>
      <c r="G1971" s="1081">
        <f>IF(B1971="insumo",_xlfn.XLOOKUP($D1971,Insumos!$B$1:$B$670,Insumos!$D$1:$D$670),"")</f>
        <v>6.47</v>
      </c>
      <c r="H1971" s="1081" cm="1">
        <f t="array" ref="H1971">_xlfn.IFS(B1971="Serviço",SUMIFS(H1972:$H$2465,C1972:$C$2465,$C1971),B1971="Insumo",F1971*G1971,B1971="Etapa","")</f>
        <v>1.0779019999999999</v>
      </c>
      <c r="I1971" s="1082"/>
    </row>
    <row r="1972" spans="1:9" hidden="1" outlineLevel="2" x14ac:dyDescent="0.25">
      <c r="A1972" s="1079">
        <f t="shared" si="76"/>
        <v>1</v>
      </c>
      <c r="B1972" s="1079" t="s">
        <v>1362</v>
      </c>
      <c r="C1972" s="1079" t="str">
        <f t="shared" si="77"/>
        <v>Pintura Com  Tinta Acetinada em Paredes Externas, 2 Demaos (Incluso fundo e massa) - Cor Cinza escuro</v>
      </c>
      <c r="D1972" s="1079" t="s">
        <v>2189</v>
      </c>
      <c r="E1972" s="1080" t="str">
        <f>_xlfn.XLOOKUP(D1972,Insumos!$B$1:$B$670,Insumos!$C$1:$C$670)</f>
        <v>L</v>
      </c>
      <c r="F1972" s="1083">
        <f>(16/110)*2</f>
        <v>0.29090909090909089</v>
      </c>
      <c r="G1972" s="1102">
        <f>IF(B1972="insumo",_xlfn.XLOOKUP($D1972,Insumos!$B$1:$B$670,Insumos!$D$1:$D$670),"")</f>
        <v>66.306250000000006</v>
      </c>
      <c r="H1972" s="1102" cm="1">
        <f t="array" ref="H1972">_xlfn.IFS(B1972="Serviço",SUMIFS(H1973:$H$2465,C1973:$C$2465,$C1972),B1972="Insumo",F1972*G1972,B1972="Etapa","")</f>
        <v>19.289090909090909</v>
      </c>
      <c r="I1972" s="1082" t="s">
        <v>2185</v>
      </c>
    </row>
    <row r="1973" spans="1:9" hidden="1" outlineLevel="1" x14ac:dyDescent="0.25">
      <c r="A1973" s="1079">
        <f t="shared" si="76"/>
        <v>1</v>
      </c>
      <c r="B1973" s="1079" t="s">
        <v>471</v>
      </c>
      <c r="C1973" s="1079" t="str">
        <f t="shared" si="77"/>
        <v>Pintura Com  Tinta Acetinada em Paredes Externas, 2 Demaos (Incluso fundo e massa) - Cor Branco</v>
      </c>
      <c r="D1973" s="1079" t="s">
        <v>2190</v>
      </c>
      <c r="E1973" s="1080" t="s">
        <v>17</v>
      </c>
      <c r="F1973" s="1079"/>
      <c r="G1973" s="1081" t="str">
        <f>IF(B1973="insumo",_xlfn.XLOOKUP($D1973,Insumos!$B$1:$B$670,Insumos!$D$1:$D$670),"")</f>
        <v/>
      </c>
      <c r="H1973" s="1081" cm="1">
        <f t="array" ref="H1973">_xlfn.IFS(B1973="Serviço",SUMIFS(H1974:$H$2465,C1974:$C$2465,$C1973),B1973="Insumo",F1973*G1973,B1973="Etapa","")</f>
        <v>19.317279282828281</v>
      </c>
      <c r="I1973" s="1082" t="s">
        <v>872</v>
      </c>
    </row>
    <row r="1974" spans="1:9" hidden="1" outlineLevel="2" x14ac:dyDescent="0.25">
      <c r="A1974" s="1079">
        <f t="shared" si="76"/>
        <v>24</v>
      </c>
      <c r="B1974" s="1079" t="s">
        <v>1362</v>
      </c>
      <c r="C1974" s="1079" t="str">
        <f t="shared" si="77"/>
        <v>Pintura Com  Tinta Acetinada em Paredes Externas, 2 Demaos (Incluso fundo e massa) - Cor Branco</v>
      </c>
      <c r="D1974" s="1079" t="s">
        <v>1384</v>
      </c>
      <c r="E1974" s="1080" t="str">
        <f>_xlfn.XLOOKUP(D1974,Insumos!$B$1:$B$670,Insumos!$C$1:$C$670)</f>
        <v>UN</v>
      </c>
      <c r="F1974" s="1083">
        <v>0.1</v>
      </c>
      <c r="G1974" s="1081">
        <f>IF(B1974="insumo",_xlfn.XLOOKUP($D1974,Insumos!$B$1:$B$670,Insumos!$D$1:$D$670),"")</f>
        <v>1.89</v>
      </c>
      <c r="H1974" s="1081" cm="1">
        <f t="array" ref="H1974">_xlfn.IFS(B1974="Serviço",SUMIFS(H1975:$H$2465,C1975:$C$2465,$C1974),B1974="Insumo",F1974*G1974,B1974="Etapa","")</f>
        <v>0.189</v>
      </c>
      <c r="I1974" s="1082"/>
    </row>
    <row r="1975" spans="1:9" hidden="1" outlineLevel="2" x14ac:dyDescent="0.25">
      <c r="A1975" s="1079">
        <f t="shared" si="76"/>
        <v>17</v>
      </c>
      <c r="B1975" s="1079" t="s">
        <v>1362</v>
      </c>
      <c r="C1975" s="1079" t="str">
        <f t="shared" si="77"/>
        <v>Pintura Com  Tinta Acetinada em Paredes Externas, 2 Demaos (Incluso fundo e massa) - Cor Branco</v>
      </c>
      <c r="D1975" s="1079" t="s">
        <v>2059</v>
      </c>
      <c r="E1975" s="1080" t="str">
        <f>_xlfn.XLOOKUP(D1975,Insumos!$B$1:$B$670,Insumos!$C$1:$C$670)</f>
        <v>KG</v>
      </c>
      <c r="F1975" s="1083">
        <v>0.86670000000000003</v>
      </c>
      <c r="G1975" s="1081">
        <f>IF(B1975="insumo",_xlfn.XLOOKUP($D1975,Insumos!$B$1:$B$670,Insumos!$D$1:$D$670),"")</f>
        <v>6.47</v>
      </c>
      <c r="H1975" s="1081" cm="1">
        <f t="array" ref="H1975">_xlfn.IFS(B1975="Serviço",SUMIFS(H1976:$H$2465,C1976:$C$2465,$C1975),B1975="Insumo",F1975*G1975,B1975="Etapa","")</f>
        <v>5.6075489999999997</v>
      </c>
      <c r="I1975" s="1082"/>
    </row>
    <row r="1976" spans="1:9" hidden="1" outlineLevel="2" x14ac:dyDescent="0.25">
      <c r="A1976" s="1079">
        <f t="shared" si="76"/>
        <v>19</v>
      </c>
      <c r="B1976" s="1079" t="s">
        <v>1362</v>
      </c>
      <c r="C1976" s="1079" t="str">
        <f t="shared" si="77"/>
        <v>Pintura Com  Tinta Acetinada em Paredes Externas, 2 Demaos (Incluso fundo e massa) - Cor Branco</v>
      </c>
      <c r="D1976" s="1079" t="s">
        <v>2068</v>
      </c>
      <c r="E1976" s="1080" t="str">
        <f>_xlfn.XLOOKUP(D1976,Insumos!$B$1:$B$670,Insumos!$C$1:$C$670)</f>
        <v>L</v>
      </c>
      <c r="F1976" s="1083">
        <v>0.1666</v>
      </c>
      <c r="G1976" s="1081">
        <f>IF(B1976="insumo",_xlfn.XLOOKUP($D1976,Insumos!$B$1:$B$670,Insumos!$D$1:$D$670),"")</f>
        <v>6.47</v>
      </c>
      <c r="H1976" s="1081" cm="1">
        <f t="array" ref="H1976">_xlfn.IFS(B1976="Serviço",SUMIFS(H1977:$H$2465,C1977:$C$2465,$C1976),B1976="Insumo",F1976*G1976,B1976="Etapa","")</f>
        <v>1.0779019999999999</v>
      </c>
      <c r="I1976" s="1082"/>
    </row>
    <row r="1977" spans="1:9" hidden="1" outlineLevel="2" x14ac:dyDescent="0.25">
      <c r="A1977" s="1079">
        <f t="shared" si="76"/>
        <v>2</v>
      </c>
      <c r="B1977" s="1079" t="s">
        <v>1362</v>
      </c>
      <c r="C1977" s="1079" t="str">
        <f t="shared" si="77"/>
        <v>Pintura Com  Tinta Acetinada em Paredes Externas, 2 Demaos (Incluso fundo e massa) - Cor Branco</v>
      </c>
      <c r="D1977" s="1079" t="s">
        <v>2191</v>
      </c>
      <c r="E1977" s="1080" t="str">
        <f>_xlfn.XLOOKUP(D1977,Insumos!$B$1:$B$670,Insumos!$C$1:$C$670)</f>
        <v>L</v>
      </c>
      <c r="F1977" s="1083">
        <f>(16/110)*2</f>
        <v>0.29090909090909089</v>
      </c>
      <c r="G1977" s="1101">
        <f>IF(B1977="insumo",_xlfn.XLOOKUP($D1977,Insumos!$B$1:$B$670,Insumos!$D$1:$D$670),"")</f>
        <v>42.772222222222219</v>
      </c>
      <c r="H1977" s="1101" cm="1">
        <f t="array" ref="H1977">_xlfn.IFS(B1977="Serviço",SUMIFS(H1978:$H$2465,C1978:$C$2465,$C1977),B1977="Insumo",F1977*G1977,B1977="Etapa","")</f>
        <v>12.44282828282828</v>
      </c>
      <c r="I1977" s="1082" t="s">
        <v>2185</v>
      </c>
    </row>
    <row r="1978" spans="1:9" hidden="1" outlineLevel="1" x14ac:dyDescent="0.25">
      <c r="A1978" s="1079">
        <f t="shared" si="76"/>
        <v>1</v>
      </c>
      <c r="B1978" s="1079" t="s">
        <v>471</v>
      </c>
      <c r="C1978" s="1079" t="str">
        <f t="shared" si="77"/>
        <v>Pintura Com Tinta Fosca em Paredes Externas, 2 Demaos (Incluso fundo e massa) - Cor Cinza claro</v>
      </c>
      <c r="D1978" s="1079" t="s">
        <v>2192</v>
      </c>
      <c r="E1978" s="1080" t="s">
        <v>17</v>
      </c>
      <c r="F1978" s="1079"/>
      <c r="G1978" s="1081" t="str">
        <f>IF(B1978="insumo",_xlfn.XLOOKUP($D1978,Insumos!$B$1:$B$670,Insumos!$D$1:$D$670),"")</f>
        <v/>
      </c>
      <c r="H1978" s="1081" cm="1">
        <f t="array" ref="H1978">_xlfn.IFS(B1978="Serviço",SUMIFS(H1979:$H$2465,C1979:$C$2465,$C1978),B1978="Insumo",F1978*G1978,B1978="Etapa","")</f>
        <v>20.14536009090909</v>
      </c>
      <c r="I1978" s="1082" t="s">
        <v>872</v>
      </c>
    </row>
    <row r="1979" spans="1:9" hidden="1" outlineLevel="2" x14ac:dyDescent="0.25">
      <c r="A1979" s="1079">
        <f t="shared" si="76"/>
        <v>24</v>
      </c>
      <c r="B1979" s="1079" t="s">
        <v>1362</v>
      </c>
      <c r="C1979" s="1079" t="str">
        <f t="shared" si="77"/>
        <v>Pintura Com Tinta Fosca em Paredes Externas, 2 Demaos (Incluso fundo e massa) - Cor Cinza claro</v>
      </c>
      <c r="D1979" s="1079" t="s">
        <v>1384</v>
      </c>
      <c r="E1979" s="1080" t="str">
        <f>_xlfn.XLOOKUP(D1979,Insumos!$B$1:$B$670,Insumos!$C$1:$C$670)</f>
        <v>UN</v>
      </c>
      <c r="F1979" s="1083">
        <v>0.1</v>
      </c>
      <c r="G1979" s="1081">
        <f>IF(B1979="insumo",_xlfn.XLOOKUP($D1979,Insumos!$B$1:$B$670,Insumos!$D$1:$D$670),"")</f>
        <v>1.89</v>
      </c>
      <c r="H1979" s="1081" cm="1">
        <f t="array" ref="H1979">_xlfn.IFS(B1979="Serviço",SUMIFS(H1980:$H$2465,C1980:$C$2465,$C1979),B1979="Insumo",F1979*G1979,B1979="Etapa","")</f>
        <v>0.189</v>
      </c>
      <c r="I1979" s="1082"/>
    </row>
    <row r="1980" spans="1:9" hidden="1" outlineLevel="2" x14ac:dyDescent="0.25">
      <c r="A1980" s="1079">
        <f t="shared" si="76"/>
        <v>17</v>
      </c>
      <c r="B1980" s="1079" t="s">
        <v>1362</v>
      </c>
      <c r="C1980" s="1079" t="str">
        <f t="shared" si="77"/>
        <v>Pintura Com Tinta Fosca em Paredes Externas, 2 Demaos (Incluso fundo e massa) - Cor Cinza claro</v>
      </c>
      <c r="D1980" s="1079" t="s">
        <v>2059</v>
      </c>
      <c r="E1980" s="1080" t="str">
        <f>_xlfn.XLOOKUP(D1980,Insumos!$B$1:$B$670,Insumos!$C$1:$C$670)</f>
        <v>KG</v>
      </c>
      <c r="F1980" s="1083">
        <v>0.86670000000000003</v>
      </c>
      <c r="G1980" s="1081">
        <f>IF(B1980="insumo",_xlfn.XLOOKUP($D1980,Insumos!$B$1:$B$670,Insumos!$D$1:$D$670),"")</f>
        <v>6.47</v>
      </c>
      <c r="H1980" s="1081" cm="1">
        <f t="array" ref="H1980">_xlfn.IFS(B1980="Serviço",SUMIFS(H1981:$H$2465,C1981:$C$2465,$C1980),B1980="Insumo",F1980*G1980,B1980="Etapa","")</f>
        <v>5.6075489999999997</v>
      </c>
      <c r="I1980" s="1082"/>
    </row>
    <row r="1981" spans="1:9" hidden="1" outlineLevel="2" x14ac:dyDescent="0.25">
      <c r="A1981" s="1079">
        <f t="shared" si="76"/>
        <v>19</v>
      </c>
      <c r="B1981" s="1079" t="s">
        <v>1362</v>
      </c>
      <c r="C1981" s="1079" t="str">
        <f t="shared" si="77"/>
        <v>Pintura Com Tinta Fosca em Paredes Externas, 2 Demaos (Incluso fundo e massa) - Cor Cinza claro</v>
      </c>
      <c r="D1981" s="1079" t="s">
        <v>2068</v>
      </c>
      <c r="E1981" s="1080" t="str">
        <f>_xlfn.XLOOKUP(D1981,Insumos!$B$1:$B$670,Insumos!$C$1:$C$670)</f>
        <v>L</v>
      </c>
      <c r="F1981" s="1083">
        <v>0.1666</v>
      </c>
      <c r="G1981" s="1081">
        <f>IF(B1981="insumo",_xlfn.XLOOKUP($D1981,Insumos!$B$1:$B$670,Insumos!$D$1:$D$670),"")</f>
        <v>6.47</v>
      </c>
      <c r="H1981" s="1081" cm="1">
        <f t="array" ref="H1981">_xlfn.IFS(B1981="Serviço",SUMIFS(H1982:$H$2465,C1982:$C$2465,$C1981),B1981="Insumo",F1981*G1981,B1981="Etapa","")</f>
        <v>1.0779019999999999</v>
      </c>
      <c r="I1981" s="1082"/>
    </row>
    <row r="1982" spans="1:9" hidden="1" outlineLevel="2" x14ac:dyDescent="0.25">
      <c r="A1982" s="1079">
        <f t="shared" si="76"/>
        <v>1</v>
      </c>
      <c r="B1982" s="1079" t="s">
        <v>1362</v>
      </c>
      <c r="C1982" s="1079" t="str">
        <f t="shared" si="77"/>
        <v>Pintura Com Tinta Fosca em Paredes Externas, 2 Demaos (Incluso fundo e massa) - Cor Cinza claro</v>
      </c>
      <c r="D1982" s="1079" t="s">
        <v>2193</v>
      </c>
      <c r="E1982" s="1080" t="str">
        <f>_xlfn.XLOOKUP(D1982,Insumos!$B$1:$B$670,Insumos!$C$1:$C$670)</f>
        <v>L</v>
      </c>
      <c r="F1982" s="1083">
        <f>(16/110)*2</f>
        <v>0.29090909090909089</v>
      </c>
      <c r="G1982" s="1101">
        <f>IF(B1982="insumo",_xlfn.XLOOKUP($D1982,Insumos!$B$1:$B$670,Insumos!$D$1:$D$670),"")</f>
        <v>45.618749999999999</v>
      </c>
      <c r="H1982" s="1081" cm="1">
        <f t="array" ref="H1982">_xlfn.IFS(B1982="Serviço",SUMIFS(H1983:$H$2465,C1983:$C$2465,$C1982),B1982="Insumo",F1982*G1982,B1982="Etapa","")</f>
        <v>13.27090909090909</v>
      </c>
      <c r="I1982" s="1082" t="s">
        <v>2185</v>
      </c>
    </row>
    <row r="1983" spans="1:9" hidden="1" outlineLevel="1" x14ac:dyDescent="0.25">
      <c r="A1983" s="1079">
        <f t="shared" si="76"/>
        <v>1</v>
      </c>
      <c r="B1983" s="1079" t="s">
        <v>471</v>
      </c>
      <c r="C1983" s="1079" t="str">
        <f t="shared" si="77"/>
        <v>Pintura Com Tinta Fosca em Paredes Externas, 2 Demaos (Incluso fundo e massa) - Cor Nuvem Papel</v>
      </c>
      <c r="D1983" s="1079" t="s">
        <v>2600</v>
      </c>
      <c r="E1983" s="1080" t="s">
        <v>17</v>
      </c>
      <c r="F1983" s="1079"/>
      <c r="G1983" s="1081" t="str">
        <f>IF(B1983="insumo",_xlfn.XLOOKUP($D1983,Insumos!$B$1:$B$670,Insumos!$D$1:$D$670),"")</f>
        <v/>
      </c>
      <c r="H1983" s="1081" cm="1">
        <f t="array" ref="H1983">_xlfn.IFS(B1983="Serviço",SUMIFS(H1984:$H$2465,C1984:$C$2465,$C1983),B1983="Insumo",F1983*G1983,B1983="Etapa","")</f>
        <v>32.48717827272727</v>
      </c>
      <c r="I1983" s="1082" t="s">
        <v>872</v>
      </c>
    </row>
    <row r="1984" spans="1:9" hidden="1" outlineLevel="2" x14ac:dyDescent="0.25">
      <c r="A1984" s="1079">
        <f t="shared" si="76"/>
        <v>24</v>
      </c>
      <c r="B1984" s="1079" t="s">
        <v>1362</v>
      </c>
      <c r="C1984" s="1079" t="str">
        <f t="shared" si="77"/>
        <v>Pintura Com Tinta Fosca em Paredes Externas, 2 Demaos (Incluso fundo e massa) - Cor Nuvem Papel</v>
      </c>
      <c r="D1984" s="1079" t="s">
        <v>1384</v>
      </c>
      <c r="E1984" s="1080" t="str">
        <f>_xlfn.XLOOKUP(D1984,Insumos!$B$1:$B$670,Insumos!$C$1:$C$670)</f>
        <v>UN</v>
      </c>
      <c r="F1984" s="1083">
        <v>0.1</v>
      </c>
      <c r="G1984" s="1081">
        <f>IF(B1984="insumo",_xlfn.XLOOKUP($D1984,Insumos!$B$1:$B$670,Insumos!$D$1:$D$670),"")</f>
        <v>1.89</v>
      </c>
      <c r="H1984" s="1081" cm="1">
        <f t="array" ref="H1984">_xlfn.IFS(B1984="Serviço",SUMIFS(H1985:$H$2465,C1985:$C$2465,$C1984),B1984="Insumo",F1984*G1984,B1984="Etapa","")</f>
        <v>0.189</v>
      </c>
      <c r="I1984" s="1082"/>
    </row>
    <row r="1985" spans="1:9" hidden="1" outlineLevel="2" x14ac:dyDescent="0.25">
      <c r="A1985" s="1079">
        <f t="shared" si="76"/>
        <v>17</v>
      </c>
      <c r="B1985" s="1079" t="s">
        <v>1362</v>
      </c>
      <c r="C1985" s="1079" t="str">
        <f t="shared" si="77"/>
        <v>Pintura Com Tinta Fosca em Paredes Externas, 2 Demaos (Incluso fundo e massa) - Cor Nuvem Papel</v>
      </c>
      <c r="D1985" s="1079" t="s">
        <v>2059</v>
      </c>
      <c r="E1985" s="1080" t="str">
        <f>_xlfn.XLOOKUP(D1985,Insumos!$B$1:$B$670,Insumos!$C$1:$C$670)</f>
        <v>KG</v>
      </c>
      <c r="F1985" s="1083">
        <v>0.86670000000000003</v>
      </c>
      <c r="G1985" s="1081">
        <f>IF(B1985="insumo",_xlfn.XLOOKUP($D1985,Insumos!$B$1:$B$670,Insumos!$D$1:$D$670),"")</f>
        <v>6.47</v>
      </c>
      <c r="H1985" s="1081" cm="1">
        <f t="array" ref="H1985">_xlfn.IFS(B1985="Serviço",SUMIFS(H1986:$H$2465,C1986:$C$2465,$C1985),B1985="Insumo",F1985*G1985,B1985="Etapa","")</f>
        <v>5.6075489999999997</v>
      </c>
      <c r="I1985" s="1082"/>
    </row>
    <row r="1986" spans="1:9" hidden="1" outlineLevel="2" x14ac:dyDescent="0.25">
      <c r="A1986" s="1079">
        <f t="shared" ref="A1986:A2049" si="78">COUNTIFS($D$2:$D$2465,D1986,$B$2:$B$2465,B1986)</f>
        <v>19</v>
      </c>
      <c r="B1986" s="1079" t="s">
        <v>1362</v>
      </c>
      <c r="C1986" s="1079" t="str">
        <f t="shared" si="77"/>
        <v>Pintura Com Tinta Fosca em Paredes Externas, 2 Demaos (Incluso fundo e massa) - Cor Nuvem Papel</v>
      </c>
      <c r="D1986" s="1079" t="s">
        <v>2068</v>
      </c>
      <c r="E1986" s="1080" t="str">
        <f>_xlfn.XLOOKUP(D1986,Insumos!$B$1:$B$670,Insumos!$C$1:$C$670)</f>
        <v>L</v>
      </c>
      <c r="F1986" s="1083">
        <v>0.1666</v>
      </c>
      <c r="G1986" s="1081">
        <f>IF(B1986="insumo",_xlfn.XLOOKUP($D1986,Insumos!$B$1:$B$670,Insumos!$D$1:$D$670),"")</f>
        <v>6.47</v>
      </c>
      <c r="H1986" s="1081" cm="1">
        <f t="array" ref="H1986">_xlfn.IFS(B1986="Serviço",SUMIFS(H1987:$H$2465,C1987:$C$2465,$C1986),B1986="Insumo",F1986*G1986,B1986="Etapa","")</f>
        <v>1.0779019999999999</v>
      </c>
      <c r="I1986" s="1082"/>
    </row>
    <row r="1987" spans="1:9" hidden="1" outlineLevel="2" x14ac:dyDescent="0.25">
      <c r="A1987" s="1079">
        <f t="shared" si="78"/>
        <v>2</v>
      </c>
      <c r="B1987" s="1079" t="s">
        <v>1362</v>
      </c>
      <c r="C1987" s="1079" t="str">
        <f t="shared" si="77"/>
        <v>Pintura Com Tinta Fosca em Paredes Externas, 2 Demaos (Incluso fundo e massa) - Cor Nuvem Papel</v>
      </c>
      <c r="D1987" s="1079" t="s">
        <v>2591</v>
      </c>
      <c r="E1987" s="1080" t="str">
        <f>_xlfn.XLOOKUP(D1987,Insumos!$B$1:$B$670,Insumos!$C$1:$C$670)</f>
        <v>L</v>
      </c>
      <c r="F1987" s="1083">
        <f>(16/110)*2</f>
        <v>0.29090909090909089</v>
      </c>
      <c r="G1987" s="1101">
        <f>IF(B1987="insumo",_xlfn.XLOOKUP($D1987,Insumos!$B$1:$B$670,Insumos!$D$1:$D$670),"")</f>
        <v>88.043750000000003</v>
      </c>
      <c r="H1987" s="1081" cm="1">
        <f t="array" ref="H1987">_xlfn.IFS(B1987="Serviço",SUMIFS(H1988:$H$2465,C1988:$C$2465,$C1987),B1987="Insumo",F1987*G1987,B1987="Etapa","")</f>
        <v>25.612727272727273</v>
      </c>
      <c r="I1987" s="1082" t="s">
        <v>2185</v>
      </c>
    </row>
    <row r="1988" spans="1:9" hidden="1" outlineLevel="1" x14ac:dyDescent="0.25">
      <c r="A1988" s="1079">
        <f t="shared" si="78"/>
        <v>1</v>
      </c>
      <c r="B1988" s="1079" t="s">
        <v>471</v>
      </c>
      <c r="C1988" s="1079" t="str">
        <f t="shared" si="77"/>
        <v>Pintura Com Tinta Fosca em Paredes Externas, 2 Demaos (Incluso fundo e massa) - Cor Jaspe Cinza</v>
      </c>
      <c r="D1988" s="1079" t="s">
        <v>2601</v>
      </c>
      <c r="E1988" s="1080" t="s">
        <v>17</v>
      </c>
      <c r="F1988" s="1079"/>
      <c r="G1988" s="1081" t="str">
        <f>IF(B1988="insumo",_xlfn.XLOOKUP($D1988,Insumos!$B$1:$B$670,Insumos!$D$1:$D$670),"")</f>
        <v/>
      </c>
      <c r="H1988" s="1081" cm="1">
        <f t="array" ref="H1988">_xlfn.IFS(B1988="Serviço",SUMIFS(H1989:$H$2465,C1989:$C$2465,$C1988),B1988="Insumo",F1988*G1988,B1988="Etapa","")</f>
        <v>20.691016656565655</v>
      </c>
      <c r="I1988" s="1082" t="s">
        <v>872</v>
      </c>
    </row>
    <row r="1989" spans="1:9" hidden="1" outlineLevel="2" x14ac:dyDescent="0.25">
      <c r="A1989" s="1079">
        <f t="shared" si="78"/>
        <v>24</v>
      </c>
      <c r="B1989" s="1079" t="s">
        <v>1362</v>
      </c>
      <c r="C1989" s="1079" t="str">
        <f t="shared" si="77"/>
        <v>Pintura Com Tinta Fosca em Paredes Externas, 2 Demaos (Incluso fundo e massa) - Cor Jaspe Cinza</v>
      </c>
      <c r="D1989" s="1079" t="s">
        <v>1384</v>
      </c>
      <c r="E1989" s="1080" t="str">
        <f>_xlfn.XLOOKUP(D1989,Insumos!$B$1:$B$670,Insumos!$C$1:$C$670)</f>
        <v>UN</v>
      </c>
      <c r="F1989" s="1083">
        <v>0.1</v>
      </c>
      <c r="G1989" s="1081">
        <f>IF(B1989="insumo",_xlfn.XLOOKUP($D1989,Insumos!$B$1:$B$670,Insumos!$D$1:$D$670),"")</f>
        <v>1.89</v>
      </c>
      <c r="H1989" s="1081" cm="1">
        <f t="array" ref="H1989">_xlfn.IFS(B1989="Serviço",SUMIFS(H1990:$H$2465,C1990:$C$2465,$C1989),B1989="Insumo",F1989*G1989,B1989="Etapa","")</f>
        <v>0.189</v>
      </c>
      <c r="I1989" s="1082"/>
    </row>
    <row r="1990" spans="1:9" hidden="1" outlineLevel="2" x14ac:dyDescent="0.25">
      <c r="A1990" s="1079">
        <f t="shared" si="78"/>
        <v>17</v>
      </c>
      <c r="B1990" s="1079" t="s">
        <v>1362</v>
      </c>
      <c r="C1990" s="1079" t="str">
        <f t="shared" si="77"/>
        <v>Pintura Com Tinta Fosca em Paredes Externas, 2 Demaos (Incluso fundo e massa) - Cor Jaspe Cinza</v>
      </c>
      <c r="D1990" s="1079" t="s">
        <v>2059</v>
      </c>
      <c r="E1990" s="1080" t="str">
        <f>_xlfn.XLOOKUP(D1990,Insumos!$B$1:$B$670,Insumos!$C$1:$C$670)</f>
        <v>KG</v>
      </c>
      <c r="F1990" s="1083">
        <v>0.86670000000000003</v>
      </c>
      <c r="G1990" s="1081">
        <f>IF(B1990="insumo",_xlfn.XLOOKUP($D1990,Insumos!$B$1:$B$670,Insumos!$D$1:$D$670),"")</f>
        <v>6.47</v>
      </c>
      <c r="H1990" s="1081" cm="1">
        <f t="array" ref="H1990">_xlfn.IFS(B1990="Serviço",SUMIFS(H1991:$H$2465,C1991:$C$2465,$C1990),B1990="Insumo",F1990*G1990,B1990="Etapa","")</f>
        <v>5.6075489999999997</v>
      </c>
      <c r="I1990" s="1082"/>
    </row>
    <row r="1991" spans="1:9" hidden="1" outlineLevel="2" x14ac:dyDescent="0.25">
      <c r="A1991" s="1079">
        <f t="shared" si="78"/>
        <v>19</v>
      </c>
      <c r="B1991" s="1079" t="s">
        <v>1362</v>
      </c>
      <c r="C1991" s="1079" t="str">
        <f t="shared" si="77"/>
        <v>Pintura Com Tinta Fosca em Paredes Externas, 2 Demaos (Incluso fundo e massa) - Cor Jaspe Cinza</v>
      </c>
      <c r="D1991" s="1079" t="s">
        <v>2068</v>
      </c>
      <c r="E1991" s="1080" t="str">
        <f>_xlfn.XLOOKUP(D1991,Insumos!$B$1:$B$670,Insumos!$C$1:$C$670)</f>
        <v>L</v>
      </c>
      <c r="F1991" s="1083">
        <v>0.1666</v>
      </c>
      <c r="G1991" s="1081">
        <f>IF(B1991="insumo",_xlfn.XLOOKUP($D1991,Insumos!$B$1:$B$670,Insumos!$D$1:$D$670),"")</f>
        <v>6.47</v>
      </c>
      <c r="H1991" s="1081" cm="1">
        <f t="array" ref="H1991">_xlfn.IFS(B1991="Serviço",SUMIFS(H1992:$H$2465,C1992:$C$2465,$C1991),B1991="Insumo",F1991*G1991,B1991="Etapa","")</f>
        <v>1.0779019999999999</v>
      </c>
      <c r="I1991" s="1082"/>
    </row>
    <row r="1992" spans="1:9" hidden="1" outlineLevel="2" x14ac:dyDescent="0.25">
      <c r="A1992" s="1079">
        <f t="shared" si="78"/>
        <v>1</v>
      </c>
      <c r="B1992" s="1079" t="s">
        <v>1362</v>
      </c>
      <c r="C1992" s="1079" t="str">
        <f t="shared" si="77"/>
        <v>Pintura Com Tinta Fosca em Paredes Externas, 2 Demaos (Incluso fundo e massa) - Cor Jaspe Cinza</v>
      </c>
      <c r="D1992" s="1079" t="s">
        <v>2598</v>
      </c>
      <c r="E1992" s="1080" t="str">
        <f>_xlfn.XLOOKUP(D1992,Insumos!$B$1:$B$670,Insumos!$C$1:$C$670)</f>
        <v>L</v>
      </c>
      <c r="F1992" s="1083">
        <f>(16/110)*2</f>
        <v>0.29090909090909089</v>
      </c>
      <c r="G1992" s="1101">
        <f>IF(B1992="insumo",_xlfn.XLOOKUP($D1992,Insumos!$B$1:$B$670,Insumos!$D$1:$D$670),"")</f>
        <v>47.49444444444444</v>
      </c>
      <c r="H1992" s="1081" cm="1">
        <f t="array" ref="H1992">_xlfn.IFS(B1992="Serviço",SUMIFS(H1993:$H$2465,C1993:$C$2465,$C1992),B1992="Insumo",F1992*G1992,B1992="Etapa","")</f>
        <v>13.816565656565654</v>
      </c>
      <c r="I1992" s="1082" t="s">
        <v>2185</v>
      </c>
    </row>
    <row r="1993" spans="1:9" hidden="1" outlineLevel="1" x14ac:dyDescent="0.25">
      <c r="A1993" s="1079">
        <f t="shared" si="78"/>
        <v>1</v>
      </c>
      <c r="B1993" s="1079" t="s">
        <v>471</v>
      </c>
      <c r="C1993" s="1079" t="str">
        <f t="shared" si="77"/>
        <v>Pintura Com Tinta Fosca em Paredes Externas, 2 Demaos (Incluso fundo e massa) - Cor Mica Jaspe</v>
      </c>
      <c r="D1993" s="1079" t="s">
        <v>2602</v>
      </c>
      <c r="E1993" s="1080" t="s">
        <v>17</v>
      </c>
      <c r="F1993" s="1079"/>
      <c r="G1993" s="1081" t="str">
        <f>IF(B1993="insumo",_xlfn.XLOOKUP($D1993,Insumos!$B$1:$B$670,Insumos!$D$1:$D$670),"")</f>
        <v/>
      </c>
      <c r="H1993" s="1081" cm="1">
        <f t="array" ref="H1993">_xlfn.IFS(B1993="Serviço",SUMIFS(H1994:$H$2465,C1994:$C$2465,$C1993),B1993="Insumo",F1993*G1993,B1993="Etapa","")</f>
        <v>124.27538684848483</v>
      </c>
      <c r="I1993" s="1082" t="s">
        <v>872</v>
      </c>
    </row>
    <row r="1994" spans="1:9" hidden="1" outlineLevel="2" x14ac:dyDescent="0.25">
      <c r="A1994" s="1079">
        <f t="shared" si="78"/>
        <v>24</v>
      </c>
      <c r="B1994" s="1079" t="s">
        <v>1362</v>
      </c>
      <c r="C1994" s="1079" t="str">
        <f t="shared" si="77"/>
        <v>Pintura Com Tinta Fosca em Paredes Externas, 2 Demaos (Incluso fundo e massa) - Cor Mica Jaspe</v>
      </c>
      <c r="D1994" s="1079" t="s">
        <v>1384</v>
      </c>
      <c r="E1994" s="1080" t="str">
        <f>_xlfn.XLOOKUP(D1994,Insumos!$B$1:$B$670,Insumos!$C$1:$C$670)</f>
        <v>UN</v>
      </c>
      <c r="F1994" s="1083">
        <v>0.1</v>
      </c>
      <c r="G1994" s="1081">
        <f>IF(B1994="insumo",_xlfn.XLOOKUP($D1994,Insumos!$B$1:$B$670,Insumos!$D$1:$D$670),"")</f>
        <v>1.89</v>
      </c>
      <c r="H1994" s="1081" cm="1">
        <f t="array" ref="H1994">_xlfn.IFS(B1994="Serviço",SUMIFS(H1995:$H$2465,C1995:$C$2465,$C1994),B1994="Insumo",F1994*G1994,B1994="Etapa","")</f>
        <v>0.189</v>
      </c>
      <c r="I1994" s="1082"/>
    </row>
    <row r="1995" spans="1:9" hidden="1" outlineLevel="2" x14ac:dyDescent="0.25">
      <c r="A1995" s="1079">
        <f t="shared" si="78"/>
        <v>1</v>
      </c>
      <c r="B1995" s="1079" t="s">
        <v>1362</v>
      </c>
      <c r="C1995" s="1079" t="str">
        <f t="shared" si="77"/>
        <v>Pintura Com Tinta Fosca em Paredes Externas, 2 Demaos (Incluso fundo e massa) - Cor Mica Jaspe</v>
      </c>
      <c r="D1995" s="1079" t="s">
        <v>2612</v>
      </c>
      <c r="E1995" s="1080" t="s">
        <v>5</v>
      </c>
      <c r="F1995" s="1083">
        <f>25/6</f>
        <v>4.166666666666667</v>
      </c>
      <c r="G1995" s="1081">
        <f>660/25</f>
        <v>26.4</v>
      </c>
      <c r="H1995" s="1081" cm="1">
        <f t="array" ref="H1995">_xlfn.IFS(B1995="Serviço",SUMIFS(H1996:$H$2465,C1996:$C$2465,$C1995),B1995="Insumo",F1995*G1995,B1995="Etapa","")</f>
        <v>110</v>
      </c>
      <c r="I1995" s="1082"/>
    </row>
    <row r="1996" spans="1:9" hidden="1" outlineLevel="2" x14ac:dyDescent="0.25">
      <c r="A1996" s="1079">
        <f t="shared" si="78"/>
        <v>19</v>
      </c>
      <c r="B1996" s="1079" t="s">
        <v>1362</v>
      </c>
      <c r="C1996" s="1079" t="str">
        <f t="shared" si="77"/>
        <v>Pintura Com Tinta Fosca em Paredes Externas, 2 Demaos (Incluso fundo e massa) - Cor Mica Jaspe</v>
      </c>
      <c r="D1996" s="1079" t="s">
        <v>2068</v>
      </c>
      <c r="E1996" s="1080" t="str">
        <f>_xlfn.XLOOKUP(D1996,Insumos!$B$1:$B$670,Insumos!$C$1:$C$670)</f>
        <v>L</v>
      </c>
      <c r="F1996" s="1083">
        <v>0.1666</v>
      </c>
      <c r="G1996" s="1081">
        <f>IF(B1996="insumo",_xlfn.XLOOKUP($D1996,Insumos!$B$1:$B$670,Insumos!$D$1:$D$670),"")</f>
        <v>6.47</v>
      </c>
      <c r="H1996" s="1081" cm="1">
        <f t="array" ref="H1996">_xlfn.IFS(B1996="Serviço",SUMIFS(H1997:$H$2465,C1997:$C$2465,$C1996),B1996="Insumo",F1996*G1996,B1996="Etapa","")</f>
        <v>1.0779019999999999</v>
      </c>
      <c r="I1996" s="1082"/>
    </row>
    <row r="1997" spans="1:9" hidden="1" outlineLevel="2" x14ac:dyDescent="0.25">
      <c r="A1997" s="1079">
        <f t="shared" si="78"/>
        <v>1</v>
      </c>
      <c r="B1997" s="1079" t="s">
        <v>1362</v>
      </c>
      <c r="C1997" s="1079" t="str">
        <f t="shared" si="77"/>
        <v>Pintura Com Tinta Fosca em Paredes Externas, 2 Demaos (Incluso fundo e massa) - Cor Mica Jaspe</v>
      </c>
      <c r="D1997" s="1079" t="s">
        <v>2599</v>
      </c>
      <c r="E1997" s="1080" t="str">
        <f>_xlfn.XLOOKUP(D1997,Insumos!$B$1:$B$670,Insumos!$C$1:$C$670)</f>
        <v>L</v>
      </c>
      <c r="F1997" s="1083">
        <f>(16/110)*2</f>
        <v>0.29090909090909089</v>
      </c>
      <c r="G1997" s="1101">
        <f>IF(B1997="insumo",_xlfn.XLOOKUP($D1997,Insumos!$B$1:$B$670,Insumos!$D$1:$D$670),"")</f>
        <v>44.716666666666669</v>
      </c>
      <c r="H1997" s="1081" cm="1">
        <f t="array" ref="H1997">_xlfn.IFS(B1997="Serviço",SUMIFS(H1998:$H$2465,C1998:$C$2465,$C1997),B1997="Insumo",F1997*G1997,B1997="Etapa","")</f>
        <v>13.008484848484848</v>
      </c>
      <c r="I1997" s="1082" t="s">
        <v>2185</v>
      </c>
    </row>
    <row r="1998" spans="1:9" hidden="1" outlineLevel="1" x14ac:dyDescent="0.25">
      <c r="A1998" s="1079">
        <f t="shared" si="78"/>
        <v>1</v>
      </c>
      <c r="B1998" s="1079" t="s">
        <v>471</v>
      </c>
      <c r="C1998" s="1079" t="str">
        <f t="shared" si="77"/>
        <v>Pintura Com Tinta Fosca em Paredes Externas, 2 Demaos (Incluso fundo e massa) - Cor Marrom</v>
      </c>
      <c r="D1998" s="1079" t="s">
        <v>2194</v>
      </c>
      <c r="E1998" s="1080" t="s">
        <v>17</v>
      </c>
      <c r="F1998" s="1079"/>
      <c r="G1998" s="1081" t="str">
        <f>IF(B1998="insumo",_xlfn.XLOOKUP($D1998,Insumos!$B$1:$B$670,Insumos!$D$1:$D$670),"")</f>
        <v/>
      </c>
      <c r="H1998" s="1081" cm="1">
        <f t="array" ref="H1998">_xlfn.IFS(B1998="Serviço",SUMIFS(H1999:$H$2465,C1999:$C$2465,$C1998),B1998="Insumo",F1998*G1998,B1998="Etapa","")</f>
        <v>22.654450999999998</v>
      </c>
      <c r="I1998" s="1082" t="s">
        <v>872</v>
      </c>
    </row>
    <row r="1999" spans="1:9" hidden="1" outlineLevel="2" x14ac:dyDescent="0.25">
      <c r="A1999" s="1079">
        <f t="shared" si="78"/>
        <v>24</v>
      </c>
      <c r="B1999" s="1079" t="s">
        <v>1362</v>
      </c>
      <c r="C1999" s="1079" t="str">
        <f t="shared" si="77"/>
        <v>Pintura Com Tinta Fosca em Paredes Externas, 2 Demaos (Incluso fundo e massa) - Cor Marrom</v>
      </c>
      <c r="D1999" s="1079" t="s">
        <v>1384</v>
      </c>
      <c r="E1999" s="1080" t="str">
        <f>_xlfn.XLOOKUP(D1999,Insumos!$B$1:$B$670,Insumos!$C$1:$C$670)</f>
        <v>UN</v>
      </c>
      <c r="F1999" s="1083">
        <v>0.1</v>
      </c>
      <c r="G1999" s="1081">
        <f>IF(B1999="insumo",_xlfn.XLOOKUP($D1999,Insumos!$B$1:$B$670,Insumos!$D$1:$D$670),"")</f>
        <v>1.89</v>
      </c>
      <c r="H1999" s="1081" cm="1">
        <f t="array" ref="H1999">_xlfn.IFS(B1999="Serviço",SUMIFS(H2000:$H$2465,C2000:$C$2465,$C1999),B1999="Insumo",F1999*G1999,B1999="Etapa","")</f>
        <v>0.189</v>
      </c>
      <c r="I1999" s="1082"/>
    </row>
    <row r="2000" spans="1:9" hidden="1" outlineLevel="2" x14ac:dyDescent="0.25">
      <c r="A2000" s="1079">
        <f t="shared" si="78"/>
        <v>17</v>
      </c>
      <c r="B2000" s="1079" t="s">
        <v>1362</v>
      </c>
      <c r="C2000" s="1079" t="str">
        <f t="shared" si="77"/>
        <v>Pintura Com Tinta Fosca em Paredes Externas, 2 Demaos (Incluso fundo e massa) - Cor Marrom</v>
      </c>
      <c r="D2000" s="1079" t="s">
        <v>2059</v>
      </c>
      <c r="E2000" s="1080" t="str">
        <f>_xlfn.XLOOKUP(D2000,Insumos!$B$1:$B$670,Insumos!$C$1:$C$670)</f>
        <v>KG</v>
      </c>
      <c r="F2000" s="1083">
        <v>0.86670000000000003</v>
      </c>
      <c r="G2000" s="1081">
        <f>IF(B2000="insumo",_xlfn.XLOOKUP($D2000,Insumos!$B$1:$B$670,Insumos!$D$1:$D$670),"")</f>
        <v>6.47</v>
      </c>
      <c r="H2000" s="1081" cm="1">
        <f t="array" ref="H2000">_xlfn.IFS(B2000="Serviço",SUMIFS(H2001:$H$2465,C2001:$C$2465,$C2000),B2000="Insumo",F2000*G2000,B2000="Etapa","")</f>
        <v>5.6075489999999997</v>
      </c>
      <c r="I2000" s="1082"/>
    </row>
    <row r="2001" spans="1:9" hidden="1" outlineLevel="2" x14ac:dyDescent="0.25">
      <c r="A2001" s="1079">
        <f t="shared" si="78"/>
        <v>19</v>
      </c>
      <c r="B2001" s="1079" t="s">
        <v>1362</v>
      </c>
      <c r="C2001" s="1079" t="str">
        <f t="shared" si="77"/>
        <v>Pintura Com Tinta Fosca em Paredes Externas, 2 Demaos (Incluso fundo e massa) - Cor Marrom</v>
      </c>
      <c r="D2001" s="1079" t="s">
        <v>2068</v>
      </c>
      <c r="E2001" s="1080" t="str">
        <f>_xlfn.XLOOKUP(D2001,Insumos!$B$1:$B$670,Insumos!$C$1:$C$670)</f>
        <v>L</v>
      </c>
      <c r="F2001" s="1083">
        <v>0.1666</v>
      </c>
      <c r="G2001" s="1081">
        <f>IF(B2001="insumo",_xlfn.XLOOKUP($D2001,Insumos!$B$1:$B$670,Insumos!$D$1:$D$670),"")</f>
        <v>6.47</v>
      </c>
      <c r="H2001" s="1081" cm="1">
        <f t="array" ref="H2001">_xlfn.IFS(B2001="Serviço",SUMIFS(H2002:$H$2465,C2002:$C$2465,$C2001),B2001="Insumo",F2001*G2001,B2001="Etapa","")</f>
        <v>1.0779019999999999</v>
      </c>
      <c r="I2001" s="1082"/>
    </row>
    <row r="2002" spans="1:9" hidden="1" outlineLevel="2" x14ac:dyDescent="0.25">
      <c r="A2002" s="1079">
        <f t="shared" si="78"/>
        <v>1</v>
      </c>
      <c r="B2002" s="1079" t="s">
        <v>1362</v>
      </c>
      <c r="C2002" s="1079" t="str">
        <f t="shared" si="77"/>
        <v>Pintura Com Tinta Fosca em Paredes Externas, 2 Demaos (Incluso fundo e massa) - Cor Marrom</v>
      </c>
      <c r="D2002" s="1079" t="s">
        <v>2195</v>
      </c>
      <c r="E2002" s="1080" t="str">
        <f>_xlfn.XLOOKUP(D2002,Insumos!$B$1:$B$670,Insumos!$C$1:$C$670)</f>
        <v>L</v>
      </c>
      <c r="F2002" s="1083">
        <f>(16/110)*2</f>
        <v>0.29090909090909089</v>
      </c>
      <c r="G2002" s="1101">
        <f>IF(B2002="insumo",_xlfn.XLOOKUP($D2002,Insumos!$B$1:$B$670,Insumos!$D$1:$D$670),"")</f>
        <v>54.243749999999999</v>
      </c>
      <c r="H2002" s="1081" cm="1">
        <f t="array" ref="H2002">_xlfn.IFS(B2002="Serviço",SUMIFS(H2003:$H$2465,C2003:$C$2465,$C2002),B2002="Insumo",F2002*G2002,B2002="Etapa","")</f>
        <v>15.78</v>
      </c>
      <c r="I2002" s="1082" t="s">
        <v>2185</v>
      </c>
    </row>
    <row r="2003" spans="1:9" hidden="1" outlineLevel="1" collapsed="1" x14ac:dyDescent="0.25">
      <c r="A2003" s="1079">
        <f t="shared" si="78"/>
        <v>1</v>
      </c>
      <c r="B2003" s="1079" t="s">
        <v>471</v>
      </c>
      <c r="C2003" s="1079" t="str">
        <f t="shared" si="77"/>
        <v>Pintura Com  Tinta Fosca em Paredes Externas, 2 Demaos (Incluso fundo e massa) - Cor Cinza escuro</v>
      </c>
      <c r="D2003" s="1079" t="s">
        <v>2196</v>
      </c>
      <c r="E2003" s="1080" t="s">
        <v>17</v>
      </c>
      <c r="F2003" s="1079"/>
      <c r="G2003" s="1081" t="str">
        <f>IF(B2003="insumo",_xlfn.XLOOKUP($D2003,Insumos!$B$1:$B$670,Insumos!$D$1:$D$670),"")</f>
        <v/>
      </c>
      <c r="H2003" s="1081" cm="1">
        <f t="array" ref="H2003">_xlfn.IFS(B2003="Serviço",SUMIFS(H2004:$H$2465,C2004:$C$2465,$C2003),B2003="Insumo",F2003*G2003,B2003="Etapa","")</f>
        <v>22.999905545454546</v>
      </c>
      <c r="I2003" s="1082" t="s">
        <v>872</v>
      </c>
    </row>
    <row r="2004" spans="1:9" hidden="1" outlineLevel="2" x14ac:dyDescent="0.25">
      <c r="A2004" s="1079">
        <f t="shared" si="78"/>
        <v>24</v>
      </c>
      <c r="B2004" s="1079" t="s">
        <v>1362</v>
      </c>
      <c r="C2004" s="1079" t="str">
        <f t="shared" si="77"/>
        <v>Pintura Com  Tinta Fosca em Paredes Externas, 2 Demaos (Incluso fundo e massa) - Cor Cinza escuro</v>
      </c>
      <c r="D2004" s="1079" t="s">
        <v>1384</v>
      </c>
      <c r="E2004" s="1080" t="str">
        <f>_xlfn.XLOOKUP(D2004,Insumos!$B$1:$B$670,Insumos!$C$1:$C$670)</f>
        <v>UN</v>
      </c>
      <c r="F2004" s="1083">
        <v>0.1</v>
      </c>
      <c r="G2004" s="1081">
        <f>IF(B2004="insumo",_xlfn.XLOOKUP($D2004,Insumos!$B$1:$B$670,Insumos!$D$1:$D$670),"")</f>
        <v>1.89</v>
      </c>
      <c r="H2004" s="1081" cm="1">
        <f t="array" ref="H2004">_xlfn.IFS(B2004="Serviço",SUMIFS(H2005:$H$2465,C2005:$C$2465,$C2004),B2004="Insumo",F2004*G2004,B2004="Etapa","")</f>
        <v>0.189</v>
      </c>
      <c r="I2004" s="1082"/>
    </row>
    <row r="2005" spans="1:9" hidden="1" outlineLevel="2" x14ac:dyDescent="0.25">
      <c r="A2005" s="1079">
        <f t="shared" si="78"/>
        <v>17</v>
      </c>
      <c r="B2005" s="1079" t="s">
        <v>1362</v>
      </c>
      <c r="C2005" s="1079" t="str">
        <f t="shared" si="77"/>
        <v>Pintura Com  Tinta Fosca em Paredes Externas, 2 Demaos (Incluso fundo e massa) - Cor Cinza escuro</v>
      </c>
      <c r="D2005" s="1079" t="s">
        <v>2059</v>
      </c>
      <c r="E2005" s="1080" t="str">
        <f>_xlfn.XLOOKUP(D2005,Insumos!$B$1:$B$670,Insumos!$C$1:$C$670)</f>
        <v>KG</v>
      </c>
      <c r="F2005" s="1083">
        <v>0.86670000000000003</v>
      </c>
      <c r="G2005" s="1081">
        <f>IF(B2005="insumo",_xlfn.XLOOKUP($D2005,Insumos!$B$1:$B$670,Insumos!$D$1:$D$670),"")</f>
        <v>6.47</v>
      </c>
      <c r="H2005" s="1081" cm="1">
        <f t="array" ref="H2005">_xlfn.IFS(B2005="Serviço",SUMIFS(H2006:$H$2465,C2006:$C$2465,$C2005),B2005="Insumo",F2005*G2005,B2005="Etapa","")</f>
        <v>5.6075489999999997</v>
      </c>
      <c r="I2005" s="1082"/>
    </row>
    <row r="2006" spans="1:9" hidden="1" outlineLevel="2" x14ac:dyDescent="0.25">
      <c r="A2006" s="1079">
        <f t="shared" si="78"/>
        <v>19</v>
      </c>
      <c r="B2006" s="1079" t="s">
        <v>1362</v>
      </c>
      <c r="C2006" s="1079" t="str">
        <f t="shared" si="77"/>
        <v>Pintura Com  Tinta Fosca em Paredes Externas, 2 Demaos (Incluso fundo e massa) - Cor Cinza escuro</v>
      </c>
      <c r="D2006" s="1079" t="s">
        <v>2068</v>
      </c>
      <c r="E2006" s="1080" t="str">
        <f>_xlfn.XLOOKUP(D2006,Insumos!$B$1:$B$670,Insumos!$C$1:$C$670)</f>
        <v>L</v>
      </c>
      <c r="F2006" s="1083">
        <v>0.1666</v>
      </c>
      <c r="G2006" s="1081">
        <f>IF(B2006="insumo",_xlfn.XLOOKUP($D2006,Insumos!$B$1:$B$670,Insumos!$D$1:$D$670),"")</f>
        <v>6.47</v>
      </c>
      <c r="H2006" s="1081" cm="1">
        <f t="array" ref="H2006">_xlfn.IFS(B2006="Serviço",SUMIFS(H2007:$H$2465,C2007:$C$2465,$C2006),B2006="Insumo",F2006*G2006,B2006="Etapa","")</f>
        <v>1.0779019999999999</v>
      </c>
      <c r="I2006" s="1082"/>
    </row>
    <row r="2007" spans="1:9" hidden="1" outlineLevel="2" x14ac:dyDescent="0.25">
      <c r="A2007" s="1079">
        <f t="shared" si="78"/>
        <v>1</v>
      </c>
      <c r="B2007" s="1079" t="s">
        <v>1362</v>
      </c>
      <c r="C2007" s="1079" t="str">
        <f t="shared" si="77"/>
        <v>Pintura Com  Tinta Fosca em Paredes Externas, 2 Demaos (Incluso fundo e massa) - Cor Cinza escuro</v>
      </c>
      <c r="D2007" s="1079" t="s">
        <v>2197</v>
      </c>
      <c r="E2007" s="1080" t="str">
        <f>_xlfn.XLOOKUP(D2007,Insumos!$B$1:$B$670,Insumos!$C$1:$C$670)</f>
        <v>L</v>
      </c>
      <c r="F2007" s="1083">
        <f>(16/110)*2</f>
        <v>0.29090909090909089</v>
      </c>
      <c r="G2007" s="1102">
        <f>IF(B2007="insumo",_xlfn.XLOOKUP($D2007,Insumos!$B$1:$B$670,Insumos!$D$1:$D$670),"")</f>
        <v>55.431249999999999</v>
      </c>
      <c r="H2007" s="1102" cm="1">
        <f t="array" ref="H2007">_xlfn.IFS(B2007="Serviço",SUMIFS(H2008:$H$2465,C2008:$C$2465,$C2007),B2007="Insumo",F2007*G2007,B2007="Etapa","")</f>
        <v>16.125454545454545</v>
      </c>
      <c r="I2007" s="1082" t="s">
        <v>2185</v>
      </c>
    </row>
    <row r="2008" spans="1:9" hidden="1" outlineLevel="1" collapsed="1" x14ac:dyDescent="0.25">
      <c r="A2008" s="1079">
        <f t="shared" si="78"/>
        <v>1</v>
      </c>
      <c r="B2008" s="1079" t="s">
        <v>471</v>
      </c>
      <c r="C2008" s="1079" t="str">
        <f t="shared" si="77"/>
        <v>Pintura Com  Tinta Fosca em Paredes Externas, 2 Demaos (Incluso fundo e massa) - Cor Branco</v>
      </c>
      <c r="D2008" s="1079" t="s">
        <v>2198</v>
      </c>
      <c r="E2008" s="1080" t="s">
        <v>17</v>
      </c>
      <c r="F2008" s="1079"/>
      <c r="G2008" s="1081" t="str">
        <f>IF(B2008="insumo",_xlfn.XLOOKUP($D2008,Insumos!$B$1:$B$670,Insumos!$D$1:$D$670),"")</f>
        <v/>
      </c>
      <c r="H2008" s="1081" cm="1">
        <f t="array" ref="H2008">_xlfn.IFS(B2008="Serviço",SUMIFS(H2009:$H$2465,C2009:$C$2465,$C2008),B2008="Insumo",F2008*G2008,B2008="Etapa","")</f>
        <v>16.893036858585859</v>
      </c>
      <c r="I2008" s="1082" t="s">
        <v>872</v>
      </c>
    </row>
    <row r="2009" spans="1:9" hidden="1" outlineLevel="2" x14ac:dyDescent="0.25">
      <c r="A2009" s="1079">
        <f t="shared" si="78"/>
        <v>24</v>
      </c>
      <c r="B2009" s="1079" t="s">
        <v>1362</v>
      </c>
      <c r="C2009" s="1079" t="str">
        <f t="shared" si="77"/>
        <v>Pintura Com  Tinta Fosca em Paredes Externas, 2 Demaos (Incluso fundo e massa) - Cor Branco</v>
      </c>
      <c r="D2009" s="1079" t="s">
        <v>1384</v>
      </c>
      <c r="E2009" s="1080" t="str">
        <f>_xlfn.XLOOKUP(D2009,Insumos!$B$1:$B$670,Insumos!$C$1:$C$670)</f>
        <v>UN</v>
      </c>
      <c r="F2009" s="1083">
        <v>0.1</v>
      </c>
      <c r="G2009" s="1081">
        <f>IF(B2009="insumo",_xlfn.XLOOKUP($D2009,Insumos!$B$1:$B$670,Insumos!$D$1:$D$670),"")</f>
        <v>1.89</v>
      </c>
      <c r="H2009" s="1081" cm="1">
        <f t="array" ref="H2009">_xlfn.IFS(B2009="Serviço",SUMIFS(H2010:$H$2465,C2010:$C$2465,$C2009),B2009="Insumo",F2009*G2009,B2009="Etapa","")</f>
        <v>0.189</v>
      </c>
      <c r="I2009" s="1082"/>
    </row>
    <row r="2010" spans="1:9" hidden="1" outlineLevel="2" x14ac:dyDescent="0.25">
      <c r="A2010" s="1079">
        <f t="shared" si="78"/>
        <v>17</v>
      </c>
      <c r="B2010" s="1079" t="s">
        <v>1362</v>
      </c>
      <c r="C2010" s="1079" t="str">
        <f t="shared" si="77"/>
        <v>Pintura Com  Tinta Fosca em Paredes Externas, 2 Demaos (Incluso fundo e massa) - Cor Branco</v>
      </c>
      <c r="D2010" s="1079" t="s">
        <v>2059</v>
      </c>
      <c r="E2010" s="1080" t="str">
        <f>_xlfn.XLOOKUP(D2010,Insumos!$B$1:$B$670,Insumos!$C$1:$C$670)</f>
        <v>KG</v>
      </c>
      <c r="F2010" s="1083">
        <v>0.86670000000000003</v>
      </c>
      <c r="G2010" s="1081">
        <f>IF(B2010="insumo",_xlfn.XLOOKUP($D2010,Insumos!$B$1:$B$670,Insumos!$D$1:$D$670),"")</f>
        <v>6.47</v>
      </c>
      <c r="H2010" s="1081" cm="1">
        <f t="array" ref="H2010">_xlfn.IFS(B2010="Serviço",SUMIFS(H2011:$H$2465,C2011:$C$2465,$C2010),B2010="Insumo",F2010*G2010,B2010="Etapa","")</f>
        <v>5.6075489999999997</v>
      </c>
      <c r="I2010" s="1082"/>
    </row>
    <row r="2011" spans="1:9" hidden="1" outlineLevel="2" x14ac:dyDescent="0.25">
      <c r="A2011" s="1079">
        <f t="shared" si="78"/>
        <v>19</v>
      </c>
      <c r="B2011" s="1079" t="s">
        <v>1362</v>
      </c>
      <c r="C2011" s="1079" t="str">
        <f t="shared" si="77"/>
        <v>Pintura Com  Tinta Fosca em Paredes Externas, 2 Demaos (Incluso fundo e massa) - Cor Branco</v>
      </c>
      <c r="D2011" s="1079" t="s">
        <v>2068</v>
      </c>
      <c r="E2011" s="1080" t="str">
        <f>_xlfn.XLOOKUP(D2011,Insumos!$B$1:$B$670,Insumos!$C$1:$C$670)</f>
        <v>L</v>
      </c>
      <c r="F2011" s="1083">
        <v>0.1666</v>
      </c>
      <c r="G2011" s="1081">
        <f>IF(B2011="insumo",_xlfn.XLOOKUP($D2011,Insumos!$B$1:$B$670,Insumos!$D$1:$D$670),"")</f>
        <v>6.47</v>
      </c>
      <c r="H2011" s="1081" cm="1">
        <f t="array" ref="H2011">_xlfn.IFS(B2011="Serviço",SUMIFS(H2012:$H$2465,C2012:$C$2465,$C2011),B2011="Insumo",F2011*G2011,B2011="Etapa","")</f>
        <v>1.0779019999999999</v>
      </c>
      <c r="I2011" s="1082"/>
    </row>
    <row r="2012" spans="1:9" hidden="1" outlineLevel="2" x14ac:dyDescent="0.25">
      <c r="A2012" s="1079">
        <f t="shared" si="78"/>
        <v>2</v>
      </c>
      <c r="B2012" s="1079" t="s">
        <v>1362</v>
      </c>
      <c r="C2012" s="1079" t="str">
        <f t="shared" si="77"/>
        <v>Pintura Com  Tinta Fosca em Paredes Externas, 2 Demaos (Incluso fundo e massa) - Cor Branco</v>
      </c>
      <c r="D2012" s="1079" t="s">
        <v>2199</v>
      </c>
      <c r="E2012" s="1080" t="str">
        <f>_xlfn.XLOOKUP(D2012,Insumos!$B$1:$B$670,Insumos!$C$1:$C$670)</f>
        <v>L</v>
      </c>
      <c r="F2012" s="1083">
        <f>(16/110)*2</f>
        <v>0.29090909090909089</v>
      </c>
      <c r="G2012" s="1101">
        <f>IF(B2012="insumo",_xlfn.XLOOKUP($D2012,Insumos!$B$1:$B$670,Insumos!$D$1:$D$670),"")</f>
        <v>34.43888888888889</v>
      </c>
      <c r="H2012" s="1101" cm="1">
        <f t="array" ref="H2012">_xlfn.IFS(B2012="Serviço",SUMIFS(H2013:$H$2465,C2013:$C$2465,$C2012),B2012="Insumo",F2012*G2012,B2012="Etapa","")</f>
        <v>10.018585858585858</v>
      </c>
      <c r="I2012" s="1082" t="s">
        <v>2185</v>
      </c>
    </row>
    <row r="2013" spans="1:9" hidden="1" outlineLevel="1" collapsed="1" x14ac:dyDescent="0.25">
      <c r="A2013" s="1079">
        <f t="shared" si="78"/>
        <v>1</v>
      </c>
      <c r="B2013" s="1079" t="s">
        <v>471</v>
      </c>
      <c r="C2013" s="1079" t="str">
        <f t="shared" si="77"/>
        <v>Pintura com tinta suviflez emborrachada, 2 demãos, parede externa</v>
      </c>
      <c r="D2013" s="1079" t="s">
        <v>2200</v>
      </c>
      <c r="E2013" s="1080" t="s">
        <v>17</v>
      </c>
      <c r="F2013" s="1079"/>
      <c r="G2013" s="1081" t="str">
        <f>IF(B2013="insumo",_xlfn.XLOOKUP($D2013,Insumos!$B$1:$B$670,Insumos!$D$1:$D$670),"")</f>
        <v/>
      </c>
      <c r="H2013" s="1081" cm="1">
        <f t="array" ref="H2013">_xlfn.IFS(B2013="Serviço",SUMIFS(H2014:$H$2465,C2014:$C$2465,$C2013),B2013="Insumo",F2013*G2013,B2013="Etapa","")</f>
        <v>3.3191999999999995</v>
      </c>
      <c r="I2013" s="1082" t="s">
        <v>872</v>
      </c>
    </row>
    <row r="2014" spans="1:9" hidden="1" outlineLevel="2" x14ac:dyDescent="0.25">
      <c r="A2014" s="1079">
        <f t="shared" si="78"/>
        <v>1</v>
      </c>
      <c r="B2014" s="1079" t="s">
        <v>1362</v>
      </c>
      <c r="C2014" s="1079" t="str">
        <f t="shared" si="77"/>
        <v>Pintura com tinta suviflez emborrachada, 2 demãos, parede externa</v>
      </c>
      <c r="D2014" s="1079" t="s">
        <v>2201</v>
      </c>
      <c r="E2014" s="1080" t="str">
        <f>_xlfn.XLOOKUP(D2014,Insumos!$B$1:$B$670,Insumos!$C$1:$C$670)</f>
        <v>L</v>
      </c>
      <c r="F2014" s="1083">
        <f>(18/250)*2</f>
        <v>0.14399999999999999</v>
      </c>
      <c r="G2014" s="1081">
        <f>IF(B2014="insumo",_xlfn.XLOOKUP($D2014,Insumos!$B$1:$B$670,Insumos!$D$1:$D$670),"")</f>
        <v>23.049999999999997</v>
      </c>
      <c r="H2014" s="1081" cm="1">
        <f t="array" ref="H2014">_xlfn.IFS(B2014="Serviço",SUMIFS(H2017:$H$2465,C2017:$C$2465,$C2014),B2014="Insumo",F2014*G2014,B2014="Etapa","")</f>
        <v>3.3191999999999995</v>
      </c>
      <c r="I2014" s="1082" t="s">
        <v>2202</v>
      </c>
    </row>
    <row r="2015" spans="1:9" hidden="1" outlineLevel="1" x14ac:dyDescent="0.25">
      <c r="A2015" s="1079">
        <f t="shared" si="78"/>
        <v>1</v>
      </c>
      <c r="B2015" s="1079" t="s">
        <v>471</v>
      </c>
      <c r="C2015" s="1079" t="str">
        <f t="shared" si="77"/>
        <v>Pintura Com  Tinta Fosca em Paredes Externas, 1 Demaos</v>
      </c>
      <c r="D2015" s="1079" t="s">
        <v>2203</v>
      </c>
      <c r="E2015" s="1080" t="s">
        <v>17</v>
      </c>
      <c r="F2015" s="1079"/>
      <c r="G2015" s="1081" t="str">
        <f>IF(B2015="insumo",_xlfn.XLOOKUP($D2015,Insumos!$B$1:$B$670,Insumos!$D$1:$D$670),"")</f>
        <v/>
      </c>
      <c r="H2015" s="1081" cm="1">
        <f t="array" ref="H2015">_xlfn.IFS(B2015="Serviço",SUMIFS(H2016:$H$2465,C2016:$C$2465,$C2015),B2015="Insumo",F2015*G2015,B2015="Etapa","")</f>
        <v>5.390434782608696</v>
      </c>
      <c r="I2015" s="1082" t="s">
        <v>872</v>
      </c>
    </row>
    <row r="2016" spans="1:9" hidden="1" outlineLevel="2" x14ac:dyDescent="0.25">
      <c r="A2016" s="1079">
        <f t="shared" si="78"/>
        <v>2</v>
      </c>
      <c r="B2016" s="1079" t="s">
        <v>1362</v>
      </c>
      <c r="C2016" s="1079" t="str">
        <f t="shared" si="77"/>
        <v>Pintura Com  Tinta Fosca em Paredes Externas, 1 Demaos</v>
      </c>
      <c r="D2016" s="1079" t="s">
        <v>2199</v>
      </c>
      <c r="E2016" s="1080" t="str">
        <f>_xlfn.XLOOKUP(D2016,Insumos!$B$1:$B$670,Insumos!$C$1:$C$670)</f>
        <v>L</v>
      </c>
      <c r="F2016" s="1083">
        <f>18/115</f>
        <v>0.15652173913043479</v>
      </c>
      <c r="G2016" s="1101">
        <f>IF(B2016="insumo",_xlfn.XLOOKUP($D2016,Insumos!$B$1:$B$670,Insumos!$D$1:$D$670),"")</f>
        <v>34.43888888888889</v>
      </c>
      <c r="H2016" s="1101" cm="1">
        <f t="array" ref="H2016">_xlfn.IFS(B2016="Serviço",SUMIFS(H2017:$H$2465,C2017:$C$2465,$C2016),B2016="Insumo",F2016*G2016,B2016="Etapa","")</f>
        <v>5.390434782608696</v>
      </c>
      <c r="I2016" s="1082" t="s">
        <v>2204</v>
      </c>
    </row>
    <row r="2017" spans="1:9" hidden="1" outlineLevel="1" collapsed="1" x14ac:dyDescent="0.25">
      <c r="A2017" s="1079">
        <f t="shared" si="78"/>
        <v>1</v>
      </c>
      <c r="B2017" s="1079" t="s">
        <v>471</v>
      </c>
      <c r="C2017" s="1079" t="str">
        <f t="shared" si="77"/>
        <v>Pintura com tinta acetinada, 1 demãos, parede externa</v>
      </c>
      <c r="D2017" s="1079" t="s">
        <v>2205</v>
      </c>
      <c r="E2017" s="1080" t="s">
        <v>17</v>
      </c>
      <c r="F2017" s="1079"/>
      <c r="G2017" s="1081" t="str">
        <f>IF(B2017="insumo",_xlfn.XLOOKUP($D2017,Insumos!$B$1:$B$670,Insumos!$D$1:$D$670),"")</f>
        <v/>
      </c>
      <c r="H2017" s="1081" cm="1">
        <f t="array" ref="H2017">_xlfn.IFS(B2017="Serviço",SUMIFS(H2018:$H$2465,C2018:$C$2465,$C2017),B2017="Insumo",F2017*G2017,B2017="Etapa","")</f>
        <v>6.6947826086956521</v>
      </c>
      <c r="I2017" s="1082" t="s">
        <v>872</v>
      </c>
    </row>
    <row r="2018" spans="1:9" hidden="1" outlineLevel="2" x14ac:dyDescent="0.25">
      <c r="A2018" s="1079">
        <f t="shared" si="78"/>
        <v>2</v>
      </c>
      <c r="B2018" s="1079" t="s">
        <v>1362</v>
      </c>
      <c r="C2018" s="1079" t="str">
        <f t="shared" si="77"/>
        <v>Pintura com tinta acetinada, 1 demãos, parede externa</v>
      </c>
      <c r="D2018" s="1079" t="s">
        <v>2191</v>
      </c>
      <c r="E2018" s="1080" t="str">
        <f>_xlfn.XLOOKUP(D2018,Insumos!$B$1:$B$670,Insumos!$C$1:$C$670)</f>
        <v>L</v>
      </c>
      <c r="F2018" s="1083">
        <f>18/115</f>
        <v>0.15652173913043479</v>
      </c>
      <c r="G2018" s="1101">
        <f>IF(B2018="insumo",_xlfn.XLOOKUP($D2018,Insumos!$B$1:$B$670,Insumos!$D$1:$D$670),"")</f>
        <v>42.772222222222219</v>
      </c>
      <c r="H2018" s="1101" cm="1">
        <f t="array" ref="H2018">_xlfn.IFS(B2018="Serviço",SUMIFS(H2019:$H$2465,C2019:$C$2465,$C2018),B2018="Insumo",F2018*G2018,B2018="Etapa","")</f>
        <v>6.6947826086956521</v>
      </c>
      <c r="I2018" s="1082" t="s">
        <v>2204</v>
      </c>
    </row>
    <row r="2019" spans="1:9" hidden="1" outlineLevel="1" collapsed="1" x14ac:dyDescent="0.25">
      <c r="A2019" s="1079">
        <f t="shared" si="78"/>
        <v>1</v>
      </c>
      <c r="B2019" s="1079" t="s">
        <v>471</v>
      </c>
      <c r="C2019" s="1079" t="str">
        <f t="shared" si="77"/>
        <v>Pintura Com Tinta Latex Acrilica em Paredes Externas, 3 Demaos (Incluso fundo e massa)</v>
      </c>
      <c r="D2019" s="1079" t="s">
        <v>2206</v>
      </c>
      <c r="E2019" s="1080" t="s">
        <v>17</v>
      </c>
      <c r="F2019" s="1079"/>
      <c r="G2019" s="1081" t="str">
        <f>IF(B2019="insumo",_xlfn.XLOOKUP($D2019,Insumos!$B$1:$B$670,Insumos!$D$1:$D$670),"")</f>
        <v/>
      </c>
      <c r="H2019" s="1081" cm="1">
        <f t="array" ref="H2019">_xlfn.IFS(B2019="Serviço",SUMIFS(H2020:$H$2465,C2020:$C$2465,$C2019),B2019="Insumo",F2019*G2019,B2019="Etapa","")</f>
        <v>19.001950999999998</v>
      </c>
      <c r="I2019" s="1082" t="s">
        <v>872</v>
      </c>
    </row>
    <row r="2020" spans="1:9" hidden="1" outlineLevel="2" x14ac:dyDescent="0.25">
      <c r="A2020" s="1079">
        <f t="shared" si="78"/>
        <v>24</v>
      </c>
      <c r="B2020" s="1079" t="s">
        <v>1362</v>
      </c>
      <c r="C2020" s="1079" t="str">
        <f t="shared" si="77"/>
        <v>Pintura Com Tinta Latex Acrilica em Paredes Externas, 3 Demaos (Incluso fundo e massa)</v>
      </c>
      <c r="D2020" s="1079" t="s">
        <v>1384</v>
      </c>
      <c r="E2020" s="1080" t="str">
        <f>_xlfn.XLOOKUP(D2020,Insumos!$B$1:$B$670,Insumos!$C$1:$C$670)</f>
        <v>UN</v>
      </c>
      <c r="F2020" s="1083">
        <v>0.1</v>
      </c>
      <c r="G2020" s="1081">
        <f>IF(B2020="insumo",_xlfn.XLOOKUP($D2020,Insumos!$B$1:$B$670,Insumos!$D$1:$D$670),"")</f>
        <v>1.89</v>
      </c>
      <c r="H2020" s="1081" cm="1">
        <f t="array" ref="H2020">_xlfn.IFS(B2020="Serviço",SUMIFS(H2021:$H$2465,C2021:$C$2465,$C2020),B2020="Insumo",F2020*G2020,B2020="Etapa","")</f>
        <v>0.189</v>
      </c>
      <c r="I2020" s="1082"/>
    </row>
    <row r="2021" spans="1:9" hidden="1" outlineLevel="2" x14ac:dyDescent="0.25">
      <c r="A2021" s="1079">
        <f t="shared" si="78"/>
        <v>17</v>
      </c>
      <c r="B2021" s="1079" t="s">
        <v>1362</v>
      </c>
      <c r="C2021" s="1079" t="str">
        <f t="shared" si="77"/>
        <v>Pintura Com Tinta Latex Acrilica em Paredes Externas, 3 Demaos (Incluso fundo e massa)</v>
      </c>
      <c r="D2021" s="1079" t="s">
        <v>2059</v>
      </c>
      <c r="E2021" s="1080" t="str">
        <f>_xlfn.XLOOKUP(D2021,Insumos!$B$1:$B$670,Insumos!$C$1:$C$670)</f>
        <v>KG</v>
      </c>
      <c r="F2021" s="1083">
        <v>0.86670000000000003</v>
      </c>
      <c r="G2021" s="1081">
        <f>IF(B2021="insumo",_xlfn.XLOOKUP($D2021,Insumos!$B$1:$B$670,Insumos!$D$1:$D$670),"")</f>
        <v>6.47</v>
      </c>
      <c r="H2021" s="1081" cm="1">
        <f t="array" ref="H2021">_xlfn.IFS(B2021="Serviço",SUMIFS(H2022:$H$2465,C2022:$C$2465,$C2021),B2021="Insumo",F2021*G2021,B2021="Etapa","")</f>
        <v>5.6075489999999997</v>
      </c>
      <c r="I2021" s="1082"/>
    </row>
    <row r="2022" spans="1:9" hidden="1" outlineLevel="2" x14ac:dyDescent="0.25">
      <c r="A2022" s="1079">
        <f t="shared" si="78"/>
        <v>19</v>
      </c>
      <c r="B2022" s="1079" t="s">
        <v>1362</v>
      </c>
      <c r="C2022" s="1079" t="str">
        <f t="shared" si="77"/>
        <v>Pintura Com Tinta Latex Acrilica em Paredes Externas, 3 Demaos (Incluso fundo e massa)</v>
      </c>
      <c r="D2022" s="1079" t="s">
        <v>2068</v>
      </c>
      <c r="E2022" s="1080" t="str">
        <f>_xlfn.XLOOKUP(D2022,Insumos!$B$1:$B$670,Insumos!$C$1:$C$670)</f>
        <v>L</v>
      </c>
      <c r="F2022" s="1083">
        <v>0.1666</v>
      </c>
      <c r="G2022" s="1081">
        <f>IF(B2022="insumo",_xlfn.XLOOKUP($D2022,Insumos!$B$1:$B$670,Insumos!$D$1:$D$670),"")</f>
        <v>6.47</v>
      </c>
      <c r="H2022" s="1081" cm="1">
        <f t="array" ref="H2022">_xlfn.IFS(B2022="Serviço",SUMIFS(H2023:$H$2465,C2023:$C$2465,$C2022),B2022="Insumo",F2022*G2022,B2022="Etapa","")</f>
        <v>1.0779019999999999</v>
      </c>
      <c r="I2022" s="1082"/>
    </row>
    <row r="2023" spans="1:9" hidden="1" outlineLevel="2" x14ac:dyDescent="0.25">
      <c r="A2023" s="1079">
        <f t="shared" si="78"/>
        <v>13</v>
      </c>
      <c r="B2023" s="1079" t="s">
        <v>1362</v>
      </c>
      <c r="C2023" s="1079" t="str">
        <f t="shared" si="77"/>
        <v>Pintura Com Tinta Latex Acrilica em Paredes Externas, 3 Demaos (Incluso fundo e massa)</v>
      </c>
      <c r="D2023" s="1079" t="s">
        <v>2057</v>
      </c>
      <c r="E2023" s="1080" t="str">
        <f>_xlfn.XLOOKUP(D2023,Insumos!$B$1:$B$670,Insumos!$C$1:$C$670)</f>
        <v>L</v>
      </c>
      <c r="F2023" s="1083">
        <v>0.495</v>
      </c>
      <c r="G2023" s="1081">
        <f>IF(B2023="insumo",_xlfn.XLOOKUP($D2023,Insumos!$B$1:$B$670,Insumos!$D$1:$D$670),"")</f>
        <v>24.5</v>
      </c>
      <c r="H2023" s="1081" cm="1">
        <f t="array" ref="H2023">_xlfn.IFS(B2023="Serviço",SUMIFS(H2024:$H$2465,C2024:$C$2465,$C2023),B2023="Insumo",F2023*G2023,B2023="Etapa","")</f>
        <v>12.1275</v>
      </c>
      <c r="I2023" s="1082"/>
    </row>
    <row r="2024" spans="1:9" hidden="1" outlineLevel="1" collapsed="1" x14ac:dyDescent="0.25">
      <c r="A2024" s="1079">
        <f t="shared" si="78"/>
        <v>1</v>
      </c>
      <c r="B2024" s="1079" t="s">
        <v>471</v>
      </c>
      <c r="C2024" s="1079" t="str">
        <f t="shared" si="77"/>
        <v>Revestimento em Pedra Natural Aplicado em Fachadas Para Espelho da água</v>
      </c>
      <c r="D2024" s="1079" t="s">
        <v>2207</v>
      </c>
      <c r="E2024" s="1080" t="s">
        <v>17</v>
      </c>
      <c r="F2024" s="1079"/>
      <c r="G2024" s="1081" t="str">
        <f>IF(B2024="insumo",_xlfn.XLOOKUP($D2024,Insumos!$B$1:$B$670,Insumos!$D$1:$D$670),"")</f>
        <v/>
      </c>
      <c r="H2024" s="1081" cm="1">
        <f t="array" ref="H2024">_xlfn.IFS(B2024="Serviço",SUMIFS(H2025:$H$2465,C2025:$C$2465,$C2024),B2024="Insumo",F2024*G2024,B2024="Etapa","")</f>
        <v>582.14500000000021</v>
      </c>
      <c r="I2024" s="1082" t="s">
        <v>872</v>
      </c>
    </row>
    <row r="2025" spans="1:9" hidden="1" outlineLevel="2" x14ac:dyDescent="0.25">
      <c r="A2025" s="1079">
        <f t="shared" si="78"/>
        <v>1</v>
      </c>
      <c r="B2025" s="1079" t="s">
        <v>1362</v>
      </c>
      <c r="C2025" s="1079" t="str">
        <f t="shared" si="77"/>
        <v>Revestimento em Pedra Natural Aplicado em Fachadas Para Espelho da água</v>
      </c>
      <c r="D2025" s="1079" t="s">
        <v>2208</v>
      </c>
      <c r="E2025" s="1080" t="str">
        <f>_xlfn.XLOOKUP(D2025,Insumos!$B$1:$B$670,Insumos!$C$1:$C$670)</f>
        <v>M2</v>
      </c>
      <c r="F2025" s="1083">
        <v>1.1000000000000001</v>
      </c>
      <c r="G2025" s="1081">
        <f>IF(B2025="insumo",_xlfn.XLOOKUP($D2025,Insumos!$B$1:$B$670,Insumos!$D$1:$D$670),"")</f>
        <v>503</v>
      </c>
      <c r="H2025" s="1081" cm="1">
        <f t="array" ref="H2025">_xlfn.IFS(B2025="Serviço",SUMIFS(H2026:$H$2465,C2026:$C$2465,$C2025),B2025="Insumo",F2025*G2025,B2025="Etapa","")</f>
        <v>553.30000000000007</v>
      </c>
      <c r="I2025" s="1082"/>
    </row>
    <row r="2026" spans="1:9" hidden="1" outlineLevel="2" x14ac:dyDescent="0.25">
      <c r="A2026" s="1079">
        <f t="shared" si="78"/>
        <v>87</v>
      </c>
      <c r="B2026" s="1079" t="s">
        <v>1362</v>
      </c>
      <c r="C2026" s="1079" t="str">
        <f t="shared" ref="C2026:C2089" si="79">IF(B2026="serviço",D2026,C2025)</f>
        <v>Revestimento em Pedra Natural Aplicado em Fachadas Para Espelho da água</v>
      </c>
      <c r="D2026" s="1079" t="s">
        <v>1762</v>
      </c>
      <c r="E2026" s="1080" t="str">
        <f>_xlfn.XLOOKUP(D2026,Insumos!$B$1:$B$670,Insumos!$C$1:$C$670)</f>
        <v>KG</v>
      </c>
      <c r="F2026" s="1083">
        <v>9</v>
      </c>
      <c r="G2026" s="1081">
        <f>IF(B2026="insumo",_xlfn.XLOOKUP($D2026,Insumos!$B$1:$B$670,Insumos!$D$1:$D$670),"")</f>
        <v>2.5499999999999998</v>
      </c>
      <c r="H2026" s="1081" cm="1">
        <f t="array" ref="H2026">_xlfn.IFS(B2026="Serviço",SUMIFS(H2027:$H$2465,C2027:$C$2465,$C2026),B2026="Insumo",F2026*G2026,B2026="Etapa","")</f>
        <v>22.95</v>
      </c>
      <c r="I2026" s="1082"/>
    </row>
    <row r="2027" spans="1:9" hidden="1" outlineLevel="2" x14ac:dyDescent="0.25">
      <c r="A2027" s="1079">
        <f t="shared" si="78"/>
        <v>56</v>
      </c>
      <c r="B2027" s="1079" t="s">
        <v>1362</v>
      </c>
      <c r="C2027" s="1079" t="str">
        <f t="shared" si="79"/>
        <v>Revestimento em Pedra Natural Aplicado em Fachadas Para Espelho da água</v>
      </c>
      <c r="D2027" s="1079" t="s">
        <v>1786</v>
      </c>
      <c r="E2027" s="1080" t="str">
        <f>_xlfn.XLOOKUP(D2027,Insumos!$B$1:$B$670,Insumos!$C$1:$C$670)</f>
        <v>UN</v>
      </c>
      <c r="F2027" s="1083">
        <v>4</v>
      </c>
      <c r="G2027" s="1081">
        <f>IF(B2027="insumo",_xlfn.XLOOKUP($D2027,Insumos!$B$1:$B$670,Insumos!$D$1:$D$670),"")</f>
        <v>0.08</v>
      </c>
      <c r="H2027" s="1081" cm="1">
        <f t="array" ref="H2027">_xlfn.IFS(B2027="Serviço",SUMIFS(H2028:$H$2465,C2028:$C$2465,$C2027),B2027="Insumo",F2027*G2027,B2027="Etapa","")</f>
        <v>0.32</v>
      </c>
      <c r="I2027" s="1082"/>
    </row>
    <row r="2028" spans="1:9" hidden="1" outlineLevel="2" x14ac:dyDescent="0.25">
      <c r="A2028" s="1079">
        <f t="shared" si="78"/>
        <v>50</v>
      </c>
      <c r="B2028" s="1079" t="s">
        <v>1362</v>
      </c>
      <c r="C2028" s="1079" t="str">
        <f t="shared" si="79"/>
        <v>Revestimento em Pedra Natural Aplicado em Fachadas Para Espelho da água</v>
      </c>
      <c r="D2028" s="1079" t="s">
        <v>1787</v>
      </c>
      <c r="E2028" s="1080" t="str">
        <f>_xlfn.XLOOKUP(D2028,Insumos!$B$1:$B$670,Insumos!$C$1:$C$670)</f>
        <v>KG</v>
      </c>
      <c r="F2028" s="1083">
        <v>0.5</v>
      </c>
      <c r="G2028" s="1081">
        <f>IF(B2028="insumo",_xlfn.XLOOKUP($D2028,Insumos!$B$1:$B$670,Insumos!$D$1:$D$670),"")</f>
        <v>11.15</v>
      </c>
      <c r="H2028" s="1081" cm="1">
        <f t="array" ref="H2028">_xlfn.IFS(B2028="Serviço",SUMIFS(H2029:$H$2465,C2029:$C$2465,$C2028),B2028="Insumo",F2028*G2028,B2028="Etapa","")</f>
        <v>5.5750000000000002</v>
      </c>
      <c r="I2028" s="1082"/>
    </row>
    <row r="2029" spans="1:9" hidden="1" outlineLevel="1" collapsed="1" x14ac:dyDescent="0.25">
      <c r="A2029" s="1079">
        <f t="shared" si="78"/>
        <v>1</v>
      </c>
      <c r="B2029" s="1079" t="s">
        <v>471</v>
      </c>
      <c r="C2029" s="1079" t="str">
        <f t="shared" si="79"/>
        <v>Revestimento em Pedra Natural Aplicado em Fachadas Para fogueira</v>
      </c>
      <c r="D2029" s="1079" t="s">
        <v>2209</v>
      </c>
      <c r="E2029" s="1080" t="s">
        <v>17</v>
      </c>
      <c r="F2029" s="1079"/>
      <c r="G2029" s="1081" t="str">
        <f>IF(B2029="insumo",_xlfn.XLOOKUP($D2029,Insumos!$B$1:$B$670,Insumos!$D$1:$D$670),"")</f>
        <v/>
      </c>
      <c r="H2029" s="1081" cm="1">
        <f t="array" ref="H2029">_xlfn.IFS(B2029="Serviço",SUMIFS(H2030:$H$2465,C2030:$C$2465,$C2029),B2029="Insumo",F2029*G2029,B2029="Etapa","")</f>
        <v>853.84500000000025</v>
      </c>
      <c r="I2029" s="1082" t="s">
        <v>872</v>
      </c>
    </row>
    <row r="2030" spans="1:9" hidden="1" outlineLevel="2" x14ac:dyDescent="0.25">
      <c r="A2030" s="1079">
        <f t="shared" si="78"/>
        <v>2</v>
      </c>
      <c r="B2030" s="1079" t="s">
        <v>1362</v>
      </c>
      <c r="C2030" s="1079" t="str">
        <f t="shared" si="79"/>
        <v>Revestimento em Pedra Natural Aplicado em Fachadas Para fogueira</v>
      </c>
      <c r="D2030" s="1079" t="s">
        <v>1935</v>
      </c>
      <c r="E2030" s="1080" t="str">
        <f>_xlfn.XLOOKUP(D2030,Insumos!$B$1:$B$670,Insumos!$C$1:$C$670)</f>
        <v>M2</v>
      </c>
      <c r="F2030" s="1083">
        <v>1.1000000000000001</v>
      </c>
      <c r="G2030" s="1081">
        <f>IF(B2030="insumo",_xlfn.XLOOKUP($D2030,Insumos!$B$1:$B$670,Insumos!$D$1:$D$670),"")</f>
        <v>750</v>
      </c>
      <c r="H2030" s="1081" cm="1">
        <f t="array" ref="H2030">_xlfn.IFS(B2030="Serviço",SUMIFS(H2031:$H$2465,C2031:$C$2465,$C2030),B2030="Insumo",F2030*G2030,B2030="Etapa","")</f>
        <v>825.00000000000011</v>
      </c>
      <c r="I2030" s="1082"/>
    </row>
    <row r="2031" spans="1:9" hidden="1" outlineLevel="2" x14ac:dyDescent="0.25">
      <c r="A2031" s="1079">
        <f t="shared" si="78"/>
        <v>87</v>
      </c>
      <c r="B2031" s="1079" t="s">
        <v>1362</v>
      </c>
      <c r="C2031" s="1079" t="str">
        <f t="shared" si="79"/>
        <v>Revestimento em Pedra Natural Aplicado em Fachadas Para fogueira</v>
      </c>
      <c r="D2031" s="1079" t="s">
        <v>1762</v>
      </c>
      <c r="E2031" s="1080" t="str">
        <f>_xlfn.XLOOKUP(D2031,Insumos!$B$1:$B$670,Insumos!$C$1:$C$670)</f>
        <v>KG</v>
      </c>
      <c r="F2031" s="1083">
        <v>9</v>
      </c>
      <c r="G2031" s="1081">
        <f>IF(B2031="insumo",_xlfn.XLOOKUP($D2031,Insumos!$B$1:$B$670,Insumos!$D$1:$D$670),"")</f>
        <v>2.5499999999999998</v>
      </c>
      <c r="H2031" s="1081" cm="1">
        <f t="array" ref="H2031">_xlfn.IFS(B2031="Serviço",SUMIFS(H2032:$H$2465,C2032:$C$2465,$C2031),B2031="Insumo",F2031*G2031,B2031="Etapa","")</f>
        <v>22.95</v>
      </c>
      <c r="I2031" s="1082"/>
    </row>
    <row r="2032" spans="1:9" hidden="1" outlineLevel="2" x14ac:dyDescent="0.25">
      <c r="A2032" s="1079">
        <f t="shared" si="78"/>
        <v>56</v>
      </c>
      <c r="B2032" s="1079" t="s">
        <v>1362</v>
      </c>
      <c r="C2032" s="1079" t="str">
        <f t="shared" si="79"/>
        <v>Revestimento em Pedra Natural Aplicado em Fachadas Para fogueira</v>
      </c>
      <c r="D2032" s="1079" t="s">
        <v>1786</v>
      </c>
      <c r="E2032" s="1080" t="str">
        <f>_xlfn.XLOOKUP(D2032,Insumos!$B$1:$B$670,Insumos!$C$1:$C$670)</f>
        <v>UN</v>
      </c>
      <c r="F2032" s="1083">
        <v>4</v>
      </c>
      <c r="G2032" s="1081">
        <f>IF(B2032="insumo",_xlfn.XLOOKUP($D2032,Insumos!$B$1:$B$670,Insumos!$D$1:$D$670),"")</f>
        <v>0.08</v>
      </c>
      <c r="H2032" s="1081" cm="1">
        <f t="array" ref="H2032">_xlfn.IFS(B2032="Serviço",SUMIFS(H2033:$H$2465,C2033:$C$2465,$C2032),B2032="Insumo",F2032*G2032,B2032="Etapa","")</f>
        <v>0.32</v>
      </c>
      <c r="I2032" s="1082"/>
    </row>
    <row r="2033" spans="1:9" hidden="1" outlineLevel="2" x14ac:dyDescent="0.25">
      <c r="A2033" s="1079">
        <f t="shared" si="78"/>
        <v>50</v>
      </c>
      <c r="B2033" s="1079" t="s">
        <v>1362</v>
      </c>
      <c r="C2033" s="1079" t="str">
        <f t="shared" si="79"/>
        <v>Revestimento em Pedra Natural Aplicado em Fachadas Para fogueira</v>
      </c>
      <c r="D2033" s="1079" t="s">
        <v>1787</v>
      </c>
      <c r="E2033" s="1080" t="str">
        <f>_xlfn.XLOOKUP(D2033,Insumos!$B$1:$B$670,Insumos!$C$1:$C$670)</f>
        <v>KG</v>
      </c>
      <c r="F2033" s="1083">
        <v>0.5</v>
      </c>
      <c r="G2033" s="1081">
        <f>IF(B2033="insumo",_xlfn.XLOOKUP($D2033,Insumos!$B$1:$B$670,Insumos!$D$1:$D$670),"")</f>
        <v>11.15</v>
      </c>
      <c r="H2033" s="1081" cm="1">
        <f t="array" ref="H2033">_xlfn.IFS(B2033="Serviço",SUMIFS(H2034:$H$2465,C2034:$C$2465,$C2033),B2033="Insumo",F2033*G2033,B2033="Etapa","")</f>
        <v>5.5750000000000002</v>
      </c>
      <c r="I2033" s="1082"/>
    </row>
    <row r="2034" spans="1:9" hidden="1" outlineLevel="1" collapsed="1" x14ac:dyDescent="0.25">
      <c r="A2034" s="1079">
        <f t="shared" si="78"/>
        <v>1</v>
      </c>
      <c r="B2034" s="1079" t="s">
        <v>471</v>
      </c>
      <c r="C2034" s="1079" t="str">
        <f t="shared" si="79"/>
        <v>Revestimento em Pedra Molero Aplicado em Fachadas</v>
      </c>
      <c r="D2034" s="1079" t="s">
        <v>2210</v>
      </c>
      <c r="E2034" s="1080" t="s">
        <v>17</v>
      </c>
      <c r="F2034" s="1079"/>
      <c r="G2034" s="1081" t="str">
        <f>IF(B2034="insumo",_xlfn.XLOOKUP($D2034,Insumos!$B$1:$B$670,Insumos!$D$1:$D$670),"")</f>
        <v/>
      </c>
      <c r="H2034" s="1081" cm="1">
        <f t="array" ref="H2034">_xlfn.IFS(B2034="Serviço",SUMIFS(H2035:$H$2465,C2035:$C$2465,$C2034),B2034="Insumo",F2034*G2034,B2034="Etapa","")</f>
        <v>743.84500000000025</v>
      </c>
      <c r="I2034" s="1082" t="s">
        <v>872</v>
      </c>
    </row>
    <row r="2035" spans="1:9" hidden="1" outlineLevel="2" x14ac:dyDescent="0.25">
      <c r="A2035" s="1079">
        <f t="shared" si="78"/>
        <v>1</v>
      </c>
      <c r="B2035" s="1079" t="s">
        <v>1362</v>
      </c>
      <c r="C2035" s="1079" t="str">
        <f t="shared" si="79"/>
        <v>Revestimento em Pedra Molero Aplicado em Fachadas</v>
      </c>
      <c r="D2035" s="1079" t="s">
        <v>2211</v>
      </c>
      <c r="E2035" s="1080" t="str">
        <f>_xlfn.XLOOKUP(D2035,Insumos!$B$1:$B$670,Insumos!$C$1:$C$670)</f>
        <v>M2</v>
      </c>
      <c r="F2035" s="1083">
        <v>1.1000000000000001</v>
      </c>
      <c r="G2035" s="1081">
        <f>IF(B2035="insumo",_xlfn.XLOOKUP($D2035,Insumos!$B$1:$B$670,Insumos!$D$1:$D$670),"")</f>
        <v>650</v>
      </c>
      <c r="H2035" s="1081" cm="1">
        <f t="array" ref="H2035">_xlfn.IFS(B2035="Serviço",SUMIFS(H2036:$H$2465,C2036:$C$2465,$C2035),B2035="Insumo",F2035*G2035,B2035="Etapa","")</f>
        <v>715.00000000000011</v>
      </c>
      <c r="I2035" s="1082"/>
    </row>
    <row r="2036" spans="1:9" hidden="1" outlineLevel="2" x14ac:dyDescent="0.25">
      <c r="A2036" s="1079">
        <f t="shared" si="78"/>
        <v>87</v>
      </c>
      <c r="B2036" s="1079" t="s">
        <v>1362</v>
      </c>
      <c r="C2036" s="1079" t="str">
        <f t="shared" si="79"/>
        <v>Revestimento em Pedra Molero Aplicado em Fachadas</v>
      </c>
      <c r="D2036" s="1079" t="s">
        <v>1762</v>
      </c>
      <c r="E2036" s="1080" t="str">
        <f>_xlfn.XLOOKUP(D2036,Insumos!$B$1:$B$670,Insumos!$C$1:$C$670)</f>
        <v>KG</v>
      </c>
      <c r="F2036" s="1083">
        <v>9</v>
      </c>
      <c r="G2036" s="1081">
        <f>IF(B2036="insumo",_xlfn.XLOOKUP($D2036,Insumos!$B$1:$B$670,Insumos!$D$1:$D$670),"")</f>
        <v>2.5499999999999998</v>
      </c>
      <c r="H2036" s="1081" cm="1">
        <f t="array" ref="H2036">_xlfn.IFS(B2036="Serviço",SUMIFS(H2037:$H$2465,C2037:$C$2465,$C2036),B2036="Insumo",F2036*G2036,B2036="Etapa","")</f>
        <v>22.95</v>
      </c>
      <c r="I2036" s="1082"/>
    </row>
    <row r="2037" spans="1:9" hidden="1" outlineLevel="2" x14ac:dyDescent="0.25">
      <c r="A2037" s="1079">
        <f t="shared" si="78"/>
        <v>56</v>
      </c>
      <c r="B2037" s="1079" t="s">
        <v>1362</v>
      </c>
      <c r="C2037" s="1079" t="str">
        <f t="shared" si="79"/>
        <v>Revestimento em Pedra Molero Aplicado em Fachadas</v>
      </c>
      <c r="D2037" s="1079" t="s">
        <v>1786</v>
      </c>
      <c r="E2037" s="1080" t="str">
        <f>_xlfn.XLOOKUP(D2037,Insumos!$B$1:$B$670,Insumos!$C$1:$C$670)</f>
        <v>UN</v>
      </c>
      <c r="F2037" s="1083">
        <v>4</v>
      </c>
      <c r="G2037" s="1081">
        <f>IF(B2037="insumo",_xlfn.XLOOKUP($D2037,Insumos!$B$1:$B$670,Insumos!$D$1:$D$670),"")</f>
        <v>0.08</v>
      </c>
      <c r="H2037" s="1081" cm="1">
        <f t="array" ref="H2037">_xlfn.IFS(B2037="Serviço",SUMIFS(H2038:$H$2465,C2038:$C$2465,$C2037),B2037="Insumo",F2037*G2037,B2037="Etapa","")</f>
        <v>0.32</v>
      </c>
      <c r="I2037" s="1082"/>
    </row>
    <row r="2038" spans="1:9" hidden="1" outlineLevel="2" x14ac:dyDescent="0.25">
      <c r="A2038" s="1079">
        <f t="shared" si="78"/>
        <v>50</v>
      </c>
      <c r="B2038" s="1079" t="s">
        <v>1362</v>
      </c>
      <c r="C2038" s="1079" t="str">
        <f t="shared" si="79"/>
        <v>Revestimento em Pedra Molero Aplicado em Fachadas</v>
      </c>
      <c r="D2038" s="1079" t="s">
        <v>1787</v>
      </c>
      <c r="E2038" s="1080" t="str">
        <f>_xlfn.XLOOKUP(D2038,Insumos!$B$1:$B$670,Insumos!$C$1:$C$670)</f>
        <v>KG</v>
      </c>
      <c r="F2038" s="1083">
        <v>0.5</v>
      </c>
      <c r="G2038" s="1081">
        <f>IF(B2038="insumo",_xlfn.XLOOKUP($D2038,Insumos!$B$1:$B$670,Insumos!$D$1:$D$670),"")</f>
        <v>11.15</v>
      </c>
      <c r="H2038" s="1081" cm="1">
        <f t="array" ref="H2038">_xlfn.IFS(B2038="Serviço",SUMIFS(H2039:$H$2465,C2039:$C$2465,$C2038),B2038="Insumo",F2038*G2038,B2038="Etapa","")</f>
        <v>5.5750000000000002</v>
      </c>
      <c r="I2038" s="1082"/>
    </row>
    <row r="2039" spans="1:9" hidden="1" outlineLevel="1" collapsed="1" x14ac:dyDescent="0.25">
      <c r="A2039" s="1079">
        <f t="shared" si="78"/>
        <v>1</v>
      </c>
      <c r="B2039" s="1079" t="s">
        <v>471</v>
      </c>
      <c r="C2039" s="1079" t="str">
        <f t="shared" si="79"/>
        <v>Revestimento em Porcelanato Portinari Natura OFW - 100 x 100 cm , rejunte cimentício, aplicação em Fachada</v>
      </c>
      <c r="D2039" s="1079" t="s">
        <v>2212</v>
      </c>
      <c r="E2039" s="1080" t="s">
        <v>17</v>
      </c>
      <c r="F2039" s="1079"/>
      <c r="G2039" s="1081" t="str">
        <f>IF(B2039="insumo",_xlfn.XLOOKUP($D2039,Insumos!$B$1:$B$670,Insumos!$D$1:$D$670),"")</f>
        <v/>
      </c>
      <c r="H2039" s="1081" cm="1">
        <f t="array" ref="H2039">_xlfn.IFS(B2039="Serviço",SUMIFS(H2040:$H$2465,C2040:$C$2465,$C2039),B2039="Insumo",F2039*G2039,B2039="Etapa","")</f>
        <v>433.14799999999997</v>
      </c>
      <c r="I2039" s="1082" t="s">
        <v>872</v>
      </c>
    </row>
    <row r="2040" spans="1:9" hidden="1" outlineLevel="2" x14ac:dyDescent="0.25">
      <c r="A2040" s="1079">
        <f t="shared" si="78"/>
        <v>1</v>
      </c>
      <c r="B2040" s="1079" t="s">
        <v>1362</v>
      </c>
      <c r="C2040" s="1079" t="str">
        <f t="shared" si="79"/>
        <v>Revestimento em Porcelanato Portinari Natura OFW - 100 x 100 cm , rejunte cimentício, aplicação em Fachada</v>
      </c>
      <c r="D2040" s="1079" t="s">
        <v>2213</v>
      </c>
      <c r="E2040" s="1080" t="str">
        <f>_xlfn.XLOOKUP(D2040,Insumos!$B$1:$B$670,Insumos!$C$1:$C$670)</f>
        <v>M2</v>
      </c>
      <c r="F2040" s="1095">
        <v>1.1000000000000001</v>
      </c>
      <c r="G2040" s="1081">
        <f>IF(B2040="insumo",_xlfn.XLOOKUP($D2040,Insumos!$B$1:$B$670,Insumos!$D$1:$D$670),"")</f>
        <v>372.9</v>
      </c>
      <c r="H2040" s="1081" cm="1">
        <f t="array" ref="H2040">_xlfn.IFS(B2040="Serviço",SUMIFS(H2041:$H$2465,C2041:$C$2465,$C2040),B2040="Insumo",F2040*G2040,B2040="Etapa","")</f>
        <v>410.19</v>
      </c>
      <c r="I2040" s="1082"/>
    </row>
    <row r="2041" spans="1:9" hidden="1" outlineLevel="2" x14ac:dyDescent="0.25">
      <c r="A2041" s="1079">
        <f t="shared" si="78"/>
        <v>87</v>
      </c>
      <c r="B2041" s="1079" t="s">
        <v>1362</v>
      </c>
      <c r="C2041" s="1079" t="str">
        <f t="shared" si="79"/>
        <v>Revestimento em Porcelanato Portinari Natura OFW - 100 x 100 cm , rejunte cimentício, aplicação em Fachada</v>
      </c>
      <c r="D2041" s="1079" t="s">
        <v>1762</v>
      </c>
      <c r="E2041" s="1080" t="str">
        <f>_xlfn.XLOOKUP(D2041,Insumos!$B$1:$B$670,Insumos!$C$1:$C$670)</f>
        <v>KG</v>
      </c>
      <c r="F2041" s="1095">
        <v>8.8000000000000007</v>
      </c>
      <c r="G2041" s="1081">
        <f>IF(B2041="insumo",_xlfn.XLOOKUP($D2041,Insumos!$B$1:$B$670,Insumos!$D$1:$D$670),"")</f>
        <v>2.5499999999999998</v>
      </c>
      <c r="H2041" s="1081" cm="1">
        <f t="array" ref="H2041">_xlfn.IFS(B2041="Serviço",SUMIFS(H2042:$H$2465,C2042:$C$2465,$C2041),B2041="Insumo",F2041*G2041,B2041="Etapa","")</f>
        <v>22.44</v>
      </c>
      <c r="I2041" s="1082"/>
    </row>
    <row r="2042" spans="1:9" hidden="1" outlineLevel="2" x14ac:dyDescent="0.25">
      <c r="A2042" s="1079">
        <f t="shared" si="78"/>
        <v>56</v>
      </c>
      <c r="B2042" s="1079" t="s">
        <v>1362</v>
      </c>
      <c r="C2042" s="1079" t="str">
        <f t="shared" si="79"/>
        <v>Revestimento em Porcelanato Portinari Natura OFW - 100 x 100 cm , rejunte cimentício, aplicação em Fachada</v>
      </c>
      <c r="D2042" s="1079" t="s">
        <v>1786</v>
      </c>
      <c r="E2042" s="1080" t="str">
        <f>_xlfn.XLOOKUP(D2042,Insumos!$B$1:$B$670,Insumos!$C$1:$C$670)</f>
        <v>UN</v>
      </c>
      <c r="F2042" s="1095">
        <v>1</v>
      </c>
      <c r="G2042" s="1081">
        <f>IF(B2042="insumo",_xlfn.XLOOKUP($D2042,Insumos!$B$1:$B$670,Insumos!$D$1:$D$670),"")</f>
        <v>0.08</v>
      </c>
      <c r="H2042" s="1081" cm="1">
        <f t="array" ref="H2042">_xlfn.IFS(B2042="Serviço",SUMIFS(H2043:$H$2465,C2043:$C$2465,$C2042),B2042="Insumo",F2042*G2042,B2042="Etapa","")</f>
        <v>0.08</v>
      </c>
      <c r="I2042" s="1082"/>
    </row>
    <row r="2043" spans="1:9" hidden="1" outlineLevel="2" x14ac:dyDescent="0.25">
      <c r="A2043" s="1079">
        <f t="shared" si="78"/>
        <v>13</v>
      </c>
      <c r="B2043" s="1079" t="s">
        <v>1362</v>
      </c>
      <c r="C2043" s="1079" t="str">
        <f t="shared" si="79"/>
        <v>Revestimento em Porcelanato Portinari Natura OFW - 100 x 100 cm , rejunte cimentício, aplicação em Fachada</v>
      </c>
      <c r="D2043" s="1079" t="s">
        <v>1950</v>
      </c>
      <c r="E2043" s="1080" t="str">
        <f>_xlfn.XLOOKUP(D2043,Insumos!$B$1:$B$670,Insumos!$C$1:$C$670)</f>
        <v>KG</v>
      </c>
      <c r="F2043" s="1095">
        <v>0.01</v>
      </c>
      <c r="G2043" s="1081">
        <f>IF(B2043="insumo",_xlfn.XLOOKUP($D2043,Insumos!$B$1:$B$670,Insumos!$D$1:$D$670),"")</f>
        <v>43.8</v>
      </c>
      <c r="H2043" s="1081" cm="1">
        <f t="array" ref="H2043">_xlfn.IFS(B2043="Serviço",SUMIFS(H2044:$H$2465,C2044:$C$2465,$C2043),B2043="Insumo",F2043*G2043,B2043="Etapa","")</f>
        <v>0.438</v>
      </c>
      <c r="I2043" s="1082"/>
    </row>
    <row r="2044" spans="1:9" hidden="1" outlineLevel="1" collapsed="1" x14ac:dyDescent="0.25">
      <c r="A2044" s="1079">
        <f t="shared" si="78"/>
        <v>1</v>
      </c>
      <c r="B2044" s="1079" t="s">
        <v>471</v>
      </c>
      <c r="C2044" s="1079" t="str">
        <f t="shared" si="79"/>
        <v>Revestimento em Porcelanato amadeirado, rejunte acrilico, aplicação em Fachada</v>
      </c>
      <c r="D2044" s="1079" t="s">
        <v>2214</v>
      </c>
      <c r="E2044" s="1080" t="s">
        <v>17</v>
      </c>
      <c r="F2044" s="1079"/>
      <c r="G2044" s="1081" t="str">
        <f>IF(B2044="insumo",_xlfn.XLOOKUP($D2044,Insumos!$B$1:$B$670,Insumos!$D$1:$D$670),"")</f>
        <v/>
      </c>
      <c r="H2044" s="1081" cm="1">
        <f t="array" ref="H2044">_xlfn.IFS(B2044="Serviço",SUMIFS(H2045:$H$2465,C2045:$C$2465,$C2044),B2044="Insumo",F2044*G2044,B2044="Etapa","")</f>
        <v>204.32300000000004</v>
      </c>
      <c r="I2044" s="1082" t="s">
        <v>872</v>
      </c>
    </row>
    <row r="2045" spans="1:9" hidden="1" outlineLevel="2" x14ac:dyDescent="0.25">
      <c r="A2045" s="1079">
        <f t="shared" si="78"/>
        <v>1</v>
      </c>
      <c r="B2045" s="1079" t="s">
        <v>1362</v>
      </c>
      <c r="C2045" s="1079" t="str">
        <f t="shared" si="79"/>
        <v>Revestimento em Porcelanato amadeirado, rejunte acrilico, aplicação em Fachada</v>
      </c>
      <c r="D2045" s="1079" t="s">
        <v>2215</v>
      </c>
      <c r="E2045" s="1080" t="str">
        <f>_xlfn.XLOOKUP(D2045,Insumos!$B$1:$B$670,Insumos!$C$1:$C$670)</f>
        <v>M2</v>
      </c>
      <c r="F2045" s="1095">
        <v>1.1000000000000001</v>
      </c>
      <c r="G2045" s="1081">
        <f>IF(B2045="insumo",_xlfn.XLOOKUP($D2045,Insumos!$B$1:$B$670,Insumos!$D$1:$D$670),"")</f>
        <v>165</v>
      </c>
      <c r="H2045" s="1081" cm="1">
        <f t="array" ref="H2045">_xlfn.IFS(B2045="Serviço",SUMIFS(H2046:$H$2465,C2046:$C$2465,$C2045),B2045="Insumo",F2045*G2045,B2045="Etapa","")</f>
        <v>181.50000000000003</v>
      </c>
      <c r="I2045" s="1082"/>
    </row>
    <row r="2046" spans="1:9" hidden="1" outlineLevel="2" x14ac:dyDescent="0.25">
      <c r="A2046" s="1079">
        <f t="shared" si="78"/>
        <v>87</v>
      </c>
      <c r="B2046" s="1079" t="s">
        <v>1362</v>
      </c>
      <c r="C2046" s="1079" t="str">
        <f t="shared" si="79"/>
        <v>Revestimento em Porcelanato amadeirado, rejunte acrilico, aplicação em Fachada</v>
      </c>
      <c r="D2046" s="1079" t="s">
        <v>1762</v>
      </c>
      <c r="E2046" s="1080" t="str">
        <f>_xlfn.XLOOKUP(D2046,Insumos!$B$1:$B$670,Insumos!$C$1:$C$670)</f>
        <v>KG</v>
      </c>
      <c r="F2046" s="1095">
        <v>8.8000000000000007</v>
      </c>
      <c r="G2046" s="1081">
        <f>IF(B2046="insumo",_xlfn.XLOOKUP($D2046,Insumos!$B$1:$B$670,Insumos!$D$1:$D$670),"")</f>
        <v>2.5499999999999998</v>
      </c>
      <c r="H2046" s="1081" cm="1">
        <f t="array" ref="H2046">_xlfn.IFS(B2046="Serviço",SUMIFS(H2047:$H$2465,C2047:$C$2465,$C2046),B2046="Insumo",F2046*G2046,B2046="Etapa","")</f>
        <v>22.44</v>
      </c>
      <c r="I2046" s="1082"/>
    </row>
    <row r="2047" spans="1:9" hidden="1" outlineLevel="2" x14ac:dyDescent="0.25">
      <c r="A2047" s="1079">
        <f t="shared" si="78"/>
        <v>56</v>
      </c>
      <c r="B2047" s="1079" t="s">
        <v>1362</v>
      </c>
      <c r="C2047" s="1079" t="str">
        <f t="shared" si="79"/>
        <v>Revestimento em Porcelanato amadeirado, rejunte acrilico, aplicação em Fachada</v>
      </c>
      <c r="D2047" s="1079" t="s">
        <v>1786</v>
      </c>
      <c r="E2047" s="1080" t="str">
        <f>_xlfn.XLOOKUP(D2047,Insumos!$B$1:$B$670,Insumos!$C$1:$C$670)</f>
        <v>UN</v>
      </c>
      <c r="F2047" s="1095">
        <v>2</v>
      </c>
      <c r="G2047" s="1081">
        <f>IF(B2047="insumo",_xlfn.XLOOKUP($D2047,Insumos!$B$1:$B$670,Insumos!$D$1:$D$670),"")</f>
        <v>0.08</v>
      </c>
      <c r="H2047" s="1081" cm="1">
        <f t="array" ref="H2047">_xlfn.IFS(B2047="Serviço",SUMIFS(H2048:$H$2465,C2048:$C$2465,$C2047),B2047="Insumo",F2047*G2047,B2047="Etapa","")</f>
        <v>0.16</v>
      </c>
      <c r="I2047" s="1082"/>
    </row>
    <row r="2048" spans="1:9" hidden="1" outlineLevel="2" x14ac:dyDescent="0.25">
      <c r="A2048" s="1079">
        <f t="shared" si="78"/>
        <v>50</v>
      </c>
      <c r="B2048" s="1079" t="s">
        <v>1362</v>
      </c>
      <c r="C2048" s="1079" t="str">
        <f t="shared" si="79"/>
        <v>Revestimento em Porcelanato amadeirado, rejunte acrilico, aplicação em Fachada</v>
      </c>
      <c r="D2048" s="1079" t="s">
        <v>1787</v>
      </c>
      <c r="E2048" s="1080" t="str">
        <f>_xlfn.XLOOKUP(D2048,Insumos!$B$1:$B$670,Insumos!$C$1:$C$670)</f>
        <v>KG</v>
      </c>
      <c r="F2048" s="1095">
        <v>0.02</v>
      </c>
      <c r="G2048" s="1081">
        <f>IF(B2048="insumo",_xlfn.XLOOKUP($D2048,Insumos!$B$1:$B$670,Insumos!$D$1:$D$670),"")</f>
        <v>11.15</v>
      </c>
      <c r="H2048" s="1081" cm="1">
        <f t="array" ref="H2048">_xlfn.IFS(B2048="Serviço",SUMIFS(H2049:$H$2465,C2049:$C$2465,$C2048),B2048="Insumo",F2048*G2048,B2048="Etapa","")</f>
        <v>0.223</v>
      </c>
      <c r="I2048" s="1082"/>
    </row>
    <row r="2049" spans="1:9" hidden="1" outlineLevel="1" collapsed="1" x14ac:dyDescent="0.25">
      <c r="A2049" s="1079">
        <f t="shared" si="78"/>
        <v>1</v>
      </c>
      <c r="B2049" s="1079" t="s">
        <v>471</v>
      </c>
      <c r="C2049" s="1079" t="str">
        <f t="shared" si="79"/>
        <v>Revestimento em Porcelanato Portobello - 30 x 30 cm , rejunte acrilico, aplicação em Fachada</v>
      </c>
      <c r="D2049" s="1079" t="s">
        <v>2216</v>
      </c>
      <c r="E2049" s="1080" t="s">
        <v>17</v>
      </c>
      <c r="F2049" s="1079"/>
      <c r="G2049" s="1081" t="str">
        <f>IF(B2049="insumo",_xlfn.XLOOKUP($D2049,Insumos!$B$1:$B$670,Insumos!$D$1:$D$670),"")</f>
        <v/>
      </c>
      <c r="H2049" s="1081" cm="1">
        <f t="array" ref="H2049">_xlfn.IFS(B2049="Serviço",SUMIFS(H2050:$H$2465,C2050:$C$2465,$C2049),B2049="Insumo",F2049*G2049,B2049="Etapa","")</f>
        <v>106.203</v>
      </c>
      <c r="I2049" s="1082" t="s">
        <v>872</v>
      </c>
    </row>
    <row r="2050" spans="1:9" hidden="1" outlineLevel="2" x14ac:dyDescent="0.25">
      <c r="A2050" s="1079">
        <f t="shared" ref="A2050:A2113" si="80">COUNTIFS($D$2:$D$2465,D2050,$B$2:$B$2465,B2050)</f>
        <v>1</v>
      </c>
      <c r="B2050" s="1079" t="s">
        <v>1362</v>
      </c>
      <c r="C2050" s="1079" t="str">
        <f t="shared" si="79"/>
        <v>Revestimento em Porcelanato Portobello - 30 x 30 cm , rejunte acrilico, aplicação em Fachada</v>
      </c>
      <c r="D2050" s="1079" t="s">
        <v>2217</v>
      </c>
      <c r="E2050" s="1080" t="str">
        <f>_xlfn.XLOOKUP(D2050,Insumos!$B$1:$B$670,Insumos!$C$1:$C$670)</f>
        <v>M2</v>
      </c>
      <c r="F2050" s="1095">
        <v>1.1000000000000001</v>
      </c>
      <c r="G2050" s="1081">
        <f>IF(B2050="insumo",_xlfn.XLOOKUP($D2050,Insumos!$B$1:$B$670,Insumos!$D$1:$D$670),"")</f>
        <v>75.8</v>
      </c>
      <c r="H2050" s="1081" cm="1">
        <f t="array" ref="H2050">_xlfn.IFS(B2050="Serviço",SUMIFS(H2051:$H$2465,C2051:$C$2465,$C2050),B2050="Insumo",F2050*G2050,B2050="Etapa","")</f>
        <v>83.38000000000001</v>
      </c>
      <c r="I2050" s="1082"/>
    </row>
    <row r="2051" spans="1:9" hidden="1" outlineLevel="2" x14ac:dyDescent="0.25">
      <c r="A2051" s="1079">
        <f t="shared" si="80"/>
        <v>87</v>
      </c>
      <c r="B2051" s="1079" t="s">
        <v>1362</v>
      </c>
      <c r="C2051" s="1079" t="str">
        <f t="shared" si="79"/>
        <v>Revestimento em Porcelanato Portobello - 30 x 30 cm , rejunte acrilico, aplicação em Fachada</v>
      </c>
      <c r="D2051" s="1079" t="s">
        <v>1762</v>
      </c>
      <c r="E2051" s="1080" t="str">
        <f>_xlfn.XLOOKUP(D2051,Insumos!$B$1:$B$670,Insumos!$C$1:$C$670)</f>
        <v>KG</v>
      </c>
      <c r="F2051" s="1095">
        <v>8.8000000000000007</v>
      </c>
      <c r="G2051" s="1081">
        <f>IF(B2051="insumo",_xlfn.XLOOKUP($D2051,Insumos!$B$1:$B$670,Insumos!$D$1:$D$670),"")</f>
        <v>2.5499999999999998</v>
      </c>
      <c r="H2051" s="1081" cm="1">
        <f t="array" ref="H2051">_xlfn.IFS(B2051="Serviço",SUMIFS(H2052:$H$2465,C2052:$C$2465,$C2051),B2051="Insumo",F2051*G2051,B2051="Etapa","")</f>
        <v>22.44</v>
      </c>
      <c r="I2051" s="1082"/>
    </row>
    <row r="2052" spans="1:9" hidden="1" outlineLevel="2" x14ac:dyDescent="0.25">
      <c r="A2052" s="1079">
        <f t="shared" si="80"/>
        <v>56</v>
      </c>
      <c r="B2052" s="1079" t="s">
        <v>1362</v>
      </c>
      <c r="C2052" s="1079" t="str">
        <f t="shared" si="79"/>
        <v>Revestimento em Porcelanato Portobello - 30 x 30 cm , rejunte acrilico, aplicação em Fachada</v>
      </c>
      <c r="D2052" s="1079" t="s">
        <v>1786</v>
      </c>
      <c r="E2052" s="1080" t="str">
        <f>_xlfn.XLOOKUP(D2052,Insumos!$B$1:$B$670,Insumos!$C$1:$C$670)</f>
        <v>UN</v>
      </c>
      <c r="F2052" s="1095">
        <v>2</v>
      </c>
      <c r="G2052" s="1081">
        <f>IF(B2052="insumo",_xlfn.XLOOKUP($D2052,Insumos!$B$1:$B$670,Insumos!$D$1:$D$670),"")</f>
        <v>0.08</v>
      </c>
      <c r="H2052" s="1081" cm="1">
        <f t="array" ref="H2052">_xlfn.IFS(B2052="Serviço",SUMIFS(H2053:$H$2465,C2053:$C$2465,$C2052),B2052="Insumo",F2052*G2052,B2052="Etapa","")</f>
        <v>0.16</v>
      </c>
      <c r="I2052" s="1082"/>
    </row>
    <row r="2053" spans="1:9" hidden="1" outlineLevel="2" x14ac:dyDescent="0.25">
      <c r="A2053" s="1079">
        <f t="shared" si="80"/>
        <v>50</v>
      </c>
      <c r="B2053" s="1079" t="s">
        <v>1362</v>
      </c>
      <c r="C2053" s="1079" t="str">
        <f t="shared" si="79"/>
        <v>Revestimento em Porcelanato Portobello - 30 x 30 cm , rejunte acrilico, aplicação em Fachada</v>
      </c>
      <c r="D2053" s="1079" t="s">
        <v>1787</v>
      </c>
      <c r="E2053" s="1080" t="str">
        <f>_xlfn.XLOOKUP(D2053,Insumos!$B$1:$B$670,Insumos!$C$1:$C$670)</f>
        <v>KG</v>
      </c>
      <c r="F2053" s="1095">
        <v>0.02</v>
      </c>
      <c r="G2053" s="1081">
        <f>IF(B2053="insumo",_xlfn.XLOOKUP($D2053,Insumos!$B$1:$B$670,Insumos!$D$1:$D$670),"")</f>
        <v>11.15</v>
      </c>
      <c r="H2053" s="1081" cm="1">
        <f t="array" ref="H2053">_xlfn.IFS(B2053="Serviço",SUMIFS(H2054:$H$2465,C2054:$C$2465,$C2053),B2053="Insumo",F2053*G2053,B2053="Etapa","")</f>
        <v>0.223</v>
      </c>
      <c r="I2053" s="1082"/>
    </row>
    <row r="2054" spans="1:9" hidden="1" outlineLevel="1" collapsed="1" x14ac:dyDescent="0.25">
      <c r="A2054" s="1079">
        <f t="shared" si="80"/>
        <v>1</v>
      </c>
      <c r="B2054" s="1079" t="s">
        <v>471</v>
      </c>
      <c r="C2054" s="1079" t="str">
        <f t="shared" si="79"/>
        <v>Revestimento em Porcelanato bege, rejunte acrilico, aplicação em Fachada</v>
      </c>
      <c r="D2054" s="1079" t="s">
        <v>2218</v>
      </c>
      <c r="E2054" s="1080" t="s">
        <v>17</v>
      </c>
      <c r="F2054" s="1079"/>
      <c r="G2054" s="1081" t="str">
        <f>IF(B2054="insumo",_xlfn.XLOOKUP($D2054,Insumos!$B$1:$B$670,Insumos!$D$1:$D$670),"")</f>
        <v/>
      </c>
      <c r="H2054" s="1081" cm="1">
        <f t="array" ref="H2054">_xlfn.IFS(B2054="Serviço",SUMIFS(H2055:$H$2465,C2055:$C$2465,$C2054),B2054="Insumo",F2054*G2054,B2054="Etapa","")</f>
        <v>113.023</v>
      </c>
      <c r="I2054" s="1082" t="s">
        <v>872</v>
      </c>
    </row>
    <row r="2055" spans="1:9" hidden="1" outlineLevel="2" x14ac:dyDescent="0.25">
      <c r="A2055" s="1079">
        <f t="shared" si="80"/>
        <v>5</v>
      </c>
      <c r="B2055" s="1079" t="s">
        <v>1362</v>
      </c>
      <c r="C2055" s="1079" t="str">
        <f t="shared" si="79"/>
        <v>Revestimento em Porcelanato bege, rejunte acrilico, aplicação em Fachada</v>
      </c>
      <c r="D2055" s="1079" t="s">
        <v>1952</v>
      </c>
      <c r="E2055" s="1080" t="str">
        <f>_xlfn.XLOOKUP(D2055,Insumos!$B$1:$B$670,Insumos!$C$1:$C$670)</f>
        <v>M2</v>
      </c>
      <c r="F2055" s="1095">
        <v>1.1000000000000001</v>
      </c>
      <c r="G2055" s="1081">
        <f>IF(B2055="insumo",_xlfn.XLOOKUP($D2055,Insumos!$B$1:$B$670,Insumos!$D$1:$D$670),"")</f>
        <v>82</v>
      </c>
      <c r="H2055" s="1081" cm="1">
        <f t="array" ref="H2055">_xlfn.IFS(B2055="Serviço",SUMIFS(H2056:$H$2465,C2056:$C$2465,$C2055),B2055="Insumo",F2055*G2055,B2055="Etapa","")</f>
        <v>90.2</v>
      </c>
      <c r="I2055" s="1082"/>
    </row>
    <row r="2056" spans="1:9" hidden="1" outlineLevel="2" x14ac:dyDescent="0.25">
      <c r="A2056" s="1079">
        <f t="shared" si="80"/>
        <v>87</v>
      </c>
      <c r="B2056" s="1079" t="s">
        <v>1362</v>
      </c>
      <c r="C2056" s="1079" t="str">
        <f t="shared" si="79"/>
        <v>Revestimento em Porcelanato bege, rejunte acrilico, aplicação em Fachada</v>
      </c>
      <c r="D2056" s="1079" t="s">
        <v>1762</v>
      </c>
      <c r="E2056" s="1080" t="str">
        <f>_xlfn.XLOOKUP(D2056,Insumos!$B$1:$B$670,Insumos!$C$1:$C$670)</f>
        <v>KG</v>
      </c>
      <c r="F2056" s="1095">
        <v>8.8000000000000007</v>
      </c>
      <c r="G2056" s="1081">
        <f>IF(B2056="insumo",_xlfn.XLOOKUP($D2056,Insumos!$B$1:$B$670,Insumos!$D$1:$D$670),"")</f>
        <v>2.5499999999999998</v>
      </c>
      <c r="H2056" s="1081" cm="1">
        <f t="array" ref="H2056">_xlfn.IFS(B2056="Serviço",SUMIFS(H2057:$H$2465,C2057:$C$2465,$C2056),B2056="Insumo",F2056*G2056,B2056="Etapa","")</f>
        <v>22.44</v>
      </c>
      <c r="I2056" s="1082"/>
    </row>
    <row r="2057" spans="1:9" hidden="1" outlineLevel="2" x14ac:dyDescent="0.25">
      <c r="A2057" s="1079">
        <f t="shared" si="80"/>
        <v>56</v>
      </c>
      <c r="B2057" s="1079" t="s">
        <v>1362</v>
      </c>
      <c r="C2057" s="1079" t="str">
        <f t="shared" si="79"/>
        <v>Revestimento em Porcelanato bege, rejunte acrilico, aplicação em Fachada</v>
      </c>
      <c r="D2057" s="1079" t="s">
        <v>1786</v>
      </c>
      <c r="E2057" s="1080" t="str">
        <f>_xlfn.XLOOKUP(D2057,Insumos!$B$1:$B$670,Insumos!$C$1:$C$670)</f>
        <v>UN</v>
      </c>
      <c r="F2057" s="1095">
        <v>2</v>
      </c>
      <c r="G2057" s="1081">
        <f>IF(B2057="insumo",_xlfn.XLOOKUP($D2057,Insumos!$B$1:$B$670,Insumos!$D$1:$D$670),"")</f>
        <v>0.08</v>
      </c>
      <c r="H2057" s="1081" cm="1">
        <f t="array" ref="H2057">_xlfn.IFS(B2057="Serviço",SUMIFS(H2058:$H$2465,C2058:$C$2465,$C2057),B2057="Insumo",F2057*G2057,B2057="Etapa","")</f>
        <v>0.16</v>
      </c>
      <c r="I2057" s="1082"/>
    </row>
    <row r="2058" spans="1:9" hidden="1" outlineLevel="2" x14ac:dyDescent="0.25">
      <c r="A2058" s="1079">
        <f t="shared" si="80"/>
        <v>50</v>
      </c>
      <c r="B2058" s="1079" t="s">
        <v>1362</v>
      </c>
      <c r="C2058" s="1079" t="str">
        <f t="shared" si="79"/>
        <v>Revestimento em Porcelanato bege, rejunte acrilico, aplicação em Fachada</v>
      </c>
      <c r="D2058" s="1079" t="s">
        <v>1787</v>
      </c>
      <c r="E2058" s="1080" t="str">
        <f>_xlfn.XLOOKUP(D2058,Insumos!$B$1:$B$670,Insumos!$C$1:$C$670)</f>
        <v>KG</v>
      </c>
      <c r="F2058" s="1095">
        <v>0.02</v>
      </c>
      <c r="G2058" s="1081">
        <f>IF(B2058="insumo",_xlfn.XLOOKUP($D2058,Insumos!$B$1:$B$670,Insumos!$D$1:$D$670),"")</f>
        <v>11.15</v>
      </c>
      <c r="H2058" s="1081" cm="1">
        <f t="array" ref="H2058">_xlfn.IFS(B2058="Serviço",SUMIFS(H2059:$H$2465,C2059:$C$2465,$C2058),B2058="Insumo",F2058*G2058,B2058="Etapa","")</f>
        <v>0.223</v>
      </c>
      <c r="I2058" s="1082"/>
    </row>
    <row r="2059" spans="1:9" hidden="1" outlineLevel="1" collapsed="1" x14ac:dyDescent="0.25">
      <c r="A2059" s="1079">
        <f t="shared" si="80"/>
        <v>1</v>
      </c>
      <c r="B2059" s="1079" t="s">
        <v>471</v>
      </c>
      <c r="C2059" s="1079" t="str">
        <f t="shared" si="79"/>
        <v>Revestimento em Vinilico, aplicação em Fachada - Material e  Mão de Obra</v>
      </c>
      <c r="D2059" s="1079" t="s">
        <v>2219</v>
      </c>
      <c r="E2059" s="1080" t="s">
        <v>17</v>
      </c>
      <c r="F2059" s="1079"/>
      <c r="G2059" s="1081" t="str">
        <f>IF(B2059="insumo",_xlfn.XLOOKUP($D2059,Insumos!$B$1:$B$670,Insumos!$D$1:$D$670),"")</f>
        <v/>
      </c>
      <c r="H2059" s="1081" cm="1">
        <f t="array" ref="H2059">_xlfn.IFS(B2059="Serviço",SUMIFS(H2060:$H$2465,C2060:$C$2465,$C2059),B2059="Insumo",F2059*G2059,B2059="Etapa","")</f>
        <v>165</v>
      </c>
      <c r="I2059" s="1082" t="s">
        <v>872</v>
      </c>
    </row>
    <row r="2060" spans="1:9" hidden="1" outlineLevel="2" x14ac:dyDescent="0.25">
      <c r="A2060" s="1079">
        <f t="shared" si="80"/>
        <v>3</v>
      </c>
      <c r="B2060" s="1079" t="s">
        <v>1362</v>
      </c>
      <c r="C2060" s="1079" t="str">
        <f t="shared" si="79"/>
        <v>Revestimento em Vinilico, aplicação em Fachada - Material e  Mão de Obra</v>
      </c>
      <c r="D2060" s="1079" t="s">
        <v>1996</v>
      </c>
      <c r="E2060" s="1080" t="str">
        <f>_xlfn.XLOOKUP(D2060,Insumos!$B$1:$B$670,Insumos!$C$1:$C$670)</f>
        <v>M2</v>
      </c>
      <c r="F2060" s="1095">
        <v>1.1000000000000001</v>
      </c>
      <c r="G2060" s="1081">
        <f>IF(B2060="insumo",_xlfn.XLOOKUP($D2060,Insumos!$B$1:$B$670,Insumos!$D$1:$D$670),"")</f>
        <v>150</v>
      </c>
      <c r="H2060" s="1081" cm="1">
        <f t="array" ref="H2060">_xlfn.IFS(B2060="Serviço",SUMIFS(H2061:$H$2465,C2061:$C$2465,$C2060),B2060="Insumo",F2060*G2060,B2060="Etapa","")</f>
        <v>165</v>
      </c>
      <c r="I2060" s="1082"/>
    </row>
    <row r="2061" spans="1:9" hidden="1" outlineLevel="1" collapsed="1" x14ac:dyDescent="0.25">
      <c r="A2061" s="1079">
        <f t="shared" si="80"/>
        <v>1</v>
      </c>
      <c r="B2061" s="1079" t="s">
        <v>471</v>
      </c>
      <c r="C2061" s="1079" t="str">
        <f t="shared" si="79"/>
        <v>Revestimento em cerâmica, rejunte acrilico, aplicação em Fachada</v>
      </c>
      <c r="D2061" s="1079" t="s">
        <v>2220</v>
      </c>
      <c r="E2061" s="1080" t="s">
        <v>17</v>
      </c>
      <c r="F2061" s="1079"/>
      <c r="G2061" s="1081" t="str">
        <f>IF(B2061="insumo",_xlfn.XLOOKUP($D2061,Insumos!$B$1:$B$670,Insumos!$D$1:$D$670),"")</f>
        <v/>
      </c>
      <c r="H2061" s="1081" cm="1">
        <f t="array" ref="H2061">_xlfn.IFS(B2061="Serviço",SUMIFS(H2062:$H$2465,C2062:$C$2465,$C2061),B2061="Insumo",F2061*G2061,B2061="Etapa","")</f>
        <v>41.522999999999996</v>
      </c>
      <c r="I2061" s="1082" t="s">
        <v>872</v>
      </c>
    </row>
    <row r="2062" spans="1:9" hidden="1" outlineLevel="2" x14ac:dyDescent="0.25">
      <c r="A2062" s="1079">
        <f t="shared" si="80"/>
        <v>1</v>
      </c>
      <c r="B2062" s="1079" t="s">
        <v>1362</v>
      </c>
      <c r="C2062" s="1079" t="str">
        <f t="shared" si="79"/>
        <v>Revestimento em cerâmica, rejunte acrilico, aplicação em Fachada</v>
      </c>
      <c r="D2062" s="1079" t="s">
        <v>2221</v>
      </c>
      <c r="E2062" s="1080" t="str">
        <f>_xlfn.XLOOKUP(D2062,Insumos!$B$1:$B$670,Insumos!$C$1:$C$670)</f>
        <v>M2</v>
      </c>
      <c r="F2062" s="1095">
        <v>1.1000000000000001</v>
      </c>
      <c r="G2062" s="1081">
        <f>IF(B2062="insumo",_xlfn.XLOOKUP($D2062,Insumos!$B$1:$B$670,Insumos!$D$1:$D$670),"")</f>
        <v>17</v>
      </c>
      <c r="H2062" s="1081" cm="1">
        <f t="array" ref="H2062">_xlfn.IFS(B2062="Serviço",SUMIFS(H2063:$H$2465,C2063:$C$2465,$C2062),B2062="Insumo",F2062*G2062,B2062="Etapa","")</f>
        <v>18.700000000000003</v>
      </c>
      <c r="I2062" s="1082"/>
    </row>
    <row r="2063" spans="1:9" hidden="1" outlineLevel="2" x14ac:dyDescent="0.25">
      <c r="A2063" s="1079">
        <f t="shared" si="80"/>
        <v>87</v>
      </c>
      <c r="B2063" s="1079" t="s">
        <v>1362</v>
      </c>
      <c r="C2063" s="1079" t="str">
        <f t="shared" si="79"/>
        <v>Revestimento em cerâmica, rejunte acrilico, aplicação em Fachada</v>
      </c>
      <c r="D2063" s="1079" t="s">
        <v>1762</v>
      </c>
      <c r="E2063" s="1080" t="str">
        <f>_xlfn.XLOOKUP(D2063,Insumos!$B$1:$B$670,Insumos!$C$1:$C$670)</f>
        <v>KG</v>
      </c>
      <c r="F2063" s="1095">
        <v>8.8000000000000007</v>
      </c>
      <c r="G2063" s="1081">
        <f>IF(B2063="insumo",_xlfn.XLOOKUP($D2063,Insumos!$B$1:$B$670,Insumos!$D$1:$D$670),"")</f>
        <v>2.5499999999999998</v>
      </c>
      <c r="H2063" s="1081" cm="1">
        <f t="array" ref="H2063">_xlfn.IFS(B2063="Serviço",SUMIFS(H2064:$H$2465,C2064:$C$2465,$C2063),B2063="Insumo",F2063*G2063,B2063="Etapa","")</f>
        <v>22.44</v>
      </c>
      <c r="I2063" s="1082"/>
    </row>
    <row r="2064" spans="1:9" hidden="1" outlineLevel="2" x14ac:dyDescent="0.25">
      <c r="A2064" s="1079">
        <f t="shared" si="80"/>
        <v>56</v>
      </c>
      <c r="B2064" s="1079" t="s">
        <v>1362</v>
      </c>
      <c r="C2064" s="1079" t="str">
        <f t="shared" si="79"/>
        <v>Revestimento em cerâmica, rejunte acrilico, aplicação em Fachada</v>
      </c>
      <c r="D2064" s="1079" t="s">
        <v>1786</v>
      </c>
      <c r="E2064" s="1080" t="str">
        <f>_xlfn.XLOOKUP(D2064,Insumos!$B$1:$B$670,Insumos!$C$1:$C$670)</f>
        <v>UN</v>
      </c>
      <c r="F2064" s="1095">
        <v>2</v>
      </c>
      <c r="G2064" s="1081">
        <f>IF(B2064="insumo",_xlfn.XLOOKUP($D2064,Insumos!$B$1:$B$670,Insumos!$D$1:$D$670),"")</f>
        <v>0.08</v>
      </c>
      <c r="H2064" s="1081" cm="1">
        <f t="array" ref="H2064">_xlfn.IFS(B2064="Serviço",SUMIFS(H2065:$H$2465,C2065:$C$2465,$C2064),B2064="Insumo",F2064*G2064,B2064="Etapa","")</f>
        <v>0.16</v>
      </c>
      <c r="I2064" s="1082"/>
    </row>
    <row r="2065" spans="1:9" hidden="1" outlineLevel="2" x14ac:dyDescent="0.25">
      <c r="A2065" s="1079">
        <f t="shared" si="80"/>
        <v>50</v>
      </c>
      <c r="B2065" s="1079" t="s">
        <v>1362</v>
      </c>
      <c r="C2065" s="1079" t="str">
        <f t="shared" si="79"/>
        <v>Revestimento em cerâmica, rejunte acrilico, aplicação em Fachada</v>
      </c>
      <c r="D2065" s="1079" t="s">
        <v>1787</v>
      </c>
      <c r="E2065" s="1080" t="str">
        <f>_xlfn.XLOOKUP(D2065,Insumos!$B$1:$B$670,Insumos!$C$1:$C$670)</f>
        <v>KG</v>
      </c>
      <c r="F2065" s="1095">
        <v>0.02</v>
      </c>
      <c r="G2065" s="1081">
        <f>IF(B2065="insumo",_xlfn.XLOOKUP($D2065,Insumos!$B$1:$B$670,Insumos!$D$1:$D$670),"")</f>
        <v>11.15</v>
      </c>
      <c r="H2065" s="1081" cm="1">
        <f t="array" ref="H2065">_xlfn.IFS(B2065="Serviço",SUMIFS(H2066:$H$2465,C2066:$C$2465,$C2065),B2065="Insumo",F2065*G2065,B2065="Etapa","")</f>
        <v>0.223</v>
      </c>
      <c r="I2065" s="1082"/>
    </row>
    <row r="2066" spans="1:9" hidden="1" outlineLevel="1" collapsed="1" x14ac:dyDescent="0.25">
      <c r="A2066" s="1079">
        <f t="shared" si="80"/>
        <v>1</v>
      </c>
      <c r="B2066" s="1079" t="s">
        <v>471</v>
      </c>
      <c r="C2066" s="1079" t="str">
        <f t="shared" si="79"/>
        <v>Painel metálico, aplicação em Fachada - Material e  Mão de Obra</v>
      </c>
      <c r="D2066" s="1079" t="s">
        <v>2222</v>
      </c>
      <c r="E2066" s="1080" t="s">
        <v>17</v>
      </c>
      <c r="F2066" s="1079"/>
      <c r="G2066" s="1081" t="str">
        <f>IF(B2066="insumo",_xlfn.XLOOKUP($D2066,Insumos!$B$1:$B$670,Insumos!$D$1:$D$670),"")</f>
        <v/>
      </c>
      <c r="H2066" s="1081" cm="1">
        <f t="array" ref="H2066">_xlfn.IFS(B2066="Serviço",SUMIFS(H2067:$H$2465,C2067:$C$2465,$C2066),B2066="Insumo",F2066*G2066,B2066="Etapa","")</f>
        <v>720</v>
      </c>
      <c r="I2066" s="1082" t="s">
        <v>872</v>
      </c>
    </row>
    <row r="2067" spans="1:9" hidden="1" outlineLevel="2" x14ac:dyDescent="0.25">
      <c r="A2067" s="1079">
        <f t="shared" si="80"/>
        <v>1</v>
      </c>
      <c r="B2067" s="1079" t="s">
        <v>1362</v>
      </c>
      <c r="C2067" s="1079" t="str">
        <f t="shared" si="79"/>
        <v>Painel metálico, aplicação em Fachada - Material e  Mão de Obra</v>
      </c>
      <c r="D2067" s="1079" t="s">
        <v>2222</v>
      </c>
      <c r="E2067" s="1080" t="str">
        <f>_xlfn.XLOOKUP(D2067,Insumos!$B$1:$B$670,Insumos!$C$1:$C$670)</f>
        <v>M2</v>
      </c>
      <c r="F2067" s="1095">
        <v>1</v>
      </c>
      <c r="G2067" s="1081">
        <f>IF(B2067="insumo",_xlfn.XLOOKUP($D2067,Insumos!$B$1:$B$670,Insumos!$D$1:$D$670),"")</f>
        <v>720</v>
      </c>
      <c r="H2067" s="1081" cm="1">
        <f t="array" ref="H2067">_xlfn.IFS(B2067="Serviço",SUMIFS(H2068:$H$2465,C2068:$C$2465,$C2067),B2067="Insumo",F2067*G2067,B2067="Etapa","")</f>
        <v>720</v>
      </c>
      <c r="I2067" s="1082"/>
    </row>
    <row r="2068" spans="1:9" hidden="1" outlineLevel="1" collapsed="1" x14ac:dyDescent="0.25">
      <c r="A2068" s="1079">
        <f t="shared" si="80"/>
        <v>1</v>
      </c>
      <c r="B2068" s="1079" t="s">
        <v>471</v>
      </c>
      <c r="C2068" s="1079" t="str">
        <f t="shared" si="79"/>
        <v>Painel metálico perfurado, aplicação em Fachada</v>
      </c>
      <c r="D2068" s="1079" t="s">
        <v>2223</v>
      </c>
      <c r="E2068" s="1080" t="s">
        <v>17</v>
      </c>
      <c r="F2068" s="1079"/>
      <c r="G2068" s="1081" t="str">
        <f>IF(B2068="insumo",_xlfn.XLOOKUP($D2068,Insumos!$B$1:$B$670,Insumos!$D$1:$D$670),"")</f>
        <v/>
      </c>
      <c r="H2068" s="1081" cm="1">
        <f t="array" ref="H2068">_xlfn.IFS(B2068="Serviço",SUMIFS(H2069:$H$2465,C2069:$C$2465,$C2068),B2068="Insumo",F2068*G2068,B2068="Etapa","")</f>
        <v>720</v>
      </c>
      <c r="I2068" s="1082" t="s">
        <v>872</v>
      </c>
    </row>
    <row r="2069" spans="1:9" hidden="1" outlineLevel="2" x14ac:dyDescent="0.25">
      <c r="A2069" s="1079">
        <f t="shared" si="80"/>
        <v>1</v>
      </c>
      <c r="B2069" s="1079" t="s">
        <v>1362</v>
      </c>
      <c r="C2069" s="1079" t="str">
        <f t="shared" si="79"/>
        <v>Painel metálico perfurado, aplicação em Fachada</v>
      </c>
      <c r="D2069" s="1079" t="s">
        <v>2223</v>
      </c>
      <c r="E2069" s="1080" t="str">
        <f>_xlfn.XLOOKUP(D2069,Insumos!$B$1:$B$670,Insumos!$C$1:$C$670)</f>
        <v>M2</v>
      </c>
      <c r="F2069" s="1095">
        <v>1</v>
      </c>
      <c r="G2069" s="1081">
        <f>IF(B2069="insumo",_xlfn.XLOOKUP($D2069,Insumos!$B$1:$B$670,Insumos!$D$1:$D$670),"")</f>
        <v>720</v>
      </c>
      <c r="H2069" s="1081" cm="1">
        <f t="array" ref="H2069">_xlfn.IFS(B2069="Serviço",SUMIFS(H2070:$H$2465,C2070:$C$2465,$C2069),B2069="Insumo",F2069*G2069,B2069="Etapa","")</f>
        <v>720</v>
      </c>
      <c r="I2069" s="1082"/>
    </row>
    <row r="2070" spans="1:9" hidden="1" outlineLevel="1" collapsed="1" x14ac:dyDescent="0.25">
      <c r="A2070" s="1079">
        <f t="shared" si="80"/>
        <v>1</v>
      </c>
      <c r="B2070" s="1079" t="s">
        <v>471</v>
      </c>
      <c r="C2070" s="1079" t="str">
        <f t="shared" si="79"/>
        <v>Revestimento em Cerâmico Tijolinho, aplicação em Fachada</v>
      </c>
      <c r="D2070" s="1079" t="s">
        <v>2224</v>
      </c>
      <c r="E2070" s="1080" t="s">
        <v>17</v>
      </c>
      <c r="F2070" s="1079"/>
      <c r="G2070" s="1081" t="str">
        <f>IF(B2070="insumo",_xlfn.XLOOKUP($D2070,Insumos!$B$1:$B$670,Insumos!$D$1:$D$670),"")</f>
        <v/>
      </c>
      <c r="H2070" s="1081" cm="1">
        <f t="array" ref="H2070">_xlfn.IFS(B2070="Serviço",SUMIFS(H2071:$H$2465,C2071:$C$2465,$C2070),B2070="Insumo",F2070*G2070,B2070="Etapa","")</f>
        <v>152.82599999999999</v>
      </c>
      <c r="I2070" s="1082" t="s">
        <v>872</v>
      </c>
    </row>
    <row r="2071" spans="1:9" hidden="1" outlineLevel="2" x14ac:dyDescent="0.25">
      <c r="A2071" s="1079">
        <f t="shared" si="80"/>
        <v>1</v>
      </c>
      <c r="B2071" s="1079" t="s">
        <v>1362</v>
      </c>
      <c r="C2071" s="1079" t="str">
        <f t="shared" si="79"/>
        <v>Revestimento em Cerâmico Tijolinho, aplicação em Fachada</v>
      </c>
      <c r="D2071" s="1079" t="s">
        <v>2225</v>
      </c>
      <c r="E2071" s="1080" t="str">
        <f>_xlfn.XLOOKUP(D2071,Insumos!$B$1:$B$670,Insumos!$C$1:$C$670)</f>
        <v>M2</v>
      </c>
      <c r="F2071" s="1083">
        <v>1.1000000000000001</v>
      </c>
      <c r="G2071" s="1081">
        <f>IF(B2071="insumo",_xlfn.XLOOKUP($D2071,Insumos!$B$1:$B$670,Insumos!$D$1:$D$670),"")</f>
        <v>112.71</v>
      </c>
      <c r="H2071" s="1081" cm="1">
        <f t="array" ref="H2071">_xlfn.IFS(B2071="Serviço",SUMIFS(H2072:$H$2465,C2072:$C$2465,$C2071),B2071="Insumo",F2071*G2071,B2071="Etapa","")</f>
        <v>123.98100000000001</v>
      </c>
      <c r="I2071" s="1082"/>
    </row>
    <row r="2072" spans="1:9" hidden="1" outlineLevel="2" x14ac:dyDescent="0.25">
      <c r="A2072" s="1079">
        <f t="shared" si="80"/>
        <v>87</v>
      </c>
      <c r="B2072" s="1079" t="s">
        <v>1362</v>
      </c>
      <c r="C2072" s="1079" t="str">
        <f t="shared" si="79"/>
        <v>Revestimento em Cerâmico Tijolinho, aplicação em Fachada</v>
      </c>
      <c r="D2072" s="1079" t="s">
        <v>1762</v>
      </c>
      <c r="E2072" s="1080" t="str">
        <f>_xlfn.XLOOKUP(D2072,Insumos!$B$1:$B$670,Insumos!$C$1:$C$670)</f>
        <v>KG</v>
      </c>
      <c r="F2072" s="1083">
        <v>9</v>
      </c>
      <c r="G2072" s="1081">
        <f>IF(B2072="insumo",_xlfn.XLOOKUP($D2072,Insumos!$B$1:$B$670,Insumos!$D$1:$D$670),"")</f>
        <v>2.5499999999999998</v>
      </c>
      <c r="H2072" s="1081" cm="1">
        <f t="array" ref="H2072">_xlfn.IFS(B2072="Serviço",SUMIFS(H2073:$H$2465,C2073:$C$2465,$C2072),B2072="Insumo",F2072*G2072,B2072="Etapa","")</f>
        <v>22.95</v>
      </c>
      <c r="I2072" s="1082"/>
    </row>
    <row r="2073" spans="1:9" hidden="1" outlineLevel="2" x14ac:dyDescent="0.25">
      <c r="A2073" s="1079">
        <f t="shared" si="80"/>
        <v>56</v>
      </c>
      <c r="B2073" s="1079" t="s">
        <v>1362</v>
      </c>
      <c r="C2073" s="1079" t="str">
        <f t="shared" si="79"/>
        <v>Revestimento em Cerâmico Tijolinho, aplicação em Fachada</v>
      </c>
      <c r="D2073" s="1079" t="s">
        <v>1786</v>
      </c>
      <c r="E2073" s="1080" t="str">
        <f>_xlfn.XLOOKUP(D2073,Insumos!$B$1:$B$670,Insumos!$C$1:$C$670)</f>
        <v>UN</v>
      </c>
      <c r="F2073" s="1083">
        <v>4</v>
      </c>
      <c r="G2073" s="1081">
        <f>IF(B2073="insumo",_xlfn.XLOOKUP($D2073,Insumos!$B$1:$B$670,Insumos!$D$1:$D$670),"")</f>
        <v>0.08</v>
      </c>
      <c r="H2073" s="1081" cm="1">
        <f t="array" ref="H2073">_xlfn.IFS(B2073="Serviço",SUMIFS(H2074:$H$2465,C2074:$C$2465,$C2073),B2073="Insumo",F2073*G2073,B2073="Etapa","")</f>
        <v>0.32</v>
      </c>
      <c r="I2073" s="1082"/>
    </row>
    <row r="2074" spans="1:9" hidden="1" outlineLevel="2" x14ac:dyDescent="0.25">
      <c r="A2074" s="1079">
        <f t="shared" si="80"/>
        <v>50</v>
      </c>
      <c r="B2074" s="1079" t="s">
        <v>1362</v>
      </c>
      <c r="C2074" s="1079" t="str">
        <f t="shared" si="79"/>
        <v>Revestimento em Cerâmico Tijolinho, aplicação em Fachada</v>
      </c>
      <c r="D2074" s="1079" t="s">
        <v>1787</v>
      </c>
      <c r="E2074" s="1080" t="str">
        <f>_xlfn.XLOOKUP(D2074,Insumos!$B$1:$B$670,Insumos!$C$1:$C$670)</f>
        <v>KG</v>
      </c>
      <c r="F2074" s="1083">
        <v>0.5</v>
      </c>
      <c r="G2074" s="1081">
        <f>IF(B2074="insumo",_xlfn.XLOOKUP($D2074,Insumos!$B$1:$B$670,Insumos!$D$1:$D$670),"")</f>
        <v>11.15</v>
      </c>
      <c r="H2074" s="1081" cm="1">
        <f t="array" ref="H2074">_xlfn.IFS(B2074="Serviço",SUMIFS(H2075:$H$2465,C2075:$C$2465,$C2074),B2074="Insumo",F2074*G2074,B2074="Etapa","")</f>
        <v>5.5750000000000002</v>
      </c>
      <c r="I2074" s="1082"/>
    </row>
    <row r="2075" spans="1:9" hidden="1" outlineLevel="1" collapsed="1" x14ac:dyDescent="0.25">
      <c r="A2075" s="1079">
        <f t="shared" si="80"/>
        <v>1</v>
      </c>
      <c r="B2075" s="1079" t="s">
        <v>471</v>
      </c>
      <c r="C2075" s="1079" t="str">
        <f t="shared" si="79"/>
        <v>Revestimento Tresuno Concreto Ripado Cinza</v>
      </c>
      <c r="D2075" s="1079" t="s">
        <v>2226</v>
      </c>
      <c r="E2075" s="1080" t="s">
        <v>17</v>
      </c>
      <c r="F2075" s="1079"/>
      <c r="G2075" s="1081" t="str">
        <f>IF(B2075="insumo",_xlfn.XLOOKUP($D2075,Insumos!$B$1:$B$670,Insumos!$D$1:$D$670),"")</f>
        <v/>
      </c>
      <c r="H2075" s="1081" cm="1">
        <f t="array" ref="H2075">_xlfn.IFS(B2075="Serviço",SUMIFS(H2076:$H$2465,C2076:$C$2465,$C2075),B2075="Insumo",F2075*G2075,B2075="Etapa","")</f>
        <v>336.84499999999997</v>
      </c>
      <c r="I2075" s="1082" t="s">
        <v>872</v>
      </c>
    </row>
    <row r="2076" spans="1:9" hidden="1" outlineLevel="2" x14ac:dyDescent="0.25">
      <c r="A2076" s="1079">
        <f t="shared" si="80"/>
        <v>1</v>
      </c>
      <c r="B2076" s="1079" t="s">
        <v>1362</v>
      </c>
      <c r="C2076" s="1079" t="str">
        <f t="shared" si="79"/>
        <v>Revestimento Tresuno Concreto Ripado Cinza</v>
      </c>
      <c r="D2076" s="1079" t="s">
        <v>2227</v>
      </c>
      <c r="E2076" s="1080" t="str">
        <f>_xlfn.XLOOKUP(D2076,Insumos!$B$1:$B$670,Insumos!$C$1:$C$670)</f>
        <v>M2</v>
      </c>
      <c r="F2076" s="1083">
        <v>1.1000000000000001</v>
      </c>
      <c r="G2076" s="1081">
        <f>IF(B2076="insumo",_xlfn.XLOOKUP($D2076,Insumos!$B$1:$B$670,Insumos!$D$1:$D$670),"")</f>
        <v>280</v>
      </c>
      <c r="H2076" s="1081" cm="1">
        <f t="array" ref="H2076">_xlfn.IFS(B2076="Serviço",SUMIFS(H2077:$H$2465,C2077:$C$2465,$C2076),B2076="Insumo",F2076*G2076,B2076="Etapa","")</f>
        <v>308</v>
      </c>
      <c r="I2076" s="1082"/>
    </row>
    <row r="2077" spans="1:9" hidden="1" outlineLevel="2" x14ac:dyDescent="0.25">
      <c r="A2077" s="1079">
        <f t="shared" si="80"/>
        <v>87</v>
      </c>
      <c r="B2077" s="1079" t="s">
        <v>1362</v>
      </c>
      <c r="C2077" s="1079" t="str">
        <f t="shared" si="79"/>
        <v>Revestimento Tresuno Concreto Ripado Cinza</v>
      </c>
      <c r="D2077" s="1079" t="s">
        <v>1762</v>
      </c>
      <c r="E2077" s="1080" t="str">
        <f>_xlfn.XLOOKUP(D2077,Insumos!$B$1:$B$670,Insumos!$C$1:$C$670)</f>
        <v>KG</v>
      </c>
      <c r="F2077" s="1083">
        <v>9</v>
      </c>
      <c r="G2077" s="1081">
        <f>IF(B2077="insumo",_xlfn.XLOOKUP($D2077,Insumos!$B$1:$B$670,Insumos!$D$1:$D$670),"")</f>
        <v>2.5499999999999998</v>
      </c>
      <c r="H2077" s="1081" cm="1">
        <f t="array" ref="H2077">_xlfn.IFS(B2077="Serviço",SUMIFS(H2078:$H$2465,C2078:$C$2465,$C2077),B2077="Insumo",F2077*G2077,B2077="Etapa","")</f>
        <v>22.95</v>
      </c>
      <c r="I2077" s="1082"/>
    </row>
    <row r="2078" spans="1:9" hidden="1" outlineLevel="2" x14ac:dyDescent="0.25">
      <c r="A2078" s="1079">
        <f t="shared" si="80"/>
        <v>56</v>
      </c>
      <c r="B2078" s="1079" t="s">
        <v>1362</v>
      </c>
      <c r="C2078" s="1079" t="str">
        <f t="shared" si="79"/>
        <v>Revestimento Tresuno Concreto Ripado Cinza</v>
      </c>
      <c r="D2078" s="1079" t="s">
        <v>1786</v>
      </c>
      <c r="E2078" s="1080" t="str">
        <f>_xlfn.XLOOKUP(D2078,Insumos!$B$1:$B$670,Insumos!$C$1:$C$670)</f>
        <v>UN</v>
      </c>
      <c r="F2078" s="1083">
        <v>4</v>
      </c>
      <c r="G2078" s="1081">
        <f>IF(B2078="insumo",_xlfn.XLOOKUP($D2078,Insumos!$B$1:$B$670,Insumos!$D$1:$D$670),"")</f>
        <v>0.08</v>
      </c>
      <c r="H2078" s="1081" cm="1">
        <f t="array" ref="H2078">_xlfn.IFS(B2078="Serviço",SUMIFS(H2079:$H$2465,C2079:$C$2465,$C2078),B2078="Insumo",F2078*G2078,B2078="Etapa","")</f>
        <v>0.32</v>
      </c>
      <c r="I2078" s="1082"/>
    </row>
    <row r="2079" spans="1:9" hidden="1" outlineLevel="2" x14ac:dyDescent="0.25">
      <c r="A2079" s="1079">
        <f t="shared" si="80"/>
        <v>50</v>
      </c>
      <c r="B2079" s="1079" t="s">
        <v>1362</v>
      </c>
      <c r="C2079" s="1079" t="str">
        <f t="shared" si="79"/>
        <v>Revestimento Tresuno Concreto Ripado Cinza</v>
      </c>
      <c r="D2079" s="1079" t="s">
        <v>1787</v>
      </c>
      <c r="E2079" s="1080" t="str">
        <f>_xlfn.XLOOKUP(D2079,Insumos!$B$1:$B$670,Insumos!$C$1:$C$670)</f>
        <v>KG</v>
      </c>
      <c r="F2079" s="1083">
        <v>0.5</v>
      </c>
      <c r="G2079" s="1081">
        <f>IF(B2079="insumo",_xlfn.XLOOKUP($D2079,Insumos!$B$1:$B$670,Insumos!$D$1:$D$670),"")</f>
        <v>11.15</v>
      </c>
      <c r="H2079" s="1081" cm="1">
        <f t="array" ref="H2079">_xlfn.IFS(B2079="Serviço",SUMIFS(H2080:$H$2465,C2080:$C$2465,$C2079),B2079="Insumo",F2079*G2079,B2079="Etapa","")</f>
        <v>5.5750000000000002</v>
      </c>
      <c r="I2079" s="1082"/>
    </row>
    <row r="2080" spans="1:9" hidden="1" outlineLevel="1" collapsed="1" x14ac:dyDescent="0.25">
      <c r="A2080" s="1079">
        <f t="shared" si="80"/>
        <v>1</v>
      </c>
      <c r="B2080" s="1079" t="s">
        <v>471</v>
      </c>
      <c r="C2080" s="1079" t="str">
        <f t="shared" si="79"/>
        <v>Chapisco externo aplicados em alvenaria, com argamassa estabilizada, aplicação convencional.</v>
      </c>
      <c r="D2080" s="1079" t="s">
        <v>1330</v>
      </c>
      <c r="E2080" s="1080" t="s">
        <v>17</v>
      </c>
      <c r="F2080" s="1079"/>
      <c r="G2080" s="1081" t="str">
        <f>IF(B2080="insumo",_xlfn.XLOOKUP($D2080,Insumos!$B$1:$B$670,Insumos!$D$1:$D$670),"")</f>
        <v/>
      </c>
      <c r="H2080" s="1081" cm="1">
        <f t="array" ref="H2080">_xlfn.IFS(B2080="Serviço",SUMIFS(H2081:$H$2465,C2081:$C$2465,$C2080),B2080="Insumo",F2080*G2080,B2080="Etapa","")</f>
        <v>2.6597339999999998</v>
      </c>
      <c r="I2080" s="1082" t="s">
        <v>872</v>
      </c>
    </row>
    <row r="2081" spans="1:9" ht="18" hidden="1" outlineLevel="2" x14ac:dyDescent="0.25">
      <c r="A2081" s="1079">
        <f t="shared" si="80"/>
        <v>2</v>
      </c>
      <c r="B2081" s="1079" t="s">
        <v>1362</v>
      </c>
      <c r="C2081" s="1079" t="str">
        <f t="shared" si="79"/>
        <v>Chapisco externo aplicados em alvenaria, com argamassa estabilizada, aplicação convencional.</v>
      </c>
      <c r="D2081" s="1094" t="s">
        <v>1766</v>
      </c>
      <c r="E2081" s="1080" t="str">
        <f>_xlfn.XLOOKUP(D2081,Insumos!$B$1:$B$670,Insumos!$C$1:$C$670)</f>
        <v>M3</v>
      </c>
      <c r="F2081" s="1083">
        <v>4.1999999999999997E-3</v>
      </c>
      <c r="G2081" s="1081">
        <f>IF(B2081="insumo",_xlfn.XLOOKUP($D2081,Insumos!$B$1:$B$670,Insumos!$D$1:$D$670),"")</f>
        <v>633.27</v>
      </c>
      <c r="H2081" s="1081" cm="1">
        <f t="array" ref="H2081">_xlfn.IFS(B2081="Serviço",SUMIFS(H2082:$H$2465,C2082:$C$2465,$C2081),B2081="Insumo",F2081*G2081,B2081="Etapa","")</f>
        <v>2.6597339999999998</v>
      </c>
      <c r="I2081" s="1082"/>
    </row>
    <row r="2082" spans="1:9" hidden="1" outlineLevel="1" collapsed="1" x14ac:dyDescent="0.25">
      <c r="A2082" s="1079">
        <f t="shared" si="80"/>
        <v>1</v>
      </c>
      <c r="B2082" s="1079" t="s">
        <v>471</v>
      </c>
      <c r="C2082" s="1079" t="str">
        <f t="shared" si="79"/>
        <v>Substrutura de alumínio para fachada ventilada</v>
      </c>
      <c r="D2082" s="1079" t="s">
        <v>2228</v>
      </c>
      <c r="E2082" s="1080" t="s">
        <v>17</v>
      </c>
      <c r="F2082" s="1079"/>
      <c r="G2082" s="1081" t="str">
        <f>IF(B2082="insumo",_xlfn.XLOOKUP($D2082,Insumos!$B$1:$B$670,Insumos!$D$1:$D$670),"")</f>
        <v/>
      </c>
      <c r="H2082" s="1081" cm="1">
        <f t="array" ref="H2082">_xlfn.IFS(B2082="Serviço",SUMIFS(H2083:$H$2465,C2083:$C$2465,$C2082),B2082="Insumo",F2082*G2082,B2082="Etapa","")</f>
        <v>702.08</v>
      </c>
      <c r="I2082" s="1082" t="s">
        <v>872</v>
      </c>
    </row>
    <row r="2083" spans="1:9" hidden="1" outlineLevel="2" x14ac:dyDescent="0.25">
      <c r="A2083" s="1079">
        <f t="shared" si="80"/>
        <v>1</v>
      </c>
      <c r="B2083" s="1079" t="s">
        <v>1362</v>
      </c>
      <c r="C2083" s="1079" t="str">
        <f t="shared" si="79"/>
        <v>Substrutura de alumínio para fachada ventilada</v>
      </c>
      <c r="D2083" s="1094" t="s">
        <v>2229</v>
      </c>
      <c r="E2083" s="1080" t="s">
        <v>17</v>
      </c>
      <c r="F2083" s="1083">
        <v>1</v>
      </c>
      <c r="G2083" s="1081">
        <f>IF(B2083="insumo",_xlfn.XLOOKUP($D2083,Insumos!$B$1:$B$670,Insumos!$D$1:$D$670),"")</f>
        <v>702.08</v>
      </c>
      <c r="H2083" s="1081" cm="1">
        <f t="array" ref="H2083">_xlfn.IFS(B2083="Serviço",SUMIFS(H2084:$H$2465,C2084:$C$2465,$C2083),B2083="Insumo",F2083*G2083,B2083="Etapa","")</f>
        <v>702.08</v>
      </c>
      <c r="I2083" s="1082"/>
    </row>
    <row r="2084" spans="1:9" hidden="1" outlineLevel="1" collapsed="1" x14ac:dyDescent="0.25">
      <c r="A2084" s="1079">
        <f t="shared" si="80"/>
        <v>1</v>
      </c>
      <c r="B2084" s="1079" t="s">
        <v>471</v>
      </c>
      <c r="C2084" s="1079" t="str">
        <f t="shared" si="79"/>
        <v>Acabamento em Porcelanato 1,20x60 para fachada ventilada</v>
      </c>
      <c r="D2084" s="1079" t="s">
        <v>2230</v>
      </c>
      <c r="E2084" s="1080" t="s">
        <v>17</v>
      </c>
      <c r="F2084" s="1079"/>
      <c r="G2084" s="1081" t="str">
        <f>IF(B2084="insumo",_xlfn.XLOOKUP($D2084,Insumos!$B$1:$B$670,Insumos!$D$1:$D$670),"")</f>
        <v/>
      </c>
      <c r="H2084" s="1081" cm="1">
        <f t="array" ref="H2084">_xlfn.IFS(B2084="Serviço",SUMIFS(H2085:$H$2465,C2085:$C$2465,$C2084),B2084="Insumo",F2084*G2084,B2084="Etapa","")</f>
        <v>332.39</v>
      </c>
      <c r="I2084" s="1082" t="s">
        <v>872</v>
      </c>
    </row>
    <row r="2085" spans="1:9" hidden="1" outlineLevel="2" x14ac:dyDescent="0.25">
      <c r="A2085" s="1079">
        <f t="shared" si="80"/>
        <v>1</v>
      </c>
      <c r="B2085" s="1079" t="s">
        <v>1362</v>
      </c>
      <c r="C2085" s="1079" t="str">
        <f t="shared" si="79"/>
        <v>Acabamento em Porcelanato 1,20x60 para fachada ventilada</v>
      </c>
      <c r="D2085" s="1079" t="s">
        <v>2231</v>
      </c>
      <c r="E2085" s="1080" t="str">
        <f>_xlfn.XLOOKUP(D2085,Insumos!$B$1:$B$670,Insumos!$C$1:$C$670)</f>
        <v>M2</v>
      </c>
      <c r="F2085" s="1083">
        <v>1</v>
      </c>
      <c r="G2085" s="1081">
        <f>IF(B2085="insumo",_xlfn.XLOOKUP($D2085,Insumos!$B$1:$B$670,Insumos!$D$1:$D$670),"")</f>
        <v>246.84</v>
      </c>
      <c r="H2085" s="1081" cm="1">
        <f t="array" ref="H2085">_xlfn.IFS(B2085="Serviço",SUMIFS(H2086:$H$2465,C2086:$C$2465,$C2085),B2085="Insumo",F2085*G2085,B2085="Etapa","")</f>
        <v>246.84</v>
      </c>
      <c r="I2085" s="1082"/>
    </row>
    <row r="2086" spans="1:9" hidden="1" outlineLevel="2" x14ac:dyDescent="0.25">
      <c r="A2086" s="1079">
        <f t="shared" si="80"/>
        <v>1</v>
      </c>
      <c r="B2086" s="1079" t="s">
        <v>1362</v>
      </c>
      <c r="C2086" s="1079" t="str">
        <f t="shared" si="79"/>
        <v>Acabamento em Porcelanato 1,20x60 para fachada ventilada</v>
      </c>
      <c r="D2086" s="1094" t="s">
        <v>2232</v>
      </c>
      <c r="E2086" s="1080" t="str">
        <f>_xlfn.XLOOKUP(D2086,Insumos!$B$1:$B$670,Insumos!$C$1:$C$670)</f>
        <v>m2</v>
      </c>
      <c r="F2086" s="1083">
        <v>1</v>
      </c>
      <c r="G2086" s="1081">
        <f>IF(B2086="insumo",_xlfn.XLOOKUP($D2086,Insumos!$B$1:$B$670,Insumos!$D$1:$D$670),"")</f>
        <v>85.55</v>
      </c>
      <c r="H2086" s="1081" cm="1">
        <f t="array" ref="H2086">_xlfn.IFS(B2086="Serviço",SUMIFS(H2087:$H$2465,C2087:$C$2465,$C2086),B2086="Insumo",F2086*G2086,B2086="Etapa","")</f>
        <v>85.55</v>
      </c>
      <c r="I2086" s="1082"/>
    </row>
    <row r="2087" spans="1:9" hidden="1" outlineLevel="1" collapsed="1" x14ac:dyDescent="0.25">
      <c r="A2087" s="1079">
        <f t="shared" si="80"/>
        <v>1</v>
      </c>
      <c r="B2087" s="1079" t="s">
        <v>471</v>
      </c>
      <c r="C2087" s="1079" t="str">
        <f t="shared" si="79"/>
        <v>Chapisco externo de argamassa pré-fabricada adesiva de cimento colante - aplicação rolada em paredes externas</v>
      </c>
      <c r="D2087" s="1079" t="s">
        <v>893</v>
      </c>
      <c r="E2087" s="1080" t="s">
        <v>17</v>
      </c>
      <c r="F2087" s="1079"/>
      <c r="G2087" s="1081" t="str">
        <f>IF(B2087="insumo",_xlfn.XLOOKUP($D2087,Insumos!$B$1:$B$670,Insumos!$D$1:$D$670),"")</f>
        <v/>
      </c>
      <c r="H2087" s="1081" cm="1">
        <f t="array" ref="H2087">_xlfn.IFS(B2087="Serviço",SUMIFS(H2088:$H$2465,C2088:$C$2465,$C2087),B2087="Insumo",F2087*G2087,B2087="Etapa","")</f>
        <v>19.535849999999996</v>
      </c>
      <c r="I2087" s="1082" t="s">
        <v>872</v>
      </c>
    </row>
    <row r="2088" spans="1:9" hidden="1" outlineLevel="2" x14ac:dyDescent="0.25">
      <c r="A2088" s="1079">
        <f t="shared" si="80"/>
        <v>87</v>
      </c>
      <c r="B2088" s="1079" t="s">
        <v>1362</v>
      </c>
      <c r="C2088" s="1079" t="str">
        <f t="shared" si="79"/>
        <v>Chapisco externo de argamassa pré-fabricada adesiva de cimento colante - aplicação rolada em paredes externas</v>
      </c>
      <c r="D2088" s="1079" t="s">
        <v>1762</v>
      </c>
      <c r="E2088" s="1080" t="str">
        <f>_xlfn.XLOOKUP(D2088,Insumos!$B$1:$B$670,Insumos!$C$1:$C$670)</f>
        <v>KG</v>
      </c>
      <c r="F2088" s="1083">
        <v>6.34</v>
      </c>
      <c r="G2088" s="1081">
        <f>IF(B2088="insumo",_xlfn.XLOOKUP($D2088,Insumos!$B$1:$B$670,Insumos!$D$1:$D$670),"")</f>
        <v>2.5499999999999998</v>
      </c>
      <c r="H2088" s="1081" cm="1">
        <f t="array" ref="H2088">_xlfn.IFS(B2088="Serviço",SUMIFS(H2089:$H$2465,C2089:$C$2465,$C2088),B2088="Insumo",F2088*G2088,B2088="Etapa","")</f>
        <v>16.166999999999998</v>
      </c>
      <c r="I2088" s="1082"/>
    </row>
    <row r="2089" spans="1:9" hidden="1" outlineLevel="2" x14ac:dyDescent="0.25">
      <c r="A2089" s="1079">
        <f t="shared" si="80"/>
        <v>4</v>
      </c>
      <c r="B2089" s="1079" t="s">
        <v>1362</v>
      </c>
      <c r="C2089" s="1079" t="str">
        <f t="shared" si="79"/>
        <v>Chapisco externo de argamassa pré-fabricada adesiva de cimento colante - aplicação rolada em paredes externas</v>
      </c>
      <c r="D2089" s="1079" t="s">
        <v>1764</v>
      </c>
      <c r="E2089" s="1080" t="str">
        <f>_xlfn.XLOOKUP(D2089,Insumos!$B$1:$B$670,Insumos!$C$1:$C$670)</f>
        <v>KG</v>
      </c>
      <c r="F2089" s="1083">
        <v>0.3</v>
      </c>
      <c r="G2089" s="1081">
        <f>IF(B2089="insumo",_xlfn.XLOOKUP($D2089,Insumos!$B$1:$B$670,Insumos!$D$1:$D$670),"")</f>
        <v>11.2295</v>
      </c>
      <c r="H2089" s="1081" cm="1">
        <f t="array" ref="H2089">_xlfn.IFS(B2089="Serviço",SUMIFS(H2090:$H$2465,C2090:$C$2465,$C2089),B2089="Insumo",F2089*G2089,B2089="Etapa","")</f>
        <v>3.3688499999999997</v>
      </c>
      <c r="I2089" s="1082"/>
    </row>
    <row r="2090" spans="1:9" hidden="1" outlineLevel="1" collapsed="1" x14ac:dyDescent="0.25">
      <c r="A2090" s="1079">
        <f t="shared" si="80"/>
        <v>1</v>
      </c>
      <c r="B2090" s="1079" t="s">
        <v>471</v>
      </c>
      <c r="C2090" s="1079" t="str">
        <f t="shared" ref="C2090:C2153" si="81">IF(B2090="serviço",D2090,C2089)</f>
        <v>Massa unica para reboco externo em Argamassa preparada em central / usinada, espessura de 35mm</v>
      </c>
      <c r="D2090" s="1079" t="s">
        <v>894</v>
      </c>
      <c r="E2090" s="1080" t="s">
        <v>17</v>
      </c>
      <c r="F2090" s="1079"/>
      <c r="G2090" s="1081" t="str">
        <f>IF(B2090="insumo",_xlfn.XLOOKUP($D2090,Insumos!$B$1:$B$670,Insumos!$D$1:$D$670),"")</f>
        <v/>
      </c>
      <c r="H2090" s="1081" cm="1">
        <f t="array" ref="H2090">_xlfn.IFS(B2090="Serviço",SUMIFS(H2091:$H$2465,C2091:$C$2465,$C2090),B2090="Insumo",F2090*G2090,B2090="Etapa","")</f>
        <v>21.1981</v>
      </c>
      <c r="I2090" s="1082" t="s">
        <v>872</v>
      </c>
    </row>
    <row r="2091" spans="1:9" hidden="1" outlineLevel="2" x14ac:dyDescent="0.25">
      <c r="A2091" s="1079">
        <f t="shared" si="80"/>
        <v>4</v>
      </c>
      <c r="B2091" s="1079" t="s">
        <v>1362</v>
      </c>
      <c r="C2091" s="1079" t="str">
        <f t="shared" si="81"/>
        <v>Massa unica para reboco externo em Argamassa preparada em central / usinada, espessura de 35mm</v>
      </c>
      <c r="D2091" s="1079" t="s">
        <v>1776</v>
      </c>
      <c r="E2091" s="1080" t="str">
        <f>_xlfn.XLOOKUP(D2091,Insumos!$B$1:$B$670,Insumos!$C$1:$C$670)</f>
        <v>M3</v>
      </c>
      <c r="F2091" s="1083">
        <f>0.035</f>
        <v>3.5000000000000003E-2</v>
      </c>
      <c r="G2091" s="1081">
        <f>IF(B2091="insumo",_xlfn.XLOOKUP($D2091,Insumos!$B$1:$B$670,Insumos!$D$1:$D$670),"")</f>
        <v>605.66</v>
      </c>
      <c r="H2091" s="1081" cm="1">
        <f t="array" ref="H2091">_xlfn.IFS(B2091="Serviço",SUMIFS(H2092:$H$2465,C2092:$C$2465,$C2091),B2091="Insumo",F2091*G2091,B2091="Etapa","")</f>
        <v>21.1981</v>
      </c>
      <c r="I2091" s="1082"/>
    </row>
    <row r="2092" spans="1:9" hidden="1" outlineLevel="1" collapsed="1" x14ac:dyDescent="0.25">
      <c r="A2092" s="1079">
        <f t="shared" si="80"/>
        <v>1</v>
      </c>
      <c r="B2092" s="1079" t="s">
        <v>471</v>
      </c>
      <c r="C2092" s="1079" t="str">
        <f t="shared" si="81"/>
        <v>Textura acrílica, acabamento suave, aplicação em paredes externas - 1 demão - Cinza escuro</v>
      </c>
      <c r="D2092" s="1079" t="s">
        <v>2233</v>
      </c>
      <c r="E2092" s="1080" t="s">
        <v>17</v>
      </c>
      <c r="F2092" s="1079"/>
      <c r="G2092" s="1081" t="str">
        <f>IF(B2092="insumo",_xlfn.XLOOKUP($D2092,Insumos!$B$1:$B$670,Insumos!$D$1:$D$670),"")</f>
        <v/>
      </c>
      <c r="H2092" s="1081" cm="1">
        <f t="array" ref="H2092">_xlfn.IFS(B2092="Serviço",SUMIFS(H2093:$H$2465,C2093:$C$2465,$C2092),B2092="Insumo",F2092*G2092,B2092="Etapa","")</f>
        <v>106.94333333333333</v>
      </c>
      <c r="I2092" s="1082" t="s">
        <v>872</v>
      </c>
    </row>
    <row r="2093" spans="1:9" hidden="1" outlineLevel="2" x14ac:dyDescent="0.25">
      <c r="A2093" s="1079">
        <f t="shared" si="80"/>
        <v>1</v>
      </c>
      <c r="B2093" s="1079" t="s">
        <v>1362</v>
      </c>
      <c r="C2093" s="1079" t="str">
        <f t="shared" si="81"/>
        <v>Textura acrílica, acabamento suave, aplicação em paredes externas - 1 demão - Cinza escuro</v>
      </c>
      <c r="D2093" s="1079" t="s">
        <v>2234</v>
      </c>
      <c r="E2093" s="1080" t="str">
        <f>_xlfn.XLOOKUP(D2093,Insumos!$B$1:$B$670,Insumos!$C$1:$C$670)</f>
        <v>KG</v>
      </c>
      <c r="F2093" s="1083">
        <v>1.5</v>
      </c>
      <c r="G2093" s="1081">
        <f>IF(B2093="insumo",_xlfn.XLOOKUP($D2093,Insumos!$B$1:$B$670,Insumos!$D$1:$D$670),"")</f>
        <v>69.444444444444443</v>
      </c>
      <c r="H2093" s="1081" cm="1">
        <f t="array" ref="H2093">_xlfn.IFS(B2093="Serviço",SUMIFS(H2094:$H$2465,C2094:$C$2465,$C2093),B2093="Insumo",F2093*G2093,B2093="Etapa","")</f>
        <v>104.16666666666666</v>
      </c>
      <c r="I2093" s="1082"/>
    </row>
    <row r="2094" spans="1:9" hidden="1" outlineLevel="2" x14ac:dyDescent="0.25">
      <c r="A2094" s="1079">
        <f t="shared" si="80"/>
        <v>13</v>
      </c>
      <c r="B2094" s="1079" t="s">
        <v>1362</v>
      </c>
      <c r="C2094" s="1079" t="str">
        <f t="shared" si="81"/>
        <v>Textura acrílica, acabamento suave, aplicação em paredes externas - 1 demão - Cinza escuro</v>
      </c>
      <c r="D2094" s="1079" t="s">
        <v>2060</v>
      </c>
      <c r="E2094" s="1080" t="str">
        <f>_xlfn.XLOOKUP(D2094,Insumos!$B$1:$B$670,Insumos!$C$1:$C$670)</f>
        <v>L</v>
      </c>
      <c r="F2094" s="1083">
        <v>0.1666</v>
      </c>
      <c r="G2094" s="1081">
        <f>IF(B2094="insumo",_xlfn.XLOOKUP($D2094,Insumos!$B$1:$B$670,Insumos!$D$1:$D$670),"")</f>
        <v>16.666666666666668</v>
      </c>
      <c r="H2094" s="1081" cm="1">
        <f t="array" ref="H2094">_xlfn.IFS(B2094="Serviço",SUMIFS(H2095:$H$2465,C2095:$C$2465,$C2094),B2094="Insumo",F2094*G2094,B2094="Etapa","")</f>
        <v>2.7766666666666668</v>
      </c>
      <c r="I2094" s="1082"/>
    </row>
    <row r="2095" spans="1:9" hidden="1" outlineLevel="1" collapsed="1" x14ac:dyDescent="0.25">
      <c r="A2095" s="1079">
        <f t="shared" si="80"/>
        <v>1</v>
      </c>
      <c r="B2095" s="1079" t="s">
        <v>471</v>
      </c>
      <c r="C2095" s="1079" t="str">
        <f t="shared" si="81"/>
        <v>Textura acrílica, acabamento granulado, aplicação em paredes externas - 1 demão - Cimento Queimado</v>
      </c>
      <c r="D2095" s="1079" t="s">
        <v>2235</v>
      </c>
      <c r="E2095" s="1080" t="s">
        <v>17</v>
      </c>
      <c r="F2095" s="1079"/>
      <c r="G2095" s="1081" t="str">
        <f>IF(B2095="insumo",_xlfn.XLOOKUP($D2095,Insumos!$B$1:$B$670,Insumos!$D$1:$D$670),"")</f>
        <v/>
      </c>
      <c r="H2095" s="1081" cm="1">
        <f t="array" ref="H2095">_xlfn.IFS(B2095="Serviço",SUMIFS(H2096:$H$2465,C2096:$C$2465,$C2095),B2095="Insumo",F2095*G2095,B2095="Etapa","")</f>
        <v>52.276666666666664</v>
      </c>
      <c r="I2095" s="1082" t="s">
        <v>872</v>
      </c>
    </row>
    <row r="2096" spans="1:9" hidden="1" outlineLevel="2" x14ac:dyDescent="0.25">
      <c r="A2096" s="1079">
        <f t="shared" si="80"/>
        <v>1</v>
      </c>
      <c r="B2096" s="1079" t="s">
        <v>1362</v>
      </c>
      <c r="C2096" s="1079" t="str">
        <f t="shared" si="81"/>
        <v>Textura acrílica, acabamento granulado, aplicação em paredes externas - 1 demão - Cimento Queimado</v>
      </c>
      <c r="D2096" s="1079" t="s">
        <v>2236</v>
      </c>
      <c r="E2096" s="1080" t="str">
        <f>_xlfn.XLOOKUP(D2096,Insumos!$B$1:$B$670,Insumos!$C$1:$C$670)</f>
        <v>KG</v>
      </c>
      <c r="F2096" s="1083">
        <v>1.5</v>
      </c>
      <c r="G2096" s="1081">
        <f>IF(B2096="insumo",_xlfn.XLOOKUP($D2096,Insumos!$B$1:$B$670,Insumos!$D$1:$D$670),"")</f>
        <v>33</v>
      </c>
      <c r="H2096" s="1081" cm="1">
        <f t="array" ref="H2096">_xlfn.IFS(B2096="Serviço",SUMIFS(H2097:$H$2465,C2097:$C$2465,$C2096),B2096="Insumo",F2096*G2096,B2096="Etapa","")</f>
        <v>49.5</v>
      </c>
      <c r="I2096" s="1082"/>
    </row>
    <row r="2097" spans="1:9" hidden="1" outlineLevel="2" x14ac:dyDescent="0.25">
      <c r="A2097" s="1079">
        <f t="shared" si="80"/>
        <v>13</v>
      </c>
      <c r="B2097" s="1079" t="s">
        <v>1362</v>
      </c>
      <c r="C2097" s="1079" t="str">
        <f t="shared" si="81"/>
        <v>Textura acrílica, acabamento granulado, aplicação em paredes externas - 1 demão - Cimento Queimado</v>
      </c>
      <c r="D2097" s="1079" t="s">
        <v>2060</v>
      </c>
      <c r="E2097" s="1080" t="str">
        <f>_xlfn.XLOOKUP(D2097,Insumos!$B$1:$B$670,Insumos!$C$1:$C$670)</f>
        <v>L</v>
      </c>
      <c r="F2097" s="1083">
        <v>0.1666</v>
      </c>
      <c r="G2097" s="1081">
        <f>IF(B2097="insumo",_xlfn.XLOOKUP($D2097,Insumos!$B$1:$B$670,Insumos!$D$1:$D$670),"")</f>
        <v>16.666666666666668</v>
      </c>
      <c r="H2097" s="1081" cm="1">
        <f t="array" ref="H2097">_xlfn.IFS(B2097="Serviço",SUMIFS(H2098:$H$2465,C2098:$C$2465,$C2097),B2097="Insumo",F2097*G2097,B2097="Etapa","")</f>
        <v>2.7766666666666668</v>
      </c>
      <c r="I2097" s="1082"/>
    </row>
    <row r="2098" spans="1:9" hidden="1" outlineLevel="1" x14ac:dyDescent="0.25">
      <c r="A2098" s="1079">
        <f t="shared" si="80"/>
        <v>1</v>
      </c>
      <c r="B2098" s="1079" t="s">
        <v>471</v>
      </c>
      <c r="C2098" s="1079" t="str">
        <f t="shared" si="81"/>
        <v>Textura acrílica, acabamento granulado, aplicação em paredes externas - 1 demão - Effeti Branco</v>
      </c>
      <c r="D2098" s="1079" t="s">
        <v>2237</v>
      </c>
      <c r="E2098" s="1080" t="s">
        <v>17</v>
      </c>
      <c r="F2098" s="1079"/>
      <c r="G2098" s="1081" t="str">
        <f>IF(B2098="insumo",_xlfn.XLOOKUP($D2098,Insumos!$B$1:$B$670,Insumos!$D$1:$D$670),"")</f>
        <v/>
      </c>
      <c r="H2098" s="1081" cm="1">
        <f t="array" ref="H2098">_xlfn.IFS(B2098="Serviço",SUMIFS(H2099:$H$2465,C2099:$C$2465,$C2098),B2098="Insumo",F2098*G2098,B2098="Etapa","")</f>
        <v>44.776666666666664</v>
      </c>
      <c r="I2098" s="1082" t="s">
        <v>872</v>
      </c>
    </row>
    <row r="2099" spans="1:9" hidden="1" outlineLevel="2" x14ac:dyDescent="0.25">
      <c r="A2099" s="1079">
        <f t="shared" si="80"/>
        <v>1</v>
      </c>
      <c r="B2099" s="1079" t="s">
        <v>1362</v>
      </c>
      <c r="C2099" s="1079" t="str">
        <f t="shared" si="81"/>
        <v>Textura acrílica, acabamento granulado, aplicação em paredes externas - 1 demão - Effeti Branco</v>
      </c>
      <c r="D2099" s="1079" t="s">
        <v>2238</v>
      </c>
      <c r="E2099" s="1080" t="str">
        <f>_xlfn.XLOOKUP(D2099,Insumos!$B$1:$B$670,Insumos!$C$1:$C$670)</f>
        <v>KG</v>
      </c>
      <c r="F2099" s="1083">
        <v>1.5</v>
      </c>
      <c r="G2099" s="1081">
        <f>IF(B2099="insumo",_xlfn.XLOOKUP($D2099,Insumos!$B$1:$B$670,Insumos!$D$1:$D$670),"")</f>
        <v>28</v>
      </c>
      <c r="H2099" s="1081" cm="1">
        <f t="array" ref="H2099">_xlfn.IFS(B2099="Serviço",SUMIFS(H2100:$H$2465,C2100:$C$2465,$C2099),B2099="Insumo",F2099*G2099,B2099="Etapa","")</f>
        <v>42</v>
      </c>
      <c r="I2099" s="1082"/>
    </row>
    <row r="2100" spans="1:9" hidden="1" outlineLevel="2" x14ac:dyDescent="0.25">
      <c r="A2100" s="1079">
        <f t="shared" si="80"/>
        <v>13</v>
      </c>
      <c r="B2100" s="1079" t="s">
        <v>1362</v>
      </c>
      <c r="C2100" s="1079" t="str">
        <f t="shared" si="81"/>
        <v>Textura acrílica, acabamento granulado, aplicação em paredes externas - 1 demão - Effeti Branco</v>
      </c>
      <c r="D2100" s="1079" t="s">
        <v>2060</v>
      </c>
      <c r="E2100" s="1080" t="str">
        <f>_xlfn.XLOOKUP(D2100,Insumos!$B$1:$B$670,Insumos!$C$1:$C$670)</f>
        <v>L</v>
      </c>
      <c r="F2100" s="1083">
        <v>0.1666</v>
      </c>
      <c r="G2100" s="1081">
        <f>IF(B2100="insumo",_xlfn.XLOOKUP($D2100,Insumos!$B$1:$B$670,Insumos!$D$1:$D$670),"")</f>
        <v>16.666666666666668</v>
      </c>
      <c r="H2100" s="1081" cm="1">
        <f t="array" ref="H2100">_xlfn.IFS(B2100="Serviço",SUMIFS(H2101:$H$2465,C2101:$C$2465,$C2100),B2100="Insumo",F2100*G2100,B2100="Etapa","")</f>
        <v>2.7766666666666668</v>
      </c>
      <c r="I2100" s="1082"/>
    </row>
    <row r="2101" spans="1:9" hidden="1" outlineLevel="1" collapsed="1" x14ac:dyDescent="0.25">
      <c r="A2101" s="1079">
        <f t="shared" si="80"/>
        <v>1</v>
      </c>
      <c r="B2101" s="1079" t="s">
        <v>471</v>
      </c>
      <c r="C2101" s="1079" t="str">
        <f t="shared" si="81"/>
        <v>Textura acrílica, acabamento granulado, aplicação em paredes externas - 1 demão - Essen Máximo</v>
      </c>
      <c r="D2101" s="1079" t="s">
        <v>2239</v>
      </c>
      <c r="E2101" s="1080" t="s">
        <v>17</v>
      </c>
      <c r="F2101" s="1079"/>
      <c r="G2101" s="1081" t="str">
        <f>IF(B2101="insumo",_xlfn.XLOOKUP($D2101,Insumos!$B$1:$B$670,Insumos!$D$1:$D$670),"")</f>
        <v/>
      </c>
      <c r="H2101" s="1081" cm="1">
        <f t="array" ref="H2101">_xlfn.IFS(B2101="Serviço",SUMIFS(H2102:$H$2465,C2102:$C$2465,$C2101),B2101="Insumo",F2101*G2101,B2101="Etapa","")</f>
        <v>7.2266666666666666</v>
      </c>
      <c r="I2101" s="1082" t="s">
        <v>872</v>
      </c>
    </row>
    <row r="2102" spans="1:9" hidden="1" outlineLevel="2" x14ac:dyDescent="0.25">
      <c r="A2102" s="1079">
        <f t="shared" si="80"/>
        <v>1</v>
      </c>
      <c r="B2102" s="1079" t="s">
        <v>1362</v>
      </c>
      <c r="C2102" s="1079" t="str">
        <f t="shared" si="81"/>
        <v>Textura acrílica, acabamento granulado, aplicação em paredes externas - 1 demão - Essen Máximo</v>
      </c>
      <c r="D2102" s="1079" t="s">
        <v>2240</v>
      </c>
      <c r="E2102" s="1080" t="str">
        <f>_xlfn.XLOOKUP(D2102,Insumos!$B$1:$B$670,Insumos!$C$1:$C$670)</f>
        <v>KG</v>
      </c>
      <c r="F2102" s="1083">
        <v>0.21000000000000002</v>
      </c>
      <c r="G2102" s="1081">
        <f>IF(B2102="insumo",_xlfn.XLOOKUP($D2102,Insumos!$B$1:$B$670,Insumos!$D$1:$D$670),"")</f>
        <v>21.19047619047619</v>
      </c>
      <c r="H2102" s="1081" cm="1">
        <f t="array" ref="H2102">_xlfn.IFS(B2102="Serviço",SUMIFS(H2103:$H$2465,C2103:$C$2465,$C2102),B2102="Insumo",F2102*G2102,B2102="Etapa","")</f>
        <v>4.45</v>
      </c>
      <c r="I2102" s="1082"/>
    </row>
    <row r="2103" spans="1:9" hidden="1" outlineLevel="2" x14ac:dyDescent="0.25">
      <c r="A2103" s="1079">
        <f t="shared" si="80"/>
        <v>13</v>
      </c>
      <c r="B2103" s="1079" t="s">
        <v>1362</v>
      </c>
      <c r="C2103" s="1079" t="str">
        <f t="shared" si="81"/>
        <v>Textura acrílica, acabamento granulado, aplicação em paredes externas - 1 demão - Essen Máximo</v>
      </c>
      <c r="D2103" s="1079" t="s">
        <v>2060</v>
      </c>
      <c r="E2103" s="1080" t="str">
        <f>_xlfn.XLOOKUP(D2103,Insumos!$B$1:$B$670,Insumos!$C$1:$C$670)</f>
        <v>L</v>
      </c>
      <c r="F2103" s="1083">
        <v>0.1666</v>
      </c>
      <c r="G2103" s="1081">
        <f>IF(B2103="insumo",_xlfn.XLOOKUP($D2103,Insumos!$B$1:$B$670,Insumos!$D$1:$D$670),"")</f>
        <v>16.666666666666668</v>
      </c>
      <c r="H2103" s="1081" cm="1">
        <f t="array" ref="H2103">_xlfn.IFS(B2103="Serviço",SUMIFS(H2104:$H$2465,C2104:$C$2465,$C2103),B2103="Insumo",F2103*G2103,B2103="Etapa","")</f>
        <v>2.7766666666666668</v>
      </c>
      <c r="I2103" s="1082"/>
    </row>
    <row r="2104" spans="1:9" hidden="1" outlineLevel="1" collapsed="1" x14ac:dyDescent="0.25">
      <c r="A2104" s="1079">
        <f t="shared" si="80"/>
        <v>1</v>
      </c>
      <c r="B2104" s="1079" t="s">
        <v>471</v>
      </c>
      <c r="C2104" s="1079" t="str">
        <f t="shared" si="81"/>
        <v>Textura acrílica, acabamento granulado, aplicação em paredes externas - 1 demão - Cinza Geada</v>
      </c>
      <c r="D2104" s="1079" t="s">
        <v>2241</v>
      </c>
      <c r="E2104" s="1080" t="s">
        <v>17</v>
      </c>
      <c r="F2104" s="1079"/>
      <c r="G2104" s="1081" t="str">
        <f>IF(B2104="insumo",_xlfn.XLOOKUP($D2104,Insumos!$B$1:$B$670,Insumos!$D$1:$D$670),"")</f>
        <v/>
      </c>
      <c r="H2104" s="1081" cm="1">
        <f t="array" ref="H2104">_xlfn.IFS(B2104="Serviço",SUMIFS(H2105:$H$2465,C2105:$C$2465,$C2104),B2104="Insumo",F2104*G2104,B2104="Etapa","")</f>
        <v>14.820196078431373</v>
      </c>
      <c r="I2104" s="1082" t="s">
        <v>872</v>
      </c>
    </row>
    <row r="2105" spans="1:9" hidden="1" outlineLevel="2" x14ac:dyDescent="0.25">
      <c r="A2105" s="1079">
        <f t="shared" si="80"/>
        <v>3</v>
      </c>
      <c r="B2105" s="1079" t="s">
        <v>1362</v>
      </c>
      <c r="C2105" s="1079" t="str">
        <f t="shared" si="81"/>
        <v>Textura acrílica, acabamento granulado, aplicação em paredes externas - 1 demão - Cinza Geada</v>
      </c>
      <c r="D2105" s="1079" t="s">
        <v>2242</v>
      </c>
      <c r="E2105" s="1080" t="str">
        <f>_xlfn.XLOOKUP(D2105,Insumos!$B$1:$B$670,Insumos!$C$1:$C$670)</f>
        <v>KG</v>
      </c>
      <c r="F2105" s="1083">
        <v>0.83333333333333337</v>
      </c>
      <c r="G2105" s="1081">
        <f>IF(B2105="insumo",_xlfn.XLOOKUP($D2105,Insumos!$B$1:$B$670,Insumos!$D$1:$D$670),"")</f>
        <v>8.3960000000000008</v>
      </c>
      <c r="H2105" s="1081" cm="1">
        <f t="array" ref="H2105">_xlfn.IFS(B2105="Serviço",SUMIFS(H2106:$H$2465,C2106:$C$2465,$C2105),B2105="Insumo",F2105*G2105,B2105="Etapa","")</f>
        <v>6.9966666666666679</v>
      </c>
      <c r="I2105" s="1082"/>
    </row>
    <row r="2106" spans="1:9" hidden="1" outlineLevel="2" x14ac:dyDescent="0.25">
      <c r="A2106" s="1079">
        <f t="shared" si="80"/>
        <v>1</v>
      </c>
      <c r="B2106" s="1079" t="s">
        <v>1362</v>
      </c>
      <c r="C2106" s="1079" t="str">
        <f t="shared" si="81"/>
        <v>Textura acrílica, acabamento granulado, aplicação em paredes externas - 1 demão - Cinza Geada</v>
      </c>
      <c r="D2106" s="1079" t="s">
        <v>2243</v>
      </c>
      <c r="E2106" s="1080" t="str">
        <f>_xlfn.XLOOKUP(D2106,Insumos!$B$1:$B$670,Insumos!$C$1:$C$670)</f>
        <v>L</v>
      </c>
      <c r="F2106" s="1083">
        <v>9.4117647058823528E-2</v>
      </c>
      <c r="G2106" s="1081">
        <f>IF(B2106="insumo",_xlfn.XLOOKUP($D2106,Insumos!$B$1:$B$670,Insumos!$D$1:$D$670),"")</f>
        <v>40.625</v>
      </c>
      <c r="H2106" s="1081" cm="1">
        <f t="array" ref="H2106">_xlfn.IFS(B2106="Serviço",SUMIFS(H2107:$H$2465,C2107:$C$2465,$C2106),B2106="Insumo",F2106*G2106,B2106="Etapa","")</f>
        <v>3.8235294117647056</v>
      </c>
      <c r="I2106" s="1082"/>
    </row>
    <row r="2107" spans="1:9" hidden="1" outlineLevel="2" x14ac:dyDescent="0.25">
      <c r="A2107" s="1079">
        <f t="shared" si="80"/>
        <v>13</v>
      </c>
      <c r="B2107" s="1079" t="s">
        <v>1362</v>
      </c>
      <c r="C2107" s="1079" t="str">
        <f t="shared" si="81"/>
        <v>Textura acrílica, acabamento granulado, aplicação em paredes externas - 1 demão - Cinza Geada</v>
      </c>
      <c r="D2107" s="1079" t="s">
        <v>2060</v>
      </c>
      <c r="E2107" s="1080" t="str">
        <f>_xlfn.XLOOKUP(D2107,Insumos!$B$1:$B$670,Insumos!$C$1:$C$670)</f>
        <v>L</v>
      </c>
      <c r="F2107" s="1083">
        <v>0.24</v>
      </c>
      <c r="G2107" s="1081">
        <f>IF(B2107="insumo",_xlfn.XLOOKUP($D2107,Insumos!$B$1:$B$670,Insumos!$D$1:$D$670),"")</f>
        <v>16.666666666666668</v>
      </c>
      <c r="H2107" s="1081" cm="1">
        <f t="array" ref="H2107">_xlfn.IFS(B2107="Serviço",SUMIFS(H2108:$H$2465,C2108:$C$2465,$C2107),B2107="Insumo",F2107*G2107,B2107="Etapa","")</f>
        <v>4</v>
      </c>
      <c r="I2107" s="1082"/>
    </row>
    <row r="2108" spans="1:9" hidden="1" outlineLevel="1" collapsed="1" x14ac:dyDescent="0.25">
      <c r="A2108" s="1079">
        <f t="shared" si="80"/>
        <v>1</v>
      </c>
      <c r="B2108" s="1079" t="s">
        <v>471</v>
      </c>
      <c r="C2108" s="1079" t="str">
        <f t="shared" si="81"/>
        <v>Textura acrílica, acabamento granulado, aplicação em paredes externas - 1 demão - Imensidão Cinza</v>
      </c>
      <c r="D2108" s="1079" t="s">
        <v>2244</v>
      </c>
      <c r="E2108" s="1080" t="s">
        <v>17</v>
      </c>
      <c r="F2108" s="1079"/>
      <c r="G2108" s="1081" t="str">
        <f>IF(B2108="insumo",_xlfn.XLOOKUP($D2108,Insumos!$B$1:$B$670,Insumos!$D$1:$D$670),"")</f>
        <v/>
      </c>
      <c r="H2108" s="1081" cm="1">
        <f t="array" ref="H2108">_xlfn.IFS(B2108="Serviço",SUMIFS(H2109:$H$2465,C2109:$C$2465,$C2108),B2108="Insumo",F2108*G2108,B2108="Etapa","")</f>
        <v>12.663200000000002</v>
      </c>
      <c r="I2108" s="1082" t="s">
        <v>872</v>
      </c>
    </row>
    <row r="2109" spans="1:9" hidden="1" outlineLevel="2" x14ac:dyDescent="0.25">
      <c r="A2109" s="1079">
        <f t="shared" si="80"/>
        <v>3</v>
      </c>
      <c r="B2109" s="1079" t="s">
        <v>1362</v>
      </c>
      <c r="C2109" s="1079" t="str">
        <f t="shared" si="81"/>
        <v>Textura acrílica, acabamento granulado, aplicação em paredes externas - 1 demão - Imensidão Cinza</v>
      </c>
      <c r="D2109" s="1079" t="s">
        <v>2242</v>
      </c>
      <c r="E2109" s="1080" t="str">
        <f>_xlfn.XLOOKUP(D2109,Insumos!$B$1:$B$670,Insumos!$C$1:$C$670)</f>
        <v>KG</v>
      </c>
      <c r="F2109" s="1083">
        <v>0.83333333333333337</v>
      </c>
      <c r="G2109" s="1081">
        <f>IF(B2109="insumo",_xlfn.XLOOKUP($D2109,Insumos!$B$1:$B$670,Insumos!$D$1:$D$670),"")</f>
        <v>8.3960000000000008</v>
      </c>
      <c r="H2109" s="1081" cm="1">
        <f t="array" ref="H2109">_xlfn.IFS(B2109="Serviço",SUMIFS(H2110:$H$2465,C2110:$C$2465,$C2109),B2109="Insumo",F2109*G2109,B2109="Etapa","")</f>
        <v>6.9966666666666679</v>
      </c>
      <c r="I2109" s="1082"/>
    </row>
    <row r="2110" spans="1:9" hidden="1" outlineLevel="2" x14ac:dyDescent="0.25">
      <c r="A2110" s="1079">
        <f t="shared" si="80"/>
        <v>1</v>
      </c>
      <c r="B2110" s="1079" t="s">
        <v>1362</v>
      </c>
      <c r="C2110" s="1079" t="str">
        <f t="shared" si="81"/>
        <v>Textura acrílica, acabamento granulado, aplicação em paredes externas - 1 demão - Imensidão Cinza</v>
      </c>
      <c r="D2110" s="1079" t="s">
        <v>2245</v>
      </c>
      <c r="E2110" s="1080" t="str">
        <f>_xlfn.XLOOKUP(D2110,Insumos!$B$1:$B$670,Insumos!$C$1:$C$670)</f>
        <v>L</v>
      </c>
      <c r="F2110" s="1083">
        <v>4.8000000000000001E-2</v>
      </c>
      <c r="G2110" s="1081">
        <f>IF(B2110="insumo",_xlfn.XLOOKUP($D2110,Insumos!$B$1:$B$670,Insumos!$D$1:$D$670),"")</f>
        <v>34.719444444444441</v>
      </c>
      <c r="H2110" s="1081" cm="1">
        <f t="array" ref="H2110">_xlfn.IFS(B2110="Serviço",SUMIFS(H2111:$H$2465,C2111:$C$2465,$C2110),B2110="Insumo",F2110*G2110,B2110="Etapa","")</f>
        <v>1.6665333333333332</v>
      </c>
      <c r="I2110" s="1082"/>
    </row>
    <row r="2111" spans="1:9" hidden="1" outlineLevel="2" x14ac:dyDescent="0.25">
      <c r="A2111" s="1079">
        <f t="shared" si="80"/>
        <v>13</v>
      </c>
      <c r="B2111" s="1079" t="s">
        <v>1362</v>
      </c>
      <c r="C2111" s="1079" t="str">
        <f t="shared" si="81"/>
        <v>Textura acrílica, acabamento granulado, aplicação em paredes externas - 1 demão - Imensidão Cinza</v>
      </c>
      <c r="D2111" s="1079" t="s">
        <v>2060</v>
      </c>
      <c r="E2111" s="1080" t="str">
        <f>_xlfn.XLOOKUP(D2111,Insumos!$B$1:$B$670,Insumos!$C$1:$C$670)</f>
        <v>L</v>
      </c>
      <c r="F2111" s="1083">
        <v>0.24</v>
      </c>
      <c r="G2111" s="1081">
        <f>IF(B2111="insumo",_xlfn.XLOOKUP($D2111,Insumos!$B$1:$B$670,Insumos!$D$1:$D$670),"")</f>
        <v>16.666666666666668</v>
      </c>
      <c r="H2111" s="1081" cm="1">
        <f t="array" ref="H2111">_xlfn.IFS(B2111="Serviço",SUMIFS(H2112:$H$2465,C2112:$C$2465,$C2111),B2111="Insumo",F2111*G2111,B2111="Etapa","")</f>
        <v>4</v>
      </c>
      <c r="I2111" s="1082"/>
    </row>
    <row r="2112" spans="1:9" hidden="1" outlineLevel="1" collapsed="1" x14ac:dyDescent="0.25">
      <c r="A2112" s="1079">
        <f t="shared" si="80"/>
        <v>1</v>
      </c>
      <c r="B2112" s="1079" t="s">
        <v>471</v>
      </c>
      <c r="C2112" s="1079" t="str">
        <f t="shared" si="81"/>
        <v>Textura acrílica, acabamento granulado, aplicação em paredes externas - 1 demão - Preto Fosco</v>
      </c>
      <c r="D2112" s="1079" t="s">
        <v>2246</v>
      </c>
      <c r="E2112" s="1080" t="s">
        <v>17</v>
      </c>
      <c r="F2112" s="1079"/>
      <c r="G2112" s="1081" t="str">
        <f>IF(B2112="insumo",_xlfn.XLOOKUP($D2112,Insumos!$B$1:$B$670,Insumos!$D$1:$D$670),"")</f>
        <v/>
      </c>
      <c r="H2112" s="1081" cm="1">
        <f t="array" ref="H2112">_xlfn.IFS(B2112="Serviço",SUMIFS(H2113:$H$2465,C2113:$C$2465,$C2112),B2112="Insumo",F2112*G2112,B2112="Etapa","")</f>
        <v>13.395333333333335</v>
      </c>
      <c r="I2112" s="1082" t="s">
        <v>872</v>
      </c>
    </row>
    <row r="2113" spans="1:9" hidden="1" outlineLevel="2" x14ac:dyDescent="0.25">
      <c r="A2113" s="1079">
        <f t="shared" si="80"/>
        <v>3</v>
      </c>
      <c r="B2113" s="1079" t="s">
        <v>1362</v>
      </c>
      <c r="C2113" s="1079" t="str">
        <f t="shared" si="81"/>
        <v>Textura acrílica, acabamento granulado, aplicação em paredes externas - 1 demão - Preto Fosco</v>
      </c>
      <c r="D2113" s="1079" t="s">
        <v>2242</v>
      </c>
      <c r="E2113" s="1080" t="str">
        <f>_xlfn.XLOOKUP(D2113,Insumos!$B$1:$B$670,Insumos!$C$1:$C$670)</f>
        <v>KG</v>
      </c>
      <c r="F2113" s="1083">
        <v>0.83333333333333337</v>
      </c>
      <c r="G2113" s="1081">
        <f>IF(B2113="insumo",_xlfn.XLOOKUP($D2113,Insumos!$B$1:$B$670,Insumos!$D$1:$D$670),"")</f>
        <v>8.3960000000000008</v>
      </c>
      <c r="H2113" s="1081" cm="1">
        <f t="array" ref="H2113">_xlfn.IFS(B2113="Serviço",SUMIFS(H2114:$H$2465,C2114:$C$2465,$C2113),B2113="Insumo",F2113*G2113,B2113="Etapa","")</f>
        <v>6.9966666666666679</v>
      </c>
      <c r="I2113" s="1082"/>
    </row>
    <row r="2114" spans="1:9" hidden="1" outlineLevel="2" x14ac:dyDescent="0.25">
      <c r="A2114" s="1079">
        <f t="shared" ref="A2114:A2177" si="82">COUNTIFS($D$2:$D$2465,D2114,$B$2:$B$2465,B2114)</f>
        <v>1</v>
      </c>
      <c r="B2114" s="1079" t="s">
        <v>1362</v>
      </c>
      <c r="C2114" s="1079" t="str">
        <f t="shared" si="81"/>
        <v>Textura acrílica, acabamento granulado, aplicação em paredes externas - 1 demão - Preto Fosco</v>
      </c>
      <c r="D2114" s="1079" t="s">
        <v>2247</v>
      </c>
      <c r="E2114" s="1080" t="str">
        <f>_xlfn.XLOOKUP(D2114,Insumos!$B$1:$B$670,Insumos!$C$1:$C$670)</f>
        <v>L</v>
      </c>
      <c r="F2114" s="1083">
        <v>4.8000000000000001E-2</v>
      </c>
      <c r="G2114" s="1081">
        <f>IF(B2114="insumo",_xlfn.XLOOKUP($D2114,Insumos!$B$1:$B$670,Insumos!$D$1:$D$670),"")</f>
        <v>49.972222222222221</v>
      </c>
      <c r="H2114" s="1081" cm="1">
        <f t="array" ref="H2114">_xlfn.IFS(B2114="Serviço",SUMIFS(H2115:$H$2465,C2115:$C$2465,$C2114),B2114="Insumo",F2114*G2114,B2114="Etapa","")</f>
        <v>2.3986666666666667</v>
      </c>
      <c r="I2114" s="1082"/>
    </row>
    <row r="2115" spans="1:9" hidden="1" outlineLevel="2" x14ac:dyDescent="0.25">
      <c r="A2115" s="1079">
        <f t="shared" si="82"/>
        <v>13</v>
      </c>
      <c r="B2115" s="1079" t="s">
        <v>1362</v>
      </c>
      <c r="C2115" s="1079" t="str">
        <f t="shared" si="81"/>
        <v>Textura acrílica, acabamento granulado, aplicação em paredes externas - 1 demão - Preto Fosco</v>
      </c>
      <c r="D2115" s="1079" t="s">
        <v>2060</v>
      </c>
      <c r="E2115" s="1080" t="str">
        <f>_xlfn.XLOOKUP(D2115,Insumos!$B$1:$B$670,Insumos!$C$1:$C$670)</f>
        <v>L</v>
      </c>
      <c r="F2115" s="1083">
        <v>0.24</v>
      </c>
      <c r="G2115" s="1081">
        <f>IF(B2115="insumo",_xlfn.XLOOKUP($D2115,Insumos!$B$1:$B$670,Insumos!$D$1:$D$670),"")</f>
        <v>16.666666666666668</v>
      </c>
      <c r="H2115" s="1081" cm="1">
        <f t="array" ref="H2115">_xlfn.IFS(B2115="Serviço",SUMIFS(H2116:$H$2465,C2116:$C$2465,$C2115),B2115="Insumo",F2115*G2115,B2115="Etapa","")</f>
        <v>4</v>
      </c>
      <c r="I2115" s="1082"/>
    </row>
    <row r="2116" spans="1:9" hidden="1" outlineLevel="1" collapsed="1" x14ac:dyDescent="0.25">
      <c r="A2116" s="1079">
        <f t="shared" si="82"/>
        <v>1</v>
      </c>
      <c r="B2116" s="1079" t="s">
        <v>471</v>
      </c>
      <c r="C2116" s="1079" t="str">
        <f t="shared" si="81"/>
        <v>Textura acrílica, acabamento rolado e desempenado  aplicação em paredes externas - 1 demão</v>
      </c>
      <c r="D2116" s="1079" t="s">
        <v>2248</v>
      </c>
      <c r="E2116" s="1080" t="s">
        <v>17</v>
      </c>
      <c r="F2116" s="1079"/>
      <c r="G2116" s="1081" t="str">
        <f>IF(B2116="insumo",_xlfn.XLOOKUP($D2116,Insumos!$B$1:$B$670,Insumos!$D$1:$D$670),"")</f>
        <v/>
      </c>
      <c r="H2116" s="1081" cm="1">
        <f t="array" ref="H2116">_xlfn.IFS(B2116="Serviço",SUMIFS(H2117:$H$2465,C2117:$C$2465,$C2116),B2116="Insumo",F2116*G2116,B2116="Etapa","")</f>
        <v>24.36</v>
      </c>
      <c r="I2116" s="1082" t="s">
        <v>872</v>
      </c>
    </row>
    <row r="2117" spans="1:9" hidden="1" outlineLevel="2" x14ac:dyDescent="0.25">
      <c r="A2117" s="1079">
        <f t="shared" si="82"/>
        <v>4</v>
      </c>
      <c r="B2117" s="1079" t="s">
        <v>1362</v>
      </c>
      <c r="C2117" s="1079" t="str">
        <f t="shared" si="81"/>
        <v>Textura acrílica, acabamento rolado e desempenado  aplicação em paredes externas - 1 demão</v>
      </c>
      <c r="D2117" s="1079" t="s">
        <v>2062</v>
      </c>
      <c r="E2117" s="1080" t="str">
        <f>_xlfn.XLOOKUP(D2117,Insumos!$B$1:$B$670,Insumos!$C$1:$C$670)</f>
        <v>KG</v>
      </c>
      <c r="F2117" s="1083">
        <v>4</v>
      </c>
      <c r="G2117" s="1081">
        <f>IF(B2117="insumo",_xlfn.XLOOKUP($D2117,Insumos!$B$1:$B$670,Insumos!$D$1:$D$670),"")</f>
        <v>6.09</v>
      </c>
      <c r="H2117" s="1081" cm="1">
        <f t="array" ref="H2117">_xlfn.IFS(B2117="Serviço",SUMIFS(H2118:$H$2465,C2118:$C$2465,$C2117),B2117="Insumo",F2117*G2117,B2117="Etapa","")</f>
        <v>24.36</v>
      </c>
      <c r="I2117" s="1082"/>
    </row>
    <row r="2118" spans="1:9" hidden="1" outlineLevel="1" collapsed="1" x14ac:dyDescent="0.25">
      <c r="A2118" s="1079">
        <f t="shared" si="82"/>
        <v>1</v>
      </c>
      <c r="B2118" s="1079" t="s">
        <v>471</v>
      </c>
      <c r="C2118" s="1079" t="str">
        <f t="shared" si="81"/>
        <v>Acabamento em ACM para Fachadas - Material e mão de obra</v>
      </c>
      <c r="D2118" s="1079" t="s">
        <v>2249</v>
      </c>
      <c r="E2118" s="1080" t="s">
        <v>17</v>
      </c>
      <c r="F2118" s="1079"/>
      <c r="G2118" s="1081" t="str">
        <f>IF(B2118="insumo",_xlfn.XLOOKUP($D2118,Insumos!$B$1:$B$670,Insumos!$D$1:$D$670),"")</f>
        <v/>
      </c>
      <c r="H2118" s="1081" cm="1">
        <f t="array" ref="H2118">_xlfn.IFS(B2118="Serviço",SUMIFS(H2119:$H$2465,C2119:$C$2465,$C2118),B2118="Insumo",F2118*G2118,B2118="Etapa","")</f>
        <v>720</v>
      </c>
      <c r="I2118" s="1082" t="s">
        <v>872</v>
      </c>
    </row>
    <row r="2119" spans="1:9" hidden="1" outlineLevel="2" x14ac:dyDescent="0.25">
      <c r="A2119" s="1079">
        <f t="shared" si="82"/>
        <v>4</v>
      </c>
      <c r="B2119" s="1079" t="s">
        <v>1362</v>
      </c>
      <c r="C2119" s="1079" t="str">
        <f t="shared" si="81"/>
        <v>Acabamento em ACM para Fachadas - Material e mão de obra</v>
      </c>
      <c r="D2119" s="1079" t="s">
        <v>2249</v>
      </c>
      <c r="E2119" s="1080" t="str">
        <f>_xlfn.XLOOKUP(D2119,Insumos!$B$1:$B$670,Insumos!$C$1:$C$670)</f>
        <v>M2</v>
      </c>
      <c r="F2119" s="1083">
        <v>1</v>
      </c>
      <c r="G2119" s="1081">
        <f>IF(B2119="insumo",_xlfn.XLOOKUP($D2119,Insumos!$B$1:$B$670,Insumos!$D$1:$D$670),"")</f>
        <v>720</v>
      </c>
      <c r="H2119" s="1081" cm="1">
        <f t="array" ref="H2119">_xlfn.IFS(B2119="Serviço",SUMIFS(H2120:$H$2465,C2120:$C$2465,$C2119),B2119="Insumo",F2119*G2119,B2119="Etapa","")</f>
        <v>720</v>
      </c>
      <c r="I2119" s="1082"/>
    </row>
    <row r="2120" spans="1:9" hidden="1" outlineLevel="1" collapsed="1" x14ac:dyDescent="0.25">
      <c r="A2120" s="1079">
        <f t="shared" si="82"/>
        <v>1</v>
      </c>
      <c r="B2120" s="1079" t="s">
        <v>471</v>
      </c>
      <c r="C2120" s="1079" t="str">
        <f t="shared" si="81"/>
        <v>Revestimento em ACM, cor bronze, aplicação em Fachada - Material e  Mão de Obra</v>
      </c>
      <c r="D2120" s="1079" t="s">
        <v>2250</v>
      </c>
      <c r="E2120" s="1080" t="s">
        <v>17</v>
      </c>
      <c r="F2120" s="1079"/>
      <c r="G2120" s="1081" t="str">
        <f>IF(B2120="insumo",_xlfn.XLOOKUP($D2120,Insumos!$B$1:$B$670,Insumos!$D$1:$D$670),"")</f>
        <v/>
      </c>
      <c r="H2120" s="1081" cm="1">
        <f t="array" ref="H2120">_xlfn.IFS(B2120="Serviço",SUMIFS(H2121:$H$2465,C2121:$C$2465,$C2120),B2120="Insumo",F2120*G2120,B2120="Etapa","")</f>
        <v>720</v>
      </c>
      <c r="I2120" s="1082" t="s">
        <v>872</v>
      </c>
    </row>
    <row r="2121" spans="1:9" hidden="1" outlineLevel="2" x14ac:dyDescent="0.25">
      <c r="A2121" s="1079">
        <f t="shared" si="82"/>
        <v>4</v>
      </c>
      <c r="B2121" s="1079" t="s">
        <v>1362</v>
      </c>
      <c r="C2121" s="1079" t="str">
        <f t="shared" si="81"/>
        <v>Revestimento em ACM, cor bronze, aplicação em Fachada - Material e  Mão de Obra</v>
      </c>
      <c r="D2121" s="1079" t="s">
        <v>2249</v>
      </c>
      <c r="E2121" s="1080" t="str">
        <f>_xlfn.XLOOKUP(D2121,Insumos!$B$1:$B$670,Insumos!$C$1:$C$670)</f>
        <v>M2</v>
      </c>
      <c r="F2121" s="1083">
        <v>1</v>
      </c>
      <c r="G2121" s="1081">
        <f>IF(B2121="insumo",_xlfn.XLOOKUP($D2121,Insumos!$B$1:$B$670,Insumos!$D$1:$D$670),"")</f>
        <v>720</v>
      </c>
      <c r="H2121" s="1081" cm="1">
        <f t="array" ref="H2121">_xlfn.IFS(B2121="Serviço",SUMIFS(H2122:$H$2465,C2122:$C$2465,$C2121),B2121="Insumo",F2121*G2121,B2121="Etapa","")</f>
        <v>720</v>
      </c>
      <c r="I2121" s="1082"/>
    </row>
    <row r="2122" spans="1:9" hidden="1" outlineLevel="1" collapsed="1" x14ac:dyDescent="0.25">
      <c r="A2122" s="1079">
        <f t="shared" si="82"/>
        <v>1</v>
      </c>
      <c r="B2122" s="1079" t="s">
        <v>471</v>
      </c>
      <c r="C2122" s="1079" t="str">
        <f t="shared" si="81"/>
        <v>Revestimento em ACM, cor concreto aparente, aplicação em Fachada - Material e  Mão de Obra</v>
      </c>
      <c r="D2122" s="1079" t="s">
        <v>2251</v>
      </c>
      <c r="E2122" s="1080" t="s">
        <v>17</v>
      </c>
      <c r="F2122" s="1079"/>
      <c r="G2122" s="1081" t="str">
        <f>IF(B2122="insumo",_xlfn.XLOOKUP($D2122,Insumos!$B$1:$B$670,Insumos!$D$1:$D$670),"")</f>
        <v/>
      </c>
      <c r="H2122" s="1081" cm="1">
        <f t="array" ref="H2122">_xlfn.IFS(B2122="Serviço",SUMIFS(H2123:$H$2465,C2123:$C$2465,$C2122),B2122="Insumo",F2122*G2122,B2122="Etapa","")</f>
        <v>720</v>
      </c>
      <c r="I2122" s="1082" t="s">
        <v>872</v>
      </c>
    </row>
    <row r="2123" spans="1:9" hidden="1" outlineLevel="2" x14ac:dyDescent="0.25">
      <c r="A2123" s="1079">
        <f t="shared" si="82"/>
        <v>4</v>
      </c>
      <c r="B2123" s="1079" t="s">
        <v>1362</v>
      </c>
      <c r="C2123" s="1079" t="str">
        <f t="shared" si="81"/>
        <v>Revestimento em ACM, cor concreto aparente, aplicação em Fachada - Material e  Mão de Obra</v>
      </c>
      <c r="D2123" s="1079" t="s">
        <v>2249</v>
      </c>
      <c r="E2123" s="1080" t="str">
        <f>_xlfn.XLOOKUP(D2123,Insumos!$B$1:$B$670,Insumos!$C$1:$C$670)</f>
        <v>M2</v>
      </c>
      <c r="F2123" s="1083">
        <v>1</v>
      </c>
      <c r="G2123" s="1081">
        <f>IF(B2123="insumo",_xlfn.XLOOKUP($D2123,Insumos!$B$1:$B$670,Insumos!$D$1:$D$670),"")</f>
        <v>720</v>
      </c>
      <c r="H2123" s="1081" cm="1">
        <f t="array" ref="H2123">_xlfn.IFS(B2123="Serviço",SUMIFS(H2124:$H$2465,C2124:$C$2465,$C2123),B2123="Insumo",F2123*G2123,B2123="Etapa","")</f>
        <v>720</v>
      </c>
      <c r="I2123" s="1082"/>
    </row>
    <row r="2124" spans="1:9" hidden="1" outlineLevel="1" collapsed="1" x14ac:dyDescent="0.25">
      <c r="A2124" s="1079">
        <f t="shared" si="82"/>
        <v>1</v>
      </c>
      <c r="B2124" s="1079" t="s">
        <v>471</v>
      </c>
      <c r="C2124" s="1079" t="str">
        <f t="shared" si="81"/>
        <v>Tela soldada para ligacao Emboço Fachadas</v>
      </c>
      <c r="D2124" s="1079" t="s">
        <v>2252</v>
      </c>
      <c r="E2124" s="1080" t="s">
        <v>491</v>
      </c>
      <c r="F2124" s="1079"/>
      <c r="G2124" s="1081" t="str">
        <f>IF(B2124="insumo",_xlfn.XLOOKUP($D2124,Insumos!$B$1:$B$670,Insumos!$D$1:$D$670),"")</f>
        <v/>
      </c>
      <c r="H2124" s="1081" cm="1">
        <f t="array" ref="H2124">_xlfn.IFS(B2124="Serviço",SUMIFS(H2125:$H$2465,C2125:$C$2465,$C2124),B2124="Insumo",F2124*G2124,B2124="Etapa","")</f>
        <v>4.1071999999999997</v>
      </c>
      <c r="I2124" s="1082" t="s">
        <v>872</v>
      </c>
    </row>
    <row r="2125" spans="1:9" hidden="1" outlineLevel="2" x14ac:dyDescent="0.25">
      <c r="A2125" s="1079">
        <f t="shared" si="82"/>
        <v>2</v>
      </c>
      <c r="B2125" s="1079" t="s">
        <v>1362</v>
      </c>
      <c r="C2125" s="1079" t="str">
        <f t="shared" si="81"/>
        <v>Tela soldada para ligacao Emboço Fachadas</v>
      </c>
      <c r="D2125" s="1079" t="s">
        <v>1671</v>
      </c>
      <c r="E2125" s="1080" t="str">
        <f>_xlfn.XLOOKUP(D2125,Insumos!$B$1:$B$670,Insumos!$C$1:$C$670)</f>
        <v>UN</v>
      </c>
      <c r="F2125" s="1083">
        <v>2</v>
      </c>
      <c r="G2125" s="1081">
        <f>IF(B2125="insumo",_xlfn.XLOOKUP($D2125,Insumos!$B$1:$B$670,Insumos!$D$1:$D$670),"")</f>
        <v>0.43359999999999999</v>
      </c>
      <c r="H2125" s="1081" cm="1">
        <f t="array" ref="H2125">_xlfn.IFS(B2125="Serviço",SUMIFS(H2126:$H$2465,C2126:$C$2465,$C2125),B2125="Insumo",F2125*G2125,B2125="Etapa","")</f>
        <v>0.86719999999999997</v>
      </c>
      <c r="I2125" s="1082"/>
    </row>
    <row r="2126" spans="1:9" hidden="1" outlineLevel="2" x14ac:dyDescent="0.25">
      <c r="A2126" s="1079">
        <f t="shared" si="82"/>
        <v>2</v>
      </c>
      <c r="B2126" s="1079" t="s">
        <v>1362</v>
      </c>
      <c r="C2126" s="1079" t="str">
        <f t="shared" si="81"/>
        <v>Tela soldada para ligacao Emboço Fachadas</v>
      </c>
      <c r="D2126" s="1079" t="s">
        <v>1672</v>
      </c>
      <c r="E2126" s="1080" t="str">
        <f>_xlfn.XLOOKUP(D2126,Insumos!$B$1:$B$670,Insumos!$C$1:$C$670)</f>
        <v>UN</v>
      </c>
      <c r="F2126" s="1083">
        <v>1</v>
      </c>
      <c r="G2126" s="1081">
        <f>IF(B2126="insumo",_xlfn.XLOOKUP($D2126,Insumos!$B$1:$B$670,Insumos!$D$1:$D$670),"")</f>
        <v>2.5</v>
      </c>
      <c r="H2126" s="1081" cm="1">
        <f t="array" ref="H2126">_xlfn.IFS(B2126="Serviço",SUMIFS(H2127:$H$2465,C2127:$C$2465,$C2126),B2126="Insumo",F2126*G2126,B2126="Etapa","")</f>
        <v>2.5</v>
      </c>
      <c r="I2126" s="1082"/>
    </row>
    <row r="2127" spans="1:9" hidden="1" outlineLevel="2" x14ac:dyDescent="0.25">
      <c r="A2127" s="1079">
        <f t="shared" si="82"/>
        <v>2</v>
      </c>
      <c r="B2127" s="1079" t="s">
        <v>1362</v>
      </c>
      <c r="C2127" s="1079" t="str">
        <f t="shared" si="81"/>
        <v>Tela soldada para ligacao Emboço Fachadas</v>
      </c>
      <c r="D2127" s="1079" t="s">
        <v>1673</v>
      </c>
      <c r="E2127" s="1080" t="str">
        <f>_xlfn.XLOOKUP(D2127,Insumos!$B$1:$B$670,Insumos!$C$1:$C$670)</f>
        <v>UN</v>
      </c>
      <c r="F2127" s="1083">
        <v>2</v>
      </c>
      <c r="G2127" s="1081">
        <f>IF(B2127="insumo",_xlfn.XLOOKUP($D2127,Insumos!$B$1:$B$670,Insumos!$D$1:$D$670),"")</f>
        <v>0.37</v>
      </c>
      <c r="H2127" s="1081" cm="1">
        <f t="array" ref="H2127">_xlfn.IFS(B2127="Serviço",SUMIFS(H2128:$H$2465,C2128:$C$2465,$C2127),B2127="Insumo",F2127*G2127,B2127="Etapa","")</f>
        <v>0.74</v>
      </c>
      <c r="I2127" s="1082"/>
    </row>
    <row r="2128" spans="1:9" hidden="1" outlineLevel="1" collapsed="1" x14ac:dyDescent="0.25">
      <c r="A2128" s="1079">
        <f t="shared" si="82"/>
        <v>1</v>
      </c>
      <c r="B2128" s="1079" t="s">
        <v>471</v>
      </c>
      <c r="C2128" s="1079" t="str">
        <f t="shared" si="81"/>
        <v>Fundo selador latex acrilico em paredes externas - 1 demao</v>
      </c>
      <c r="D2128" s="1079" t="s">
        <v>2253</v>
      </c>
      <c r="E2128" s="1080" t="s">
        <v>17</v>
      </c>
      <c r="F2128" s="1079"/>
      <c r="G2128" s="1096" t="str">
        <f>IF(B2128="insumo",_xlfn.XLOOKUP($D2128,Insumos!$B$1:$B$670,Insumos!$D$1:$D$670),"")</f>
        <v/>
      </c>
      <c r="H2128" s="1096" cm="1">
        <f t="array" ref="H2128">_xlfn.IFS(B2128="Serviço",SUMIFS(H2129:$H$2465,C2129:$C$2465,$C2128),B2128="Insumo",F2128*G2128,B2128="Etapa","")</f>
        <v>2.7766666666666668</v>
      </c>
      <c r="I2128" s="1082" t="s">
        <v>872</v>
      </c>
    </row>
    <row r="2129" spans="1:9" hidden="1" outlineLevel="2" x14ac:dyDescent="0.25">
      <c r="A2129" s="1079">
        <f t="shared" si="82"/>
        <v>13</v>
      </c>
      <c r="B2129" s="1079" t="s">
        <v>1362</v>
      </c>
      <c r="C2129" s="1079" t="str">
        <f t="shared" si="81"/>
        <v>Fundo selador latex acrilico em paredes externas - 1 demao</v>
      </c>
      <c r="D2129" s="1079" t="s">
        <v>2060</v>
      </c>
      <c r="E2129" s="1080" t="str">
        <f>_xlfn.XLOOKUP(D2129,Insumos!$B$1:$B$670,Insumos!$C$1:$C$670)</f>
        <v>L</v>
      </c>
      <c r="F2129" s="1083">
        <v>0.1666</v>
      </c>
      <c r="G2129" s="1096">
        <f>IF(B2129="insumo",_xlfn.XLOOKUP($D2129,Insumos!$B$1:$B$670,Insumos!$D$1:$D$670),"")</f>
        <v>16.666666666666668</v>
      </c>
      <c r="H2129" s="1096" cm="1">
        <f t="array" ref="H2129">_xlfn.IFS(B2129="Serviço",SUMIFS(H2130:$H$2465,C2130:$C$2465,$C2129),B2129="Insumo",F2129*G2129,B2129="Etapa","")</f>
        <v>2.7766666666666668</v>
      </c>
      <c r="I2129" s="1082"/>
    </row>
    <row r="2130" spans="1:9" hidden="1" outlineLevel="1" collapsed="1" x14ac:dyDescent="0.25">
      <c r="A2130" s="1079">
        <f t="shared" si="82"/>
        <v>1</v>
      </c>
      <c r="B2130" s="1079" t="s">
        <v>471</v>
      </c>
      <c r="C2130" s="1079" t="str">
        <f t="shared" si="81"/>
        <v>Pintura projetada, aplicação em paredes externas - 2 demão - Elefante</v>
      </c>
      <c r="D2130" s="1079" t="s">
        <v>2254</v>
      </c>
      <c r="E2130" s="1080" t="s">
        <v>17</v>
      </c>
      <c r="F2130" s="1079"/>
      <c r="G2130" s="1096" t="str">
        <f>IF(B2130="insumo",_xlfn.XLOOKUP($D2130,Insumos!$B$1:$B$670,Insumos!$D$1:$D$670),"")</f>
        <v/>
      </c>
      <c r="H2130" s="1096" cm="1">
        <f t="array" ref="H2130">_xlfn.IFS(B2130="Serviço",SUMIFS(H2131:$H$2465,C2131:$C$2465,$C2130),B2130="Insumo",F2130*G2130,B2130="Etapa","")</f>
        <v>54.355666666666671</v>
      </c>
      <c r="I2130" s="1082" t="s">
        <v>872</v>
      </c>
    </row>
    <row r="2131" spans="1:9" hidden="1" outlineLevel="2" x14ac:dyDescent="0.25">
      <c r="A2131" s="1079">
        <f t="shared" si="82"/>
        <v>24</v>
      </c>
      <c r="B2131" s="1079" t="s">
        <v>1362</v>
      </c>
      <c r="C2131" s="1079" t="str">
        <f t="shared" si="81"/>
        <v>Pintura projetada, aplicação em paredes externas - 2 demão - Elefante</v>
      </c>
      <c r="D2131" s="1079" t="s">
        <v>1384</v>
      </c>
      <c r="E2131" s="1080" t="str">
        <f>_xlfn.XLOOKUP(D2131,Insumos!$B$1:$B$670,Insumos!$C$1:$C$670)</f>
        <v>UN</v>
      </c>
      <c r="F2131" s="1083">
        <v>0.1</v>
      </c>
      <c r="G2131" s="1096">
        <f>IF(B2131="insumo",_xlfn.XLOOKUP($D2131,Insumos!$B$1:$B$670,Insumos!$D$1:$D$670),"")</f>
        <v>1.89</v>
      </c>
      <c r="H2131" s="1096" cm="1">
        <f t="array" ref="H2131">_xlfn.IFS(B2131="Serviço",SUMIFS(H2132:$H$2465,C2132:$C$2465,$C2131),B2131="Insumo",F2131*G2131,B2131="Etapa","")</f>
        <v>0.189</v>
      </c>
      <c r="I2131" s="1082"/>
    </row>
    <row r="2132" spans="1:9" hidden="1" outlineLevel="2" x14ac:dyDescent="0.25">
      <c r="A2132" s="1079">
        <f t="shared" si="82"/>
        <v>1</v>
      </c>
      <c r="B2132" s="1079" t="s">
        <v>1362</v>
      </c>
      <c r="C2132" s="1079" t="str">
        <f t="shared" si="81"/>
        <v>Pintura projetada, aplicação em paredes externas - 2 demão - Elefante</v>
      </c>
      <c r="D2132" s="1079" t="s">
        <v>2255</v>
      </c>
      <c r="E2132" s="1080" t="str">
        <f>_xlfn.XLOOKUP(D2132,Insumos!$B$1:$B$670,Insumos!$C$1:$C$670)</f>
        <v>L</v>
      </c>
      <c r="F2132" s="1083">
        <v>1.5</v>
      </c>
      <c r="G2132" s="1096">
        <f>IF(B2132="insumo",_xlfn.XLOOKUP($D2132,Insumos!$B$1:$B$670,Insumos!$D$1:$D$670),"")</f>
        <v>36.111111111111114</v>
      </c>
      <c r="H2132" s="1096" cm="1">
        <f t="array" ref="H2132">_xlfn.IFS(B2132="Serviço",SUMIFS(H2133:$H$2465,C2133:$C$2465,$C2132),B2132="Insumo",F2132*G2132,B2132="Etapa","")</f>
        <v>54.166666666666671</v>
      </c>
      <c r="I2132" s="1082"/>
    </row>
    <row r="2133" spans="1:9" hidden="1" outlineLevel="1" collapsed="1" x14ac:dyDescent="0.25">
      <c r="A2133" s="1079">
        <f t="shared" si="82"/>
        <v>1</v>
      </c>
      <c r="B2133" s="1079" t="s">
        <v>471</v>
      </c>
      <c r="C2133" s="1079" t="str">
        <f t="shared" si="81"/>
        <v>Pintura projetada, aplicação em paredes externas - 2 demão - Branco neve</v>
      </c>
      <c r="D2133" s="1079" t="s">
        <v>2256</v>
      </c>
      <c r="E2133" s="1080" t="s">
        <v>17</v>
      </c>
      <c r="F2133" s="1079"/>
      <c r="G2133" s="1096" t="str">
        <f>IF(B2133="insumo",_xlfn.XLOOKUP($D2133,Insumos!$B$1:$B$670,Insumos!$D$1:$D$670),"")</f>
        <v/>
      </c>
      <c r="H2133" s="1096" cm="1">
        <f t="array" ref="H2133">_xlfn.IFS(B2133="Serviço",SUMIFS(H2134:$H$2465,C2134:$C$2465,$C2133),B2133="Insumo",F2133*G2133,B2133="Etapa","")</f>
        <v>33.263999999999996</v>
      </c>
      <c r="I2133" s="1082" t="s">
        <v>872</v>
      </c>
    </row>
    <row r="2134" spans="1:9" hidden="1" outlineLevel="2" x14ac:dyDescent="0.25">
      <c r="A2134" s="1079">
        <f t="shared" si="82"/>
        <v>24</v>
      </c>
      <c r="B2134" s="1079" t="s">
        <v>1362</v>
      </c>
      <c r="C2134" s="1079" t="str">
        <f t="shared" si="81"/>
        <v>Pintura projetada, aplicação em paredes externas - 2 demão - Branco neve</v>
      </c>
      <c r="D2134" s="1079" t="s">
        <v>1384</v>
      </c>
      <c r="E2134" s="1080" t="str">
        <f>_xlfn.XLOOKUP(D2134,Insumos!$B$1:$B$670,Insumos!$C$1:$C$670)</f>
        <v>UN</v>
      </c>
      <c r="F2134" s="1083">
        <v>0.1</v>
      </c>
      <c r="G2134" s="1096">
        <f>IF(B2134="insumo",_xlfn.XLOOKUP($D2134,Insumos!$B$1:$B$670,Insumos!$D$1:$D$670),"")</f>
        <v>1.89</v>
      </c>
      <c r="H2134" s="1096" cm="1">
        <f t="array" ref="H2134">_xlfn.IFS(B2134="Serviço",SUMIFS(H2135:$H$2465,C2135:$C$2465,$C2134),B2134="Insumo",F2134*G2134,B2134="Etapa","")</f>
        <v>0.189</v>
      </c>
      <c r="I2134" s="1082"/>
    </row>
    <row r="2135" spans="1:9" hidden="1" outlineLevel="2" x14ac:dyDescent="0.25">
      <c r="A2135" s="1079">
        <f t="shared" si="82"/>
        <v>1</v>
      </c>
      <c r="B2135" s="1079" t="s">
        <v>1362</v>
      </c>
      <c r="C2135" s="1079" t="str">
        <f t="shared" si="81"/>
        <v>Pintura projetada, aplicação em paredes externas - 2 demão - Branco neve</v>
      </c>
      <c r="D2135" s="1079" t="s">
        <v>2257</v>
      </c>
      <c r="E2135" s="1080" t="str">
        <f>_xlfn.XLOOKUP(D2135,Insumos!$B$1:$B$670,Insumos!$C$1:$C$670)</f>
        <v>L</v>
      </c>
      <c r="F2135" s="1083">
        <v>1.5</v>
      </c>
      <c r="G2135" s="1096">
        <f>IF(B2135="insumo",_xlfn.XLOOKUP($D2135,Insumos!$B$1:$B$670,Insumos!$D$1:$D$670),"")</f>
        <v>22.049999999999997</v>
      </c>
      <c r="H2135" s="1096" cm="1">
        <f t="array" ref="H2135">_xlfn.IFS(B2135="Serviço",SUMIFS(H2136:$H$2465,C2136:$C$2465,$C2135),B2135="Insumo",F2135*G2135,B2135="Etapa","")</f>
        <v>33.074999999999996</v>
      </c>
      <c r="I2135" s="1082"/>
    </row>
    <row r="2136" spans="1:9" hidden="1" outlineLevel="1" collapsed="1" x14ac:dyDescent="0.25">
      <c r="A2136" s="1079">
        <f t="shared" si="82"/>
        <v>1</v>
      </c>
      <c r="B2136" s="1079" t="s">
        <v>471</v>
      </c>
      <c r="C2136" s="1079" t="str">
        <f t="shared" si="81"/>
        <v>Pintura projetada, aplicação em paredes externas - 2 demão - Patativa</v>
      </c>
      <c r="D2136" s="1079" t="s">
        <v>2258</v>
      </c>
      <c r="E2136" s="1080" t="s">
        <v>17</v>
      </c>
      <c r="F2136" s="1079"/>
      <c r="G2136" s="1096" t="str">
        <f>IF(B2136="insumo",_xlfn.XLOOKUP($D2136,Insumos!$B$1:$B$670,Insumos!$D$1:$D$670),"")</f>
        <v/>
      </c>
      <c r="H2136" s="1096" cm="1">
        <f t="array" ref="H2136">_xlfn.IFS(B2136="Serviço",SUMIFS(H2137:$H$2465,C2137:$C$2465,$C2136),B2136="Insumo",F2136*G2136,B2136="Etapa","")</f>
        <v>93.837749999999986</v>
      </c>
      <c r="I2136" s="1082" t="s">
        <v>872</v>
      </c>
    </row>
    <row r="2137" spans="1:9" hidden="1" outlineLevel="2" x14ac:dyDescent="0.25">
      <c r="A2137" s="1079">
        <f t="shared" si="82"/>
        <v>24</v>
      </c>
      <c r="B2137" s="1079" t="s">
        <v>1362</v>
      </c>
      <c r="C2137" s="1079" t="str">
        <f t="shared" si="81"/>
        <v>Pintura projetada, aplicação em paredes externas - 2 demão - Patativa</v>
      </c>
      <c r="D2137" s="1079" t="s">
        <v>1384</v>
      </c>
      <c r="E2137" s="1080" t="str">
        <f>_xlfn.XLOOKUP(D2137,Insumos!$B$1:$B$670,Insumos!$C$1:$C$670)</f>
        <v>UN</v>
      </c>
      <c r="F2137" s="1083">
        <v>0.1</v>
      </c>
      <c r="G2137" s="1096">
        <f>IF(B2137="insumo",_xlfn.XLOOKUP($D2137,Insumos!$B$1:$B$670,Insumos!$D$1:$D$670),"")</f>
        <v>1.89</v>
      </c>
      <c r="H2137" s="1096" cm="1">
        <f t="array" ref="H2137">_xlfn.IFS(B2137="Serviço",SUMIFS(H2138:$H$2465,C2138:$C$2465,$C2137),B2137="Insumo",F2137*G2137,B2137="Etapa","")</f>
        <v>0.189</v>
      </c>
      <c r="I2137" s="1082"/>
    </row>
    <row r="2138" spans="1:9" hidden="1" outlineLevel="2" x14ac:dyDescent="0.25">
      <c r="A2138" s="1079">
        <f t="shared" si="82"/>
        <v>1</v>
      </c>
      <c r="B2138" s="1079" t="s">
        <v>1362</v>
      </c>
      <c r="C2138" s="1079" t="str">
        <f t="shared" si="81"/>
        <v>Pintura projetada, aplicação em paredes externas - 2 demão - Patativa</v>
      </c>
      <c r="D2138" s="1079" t="s">
        <v>2259</v>
      </c>
      <c r="E2138" s="1080" t="str">
        <f>_xlfn.XLOOKUP(D2138,Insumos!$B$1:$B$670,Insumos!$C$1:$C$670)</f>
        <v>L</v>
      </c>
      <c r="F2138" s="1083">
        <v>1.5</v>
      </c>
      <c r="G2138" s="1096">
        <f>IF(B2138="insumo",_xlfn.XLOOKUP($D2138,Insumos!$B$1:$B$670,Insumos!$D$1:$D$670),"")</f>
        <v>62.432499999999997</v>
      </c>
      <c r="H2138" s="1096" cm="1">
        <f t="array" ref="H2138">_xlfn.IFS(B2138="Serviço",SUMIFS(H2139:$H$2465,C2139:$C$2465,$C2138),B2138="Insumo",F2138*G2138,B2138="Etapa","")</f>
        <v>93.648749999999993</v>
      </c>
      <c r="I2138" s="1082"/>
    </row>
    <row r="2139" spans="1:9" hidden="1" outlineLevel="1" collapsed="1" x14ac:dyDescent="0.25">
      <c r="A2139" s="1079">
        <f t="shared" si="82"/>
        <v>1</v>
      </c>
      <c r="B2139" s="1079" t="s">
        <v>471</v>
      </c>
      <c r="C2139" s="1079" t="str">
        <f t="shared" si="81"/>
        <v>Pintura projetada, aplicação em paredes externas - 2 demão - Cinza Asfalto</v>
      </c>
      <c r="D2139" s="1079" t="s">
        <v>2260</v>
      </c>
      <c r="E2139" s="1080" t="s">
        <v>17</v>
      </c>
      <c r="F2139" s="1079"/>
      <c r="G2139" s="1096" t="str">
        <f>IF(B2139="insumo",_xlfn.XLOOKUP($D2139,Insumos!$B$1:$B$670,Insumos!$D$1:$D$670),"")</f>
        <v/>
      </c>
      <c r="H2139" s="1096" cm="1">
        <f t="array" ref="H2139">_xlfn.IFS(B2139="Serviço",SUMIFS(H2140:$H$2465,C2140:$C$2465,$C2139),B2139="Insumo",F2139*G2139,B2139="Etapa","")</f>
        <v>57.605666666666671</v>
      </c>
      <c r="I2139" s="1082" t="s">
        <v>872</v>
      </c>
    </row>
    <row r="2140" spans="1:9" hidden="1" outlineLevel="2" x14ac:dyDescent="0.25">
      <c r="A2140" s="1079">
        <f t="shared" si="82"/>
        <v>24</v>
      </c>
      <c r="B2140" s="1079" t="s">
        <v>1362</v>
      </c>
      <c r="C2140" s="1079" t="str">
        <f t="shared" si="81"/>
        <v>Pintura projetada, aplicação em paredes externas - 2 demão - Cinza Asfalto</v>
      </c>
      <c r="D2140" s="1079" t="s">
        <v>1384</v>
      </c>
      <c r="E2140" s="1080" t="str">
        <f>_xlfn.XLOOKUP(D2140,Insumos!$B$1:$B$670,Insumos!$C$1:$C$670)</f>
        <v>UN</v>
      </c>
      <c r="F2140" s="1083">
        <v>0.1</v>
      </c>
      <c r="G2140" s="1096">
        <f>IF(B2140="insumo",_xlfn.XLOOKUP($D2140,Insumos!$B$1:$B$670,Insumos!$D$1:$D$670),"")</f>
        <v>1.89</v>
      </c>
      <c r="H2140" s="1096" cm="1">
        <f t="array" ref="H2140">_xlfn.IFS(B2140="Serviço",SUMIFS(H2141:$H$2465,C2141:$C$2465,$C2140),B2140="Insumo",F2140*G2140,B2140="Etapa","")</f>
        <v>0.189</v>
      </c>
      <c r="I2140" s="1082"/>
    </row>
    <row r="2141" spans="1:9" hidden="1" outlineLevel="2" x14ac:dyDescent="0.25">
      <c r="A2141" s="1079">
        <f t="shared" si="82"/>
        <v>1</v>
      </c>
      <c r="B2141" s="1079" t="s">
        <v>1362</v>
      </c>
      <c r="C2141" s="1079" t="str">
        <f t="shared" si="81"/>
        <v>Pintura projetada, aplicação em paredes externas - 2 demão - Cinza Asfalto</v>
      </c>
      <c r="D2141" s="1079" t="s">
        <v>2261</v>
      </c>
      <c r="E2141" s="1080" t="str">
        <f>_xlfn.XLOOKUP(D2141,Insumos!$B$1:$B$670,Insumos!$C$1:$C$670)</f>
        <v>L</v>
      </c>
      <c r="F2141" s="1083">
        <v>1.5</v>
      </c>
      <c r="G2141" s="1096">
        <f>IF(B2141="insumo",_xlfn.XLOOKUP($D2141,Insumos!$B$1:$B$670,Insumos!$D$1:$D$670),"")</f>
        <v>38.277777777777779</v>
      </c>
      <c r="H2141" s="1096" cm="1">
        <f t="array" ref="H2141">_xlfn.IFS(B2141="Serviço",SUMIFS(H2142:$H$2465,C2142:$C$2465,$C2141),B2141="Insumo",F2141*G2141,B2141="Etapa","")</f>
        <v>57.416666666666671</v>
      </c>
      <c r="I2141" s="1082"/>
    </row>
    <row r="2142" spans="1:9" hidden="1" outlineLevel="1" collapsed="1" x14ac:dyDescent="0.25">
      <c r="A2142" s="1079">
        <f t="shared" si="82"/>
        <v>1</v>
      </c>
      <c r="B2142" s="1079" t="s">
        <v>471</v>
      </c>
      <c r="C2142" s="1079" t="str">
        <f t="shared" si="81"/>
        <v>Mao de obra para reboco externo - inclui chapisco</v>
      </c>
      <c r="D2142" s="1079" t="s">
        <v>430</v>
      </c>
      <c r="E2142" s="1080" t="s">
        <v>17</v>
      </c>
      <c r="F2142" s="1083"/>
      <c r="G2142" s="1081" t="str">
        <f>IF(B2142="insumo",_xlfn.XLOOKUP($D2142,Insumos!$B$1:$B$670,Insumos!$D$1:$D$670),"")</f>
        <v/>
      </c>
      <c r="H2142" s="1081" cm="1">
        <f t="array" ref="H2142">_xlfn.IFS(B2142="Serviço",SUMIFS(H2143:$H$2465,C2143:$C$2465,$C2142),B2142="Insumo",F2142*G2142,B2142="Etapa","")</f>
        <v>58</v>
      </c>
      <c r="I2142" s="1082" t="s">
        <v>872</v>
      </c>
    </row>
    <row r="2143" spans="1:9" hidden="1" outlineLevel="2" x14ac:dyDescent="0.25">
      <c r="A2143" s="1079">
        <f t="shared" si="82"/>
        <v>1</v>
      </c>
      <c r="B2143" s="1079" t="s">
        <v>1362</v>
      </c>
      <c r="C2143" s="1079" t="str">
        <f t="shared" si="81"/>
        <v>Mao de obra para reboco externo - inclui chapisco</v>
      </c>
      <c r="D2143" s="1079" t="s">
        <v>430</v>
      </c>
      <c r="E2143" s="1080" t="str">
        <f>_xlfn.XLOOKUP(D2143,Insumos!$B$1:$B$670,Insumos!$C$1:$C$670)</f>
        <v>UN</v>
      </c>
      <c r="F2143" s="1083">
        <v>1</v>
      </c>
      <c r="G2143" s="1081">
        <f>IF(B2143="insumo",_xlfn.XLOOKUP($D2143,Insumos!$B$1:$B$670,Insumos!$D$1:$D$670),"")</f>
        <v>58</v>
      </c>
      <c r="H2143" s="1081" cm="1">
        <f t="array" ref="H2143">_xlfn.IFS(B2143="Serviço",SUMIFS(H2144:$H$2465,C2144:$C$2465,$C2143),B2143="Insumo",F2143*G2143,B2143="Etapa","")</f>
        <v>58</v>
      </c>
      <c r="I2143" s="1082"/>
    </row>
    <row r="2144" spans="1:9" hidden="1" outlineLevel="1" collapsed="1" x14ac:dyDescent="0.25">
      <c r="A2144" s="1079">
        <f t="shared" si="82"/>
        <v>1</v>
      </c>
      <c r="B2144" s="1079" t="s">
        <v>471</v>
      </c>
      <c r="C2144" s="1079" t="str">
        <f t="shared" si="81"/>
        <v>Mão de obra para aplicação de Pintura em paredes externas - 1 demãos</v>
      </c>
      <c r="D2144" s="1079" t="s">
        <v>2262</v>
      </c>
      <c r="E2144" s="1080" t="s">
        <v>17</v>
      </c>
      <c r="F2144" s="1083"/>
      <c r="G2144" s="1081" t="str">
        <f>IF(B2144="insumo",_xlfn.XLOOKUP($D2144,Insumos!$B$1:$B$670,Insumos!$D$1:$D$670),"")</f>
        <v/>
      </c>
      <c r="H2144" s="1081" cm="1">
        <f t="array" ref="H2144">_xlfn.IFS(B2144="Serviço",SUMIFS(H2145:$H$2465,C2145:$C$2465,$C2144),B2144="Insumo",F2144*G2144,B2144="Etapa","")</f>
        <v>19.333333333333332</v>
      </c>
      <c r="I2144" s="1082" t="s">
        <v>872</v>
      </c>
    </row>
    <row r="2145" spans="1:9" hidden="1" outlineLevel="2" x14ac:dyDescent="0.25">
      <c r="A2145" s="1079">
        <f t="shared" si="82"/>
        <v>1</v>
      </c>
      <c r="B2145" s="1079" t="s">
        <v>1362</v>
      </c>
      <c r="C2145" s="1079" t="str">
        <f t="shared" si="81"/>
        <v>Mão de obra para aplicação de Pintura em paredes externas - 1 demãos</v>
      </c>
      <c r="D2145" s="1079" t="s">
        <v>2262</v>
      </c>
      <c r="E2145" s="1080" t="str">
        <f>_xlfn.XLOOKUP(D2145,Insumos!$B$1:$B$670,Insumos!$C$1:$C$670)</f>
        <v>UN</v>
      </c>
      <c r="F2145" s="1083">
        <v>1</v>
      </c>
      <c r="G2145" s="1081">
        <f>IF(B2145="insumo",_xlfn.XLOOKUP($D2145,Insumos!$B$1:$B$670,Insumos!$D$1:$D$670),"")</f>
        <v>19.333333333333332</v>
      </c>
      <c r="H2145" s="1081" cm="1">
        <f t="array" ref="H2145">_xlfn.IFS(B2145="Serviço",SUMIFS(H2146:$H$2465,C2146:$C$2465,$C2145),B2145="Insumo",F2145*G2145,B2145="Etapa","")</f>
        <v>19.333333333333332</v>
      </c>
      <c r="I2145" s="1082"/>
    </row>
    <row r="2146" spans="1:9" hidden="1" outlineLevel="1" collapsed="1" x14ac:dyDescent="0.25">
      <c r="A2146" s="1079">
        <f t="shared" si="82"/>
        <v>1</v>
      </c>
      <c r="B2146" s="1079" t="s">
        <v>471</v>
      </c>
      <c r="C2146" s="1079" t="str">
        <f t="shared" si="81"/>
        <v>Mão de obra para aplicação de Pintura em paredes externas - 2 demãos</v>
      </c>
      <c r="D2146" s="1079" t="s">
        <v>2263</v>
      </c>
      <c r="E2146" s="1080" t="s">
        <v>17</v>
      </c>
      <c r="F2146" s="1083"/>
      <c r="G2146" s="1081" t="str">
        <f>IF(B2146="insumo",_xlfn.XLOOKUP($D2146,Insumos!$B$1:$B$670,Insumos!$D$1:$D$670),"")</f>
        <v/>
      </c>
      <c r="H2146" s="1081" cm="1">
        <f t="array" ref="H2146">_xlfn.IFS(B2146="Serviço",SUMIFS(H2147:$H$2465,C2147:$C$2465,$C2146),B2146="Insumo",F2146*G2146,B2146="Etapa","")</f>
        <v>38.666666666666664</v>
      </c>
      <c r="I2146" s="1082" t="s">
        <v>872</v>
      </c>
    </row>
    <row r="2147" spans="1:9" hidden="1" outlineLevel="2" x14ac:dyDescent="0.25">
      <c r="A2147" s="1079">
        <f t="shared" si="82"/>
        <v>1</v>
      </c>
      <c r="B2147" s="1079" t="s">
        <v>1362</v>
      </c>
      <c r="C2147" s="1079" t="str">
        <f t="shared" si="81"/>
        <v>Mão de obra para aplicação de Pintura em paredes externas - 2 demãos</v>
      </c>
      <c r="D2147" s="1079" t="s">
        <v>2263</v>
      </c>
      <c r="E2147" s="1080" t="str">
        <f>_xlfn.XLOOKUP(D2147,Insumos!$B$1:$B$670,Insumos!$C$1:$C$670)</f>
        <v>UN</v>
      </c>
      <c r="F2147" s="1083">
        <v>1</v>
      </c>
      <c r="G2147" s="1081">
        <f>IF(B2147="insumo",_xlfn.XLOOKUP($D2147,Insumos!$B$1:$B$670,Insumos!$D$1:$D$670),"")</f>
        <v>38.666666666666664</v>
      </c>
      <c r="H2147" s="1081" cm="1">
        <f t="array" ref="H2147">_xlfn.IFS(B2147="Serviço",SUMIFS(H2148:$H$2465,C2148:$C$2465,$C2147),B2147="Insumo",F2147*G2147,B2147="Etapa","")</f>
        <v>38.666666666666664</v>
      </c>
      <c r="I2147" s="1082"/>
    </row>
    <row r="2148" spans="1:9" hidden="1" outlineLevel="1" collapsed="1" x14ac:dyDescent="0.25">
      <c r="A2148" s="1079">
        <f t="shared" si="82"/>
        <v>1</v>
      </c>
      <c r="B2148" s="1079" t="s">
        <v>471</v>
      </c>
      <c r="C2148" s="1079" t="str">
        <f t="shared" si="81"/>
        <v>Mão de obra para aplicação de Pintura em paredes externas - 3 demãos</v>
      </c>
      <c r="D2148" s="1079" t="s">
        <v>1331</v>
      </c>
      <c r="E2148" s="1080" t="s">
        <v>17</v>
      </c>
      <c r="F2148" s="1083"/>
      <c r="G2148" s="1081" t="str">
        <f>IF(B2148="insumo",_xlfn.XLOOKUP($D2148,Insumos!$B$1:$B$670,Insumos!$D$1:$D$670),"")</f>
        <v/>
      </c>
      <c r="H2148" s="1081" cm="1">
        <f t="array" ref="H2148">_xlfn.IFS(B2148="Serviço",SUMIFS(H2149:$H$2465,C2149:$C$2465,$C2148),B2148="Insumo",F2148*G2148,B2148="Etapa","")</f>
        <v>58</v>
      </c>
      <c r="I2148" s="1082" t="s">
        <v>872</v>
      </c>
    </row>
    <row r="2149" spans="1:9" hidden="1" outlineLevel="2" x14ac:dyDescent="0.25">
      <c r="A2149" s="1079">
        <f t="shared" si="82"/>
        <v>1</v>
      </c>
      <c r="B2149" s="1079" t="s">
        <v>1362</v>
      </c>
      <c r="C2149" s="1079" t="str">
        <f t="shared" si="81"/>
        <v>Mão de obra para aplicação de Pintura em paredes externas - 3 demãos</v>
      </c>
      <c r="D2149" s="1079" t="s">
        <v>1331</v>
      </c>
      <c r="E2149" s="1080" t="str">
        <f>_xlfn.XLOOKUP(D2149,Insumos!$B$1:$B$670,Insumos!$C$1:$C$670)</f>
        <v>UN</v>
      </c>
      <c r="F2149" s="1083">
        <v>1</v>
      </c>
      <c r="G2149" s="1081">
        <f>IF(B2149="insumo",_xlfn.XLOOKUP($D2149,Insumos!$B$1:$B$670,Insumos!$D$1:$D$670),"")</f>
        <v>58</v>
      </c>
      <c r="H2149" s="1081" cm="1">
        <f t="array" ref="H2149">_xlfn.IFS(B2149="Serviço",SUMIFS(H2150:$H$2465,C2150:$C$2465,$C2149),B2149="Insumo",F2149*G2149,B2149="Etapa","")</f>
        <v>58</v>
      </c>
      <c r="I2149" s="1082"/>
    </row>
    <row r="2150" spans="1:9" hidden="1" outlineLevel="1" collapsed="1" x14ac:dyDescent="0.25">
      <c r="A2150" s="1079">
        <f t="shared" si="82"/>
        <v>1</v>
      </c>
      <c r="B2150" s="1079" t="s">
        <v>471</v>
      </c>
      <c r="C2150" s="1079" t="str">
        <f t="shared" si="81"/>
        <v>Mão de obra para aplicação de textura em paredes externas - 1 demão</v>
      </c>
      <c r="D2150" s="1079" t="s">
        <v>2264</v>
      </c>
      <c r="E2150" s="1080" t="s">
        <v>17</v>
      </c>
      <c r="F2150" s="1083"/>
      <c r="G2150" s="1081" t="str">
        <f>IF(B2150="insumo",_xlfn.XLOOKUP($D2150,Insumos!$B$1:$B$670,Insumos!$D$1:$D$670),"")</f>
        <v/>
      </c>
      <c r="H2150" s="1081" cm="1">
        <f t="array" ref="H2150">_xlfn.IFS(B2150="Serviço",SUMIFS(H2151:$H$2465,C2151:$C$2465,$C2150),B2150="Insumo",F2150*G2150,B2150="Etapa","")</f>
        <v>58</v>
      </c>
      <c r="I2150" s="1082" t="s">
        <v>872</v>
      </c>
    </row>
    <row r="2151" spans="1:9" hidden="1" outlineLevel="2" x14ac:dyDescent="0.25">
      <c r="A2151" s="1079">
        <f t="shared" si="82"/>
        <v>1</v>
      </c>
      <c r="B2151" s="1079" t="s">
        <v>1362</v>
      </c>
      <c r="C2151" s="1079" t="str">
        <f t="shared" si="81"/>
        <v>Mão de obra para aplicação de textura em paredes externas - 1 demão</v>
      </c>
      <c r="D2151" s="1079" t="s">
        <v>2264</v>
      </c>
      <c r="E2151" s="1080" t="str">
        <f>_xlfn.XLOOKUP(D2151,Insumos!$B$1:$B$670,Insumos!$C$1:$C$670)</f>
        <v>UN</v>
      </c>
      <c r="F2151" s="1083">
        <v>1</v>
      </c>
      <c r="G2151" s="1081">
        <f>IF(B2151="insumo",_xlfn.XLOOKUP($D2151,Insumos!$B$1:$B$670,Insumos!$D$1:$D$670),"")</f>
        <v>58</v>
      </c>
      <c r="H2151" s="1081" cm="1">
        <f t="array" ref="H2151">_xlfn.IFS(B2151="Serviço",SUMIFS(H2152:$H$2465,C2152:$C$2465,$C2151),B2151="Insumo",F2151*G2151,B2151="Etapa","")</f>
        <v>58</v>
      </c>
      <c r="I2151" s="1082"/>
    </row>
    <row r="2152" spans="1:9" hidden="1" outlineLevel="1" collapsed="1" x14ac:dyDescent="0.25">
      <c r="A2152" s="1079">
        <f t="shared" si="82"/>
        <v>1</v>
      </c>
      <c r="B2152" s="1079" t="s">
        <v>471</v>
      </c>
      <c r="C2152" s="1079" t="str">
        <f t="shared" si="81"/>
        <v>Mão de obra para aplicação de Pastilhas em paredes externas</v>
      </c>
      <c r="D2152" s="1079" t="s">
        <v>2265</v>
      </c>
      <c r="E2152" s="1080" t="s">
        <v>17</v>
      </c>
      <c r="F2152" s="1083"/>
      <c r="G2152" s="1081" t="str">
        <f>IF(B2152="insumo",_xlfn.XLOOKUP($D2152,Insumos!$B$1:$B$670,Insumos!$D$1:$D$670),"")</f>
        <v/>
      </c>
      <c r="H2152" s="1081" cm="1">
        <f t="array" ref="H2152">_xlfn.IFS(B2152="Serviço",SUMIFS(H2153:$H$2465,C2153:$C$2465,$C2152),B2152="Insumo",F2152*G2152,B2152="Etapa","")</f>
        <v>150</v>
      </c>
      <c r="I2152" s="1082" t="s">
        <v>872</v>
      </c>
    </row>
    <row r="2153" spans="1:9" hidden="1" outlineLevel="2" x14ac:dyDescent="0.25">
      <c r="A2153" s="1079">
        <f t="shared" si="82"/>
        <v>1</v>
      </c>
      <c r="B2153" s="1079" t="s">
        <v>1362</v>
      </c>
      <c r="C2153" s="1079" t="str">
        <f t="shared" si="81"/>
        <v>Mão de obra para aplicação de Pastilhas em paredes externas</v>
      </c>
      <c r="D2153" s="1079" t="s">
        <v>2265</v>
      </c>
      <c r="E2153" s="1080" t="str">
        <f>_xlfn.XLOOKUP(D2153,Insumos!$B$1:$B$670,Insumos!$C$1:$C$670)</f>
        <v>UN</v>
      </c>
      <c r="F2153" s="1083">
        <v>1</v>
      </c>
      <c r="G2153" s="1081">
        <f>IF(B2153="insumo",_xlfn.XLOOKUP($D2153,Insumos!$B$1:$B$670,Insumos!$D$1:$D$670),"")</f>
        <v>150</v>
      </c>
      <c r="H2153" s="1081" cm="1">
        <f t="array" ref="H2153">_xlfn.IFS(B2153="Serviço",SUMIFS(H2154:$H$2465,C2154:$C$2465,$C2153),B2153="Insumo",F2153*G2153,B2153="Etapa","")</f>
        <v>150</v>
      </c>
      <c r="I2153" s="1082"/>
    </row>
    <row r="2154" spans="1:9" hidden="1" outlineLevel="1" x14ac:dyDescent="0.25">
      <c r="A2154" s="1079">
        <f t="shared" si="82"/>
        <v>1</v>
      </c>
      <c r="B2154" s="1079" t="s">
        <v>471</v>
      </c>
      <c r="C2154" s="1079" t="str">
        <f t="shared" ref="C2154:C2159" si="83">IF(B2154="serviço",D2154,C2153)</f>
        <v>Mão de obra para aplicação de Porcelanato em paredes externas</v>
      </c>
      <c r="D2154" s="1079" t="s">
        <v>1332</v>
      </c>
      <c r="E2154" s="1080" t="s">
        <v>17</v>
      </c>
      <c r="F2154" s="1083"/>
      <c r="G2154" s="1081" t="str">
        <f>IF(B2154="insumo",_xlfn.XLOOKUP($D2154,Insumos!$B$1:$B$670,Insumos!$D$1:$D$670),"")</f>
        <v/>
      </c>
      <c r="H2154" s="1081" cm="1">
        <f t="array" ref="H2154">_xlfn.IFS(B2154="Serviço",SUMIFS(H2155:$H$2465,C2155:$C$2465,$C2154),B2154="Insumo",F2154*G2154,B2154="Etapa","")</f>
        <v>150</v>
      </c>
      <c r="I2154" s="1082" t="s">
        <v>872</v>
      </c>
    </row>
    <row r="2155" spans="1:9" hidden="1" outlineLevel="2" x14ac:dyDescent="0.25">
      <c r="A2155" s="1079">
        <f t="shared" si="82"/>
        <v>2</v>
      </c>
      <c r="B2155" s="1079" t="s">
        <v>1362</v>
      </c>
      <c r="C2155" s="1079" t="str">
        <f t="shared" si="83"/>
        <v>Mão de obra para aplicação de Porcelanato em paredes externas</v>
      </c>
      <c r="D2155" s="1079" t="s">
        <v>1332</v>
      </c>
      <c r="E2155" s="1080" t="str">
        <f>_xlfn.XLOOKUP(D2155,Insumos!$B$1:$B$670,Insumos!$C$1:$C$670)</f>
        <v>UN</v>
      </c>
      <c r="F2155" s="1083">
        <v>1</v>
      </c>
      <c r="G2155" s="1081">
        <f>IF(B2155="insumo",_xlfn.XLOOKUP($D2155,Insumos!$B$1:$B$670,Insumos!$D$1:$D$670),"")</f>
        <v>150</v>
      </c>
      <c r="H2155" s="1081" cm="1">
        <f t="array" ref="H2155">_xlfn.IFS(B2155="Serviço",SUMIFS(H2156:$H$2465,C2156:$C$2465,$C2155),B2155="Insumo",F2155*G2155,B2155="Etapa","")</f>
        <v>150</v>
      </c>
      <c r="I2155" s="1082"/>
    </row>
    <row r="2156" spans="1:9" hidden="1" outlineLevel="1" collapsed="1" x14ac:dyDescent="0.25">
      <c r="A2156" s="1079">
        <f t="shared" si="82"/>
        <v>1</v>
      </c>
      <c r="B2156" s="1079" t="s">
        <v>471</v>
      </c>
      <c r="C2156" s="1079" t="str">
        <f t="shared" si="83"/>
        <v>Mão de obra para aplicação de Pedra Natural em paredes externas</v>
      </c>
      <c r="D2156" s="1079" t="s">
        <v>2266</v>
      </c>
      <c r="E2156" s="1080" t="s">
        <v>17</v>
      </c>
      <c r="F2156" s="1083"/>
      <c r="G2156" s="1081" t="str">
        <f>IF(B2156="insumo",_xlfn.XLOOKUP($D2156,Insumos!$B$1:$B$670,Insumos!$D$1:$D$670),"")</f>
        <v/>
      </c>
      <c r="H2156" s="1081" cm="1">
        <f t="array" ref="H2156">_xlfn.IFS(B2156="Serviço",SUMIFS(H2157:$H$2465,C2157:$C$2465,$C2156),B2156="Insumo",F2156*G2156,B2156="Etapa","")</f>
        <v>150</v>
      </c>
      <c r="I2156" s="1082" t="s">
        <v>872</v>
      </c>
    </row>
    <row r="2157" spans="1:9" hidden="1" outlineLevel="2" x14ac:dyDescent="0.25">
      <c r="A2157" s="1079">
        <f t="shared" si="82"/>
        <v>1</v>
      </c>
      <c r="B2157" s="1079" t="s">
        <v>1362</v>
      </c>
      <c r="C2157" s="1079" t="str">
        <f t="shared" si="83"/>
        <v>Mão de obra para aplicação de Pedra Natural em paredes externas</v>
      </c>
      <c r="D2157" s="1079" t="s">
        <v>2266</v>
      </c>
      <c r="E2157" s="1080" t="str">
        <f>_xlfn.XLOOKUP(D2157,Insumos!$B$1:$B$670,Insumos!$C$1:$C$670)</f>
        <v>M2</v>
      </c>
      <c r="F2157" s="1083">
        <v>1</v>
      </c>
      <c r="G2157" s="1081">
        <f>IF(B2157="insumo",_xlfn.XLOOKUP($D2157,Insumos!$B$1:$B$670,Insumos!$D$1:$D$670),"")</f>
        <v>150</v>
      </c>
      <c r="H2157" s="1081" cm="1">
        <f t="array" ref="H2157">_xlfn.IFS(B2157="Serviço",SUMIFS(H2158:$H$2465,C2158:$C$2465,$C2157),B2157="Insumo",F2157*G2157,B2157="Etapa","")</f>
        <v>150</v>
      </c>
      <c r="I2157" s="1082"/>
    </row>
    <row r="2158" spans="1:9" hidden="1" outlineLevel="1" collapsed="1" x14ac:dyDescent="0.25">
      <c r="A2158" s="1079">
        <f t="shared" si="82"/>
        <v>1</v>
      </c>
      <c r="B2158" s="1079" t="s">
        <v>471</v>
      </c>
      <c r="C2158" s="1079" t="str">
        <f t="shared" si="83"/>
        <v>Mão de obra para execução de fachada ventilada</v>
      </c>
      <c r="D2158" s="1079" t="s">
        <v>2267</v>
      </c>
      <c r="E2158" s="1080" t="s">
        <v>17</v>
      </c>
      <c r="F2158" s="1083"/>
      <c r="G2158" s="1081" t="str">
        <f>IF(B2158="insumo",_xlfn.XLOOKUP($D2158,Insumos!$B$1:$B$670,Insumos!$D$1:$D$670),"")</f>
        <v/>
      </c>
      <c r="H2158" s="1081" cm="1">
        <f t="array" ref="H2158">_xlfn.IFS(B2158="Serviço",SUMIFS(H2159:$H$2465,C2159:$C$2465,$C2158),B2158="Insumo",F2158*G2158,B2158="Etapa","")</f>
        <v>175</v>
      </c>
      <c r="I2158" s="1082" t="s">
        <v>872</v>
      </c>
    </row>
    <row r="2159" spans="1:9" hidden="1" outlineLevel="2" x14ac:dyDescent="0.25">
      <c r="A2159" s="1079">
        <f t="shared" si="82"/>
        <v>1</v>
      </c>
      <c r="B2159" s="1079" t="s">
        <v>1362</v>
      </c>
      <c r="C2159" s="1079" t="str">
        <f t="shared" si="83"/>
        <v>Mão de obra para execução de fachada ventilada</v>
      </c>
      <c r="D2159" s="1079" t="s">
        <v>2267</v>
      </c>
      <c r="E2159" s="1080" t="str">
        <f>_xlfn.XLOOKUP(D2159,Insumos!$B$1:$B$670,Insumos!$C$1:$C$670)</f>
        <v>m2</v>
      </c>
      <c r="F2159" s="1083">
        <v>1</v>
      </c>
      <c r="G2159" s="1081">
        <f>IF(B2159="insumo",_xlfn.XLOOKUP($D2159,Insumos!$B$1:$B$670,Insumos!$D$1:$D$670),"")</f>
        <v>175</v>
      </c>
      <c r="H2159" s="1081" cm="1">
        <f t="array" ref="H2159">_xlfn.IFS(B2159="Serviço",SUMIFS(H2160:$H$2465,C2160:$C$2465,$C2159),B2159="Insumo",F2159*G2159,B2159="Etapa","")</f>
        <v>175</v>
      </c>
      <c r="I2159" s="1082" t="s">
        <v>2268</v>
      </c>
    </row>
    <row r="2160" spans="1:9" collapsed="1" x14ac:dyDescent="0.25">
      <c r="A2160" s="1076">
        <f t="shared" si="82"/>
        <v>1</v>
      </c>
      <c r="B2160" s="1076" t="s">
        <v>469</v>
      </c>
      <c r="C2160" s="1076"/>
      <c r="D2160" s="1076" t="s">
        <v>2269</v>
      </c>
      <c r="E2160" s="1077"/>
      <c r="F2160" s="1078"/>
      <c r="G2160" s="1084" t="str">
        <f>IF(B2160="insumo",_xlfn.XLOOKUP($D2160,Insumos!$B$1:$B$670,Insumos!$D$1:$D$670),"")</f>
        <v/>
      </c>
      <c r="H2160" s="1084" t="str" cm="1">
        <f t="array" ref="H2160">_xlfn.IFS(B2160="Serviço",SUMIFS(H2161:$H$2465,C2161:$C$2465,$C2160),B2160="Insumo",F2160*G2160,B2160="Etapa","")</f>
        <v/>
      </c>
      <c r="I2160" s="1078"/>
    </row>
    <row r="2161" spans="1:9" hidden="1" outlineLevel="1" x14ac:dyDescent="0.25">
      <c r="A2161" s="1079">
        <f t="shared" si="82"/>
        <v>1</v>
      </c>
      <c r="B2161" s="1079" t="s">
        <v>471</v>
      </c>
      <c r="C2161" s="1079" t="str">
        <f t="shared" ref="C2161:C2224" si="84">IF(B2161="serviço",D2161,C2160)</f>
        <v>Banheiro - Bacia Sanitária / Caixa Acoplada</v>
      </c>
      <c r="D2161" s="1103" t="s">
        <v>2270</v>
      </c>
      <c r="E2161" s="1080" t="s">
        <v>491</v>
      </c>
      <c r="F2161" s="1104" t="s">
        <v>482</v>
      </c>
      <c r="G2161" s="1081" t="str">
        <f>IF(B2161="insumo",_xlfn.XLOOKUP($D2161,Insumos!$B$1:$B$670,Insumos!$D$1:$D$670),"")</f>
        <v/>
      </c>
      <c r="H2161" s="1081" cm="1">
        <f t="array" ref="H2161">_xlfn.IFS(B2161="Serviço",SUMIFS(H2162:$H$2465,C2162:$C$2465,$C2161),B2161="Insumo",F2161*G2161,B2161="Etapa","")</f>
        <v>963.49879999999996</v>
      </c>
      <c r="I2161" s="1082" t="s">
        <v>872</v>
      </c>
    </row>
    <row r="2162" spans="1:9" hidden="1" outlineLevel="2" x14ac:dyDescent="0.25">
      <c r="A2162" s="1079">
        <f t="shared" si="82"/>
        <v>2</v>
      </c>
      <c r="B2162" s="1079" t="s">
        <v>1362</v>
      </c>
      <c r="C2162" s="1079" t="str">
        <f t="shared" si="84"/>
        <v>Banheiro - Bacia Sanitária / Caixa Acoplada</v>
      </c>
      <c r="D2162" s="1079" t="s">
        <v>2271</v>
      </c>
      <c r="E2162" s="1080" t="str">
        <f>_xlfn.XLOOKUP(D2162,Insumos!$B$1:$B$670,Insumos!$C$1:$C$670)</f>
        <v>UN</v>
      </c>
      <c r="F2162" s="1083">
        <v>1</v>
      </c>
      <c r="G2162" s="1081">
        <v>900</v>
      </c>
      <c r="H2162" s="1081" cm="1">
        <f t="array" ref="H2162">_xlfn.IFS(B2162="Serviço",SUMIFS(H2163:$H$2465,C2163:$C$2465,$C2162),B2162="Insumo",F2162*G2162,B2162="Etapa","")</f>
        <v>900</v>
      </c>
      <c r="I2162" s="1082"/>
    </row>
    <row r="2163" spans="1:9" hidden="1" outlineLevel="2" x14ac:dyDescent="0.25">
      <c r="A2163" s="1079">
        <f t="shared" si="82"/>
        <v>2</v>
      </c>
      <c r="B2163" s="1079" t="s">
        <v>1362</v>
      </c>
      <c r="C2163" s="1079" t="str">
        <f t="shared" si="84"/>
        <v>Banheiro - Bacia Sanitária / Caixa Acoplada</v>
      </c>
      <c r="D2163" s="1079" t="s">
        <v>2272</v>
      </c>
      <c r="E2163" s="1080" t="str">
        <f>_xlfn.XLOOKUP(D2163,Insumos!$B$1:$B$670,Insumos!$C$1:$C$670)</f>
        <v>UN</v>
      </c>
      <c r="F2163" s="1083">
        <v>2</v>
      </c>
      <c r="G2163" s="1081">
        <f>IF(B2163="insumo",_xlfn.XLOOKUP($D2163,Insumos!$B$1:$B$670,Insumos!$D$1:$D$670),"")</f>
        <v>0.34</v>
      </c>
      <c r="H2163" s="1081" cm="1">
        <f t="array" ref="H2163">_xlfn.IFS(B2163="Serviço",SUMIFS(H2164:$H$2465,C2164:$C$2465,$C2163),B2163="Insumo",F2163*G2163,B2163="Etapa","")</f>
        <v>0.68</v>
      </c>
      <c r="I2163" s="1082"/>
    </row>
    <row r="2164" spans="1:9" hidden="1" outlineLevel="2" x14ac:dyDescent="0.25">
      <c r="A2164" s="1079">
        <f t="shared" si="82"/>
        <v>3</v>
      </c>
      <c r="B2164" s="1079" t="s">
        <v>1362</v>
      </c>
      <c r="C2164" s="1079" t="str">
        <f t="shared" si="84"/>
        <v>Banheiro - Bacia Sanitária / Caixa Acoplada</v>
      </c>
      <c r="D2164" s="1079" t="s">
        <v>2273</v>
      </c>
      <c r="E2164" s="1080" t="str">
        <f>_xlfn.XLOOKUP(D2164,Insumos!$B$1:$B$670,Insumos!$C$1:$C$670)</f>
        <v>UN</v>
      </c>
      <c r="F2164" s="1083">
        <v>2</v>
      </c>
      <c r="G2164" s="1081">
        <f>IF(B2164="insumo",_xlfn.XLOOKUP($D2164,Insumos!$B$1:$B$670,Insumos!$D$1:$D$670),"")</f>
        <v>5.95</v>
      </c>
      <c r="H2164" s="1081" cm="1">
        <f t="array" ref="H2164">_xlfn.IFS(B2164="Serviço",SUMIFS(H2165:$H$2465,C2165:$C$2465,$C2164),B2164="Insumo",F2164*G2164,B2164="Etapa","")</f>
        <v>11.9</v>
      </c>
      <c r="I2164" s="1082"/>
    </row>
    <row r="2165" spans="1:9" hidden="1" outlineLevel="2" x14ac:dyDescent="0.25">
      <c r="A2165" s="1079">
        <f t="shared" si="82"/>
        <v>8</v>
      </c>
      <c r="B2165" s="1079" t="s">
        <v>1362</v>
      </c>
      <c r="C2165" s="1079" t="str">
        <f t="shared" si="84"/>
        <v>Banheiro - Bacia Sanitária / Caixa Acoplada</v>
      </c>
      <c r="D2165" s="1079" t="s">
        <v>2274</v>
      </c>
      <c r="E2165" s="1080" t="str">
        <f>_xlfn.XLOOKUP(D2165,Insumos!$B$1:$B$670,Insumos!$C$1:$C$670)</f>
        <v>M</v>
      </c>
      <c r="F2165" s="1083">
        <v>1.1200000000000001</v>
      </c>
      <c r="G2165" s="1081">
        <f>IF(B2165="insumo",_xlfn.XLOOKUP($D2165,Insumos!$B$1:$B$670,Insumos!$D$1:$D$670),"")</f>
        <v>0.24</v>
      </c>
      <c r="H2165" s="1081" cm="1">
        <f t="array" ref="H2165">_xlfn.IFS(B2165="Serviço",SUMIFS(H2166:$H$2465,C2166:$C$2465,$C2165),B2165="Insumo",F2165*G2165,B2165="Etapa","")</f>
        <v>0.26880000000000004</v>
      </c>
      <c r="I2165" s="1082"/>
    </row>
    <row r="2166" spans="1:9" hidden="1" outlineLevel="2" x14ac:dyDescent="0.25">
      <c r="A2166" s="1079">
        <f t="shared" si="82"/>
        <v>3</v>
      </c>
      <c r="B2166" s="1079" t="s">
        <v>1362</v>
      </c>
      <c r="C2166" s="1079" t="str">
        <f t="shared" si="84"/>
        <v>Banheiro - Bacia Sanitária / Caixa Acoplada</v>
      </c>
      <c r="D2166" s="1079" t="s">
        <v>2275</v>
      </c>
      <c r="E2166" s="1080" t="str">
        <f>_xlfn.XLOOKUP(D2166,Insumos!$B$1:$B$670,Insumos!$C$1:$C$670)</f>
        <v>UN</v>
      </c>
      <c r="F2166" s="1083">
        <v>1</v>
      </c>
      <c r="G2166" s="1081">
        <f>IF(B2166="insumo",_xlfn.XLOOKUP($D2166,Insumos!$B$1:$B$670,Insumos!$D$1:$D$670),"")</f>
        <v>5</v>
      </c>
      <c r="H2166" s="1081" cm="1">
        <f t="array" ref="H2166">_xlfn.IFS(B2166="Serviço",SUMIFS(H2167:$H$2465,C2167:$C$2465,$C2166),B2166="Insumo",F2166*G2166,B2166="Etapa","")</f>
        <v>5</v>
      </c>
      <c r="I2166" s="1082"/>
    </row>
    <row r="2167" spans="1:9" hidden="1" outlineLevel="2" x14ac:dyDescent="0.25">
      <c r="A2167" s="1079">
        <f t="shared" si="82"/>
        <v>11</v>
      </c>
      <c r="B2167" s="1079" t="s">
        <v>1362</v>
      </c>
      <c r="C2167" s="1079" t="str">
        <f t="shared" si="84"/>
        <v>Banheiro - Bacia Sanitária / Caixa Acoplada</v>
      </c>
      <c r="D2167" s="1079" t="s">
        <v>2276</v>
      </c>
      <c r="E2167" s="1080" t="str">
        <f>_xlfn.XLOOKUP(D2167,Insumos!$B$1:$B$670,Insumos!$C$1:$C$670)</f>
        <v>UN</v>
      </c>
      <c r="F2167" s="1083">
        <v>0.25</v>
      </c>
      <c r="G2167" s="1081">
        <f>IF(B2167="insumo",_xlfn.XLOOKUP($D2167,Insumos!$B$1:$B$670,Insumos!$D$1:$D$670),"")</f>
        <v>75</v>
      </c>
      <c r="H2167" s="1081" cm="1">
        <f t="array" ref="H2167">_xlfn.IFS(B2167="Serviço",SUMIFS(H2168:$H$2465,C2168:$C$2465,$C2167),B2167="Insumo",F2167*G2167,B2167="Etapa","")</f>
        <v>18.75</v>
      </c>
      <c r="I2167" s="1082"/>
    </row>
    <row r="2168" spans="1:9" hidden="1" outlineLevel="2" x14ac:dyDescent="0.25">
      <c r="A2168" s="1079">
        <f t="shared" si="82"/>
        <v>11</v>
      </c>
      <c r="B2168" s="1079" t="s">
        <v>1362</v>
      </c>
      <c r="C2168" s="1079" t="str">
        <f t="shared" si="84"/>
        <v>Banheiro - Bacia Sanitária / Caixa Acoplada</v>
      </c>
      <c r="D2168" s="1079" t="s">
        <v>2277</v>
      </c>
      <c r="E2168" s="1080" t="str">
        <f>_xlfn.XLOOKUP(D2168,Insumos!$B$1:$B$670,Insumos!$C$1:$C$670)</f>
        <v>UN</v>
      </c>
      <c r="F2168" s="1083">
        <v>1</v>
      </c>
      <c r="G2168" s="1081">
        <f>IF(B2168="insumo",_xlfn.XLOOKUP($D2168,Insumos!$B$1:$B$670,Insumos!$D$1:$D$670),"")</f>
        <v>26.9</v>
      </c>
      <c r="H2168" s="1081" cm="1">
        <f t="array" ref="H2168">_xlfn.IFS(B2168="Serviço",SUMIFS(H2169:$H$2465,C2169:$C$2465,$C2168),B2168="Insumo",F2168*G2168,B2168="Etapa","")</f>
        <v>26.9</v>
      </c>
      <c r="I2168" s="1082"/>
    </row>
    <row r="2169" spans="1:9" hidden="1" outlineLevel="1" x14ac:dyDescent="0.25">
      <c r="A2169" s="1079">
        <f t="shared" si="82"/>
        <v>1</v>
      </c>
      <c r="B2169" s="1079" t="s">
        <v>471</v>
      </c>
      <c r="C2169" s="1079" t="str">
        <f t="shared" si="84"/>
        <v>Banheiro - Mictório / Caixa Acoplada</v>
      </c>
      <c r="D2169" s="1103" t="s">
        <v>2278</v>
      </c>
      <c r="E2169" s="1080" t="s">
        <v>491</v>
      </c>
      <c r="F2169" s="1104" t="s">
        <v>482</v>
      </c>
      <c r="G2169" s="1081" t="str">
        <f>IF(B2169="insumo",_xlfn.XLOOKUP($D2169,Insumos!$B$1:$B$670,Insumos!$D$1:$D$670),"")</f>
        <v/>
      </c>
      <c r="H2169" s="1081" cm="1">
        <f t="array" ref="H2169">_xlfn.IFS(B2169="Serviço",SUMIFS(H2170:$H$2465,C2170:$C$2465,$C2169),B2169="Insumo",F2169*G2169,B2169="Etapa","")</f>
        <v>1073.9000000000001</v>
      </c>
      <c r="I2169" s="1082" t="s">
        <v>872</v>
      </c>
    </row>
    <row r="2170" spans="1:9" hidden="1" outlineLevel="2" x14ac:dyDescent="0.25">
      <c r="A2170" s="1079">
        <f t="shared" si="82"/>
        <v>1</v>
      </c>
      <c r="B2170" s="1079" t="s">
        <v>1362</v>
      </c>
      <c r="C2170" s="1079" t="str">
        <f t="shared" si="84"/>
        <v>Banheiro - Mictório / Caixa Acoplada</v>
      </c>
      <c r="D2170" s="1079" t="s">
        <v>2279</v>
      </c>
      <c r="E2170" s="1080" t="str">
        <f>_xlfn.XLOOKUP(D2170,Insumos!$B$1:$B$670,Insumos!$C$1:$C$670)</f>
        <v>UN</v>
      </c>
      <c r="F2170" s="1083">
        <v>1</v>
      </c>
      <c r="G2170" s="1081">
        <f>IF(B2170="insumo",_xlfn.XLOOKUP($D2170,Insumos!$B$1:$B$670,Insumos!$D$1:$D$670),"")</f>
        <v>1010.4012000000001</v>
      </c>
      <c r="H2170" s="1081" cm="1">
        <f t="array" ref="H2170">_xlfn.IFS(B2170="Serviço",SUMIFS(H2171:$H$2465,C2171:$C$2465,$C2170),B2170="Insumo",F2170*G2170,B2170="Etapa","")</f>
        <v>1010.4012000000001</v>
      </c>
      <c r="I2170" s="1082"/>
    </row>
    <row r="2171" spans="1:9" hidden="1" outlineLevel="2" x14ac:dyDescent="0.25">
      <c r="A2171" s="1079">
        <f t="shared" si="82"/>
        <v>2</v>
      </c>
      <c r="B2171" s="1079" t="s">
        <v>1362</v>
      </c>
      <c r="C2171" s="1079" t="str">
        <f t="shared" si="84"/>
        <v>Banheiro - Mictório / Caixa Acoplada</v>
      </c>
      <c r="D2171" s="1079" t="s">
        <v>2272</v>
      </c>
      <c r="E2171" s="1080" t="str">
        <f>_xlfn.XLOOKUP(D2171,Insumos!$B$1:$B$670,Insumos!$C$1:$C$670)</f>
        <v>UN</v>
      </c>
      <c r="F2171" s="1083">
        <v>2</v>
      </c>
      <c r="G2171" s="1081">
        <f>IF(B2171="insumo",_xlfn.XLOOKUP($D2171,Insumos!$B$1:$B$670,Insumos!$D$1:$D$670),"")</f>
        <v>0.34</v>
      </c>
      <c r="H2171" s="1081" cm="1">
        <f t="array" ref="H2171">_xlfn.IFS(B2171="Serviço",SUMIFS(H2172:$H$2465,C2172:$C$2465,$C2171),B2171="Insumo",F2171*G2171,B2171="Etapa","")</f>
        <v>0.68</v>
      </c>
      <c r="I2171" s="1082"/>
    </row>
    <row r="2172" spans="1:9" hidden="1" outlineLevel="2" x14ac:dyDescent="0.25">
      <c r="A2172" s="1079">
        <f t="shared" si="82"/>
        <v>3</v>
      </c>
      <c r="B2172" s="1079" t="s">
        <v>1362</v>
      </c>
      <c r="C2172" s="1079" t="str">
        <f t="shared" si="84"/>
        <v>Banheiro - Mictório / Caixa Acoplada</v>
      </c>
      <c r="D2172" s="1079" t="s">
        <v>2273</v>
      </c>
      <c r="E2172" s="1080" t="str">
        <f>_xlfn.XLOOKUP(D2172,Insumos!$B$1:$B$670,Insumos!$C$1:$C$670)</f>
        <v>UN</v>
      </c>
      <c r="F2172" s="1083">
        <v>2</v>
      </c>
      <c r="G2172" s="1081">
        <f>IF(B2172="insumo",_xlfn.XLOOKUP($D2172,Insumos!$B$1:$B$670,Insumos!$D$1:$D$670),"")</f>
        <v>5.95</v>
      </c>
      <c r="H2172" s="1081" cm="1">
        <f t="array" ref="H2172">_xlfn.IFS(B2172="Serviço",SUMIFS(H2173:$H$2465,C2173:$C$2465,$C2172),B2172="Insumo",F2172*G2172,B2172="Etapa","")</f>
        <v>11.9</v>
      </c>
      <c r="I2172" s="1082"/>
    </row>
    <row r="2173" spans="1:9" hidden="1" outlineLevel="2" x14ac:dyDescent="0.25">
      <c r="A2173" s="1079">
        <f t="shared" si="82"/>
        <v>8</v>
      </c>
      <c r="B2173" s="1079" t="s">
        <v>1362</v>
      </c>
      <c r="C2173" s="1079" t="str">
        <f t="shared" si="84"/>
        <v>Banheiro - Mictório / Caixa Acoplada</v>
      </c>
      <c r="D2173" s="1079" t="s">
        <v>2274</v>
      </c>
      <c r="E2173" s="1080" t="str">
        <f>_xlfn.XLOOKUP(D2173,Insumos!$B$1:$B$670,Insumos!$C$1:$C$670)</f>
        <v>M</v>
      </c>
      <c r="F2173" s="1083">
        <v>1.1200000000000001</v>
      </c>
      <c r="G2173" s="1081">
        <f>IF(B2173="insumo",_xlfn.XLOOKUP($D2173,Insumos!$B$1:$B$670,Insumos!$D$1:$D$670),"")</f>
        <v>0.24</v>
      </c>
      <c r="H2173" s="1081" cm="1">
        <f t="array" ref="H2173">_xlfn.IFS(B2173="Serviço",SUMIFS(H2174:$H$2465,C2174:$C$2465,$C2173),B2173="Insumo",F2173*G2173,B2173="Etapa","")</f>
        <v>0.26880000000000004</v>
      </c>
      <c r="I2173" s="1082"/>
    </row>
    <row r="2174" spans="1:9" hidden="1" outlineLevel="2" x14ac:dyDescent="0.25">
      <c r="A2174" s="1079">
        <f t="shared" si="82"/>
        <v>3</v>
      </c>
      <c r="B2174" s="1079" t="s">
        <v>1362</v>
      </c>
      <c r="C2174" s="1079" t="str">
        <f t="shared" si="84"/>
        <v>Banheiro - Mictório / Caixa Acoplada</v>
      </c>
      <c r="D2174" s="1079" t="s">
        <v>2275</v>
      </c>
      <c r="E2174" s="1080" t="str">
        <f>_xlfn.XLOOKUP(D2174,Insumos!$B$1:$B$670,Insumos!$C$1:$C$670)</f>
        <v>UN</v>
      </c>
      <c r="F2174" s="1083">
        <v>1</v>
      </c>
      <c r="G2174" s="1081">
        <f>IF(B2174="insumo",_xlfn.XLOOKUP($D2174,Insumos!$B$1:$B$670,Insumos!$D$1:$D$670),"")</f>
        <v>5</v>
      </c>
      <c r="H2174" s="1081" cm="1">
        <f t="array" ref="H2174">_xlfn.IFS(B2174="Serviço",SUMIFS(H2175:$H$2465,C2175:$C$2465,$C2174),B2174="Insumo",F2174*G2174,B2174="Etapa","")</f>
        <v>5</v>
      </c>
      <c r="I2174" s="1082"/>
    </row>
    <row r="2175" spans="1:9" hidden="1" outlineLevel="2" x14ac:dyDescent="0.25">
      <c r="A2175" s="1079">
        <f t="shared" si="82"/>
        <v>11</v>
      </c>
      <c r="B2175" s="1079" t="s">
        <v>1362</v>
      </c>
      <c r="C2175" s="1079" t="str">
        <f t="shared" si="84"/>
        <v>Banheiro - Mictório / Caixa Acoplada</v>
      </c>
      <c r="D2175" s="1079" t="s">
        <v>2276</v>
      </c>
      <c r="E2175" s="1080" t="str">
        <f>_xlfn.XLOOKUP(D2175,Insumos!$B$1:$B$670,Insumos!$C$1:$C$670)</f>
        <v>UN</v>
      </c>
      <c r="F2175" s="1083">
        <v>0.25</v>
      </c>
      <c r="G2175" s="1081">
        <f>IF(B2175="insumo",_xlfn.XLOOKUP($D2175,Insumos!$B$1:$B$670,Insumos!$D$1:$D$670),"")</f>
        <v>75</v>
      </c>
      <c r="H2175" s="1081" cm="1">
        <f t="array" ref="H2175">_xlfn.IFS(B2175="Serviço",SUMIFS(H2176:$H$2465,C2176:$C$2465,$C2175),B2175="Insumo",F2175*G2175,B2175="Etapa","")</f>
        <v>18.75</v>
      </c>
      <c r="I2175" s="1082"/>
    </row>
    <row r="2176" spans="1:9" hidden="1" outlineLevel="2" x14ac:dyDescent="0.25">
      <c r="A2176" s="1079">
        <f t="shared" si="82"/>
        <v>11</v>
      </c>
      <c r="B2176" s="1079" t="s">
        <v>1362</v>
      </c>
      <c r="C2176" s="1079" t="str">
        <f t="shared" si="84"/>
        <v>Banheiro - Mictório / Caixa Acoplada</v>
      </c>
      <c r="D2176" s="1079" t="s">
        <v>2277</v>
      </c>
      <c r="E2176" s="1080" t="str">
        <f>_xlfn.XLOOKUP(D2176,Insumos!$B$1:$B$670,Insumos!$C$1:$C$670)</f>
        <v>UN</v>
      </c>
      <c r="F2176" s="1083">
        <v>1</v>
      </c>
      <c r="G2176" s="1081">
        <f>IF(B2176="insumo",_xlfn.XLOOKUP($D2176,Insumos!$B$1:$B$670,Insumos!$D$1:$D$670),"")</f>
        <v>26.9</v>
      </c>
      <c r="H2176" s="1081" cm="1">
        <f t="array" ref="H2176">_xlfn.IFS(B2176="Serviço",SUMIFS(H2177:$H$2465,C2177:$C$2465,$C2176),B2176="Insumo",F2176*G2176,B2176="Etapa","")</f>
        <v>26.9</v>
      </c>
      <c r="I2176" s="1082"/>
    </row>
    <row r="2177" spans="1:9" hidden="1" outlineLevel="1" x14ac:dyDescent="0.25">
      <c r="A2177" s="1079">
        <f t="shared" si="82"/>
        <v>1</v>
      </c>
      <c r="B2177" s="1079" t="s">
        <v>471</v>
      </c>
      <c r="C2177" s="1079" t="str">
        <f t="shared" si="84"/>
        <v>Banheiro - Bacia Sanitária PNE</v>
      </c>
      <c r="D2177" s="1079" t="s">
        <v>2280</v>
      </c>
      <c r="E2177" s="1080" t="s">
        <v>491</v>
      </c>
      <c r="F2177" s="1079" t="s">
        <v>482</v>
      </c>
      <c r="G2177" s="1081" t="str">
        <f>IF(B2177="insumo",_xlfn.XLOOKUP($D2177,Insumos!$B$1:$B$670,Insumos!$D$1:$D$670),"")</f>
        <v/>
      </c>
      <c r="H2177" s="1081" cm="1">
        <f t="array" ref="H2177">_xlfn.IFS(B2177="Serviço",SUMIFS(H2178:$H$2465,C2178:$C$2465,$C2177),B2177="Insumo",F2177*G2177,B2177="Etapa","")</f>
        <v>1177.47</v>
      </c>
      <c r="I2177" s="1082" t="s">
        <v>872</v>
      </c>
    </row>
    <row r="2178" spans="1:9" hidden="1" outlineLevel="2" x14ac:dyDescent="0.25">
      <c r="A2178" s="1079">
        <f t="shared" ref="A2178:A2241" si="85">COUNTIFS($D$2:$D$2465,D2178,$B$2:$B$2465,B2178)</f>
        <v>3</v>
      </c>
      <c r="B2178" s="1079" t="s">
        <v>1362</v>
      </c>
      <c r="C2178" s="1079" t="str">
        <f t="shared" si="84"/>
        <v>Banheiro - Bacia Sanitária PNE</v>
      </c>
      <c r="D2178" s="1079" t="s">
        <v>2281</v>
      </c>
      <c r="E2178" s="1080" t="str">
        <f>_xlfn.XLOOKUP(D2178,Insumos!$B$1:$B$670,Insumos!$C$1:$C$670)</f>
        <v>UN</v>
      </c>
      <c r="F2178" s="1083">
        <v>2</v>
      </c>
      <c r="G2178" s="1081">
        <f>IF(B2178="insumo",_xlfn.XLOOKUP($D2178,Insumos!$B$1:$B$670,Insumos!$D$1:$D$670),"")</f>
        <v>0.34</v>
      </c>
      <c r="H2178" s="1081" cm="1">
        <f t="array" ref="H2178">_xlfn.IFS(B2178="Serviço",SUMIFS(H2179:$H$2465,C2179:$C$2465,$C2178),B2178="Insumo",F2178*G2178,B2178="Etapa","")</f>
        <v>0.68</v>
      </c>
      <c r="I2178" s="1082"/>
    </row>
    <row r="2179" spans="1:9" hidden="1" outlineLevel="2" x14ac:dyDescent="0.25">
      <c r="A2179" s="1079">
        <f t="shared" si="85"/>
        <v>3</v>
      </c>
      <c r="B2179" s="1079" t="s">
        <v>1362</v>
      </c>
      <c r="C2179" s="1079" t="str">
        <f t="shared" si="84"/>
        <v>Banheiro - Bacia Sanitária PNE</v>
      </c>
      <c r="D2179" s="1079" t="s">
        <v>2273</v>
      </c>
      <c r="E2179" s="1080" t="str">
        <f>_xlfn.XLOOKUP(D2179,Insumos!$B$1:$B$670,Insumos!$C$1:$C$670)</f>
        <v>UN</v>
      </c>
      <c r="F2179" s="1083">
        <v>2</v>
      </c>
      <c r="G2179" s="1081">
        <f>IF(B2179="insumo",_xlfn.XLOOKUP($D2179,Insumos!$B$1:$B$670,Insumos!$D$1:$D$670),"")</f>
        <v>5.95</v>
      </c>
      <c r="H2179" s="1081" cm="1">
        <f t="array" ref="H2179">_xlfn.IFS(B2179="Serviço",SUMIFS(H2180:$H$2465,C2180:$C$2465,$C2179),B2179="Insumo",F2179*G2179,B2179="Etapa","")</f>
        <v>11.9</v>
      </c>
      <c r="I2179" s="1082"/>
    </row>
    <row r="2180" spans="1:9" hidden="1" outlineLevel="2" x14ac:dyDescent="0.25">
      <c r="A2180" s="1079">
        <f t="shared" si="85"/>
        <v>3</v>
      </c>
      <c r="B2180" s="1079" t="s">
        <v>1362</v>
      </c>
      <c r="C2180" s="1079" t="str">
        <f t="shared" si="84"/>
        <v>Banheiro - Bacia Sanitária PNE</v>
      </c>
      <c r="D2180" s="1079" t="s">
        <v>2275</v>
      </c>
      <c r="E2180" s="1080" t="str">
        <f>_xlfn.XLOOKUP(D2180,Insumos!$B$1:$B$670,Insumos!$C$1:$C$670)</f>
        <v>UN</v>
      </c>
      <c r="F2180" s="1083">
        <v>1</v>
      </c>
      <c r="G2180" s="1081">
        <f>IF(B2180="insumo",_xlfn.XLOOKUP($D2180,Insumos!$B$1:$B$670,Insumos!$D$1:$D$670),"")</f>
        <v>5</v>
      </c>
      <c r="H2180" s="1081" cm="1">
        <f t="array" ref="H2180">_xlfn.IFS(B2180="Serviço",SUMIFS(H2181:$H$2465,C2181:$C$2465,$C2180),B2180="Insumo",F2180*G2180,B2180="Etapa","")</f>
        <v>5</v>
      </c>
      <c r="I2180" s="1082"/>
    </row>
    <row r="2181" spans="1:9" hidden="1" outlineLevel="2" x14ac:dyDescent="0.25">
      <c r="A2181" s="1079">
        <f t="shared" si="85"/>
        <v>7</v>
      </c>
      <c r="B2181" s="1079" t="s">
        <v>1362</v>
      </c>
      <c r="C2181" s="1079" t="str">
        <f t="shared" si="84"/>
        <v>Banheiro - Bacia Sanitária PNE</v>
      </c>
      <c r="D2181" s="1079" t="s">
        <v>2282</v>
      </c>
      <c r="E2181" s="1080" t="str">
        <f>_xlfn.XLOOKUP(D2181,Insumos!$B$1:$B$670,Insumos!$C$1:$C$670)</f>
        <v>UN</v>
      </c>
      <c r="F2181" s="1083">
        <v>0.4</v>
      </c>
      <c r="G2181" s="1081">
        <f>IF(B2181="insumo",_xlfn.XLOOKUP($D2181,Insumos!$B$1:$B$670,Insumos!$D$1:$D$670),"")</f>
        <v>35.6</v>
      </c>
      <c r="H2181" s="1081" cm="1">
        <f t="array" ref="H2181">_xlfn.IFS(B2181="Serviço",SUMIFS(H2182:$H$2465,C2182:$C$2465,$C2181),B2181="Insumo",F2181*G2181,B2181="Etapa","")</f>
        <v>14.240000000000002</v>
      </c>
      <c r="I2181" s="1082"/>
    </row>
    <row r="2182" spans="1:9" hidden="1" outlineLevel="2" x14ac:dyDescent="0.25">
      <c r="A2182" s="1079">
        <f t="shared" si="85"/>
        <v>11</v>
      </c>
      <c r="B2182" s="1079" t="s">
        <v>1362</v>
      </c>
      <c r="C2182" s="1079" t="str">
        <f t="shared" si="84"/>
        <v>Banheiro - Bacia Sanitária PNE</v>
      </c>
      <c r="D2182" s="1079" t="s">
        <v>2276</v>
      </c>
      <c r="E2182" s="1080" t="str">
        <f>_xlfn.XLOOKUP(D2182,Insumos!$B$1:$B$670,Insumos!$C$1:$C$670)</f>
        <v>UN</v>
      </c>
      <c r="F2182" s="1083">
        <v>0.25</v>
      </c>
      <c r="G2182" s="1081">
        <f>IF(B2182="insumo",_xlfn.XLOOKUP($D2182,Insumos!$B$1:$B$670,Insumos!$D$1:$D$670),"")</f>
        <v>75</v>
      </c>
      <c r="H2182" s="1081" cm="1">
        <f t="array" ref="H2182">_xlfn.IFS(B2182="Serviço",SUMIFS(H2183:$H$2465,C2183:$C$2465,$C2182),B2182="Insumo",F2182*G2182,B2182="Etapa","")</f>
        <v>18.75</v>
      </c>
      <c r="I2182" s="1082"/>
    </row>
    <row r="2183" spans="1:9" hidden="1" outlineLevel="2" x14ac:dyDescent="0.25">
      <c r="A2183" s="1079">
        <f t="shared" si="85"/>
        <v>2</v>
      </c>
      <c r="B2183" s="1079" t="s">
        <v>1362</v>
      </c>
      <c r="C2183" s="1079" t="str">
        <f t="shared" si="84"/>
        <v>Banheiro - Bacia Sanitária PNE</v>
      </c>
      <c r="D2183" s="1079" t="s">
        <v>2271</v>
      </c>
      <c r="E2183" s="1080" t="str">
        <f>_xlfn.XLOOKUP(D2183,Insumos!$B$1:$B$670,Insumos!$C$1:$C$670)</f>
        <v>UN</v>
      </c>
      <c r="F2183" s="1083">
        <v>1</v>
      </c>
      <c r="G2183" s="1081">
        <v>1100</v>
      </c>
      <c r="H2183" s="1081" cm="1">
        <f t="array" ref="H2183">_xlfn.IFS(B2183="Serviço",SUMIFS(H2184:$H$2465,C2184:$C$2465,$C2183),B2183="Insumo",F2183*G2183,B2183="Etapa","")</f>
        <v>1100</v>
      </c>
      <c r="I2183" s="1082"/>
    </row>
    <row r="2184" spans="1:9" hidden="1" outlineLevel="2" x14ac:dyDescent="0.25">
      <c r="A2184" s="1079">
        <f t="shared" si="85"/>
        <v>11</v>
      </c>
      <c r="B2184" s="1079" t="s">
        <v>1362</v>
      </c>
      <c r="C2184" s="1079" t="str">
        <f t="shared" si="84"/>
        <v>Banheiro - Bacia Sanitária PNE</v>
      </c>
      <c r="D2184" s="1079" t="s">
        <v>2277</v>
      </c>
      <c r="E2184" s="1080" t="str">
        <f>_xlfn.XLOOKUP(D2184,Insumos!$B$1:$B$670,Insumos!$C$1:$C$670)</f>
        <v>UN</v>
      </c>
      <c r="F2184" s="1083">
        <v>1</v>
      </c>
      <c r="G2184" s="1081">
        <f>IF(B2184="insumo",_xlfn.XLOOKUP($D2184,Insumos!$B$1:$B$670,Insumos!$D$1:$D$670),"")</f>
        <v>26.9</v>
      </c>
      <c r="H2184" s="1081" cm="1">
        <f t="array" ref="H2184">_xlfn.IFS(B2184="Serviço",SUMIFS(H2185:$H$2465,C2185:$C$2465,$C2184),B2184="Insumo",F2184*G2184,B2184="Etapa","")</f>
        <v>26.9</v>
      </c>
      <c r="I2184" s="1082"/>
    </row>
    <row r="2185" spans="1:9" hidden="1" outlineLevel="1" x14ac:dyDescent="0.25">
      <c r="A2185" s="1079">
        <f t="shared" si="85"/>
        <v>1</v>
      </c>
      <c r="B2185" s="1079" t="s">
        <v>471</v>
      </c>
      <c r="C2185" s="1079" t="str">
        <f t="shared" si="84"/>
        <v>Banheiro - Cuba</v>
      </c>
      <c r="D2185" s="1103" t="s">
        <v>2283</v>
      </c>
      <c r="E2185" s="1080" t="s">
        <v>491</v>
      </c>
      <c r="F2185" s="1104" t="s">
        <v>482</v>
      </c>
      <c r="G2185" s="1081" t="str">
        <f>IF(B2185="insumo",_xlfn.XLOOKUP($D2185,Insumos!$B$1:$B$670,Insumos!$D$1:$D$670),"")</f>
        <v/>
      </c>
      <c r="H2185" s="1081" cm="1">
        <f t="array" ref="H2185">_xlfn.IFS(B2185="Serviço",SUMIFS(H2186:$H$2465,C2186:$C$2465,$C2185),B2185="Insumo",F2185*G2185,B2185="Etapa","")</f>
        <v>436.68999999999988</v>
      </c>
      <c r="I2185" s="1082" t="s">
        <v>872</v>
      </c>
    </row>
    <row r="2186" spans="1:9" hidden="1" outlineLevel="2" x14ac:dyDescent="0.25">
      <c r="A2186" s="1079">
        <f t="shared" si="85"/>
        <v>1</v>
      </c>
      <c r="B2186" s="1079" t="s">
        <v>1362</v>
      </c>
      <c r="C2186" s="1079" t="str">
        <f t="shared" si="84"/>
        <v>Banheiro - Cuba</v>
      </c>
      <c r="D2186" s="1079" t="s">
        <v>2284</v>
      </c>
      <c r="E2186" s="1080" t="str">
        <f>_xlfn.XLOOKUP(D2186,Insumos!$B$1:$B$670,Insumos!$C$1:$C$670)</f>
        <v>UN</v>
      </c>
      <c r="F2186" s="1083">
        <v>1</v>
      </c>
      <c r="G2186" s="1081">
        <f>IF(B2186="insumo",_xlfn.XLOOKUP($D2186,Insumos!$B$1:$B$670,Insumos!$D$1:$D$670),"")</f>
        <v>272.89999999999998</v>
      </c>
      <c r="H2186" s="1081" cm="1">
        <f t="array" ref="H2186">_xlfn.IFS(B2186="Serviço",SUMIFS(H2187:$H$2465,C2187:$C$2465,$C2186),B2186="Insumo",F2186*G2186,B2186="Etapa","")</f>
        <v>272.89999999999998</v>
      </c>
      <c r="I2186" s="1082"/>
    </row>
    <row r="2187" spans="1:9" hidden="1" outlineLevel="2" x14ac:dyDescent="0.25">
      <c r="A2187" s="1079">
        <f t="shared" si="85"/>
        <v>2</v>
      </c>
      <c r="B2187" s="1079" t="s">
        <v>1362</v>
      </c>
      <c r="C2187" s="1079" t="str">
        <f t="shared" si="84"/>
        <v>Banheiro - Cuba</v>
      </c>
      <c r="D2187" s="1079" t="s">
        <v>2285</v>
      </c>
      <c r="E2187" s="1080" t="str">
        <f>_xlfn.XLOOKUP(D2187,Insumos!$B$1:$B$670,Insumos!$C$1:$C$670)</f>
        <v>UN</v>
      </c>
      <c r="F2187" s="1083">
        <v>1</v>
      </c>
      <c r="G2187" s="1081">
        <f>IF(B2187="insumo",_xlfn.XLOOKUP($D2187,Insumos!$B$1:$B$670,Insumos!$D$1:$D$670),"")</f>
        <v>65</v>
      </c>
      <c r="H2187" s="1081" cm="1">
        <f t="array" ref="H2187">_xlfn.IFS(B2187="Serviço",SUMIFS(H2188:$H$2465,C2188:$C$2465,$C2187),B2187="Insumo",F2187*G2187,B2187="Etapa","")</f>
        <v>65</v>
      </c>
      <c r="I2187" s="1082"/>
    </row>
    <row r="2188" spans="1:9" hidden="1" outlineLevel="2" x14ac:dyDescent="0.25">
      <c r="A2188" s="1079">
        <f t="shared" si="85"/>
        <v>3</v>
      </c>
      <c r="B2188" s="1079" t="s">
        <v>1362</v>
      </c>
      <c r="C2188" s="1079" t="str">
        <f t="shared" si="84"/>
        <v>Banheiro - Cuba</v>
      </c>
      <c r="D2188" s="1079" t="s">
        <v>2281</v>
      </c>
      <c r="E2188" s="1080" t="str">
        <f>_xlfn.XLOOKUP(D2188,Insumos!$B$1:$B$670,Insumos!$C$1:$C$670)</f>
        <v>UN</v>
      </c>
      <c r="F2188" s="1083">
        <v>1</v>
      </c>
      <c r="G2188" s="1081">
        <f>IF(B2188="insumo",_xlfn.XLOOKUP($D2188,Insumos!$B$1:$B$670,Insumos!$D$1:$D$670),"")</f>
        <v>0.34</v>
      </c>
      <c r="H2188" s="1081" cm="1">
        <f t="array" ref="H2188">_xlfn.IFS(B2188="Serviço",SUMIFS(H2189:$H$2465,C2189:$C$2465,$C2188),B2188="Insumo",F2188*G2188,B2188="Etapa","")</f>
        <v>0.34</v>
      </c>
      <c r="I2188" s="1082"/>
    </row>
    <row r="2189" spans="1:9" hidden="1" outlineLevel="2" x14ac:dyDescent="0.25">
      <c r="A2189" s="1079">
        <f t="shared" si="85"/>
        <v>2</v>
      </c>
      <c r="B2189" s="1079" t="s">
        <v>1362</v>
      </c>
      <c r="C2189" s="1079" t="str">
        <f t="shared" si="84"/>
        <v>Banheiro - Cuba</v>
      </c>
      <c r="D2189" s="1079" t="s">
        <v>2286</v>
      </c>
      <c r="E2189" s="1080" t="str">
        <f>_xlfn.XLOOKUP(D2189,Insumos!$B$1:$B$670,Insumos!$C$1:$C$670)</f>
        <v>UN</v>
      </c>
      <c r="F2189" s="1083">
        <v>2</v>
      </c>
      <c r="G2189" s="1081">
        <f>IF(B2189="insumo",_xlfn.XLOOKUP($D2189,Insumos!$B$1:$B$670,Insumos!$D$1:$D$670),"")</f>
        <v>5.95</v>
      </c>
      <c r="H2189" s="1081" cm="1">
        <f t="array" ref="H2189">_xlfn.IFS(B2189="Serviço",SUMIFS(H2190:$H$2465,C2190:$C$2465,$C2189),B2189="Insumo",F2189*G2189,B2189="Etapa","")</f>
        <v>11.9</v>
      </c>
      <c r="I2189" s="1082"/>
    </row>
    <row r="2190" spans="1:9" hidden="1" outlineLevel="2" x14ac:dyDescent="0.25">
      <c r="A2190" s="1079">
        <f t="shared" si="85"/>
        <v>11</v>
      </c>
      <c r="B2190" s="1079" t="s">
        <v>1362</v>
      </c>
      <c r="C2190" s="1079" t="str">
        <f t="shared" si="84"/>
        <v>Banheiro - Cuba</v>
      </c>
      <c r="D2190" s="1079" t="s">
        <v>2276</v>
      </c>
      <c r="E2190" s="1080" t="str">
        <f>_xlfn.XLOOKUP(D2190,Insumos!$B$1:$B$670,Insumos!$C$1:$C$670)</f>
        <v>UN</v>
      </c>
      <c r="F2190" s="1083">
        <v>0.25</v>
      </c>
      <c r="G2190" s="1081">
        <f>IF(B2190="insumo",_xlfn.XLOOKUP($D2190,Insumos!$B$1:$B$670,Insumos!$D$1:$D$670),"")</f>
        <v>75</v>
      </c>
      <c r="H2190" s="1081" cm="1">
        <f t="array" ref="H2190">_xlfn.IFS(B2190="Serviço",SUMIFS(H2191:$H$2465,C2191:$C$2465,$C2190),B2190="Insumo",F2190*G2190,B2190="Etapa","")</f>
        <v>18.75</v>
      </c>
      <c r="I2190" s="1082"/>
    </row>
    <row r="2191" spans="1:9" hidden="1" outlineLevel="2" x14ac:dyDescent="0.25">
      <c r="A2191" s="1079">
        <f t="shared" si="85"/>
        <v>11</v>
      </c>
      <c r="B2191" s="1079" t="s">
        <v>1362</v>
      </c>
      <c r="C2191" s="1079" t="str">
        <f t="shared" si="84"/>
        <v>Banheiro - Cuba</v>
      </c>
      <c r="D2191" s="1079" t="s">
        <v>2277</v>
      </c>
      <c r="E2191" s="1080" t="str">
        <f>_xlfn.XLOOKUP(D2191,Insumos!$B$1:$B$670,Insumos!$C$1:$C$670)</f>
        <v>UN</v>
      </c>
      <c r="F2191" s="1083">
        <v>1</v>
      </c>
      <c r="G2191" s="1081">
        <f>IF(B2191="insumo",_xlfn.XLOOKUP($D2191,Insumos!$B$1:$B$670,Insumos!$D$1:$D$670),"")</f>
        <v>26.9</v>
      </c>
      <c r="H2191" s="1081" cm="1">
        <f t="array" ref="H2191">_xlfn.IFS(B2191="Serviço",SUMIFS(H2192:$H$2465,C2192:$C$2465,$C2191),B2191="Insumo",F2191*G2191,B2191="Etapa","")</f>
        <v>26.9</v>
      </c>
      <c r="I2191" s="1082"/>
    </row>
    <row r="2192" spans="1:9" hidden="1" outlineLevel="2" x14ac:dyDescent="0.25">
      <c r="A2192" s="1079">
        <f t="shared" si="85"/>
        <v>2</v>
      </c>
      <c r="B2192" s="1079" t="s">
        <v>1362</v>
      </c>
      <c r="C2192" s="1079" t="str">
        <f t="shared" si="84"/>
        <v>Banheiro - Cuba</v>
      </c>
      <c r="D2192" s="1079" t="s">
        <v>2287</v>
      </c>
      <c r="E2192" s="1080" t="str">
        <f>_xlfn.XLOOKUP(D2192,Insumos!$B$1:$B$670,Insumos!$C$1:$C$670)</f>
        <v>UN</v>
      </c>
      <c r="F2192" s="1083">
        <v>1</v>
      </c>
      <c r="G2192" s="1081">
        <f>IF(B2192="insumo",_xlfn.XLOOKUP($D2192,Insumos!$B$1:$B$670,Insumos!$D$1:$D$670),"")</f>
        <v>8.9</v>
      </c>
      <c r="H2192" s="1081" cm="1">
        <f t="array" ref="H2192">_xlfn.IFS(B2192="Serviço",SUMIFS(H2193:$H$2465,C2193:$C$2465,$C2192),B2192="Insumo",F2192*G2192,B2192="Etapa","")</f>
        <v>8.9</v>
      </c>
      <c r="I2192" s="1082"/>
    </row>
    <row r="2193" spans="1:9" hidden="1" outlineLevel="2" x14ac:dyDescent="0.25">
      <c r="A2193" s="1079">
        <f t="shared" si="85"/>
        <v>2</v>
      </c>
      <c r="B2193" s="1079" t="s">
        <v>1362</v>
      </c>
      <c r="C2193" s="1079" t="str">
        <f t="shared" si="84"/>
        <v>Banheiro - Cuba</v>
      </c>
      <c r="D2193" s="1079" t="s">
        <v>2288</v>
      </c>
      <c r="E2193" s="1080" t="str">
        <f>_xlfn.XLOOKUP(D2193,Insumos!$B$1:$B$670,Insumos!$C$1:$C$670)</f>
        <v>UN</v>
      </c>
      <c r="F2193" s="1083">
        <v>1</v>
      </c>
      <c r="G2193" s="1081">
        <f>IF(B2193="insumo",_xlfn.XLOOKUP($D2193,Insumos!$B$1:$B$670,Insumos!$D$1:$D$670),"")</f>
        <v>32</v>
      </c>
      <c r="H2193" s="1081" cm="1">
        <f t="array" ref="H2193">_xlfn.IFS(B2193="Serviço",SUMIFS(H2194:$H$2465,C2194:$C$2465,$C2193),B2193="Insumo",F2193*G2193,B2193="Etapa","")</f>
        <v>32</v>
      </c>
      <c r="I2193" s="1082"/>
    </row>
    <row r="2194" spans="1:9" hidden="1" outlineLevel="1" x14ac:dyDescent="0.25">
      <c r="A2194" s="1079">
        <f t="shared" si="85"/>
        <v>1</v>
      </c>
      <c r="B2194" s="1079" t="s">
        <v>471</v>
      </c>
      <c r="C2194" s="1079" t="str">
        <f t="shared" si="84"/>
        <v>Banheiro - Cuba de Sobrepor - PNE</v>
      </c>
      <c r="D2194" s="1103" t="s">
        <v>2289</v>
      </c>
      <c r="E2194" s="1080" t="s">
        <v>491</v>
      </c>
      <c r="F2194" s="1104" t="s">
        <v>482</v>
      </c>
      <c r="G2194" s="1081" t="str">
        <f>IF(B2194="insumo",_xlfn.XLOOKUP($D2194,Insumos!$B$1:$B$670,Insumos!$D$1:$D$670),"")</f>
        <v/>
      </c>
      <c r="H2194" s="1081" cm="1">
        <f t="array" ref="H2194">_xlfn.IFS(B2194="Serviço",SUMIFS(H2195:$H$2465,C2195:$C$2465,$C2194),B2194="Insumo",F2194*G2194,B2194="Etapa","")</f>
        <v>513.79</v>
      </c>
      <c r="I2194" s="1082" t="s">
        <v>872</v>
      </c>
    </row>
    <row r="2195" spans="1:9" hidden="1" outlineLevel="2" x14ac:dyDescent="0.25">
      <c r="A2195" s="1079">
        <f t="shared" si="85"/>
        <v>1</v>
      </c>
      <c r="B2195" s="1079" t="s">
        <v>1362</v>
      </c>
      <c r="C2195" s="1079" t="str">
        <f t="shared" si="84"/>
        <v>Banheiro - Cuba de Sobrepor - PNE</v>
      </c>
      <c r="D2195" s="1079" t="s">
        <v>2290</v>
      </c>
      <c r="E2195" s="1080" t="str">
        <f>_xlfn.XLOOKUP(D2195,Insumos!$B$1:$B$670,Insumos!$C$1:$C$670)</f>
        <v>UN</v>
      </c>
      <c r="F2195" s="1083">
        <v>1</v>
      </c>
      <c r="G2195" s="1081">
        <v>350</v>
      </c>
      <c r="H2195" s="1081" cm="1">
        <f t="array" ref="H2195">_xlfn.IFS(B2195="Serviço",SUMIFS(H2196:$H$2465,C2196:$C$2465,$C2195),B2195="Insumo",F2195*G2195,B2195="Etapa","")</f>
        <v>350</v>
      </c>
      <c r="I2195" s="1082"/>
    </row>
    <row r="2196" spans="1:9" hidden="1" outlineLevel="2" x14ac:dyDescent="0.25">
      <c r="A2196" s="1079">
        <f t="shared" si="85"/>
        <v>2</v>
      </c>
      <c r="B2196" s="1079" t="s">
        <v>1362</v>
      </c>
      <c r="C2196" s="1079" t="str">
        <f t="shared" si="84"/>
        <v>Banheiro - Cuba de Sobrepor - PNE</v>
      </c>
      <c r="D2196" s="1079" t="s">
        <v>2285</v>
      </c>
      <c r="E2196" s="1080" t="str">
        <f>_xlfn.XLOOKUP(D2196,Insumos!$B$1:$B$670,Insumos!$C$1:$C$670)</f>
        <v>UN</v>
      </c>
      <c r="F2196" s="1083">
        <v>1</v>
      </c>
      <c r="G2196" s="1081">
        <f>IF(B2196="insumo",_xlfn.XLOOKUP($D2196,Insumos!$B$1:$B$670,Insumos!$D$1:$D$670),"")</f>
        <v>65</v>
      </c>
      <c r="H2196" s="1081" cm="1">
        <f t="array" ref="H2196">_xlfn.IFS(B2196="Serviço",SUMIFS(H2197:$H$2465,C2197:$C$2465,$C2196),B2196="Insumo",F2196*G2196,B2196="Etapa","")</f>
        <v>65</v>
      </c>
      <c r="I2196" s="1082"/>
    </row>
    <row r="2197" spans="1:9" hidden="1" outlineLevel="2" x14ac:dyDescent="0.25">
      <c r="A2197" s="1079">
        <f t="shared" si="85"/>
        <v>3</v>
      </c>
      <c r="B2197" s="1079" t="s">
        <v>1362</v>
      </c>
      <c r="C2197" s="1079" t="str">
        <f t="shared" si="84"/>
        <v>Banheiro - Cuba de Sobrepor - PNE</v>
      </c>
      <c r="D2197" s="1079" t="s">
        <v>2281</v>
      </c>
      <c r="E2197" s="1080" t="str">
        <f>_xlfn.XLOOKUP(D2197,Insumos!$B$1:$B$670,Insumos!$C$1:$C$670)</f>
        <v>UN</v>
      </c>
      <c r="F2197" s="1083">
        <v>1</v>
      </c>
      <c r="G2197" s="1081">
        <f>IF(B2197="insumo",_xlfn.XLOOKUP($D2197,Insumos!$B$1:$B$670,Insumos!$D$1:$D$670),"")</f>
        <v>0.34</v>
      </c>
      <c r="H2197" s="1081" cm="1">
        <f t="array" ref="H2197">_xlfn.IFS(B2197="Serviço",SUMIFS(H2198:$H$2465,C2198:$C$2465,$C2197),B2197="Insumo",F2197*G2197,B2197="Etapa","")</f>
        <v>0.34</v>
      </c>
      <c r="I2197" s="1082"/>
    </row>
    <row r="2198" spans="1:9" hidden="1" outlineLevel="2" x14ac:dyDescent="0.25">
      <c r="A2198" s="1079">
        <f t="shared" si="85"/>
        <v>2</v>
      </c>
      <c r="B2198" s="1079" t="s">
        <v>1362</v>
      </c>
      <c r="C2198" s="1079" t="str">
        <f t="shared" si="84"/>
        <v>Banheiro - Cuba de Sobrepor - PNE</v>
      </c>
      <c r="D2198" s="1079" t="s">
        <v>2286</v>
      </c>
      <c r="E2198" s="1080" t="str">
        <f>_xlfn.XLOOKUP(D2198,Insumos!$B$1:$B$670,Insumos!$C$1:$C$670)</f>
        <v>UN</v>
      </c>
      <c r="F2198" s="1083">
        <v>2</v>
      </c>
      <c r="G2198" s="1081">
        <f>IF(B2198="insumo",_xlfn.XLOOKUP($D2198,Insumos!$B$1:$B$670,Insumos!$D$1:$D$670),"")</f>
        <v>5.95</v>
      </c>
      <c r="H2198" s="1081" cm="1">
        <f t="array" ref="H2198">_xlfn.IFS(B2198="Serviço",SUMIFS(H2199:$H$2465,C2199:$C$2465,$C2198),B2198="Insumo",F2198*G2198,B2198="Etapa","")</f>
        <v>11.9</v>
      </c>
      <c r="I2198" s="1082"/>
    </row>
    <row r="2199" spans="1:9" hidden="1" outlineLevel="2" x14ac:dyDescent="0.25">
      <c r="A2199" s="1079">
        <f t="shared" si="85"/>
        <v>11</v>
      </c>
      <c r="B2199" s="1079" t="s">
        <v>1362</v>
      </c>
      <c r="C2199" s="1079" t="str">
        <f t="shared" si="84"/>
        <v>Banheiro - Cuba de Sobrepor - PNE</v>
      </c>
      <c r="D2199" s="1079" t="s">
        <v>2276</v>
      </c>
      <c r="E2199" s="1080" t="str">
        <f>_xlfn.XLOOKUP(D2199,Insumos!$B$1:$B$670,Insumos!$C$1:$C$670)</f>
        <v>UN</v>
      </c>
      <c r="F2199" s="1083">
        <v>0.25</v>
      </c>
      <c r="G2199" s="1081">
        <f>IF(B2199="insumo",_xlfn.XLOOKUP($D2199,Insumos!$B$1:$B$670,Insumos!$D$1:$D$670),"")</f>
        <v>75</v>
      </c>
      <c r="H2199" s="1081" cm="1">
        <f t="array" ref="H2199">_xlfn.IFS(B2199="Serviço",SUMIFS(H2200:$H$2465,C2200:$C$2465,$C2199),B2199="Insumo",F2199*G2199,B2199="Etapa","")</f>
        <v>18.75</v>
      </c>
      <c r="I2199" s="1082"/>
    </row>
    <row r="2200" spans="1:9" hidden="1" outlineLevel="2" x14ac:dyDescent="0.25">
      <c r="A2200" s="1079">
        <f t="shared" si="85"/>
        <v>11</v>
      </c>
      <c r="B2200" s="1079" t="s">
        <v>1362</v>
      </c>
      <c r="C2200" s="1079" t="str">
        <f t="shared" si="84"/>
        <v>Banheiro - Cuba de Sobrepor - PNE</v>
      </c>
      <c r="D2200" s="1079" t="s">
        <v>2277</v>
      </c>
      <c r="E2200" s="1080" t="str">
        <f>_xlfn.XLOOKUP(D2200,Insumos!$B$1:$B$670,Insumos!$C$1:$C$670)</f>
        <v>UN</v>
      </c>
      <c r="F2200" s="1083">
        <v>1</v>
      </c>
      <c r="G2200" s="1081">
        <f>IF(B2200="insumo",_xlfn.XLOOKUP($D2200,Insumos!$B$1:$B$670,Insumos!$D$1:$D$670),"")</f>
        <v>26.9</v>
      </c>
      <c r="H2200" s="1081" cm="1">
        <f t="array" ref="H2200">_xlfn.IFS(B2200="Serviço",SUMIFS(H2201:$H$2465,C2201:$C$2465,$C2200),B2200="Insumo",F2200*G2200,B2200="Etapa","")</f>
        <v>26.9</v>
      </c>
      <c r="I2200" s="1082"/>
    </row>
    <row r="2201" spans="1:9" hidden="1" outlineLevel="2" x14ac:dyDescent="0.25">
      <c r="A2201" s="1079">
        <f t="shared" si="85"/>
        <v>2</v>
      </c>
      <c r="B2201" s="1079" t="s">
        <v>1362</v>
      </c>
      <c r="C2201" s="1079" t="str">
        <f t="shared" si="84"/>
        <v>Banheiro - Cuba de Sobrepor - PNE</v>
      </c>
      <c r="D2201" s="1079" t="s">
        <v>2287</v>
      </c>
      <c r="E2201" s="1080" t="str">
        <f>_xlfn.XLOOKUP(D2201,Insumos!$B$1:$B$670,Insumos!$C$1:$C$670)</f>
        <v>UN</v>
      </c>
      <c r="F2201" s="1083">
        <v>1</v>
      </c>
      <c r="G2201" s="1081">
        <f>IF(B2201="insumo",_xlfn.XLOOKUP($D2201,Insumos!$B$1:$B$670,Insumos!$D$1:$D$670),"")</f>
        <v>8.9</v>
      </c>
      <c r="H2201" s="1081" cm="1">
        <f t="array" ref="H2201">_xlfn.IFS(B2201="Serviço",SUMIFS(H2202:$H$2465,C2202:$C$2465,$C2201),B2201="Insumo",F2201*G2201,B2201="Etapa","")</f>
        <v>8.9</v>
      </c>
      <c r="I2201" s="1082"/>
    </row>
    <row r="2202" spans="1:9" hidden="1" outlineLevel="2" x14ac:dyDescent="0.25">
      <c r="A2202" s="1079">
        <f t="shared" si="85"/>
        <v>2</v>
      </c>
      <c r="B2202" s="1079" t="s">
        <v>1362</v>
      </c>
      <c r="C2202" s="1079" t="str">
        <f t="shared" si="84"/>
        <v>Banheiro - Cuba de Sobrepor - PNE</v>
      </c>
      <c r="D2202" s="1079" t="s">
        <v>2288</v>
      </c>
      <c r="E2202" s="1080" t="str">
        <f>_xlfn.XLOOKUP(D2202,Insumos!$B$1:$B$670,Insumos!$C$1:$C$670)</f>
        <v>UN</v>
      </c>
      <c r="F2202" s="1083">
        <v>1</v>
      </c>
      <c r="G2202" s="1081">
        <f>IF(B2202="insumo",_xlfn.XLOOKUP($D2202,Insumos!$B$1:$B$670,Insumos!$D$1:$D$670),"")</f>
        <v>32</v>
      </c>
      <c r="H2202" s="1081" cm="1">
        <f t="array" ref="H2202">_xlfn.IFS(B2202="Serviço",SUMIFS(H2203:$H$2465,C2203:$C$2465,$C2202),B2202="Insumo",F2202*G2202,B2202="Etapa","")</f>
        <v>32</v>
      </c>
      <c r="I2202" s="1082"/>
    </row>
    <row r="2203" spans="1:9" hidden="1" outlineLevel="1" collapsed="1" x14ac:dyDescent="0.25">
      <c r="A2203" s="1079">
        <f t="shared" si="85"/>
        <v>1</v>
      </c>
      <c r="B2203" s="1079" t="s">
        <v>471</v>
      </c>
      <c r="C2203" s="1079" t="str">
        <f t="shared" si="84"/>
        <v>Cuba Pia Cozinha - Lazer</v>
      </c>
      <c r="D2203" s="1103" t="s">
        <v>1336</v>
      </c>
      <c r="E2203" s="1080" t="s">
        <v>491</v>
      </c>
      <c r="F2203" s="1104" t="s">
        <v>482</v>
      </c>
      <c r="G2203" s="1081" t="str">
        <f>IF(B2203="insumo",_xlfn.XLOOKUP($D2203,Insumos!$B$1:$B$670,Insumos!$D$1:$D$670),"")</f>
        <v/>
      </c>
      <c r="H2203" s="1081" cm="1">
        <f t="array" ref="H2203">_xlfn.IFS(B2203="Serviço",SUMIFS(H2204:$H$2465,C2204:$C$2465,$C2203),B2203="Insumo",F2203*G2203,B2203="Etapa","")</f>
        <v>5832.1219999999994</v>
      </c>
      <c r="I2203" s="1105" t="s">
        <v>872</v>
      </c>
    </row>
    <row r="2204" spans="1:9" hidden="1" outlineLevel="2" x14ac:dyDescent="0.25">
      <c r="A2204" s="1079">
        <f t="shared" si="85"/>
        <v>1</v>
      </c>
      <c r="B2204" s="1079" t="s">
        <v>1362</v>
      </c>
      <c r="C2204" s="1079" t="str">
        <f t="shared" si="84"/>
        <v>Cuba Pia Cozinha - Lazer</v>
      </c>
      <c r="D2204" s="1079" t="s">
        <v>2291</v>
      </c>
      <c r="E2204" s="1080" t="str">
        <f>_xlfn.XLOOKUP(D2204,Insumos!$B$1:$B$670,Insumos!$C$1:$C$670)</f>
        <v>UN</v>
      </c>
      <c r="F2204" s="1083">
        <v>1</v>
      </c>
      <c r="G2204" s="1081">
        <f>IF(B2204="insumo",_xlfn.XLOOKUP($D2204,Insumos!$B$1:$B$670,Insumos!$D$1:$D$670),"")</f>
        <v>2750.38</v>
      </c>
      <c r="H2204" s="1081" cm="1">
        <f t="array" ref="H2204">_xlfn.IFS(B2204="Serviço",SUMIFS(H2205:$H$2465,C2205:$C$2465,$C2204),B2204="Insumo",F2204*G2204,B2204="Etapa","")</f>
        <v>2750.38</v>
      </c>
      <c r="I2204" s="1082"/>
    </row>
    <row r="2205" spans="1:9" hidden="1" outlineLevel="2" x14ac:dyDescent="0.25">
      <c r="A2205" s="1079">
        <f t="shared" si="85"/>
        <v>1</v>
      </c>
      <c r="B2205" s="1079" t="s">
        <v>1362</v>
      </c>
      <c r="C2205" s="1079" t="str">
        <f t="shared" si="84"/>
        <v>Cuba Pia Cozinha - Lazer</v>
      </c>
      <c r="D2205" s="1079" t="s">
        <v>2292</v>
      </c>
      <c r="E2205" s="1080" t="str">
        <f>_xlfn.XLOOKUP(D2205,Insumos!$B$1:$B$670,Insumos!$C$1:$C$670)</f>
        <v>UN</v>
      </c>
      <c r="F2205" s="1083">
        <v>1</v>
      </c>
      <c r="G2205" s="1081">
        <f>IF(B2205="insumo",_xlfn.XLOOKUP($D2205,Insumos!$B$1:$B$670,Insumos!$D$1:$D$670),"")</f>
        <v>71.55</v>
      </c>
      <c r="H2205" s="1081" cm="1">
        <f t="array" ref="H2205">_xlfn.IFS(B2205="Serviço",SUMIFS(H2206:$H$2465,C2206:$C$2465,$C2205),B2205="Insumo",F2205*G2205,B2205="Etapa","")</f>
        <v>71.55</v>
      </c>
      <c r="I2205" s="1082"/>
    </row>
    <row r="2206" spans="1:9" hidden="1" outlineLevel="2" x14ac:dyDescent="0.25">
      <c r="A2206" s="1079">
        <f t="shared" si="85"/>
        <v>1</v>
      </c>
      <c r="B2206" s="1079" t="s">
        <v>1362</v>
      </c>
      <c r="C2206" s="1079" t="str">
        <f t="shared" si="84"/>
        <v>Cuba Pia Cozinha - Lazer</v>
      </c>
      <c r="D2206" s="1079" t="s">
        <v>2293</v>
      </c>
      <c r="E2206" s="1080" t="str">
        <f>_xlfn.XLOOKUP(D2206,Insumos!$B$1:$B$670,Insumos!$C$1:$C$670)</f>
        <v>UN</v>
      </c>
      <c r="F2206" s="1083">
        <v>1</v>
      </c>
      <c r="G2206" s="1081">
        <f>IF(B2206="insumo",_xlfn.XLOOKUP($D2206,Insumos!$B$1:$B$670,Insumos!$D$1:$D$670),"")</f>
        <v>2117.89</v>
      </c>
      <c r="H2206" s="1081" cm="1">
        <f t="array" ref="H2206">_xlfn.IFS(B2206="Serviço",SUMIFS(H2207:$H$2465,C2207:$C$2465,$C2206),B2206="Insumo",F2206*G2206,B2206="Etapa","")</f>
        <v>2117.89</v>
      </c>
      <c r="I2206" s="1082"/>
    </row>
    <row r="2207" spans="1:9" hidden="1" outlineLevel="2" x14ac:dyDescent="0.25">
      <c r="A2207" s="1079">
        <f t="shared" si="85"/>
        <v>1</v>
      </c>
      <c r="B2207" s="1079" t="s">
        <v>1362</v>
      </c>
      <c r="C2207" s="1079" t="str">
        <f t="shared" si="84"/>
        <v>Cuba Pia Cozinha - Lazer</v>
      </c>
      <c r="D2207" s="1079" t="s">
        <v>2294</v>
      </c>
      <c r="E2207" s="1080" t="str">
        <f>_xlfn.XLOOKUP(D2207,Insumos!$B$1:$B$670,Insumos!$C$1:$C$670)</f>
        <v>UN</v>
      </c>
      <c r="F2207" s="1083">
        <v>1</v>
      </c>
      <c r="G2207" s="1081">
        <f>IF(B2207="insumo",_xlfn.XLOOKUP($D2207,Insumos!$B$1:$B$670,Insumos!$D$1:$D$670),"")</f>
        <v>225.38</v>
      </c>
      <c r="H2207" s="1081" cm="1">
        <f t="array" ref="H2207">_xlfn.IFS(B2207="Serviço",SUMIFS(H2208:$H$2465,C2208:$C$2465,$C2207),B2207="Insumo",F2207*G2207,B2207="Etapa","")</f>
        <v>225.38</v>
      </c>
      <c r="I2207" s="1082"/>
    </row>
    <row r="2208" spans="1:9" hidden="1" outlineLevel="2" x14ac:dyDescent="0.25">
      <c r="A2208" s="1079">
        <f t="shared" si="85"/>
        <v>5</v>
      </c>
      <c r="B2208" s="1079" t="s">
        <v>1362</v>
      </c>
      <c r="C2208" s="1079" t="str">
        <f t="shared" si="84"/>
        <v>Cuba Pia Cozinha - Lazer</v>
      </c>
      <c r="D2208" s="1079" t="s">
        <v>2295</v>
      </c>
      <c r="E2208" s="1080" t="str">
        <f>_xlfn.XLOOKUP(D2208,Insumos!$B$1:$B$670,Insumos!$C$1:$C$670)</f>
        <v>UN</v>
      </c>
      <c r="F2208" s="1083">
        <v>1</v>
      </c>
      <c r="G2208" s="1081">
        <f>IF(B2208="insumo",_xlfn.XLOOKUP($D2208,Insumos!$B$1:$B$670,Insumos!$D$1:$D$670),"")</f>
        <v>256.89999999999998</v>
      </c>
      <c r="H2208" s="1081" cm="1">
        <f t="array" ref="H2208">_xlfn.IFS(B2208="Serviço",SUMIFS(H2209:$H$2465,C2209:$C$2465,$C2208),B2208="Insumo",F2208*G2208,B2208="Etapa","")</f>
        <v>256.89999999999998</v>
      </c>
      <c r="I2208" s="1082"/>
    </row>
    <row r="2209" spans="1:9" hidden="1" outlineLevel="2" x14ac:dyDescent="0.25">
      <c r="A2209" s="1079">
        <f t="shared" si="85"/>
        <v>3</v>
      </c>
      <c r="B2209" s="1079" t="s">
        <v>1362</v>
      </c>
      <c r="C2209" s="1079" t="str">
        <f t="shared" si="84"/>
        <v>Cuba Pia Cozinha - Lazer</v>
      </c>
      <c r="D2209" s="1079" t="s">
        <v>2296</v>
      </c>
      <c r="E2209" s="1080" t="str">
        <f>_xlfn.XLOOKUP(D2209,Insumos!$B$1:$B$670,Insumos!$C$1:$C$670)</f>
        <v>UN</v>
      </c>
      <c r="F2209" s="1083">
        <v>1</v>
      </c>
      <c r="G2209" s="1081">
        <f>IF(B2209="insumo",_xlfn.XLOOKUP($D2209,Insumos!$B$1:$B$670,Insumos!$D$1:$D$670),"")</f>
        <v>196.76</v>
      </c>
      <c r="H2209" s="1081" cm="1">
        <f t="array" ref="H2209">_xlfn.IFS(B2209="Serviço",SUMIFS(H2210:$H$2465,C2210:$C$2465,$C2209),B2209="Insumo",F2209*G2209,B2209="Etapa","")</f>
        <v>196.76</v>
      </c>
      <c r="I2209" s="1082"/>
    </row>
    <row r="2210" spans="1:9" hidden="1" outlineLevel="2" x14ac:dyDescent="0.25">
      <c r="A2210" s="1079">
        <f t="shared" si="85"/>
        <v>6</v>
      </c>
      <c r="B2210" s="1079" t="s">
        <v>1362</v>
      </c>
      <c r="C2210" s="1079" t="str">
        <f t="shared" si="84"/>
        <v>Cuba Pia Cozinha - Lazer</v>
      </c>
      <c r="D2210" s="1079" t="s">
        <v>2297</v>
      </c>
      <c r="E2210" s="1080" t="str">
        <f>_xlfn.XLOOKUP(D2210,Insumos!$B$1:$B$670,Insumos!$C$1:$C$670)</f>
        <v>UN</v>
      </c>
      <c r="F2210" s="1083">
        <v>6</v>
      </c>
      <c r="G2210" s="1081">
        <f>IF(B2210="insumo",_xlfn.XLOOKUP($D2210,Insumos!$B$1:$B$670,Insumos!$D$1:$D$670),"")</f>
        <v>0.6</v>
      </c>
      <c r="H2210" s="1081" cm="1">
        <f t="array" ref="H2210">_xlfn.IFS(B2210="Serviço",SUMIFS(H2211:$H$2465,C2211:$C$2465,$C2210),B2210="Insumo",F2210*G2210,B2210="Etapa","")</f>
        <v>3.5999999999999996</v>
      </c>
      <c r="I2210" s="1082"/>
    </row>
    <row r="2211" spans="1:9" hidden="1" outlineLevel="2" x14ac:dyDescent="0.25">
      <c r="A2211" s="1079">
        <f t="shared" si="85"/>
        <v>6</v>
      </c>
      <c r="B2211" s="1079" t="s">
        <v>1362</v>
      </c>
      <c r="C2211" s="1079" t="str">
        <f t="shared" si="84"/>
        <v>Cuba Pia Cozinha - Lazer</v>
      </c>
      <c r="D2211" s="1079" t="s">
        <v>2298</v>
      </c>
      <c r="E2211" s="1080" t="str">
        <f>_xlfn.XLOOKUP(D2211,Insumos!$B$1:$B$670,Insumos!$C$1:$C$670)</f>
        <v>UN</v>
      </c>
      <c r="F2211" s="1083">
        <v>6</v>
      </c>
      <c r="G2211" s="1081">
        <f>IF(B2211="insumo",_xlfn.XLOOKUP($D2211,Insumos!$B$1:$B$670,Insumos!$D$1:$D$670),"")</f>
        <v>24.95</v>
      </c>
      <c r="H2211" s="1081" cm="1">
        <f t="array" ref="H2211">_xlfn.IFS(B2211="Serviço",SUMIFS(H2212:$H$2465,C2212:$C$2465,$C2211),B2211="Insumo",F2211*G2211,B2211="Etapa","")</f>
        <v>149.69999999999999</v>
      </c>
      <c r="I2211" s="1082"/>
    </row>
    <row r="2212" spans="1:9" hidden="1" outlineLevel="2" x14ac:dyDescent="0.25">
      <c r="A2212" s="1079">
        <f t="shared" si="85"/>
        <v>8</v>
      </c>
      <c r="B2212" s="1079" t="s">
        <v>1362</v>
      </c>
      <c r="C2212" s="1079" t="str">
        <f t="shared" si="84"/>
        <v>Cuba Pia Cozinha - Lazer</v>
      </c>
      <c r="D2212" s="1079" t="s">
        <v>2274</v>
      </c>
      <c r="E2212" s="1080" t="str">
        <f>_xlfn.XLOOKUP(D2212,Insumos!$B$1:$B$670,Insumos!$C$1:$C$670)</f>
        <v>M</v>
      </c>
      <c r="F2212" s="1083">
        <v>0.3</v>
      </c>
      <c r="G2212" s="1081">
        <f>IF(B2212="insumo",_xlfn.XLOOKUP($D2212,Insumos!$B$1:$B$670,Insumos!$D$1:$D$670),"")</f>
        <v>0.24</v>
      </c>
      <c r="H2212" s="1081" cm="1">
        <f t="array" ref="H2212">_xlfn.IFS(B2212="Serviço",SUMIFS(H2213:$H$2465,C2213:$C$2465,$C2212),B2212="Insumo",F2212*G2212,B2212="Etapa","")</f>
        <v>7.1999999999999995E-2</v>
      </c>
      <c r="I2212" s="1082"/>
    </row>
    <row r="2213" spans="1:9" hidden="1" outlineLevel="2" x14ac:dyDescent="0.25">
      <c r="A2213" s="1079">
        <f t="shared" si="85"/>
        <v>7</v>
      </c>
      <c r="B2213" s="1079" t="s">
        <v>1362</v>
      </c>
      <c r="C2213" s="1079" t="str">
        <f t="shared" si="84"/>
        <v>Cuba Pia Cozinha - Lazer</v>
      </c>
      <c r="D2213" s="1079" t="s">
        <v>2282</v>
      </c>
      <c r="E2213" s="1080" t="str">
        <f>_xlfn.XLOOKUP(D2213,Insumos!$B$1:$B$670,Insumos!$C$1:$C$670)</f>
        <v>UN</v>
      </c>
      <c r="F2213" s="1083">
        <v>0.4</v>
      </c>
      <c r="G2213" s="1081">
        <f>IF(B2213="insumo",_xlfn.XLOOKUP($D2213,Insumos!$B$1:$B$670,Insumos!$D$1:$D$670),"")</f>
        <v>35.6</v>
      </c>
      <c r="H2213" s="1081" cm="1">
        <f t="array" ref="H2213">_xlfn.IFS(B2213="Serviço",SUMIFS(H2214:$H$2465,C2214:$C$2465,$C2213),B2213="Insumo",F2213*G2213,B2213="Etapa","")</f>
        <v>14.240000000000002</v>
      </c>
      <c r="I2213" s="1082"/>
    </row>
    <row r="2214" spans="1:9" hidden="1" outlineLevel="2" x14ac:dyDescent="0.25">
      <c r="A2214" s="1079">
        <f t="shared" si="85"/>
        <v>11</v>
      </c>
      <c r="B2214" s="1079" t="s">
        <v>1362</v>
      </c>
      <c r="C2214" s="1079" t="str">
        <f t="shared" si="84"/>
        <v>Cuba Pia Cozinha - Lazer</v>
      </c>
      <c r="D2214" s="1079" t="s">
        <v>2276</v>
      </c>
      <c r="E2214" s="1080" t="str">
        <f>_xlfn.XLOOKUP(D2214,Insumos!$B$1:$B$670,Insumos!$C$1:$C$670)</f>
        <v>UN</v>
      </c>
      <c r="F2214" s="1083">
        <v>0.25</v>
      </c>
      <c r="G2214" s="1081">
        <f>IF(B2214="insumo",_xlfn.XLOOKUP($D2214,Insumos!$B$1:$B$670,Insumos!$D$1:$D$670),"")</f>
        <v>75</v>
      </c>
      <c r="H2214" s="1081" cm="1">
        <f t="array" ref="H2214">_xlfn.IFS(B2214="Serviço",SUMIFS(H2215:$H$2465,C2215:$C$2465,$C2214),B2214="Insumo",F2214*G2214,B2214="Etapa","")</f>
        <v>18.75</v>
      </c>
      <c r="I2214" s="1082"/>
    </row>
    <row r="2215" spans="1:9" hidden="1" outlineLevel="2" x14ac:dyDescent="0.25">
      <c r="A2215" s="1079">
        <f t="shared" si="85"/>
        <v>11</v>
      </c>
      <c r="B2215" s="1079" t="s">
        <v>1362</v>
      </c>
      <c r="C2215" s="1079" t="str">
        <f t="shared" si="84"/>
        <v>Cuba Pia Cozinha - Lazer</v>
      </c>
      <c r="D2215" s="1079" t="s">
        <v>2277</v>
      </c>
      <c r="E2215" s="1080" t="str">
        <f>_xlfn.XLOOKUP(D2215,Insumos!$B$1:$B$670,Insumos!$C$1:$C$670)</f>
        <v>UN</v>
      </c>
      <c r="F2215" s="1083">
        <v>1</v>
      </c>
      <c r="G2215" s="1081">
        <f>IF(B2215="insumo",_xlfn.XLOOKUP($D2215,Insumos!$B$1:$B$670,Insumos!$D$1:$D$670),"")</f>
        <v>26.9</v>
      </c>
      <c r="H2215" s="1081" cm="1">
        <f t="array" ref="H2215">_xlfn.IFS(B2215="Serviço",SUMIFS(H2216:$H$2465,C2216:$C$2465,$C2215),B2215="Insumo",F2215*G2215,B2215="Etapa","")</f>
        <v>26.9</v>
      </c>
      <c r="I2215" s="1082"/>
    </row>
    <row r="2216" spans="1:9" hidden="1" outlineLevel="1" collapsed="1" x14ac:dyDescent="0.25">
      <c r="A2216" s="1079">
        <f t="shared" si="85"/>
        <v>1</v>
      </c>
      <c r="B2216" s="1079" t="s">
        <v>471</v>
      </c>
      <c r="C2216" s="1079" t="str">
        <f t="shared" si="84"/>
        <v>Cozinha - Cuba / Inox</v>
      </c>
      <c r="D2216" s="1103" t="s">
        <v>1335</v>
      </c>
      <c r="E2216" s="1080" t="s">
        <v>491</v>
      </c>
      <c r="F2216" s="1104" t="s">
        <v>482</v>
      </c>
      <c r="G2216" s="1081" t="str">
        <f>IF(B2216="insumo",_xlfn.XLOOKUP($D2216,Insumos!$B$1:$B$670,Insumos!$D$1:$D$670),"")</f>
        <v/>
      </c>
      <c r="H2216" s="1081" cm="1">
        <f t="array" ref="H2216">_xlfn.IFS(B2216="Serviço",SUMIFS(H2217:$H$2465,C2217:$C$2465,$C2216),B2216="Insumo",F2216*G2216,B2216="Etapa","")</f>
        <v>1126.922</v>
      </c>
      <c r="I2216" s="1105" t="s">
        <v>872</v>
      </c>
    </row>
    <row r="2217" spans="1:9" hidden="1" outlineLevel="2" x14ac:dyDescent="0.25">
      <c r="A2217" s="1079">
        <f t="shared" si="85"/>
        <v>1</v>
      </c>
      <c r="B2217" s="1079" t="s">
        <v>1362</v>
      </c>
      <c r="C2217" s="1079" t="str">
        <f t="shared" si="84"/>
        <v>Cozinha - Cuba / Inox</v>
      </c>
      <c r="D2217" s="1079" t="s">
        <v>2299</v>
      </c>
      <c r="E2217" s="1080" t="str">
        <f>_xlfn.XLOOKUP(D2217,Insumos!$B$1:$B$670,Insumos!$C$1:$C$670)</f>
        <v>UN</v>
      </c>
      <c r="F2217" s="1083">
        <v>1</v>
      </c>
      <c r="G2217" s="1081">
        <f>IF(B2217="insumo",_xlfn.XLOOKUP($D2217,Insumos!$B$1:$B$670,Insumos!$D$1:$D$670),"")</f>
        <v>460</v>
      </c>
      <c r="H2217" s="1081" cm="1">
        <f t="array" ref="H2217">_xlfn.IFS(B2217="Serviço",SUMIFS(H2218:$H$2465,C2218:$C$2465,$C2217),B2217="Insumo",F2217*G2217,B2217="Etapa","")</f>
        <v>460</v>
      </c>
      <c r="I2217" s="1082"/>
    </row>
    <row r="2218" spans="1:9" hidden="1" outlineLevel="2" x14ac:dyDescent="0.25">
      <c r="A2218" s="1079">
        <f t="shared" si="85"/>
        <v>5</v>
      </c>
      <c r="B2218" s="1079" t="s">
        <v>1362</v>
      </c>
      <c r="C2218" s="1079" t="str">
        <f t="shared" si="84"/>
        <v>Cozinha - Cuba / Inox</v>
      </c>
      <c r="D2218" s="1079" t="s">
        <v>2295</v>
      </c>
      <c r="E2218" s="1080" t="str">
        <f>_xlfn.XLOOKUP(D2218,Insumos!$B$1:$B$670,Insumos!$C$1:$C$670)</f>
        <v>UN</v>
      </c>
      <c r="F2218" s="1083">
        <v>1</v>
      </c>
      <c r="G2218" s="1081">
        <f>IF(B2218="insumo",_xlfn.XLOOKUP($D2218,Insumos!$B$1:$B$670,Insumos!$D$1:$D$670),"")</f>
        <v>256.89999999999998</v>
      </c>
      <c r="H2218" s="1081" cm="1">
        <f t="array" ref="H2218">_xlfn.IFS(B2218="Serviço",SUMIFS(H2219:$H$2465,C2219:$C$2465,$C2218),B2218="Insumo",F2218*G2218,B2218="Etapa","")</f>
        <v>256.89999999999998</v>
      </c>
      <c r="I2218" s="1082"/>
    </row>
    <row r="2219" spans="1:9" hidden="1" outlineLevel="2" x14ac:dyDescent="0.25">
      <c r="A2219" s="1079">
        <f t="shared" si="85"/>
        <v>3</v>
      </c>
      <c r="B2219" s="1079" t="s">
        <v>1362</v>
      </c>
      <c r="C2219" s="1079" t="str">
        <f t="shared" si="84"/>
        <v>Cozinha - Cuba / Inox</v>
      </c>
      <c r="D2219" s="1079" t="s">
        <v>2296</v>
      </c>
      <c r="E2219" s="1080" t="str">
        <f>_xlfn.XLOOKUP(D2219,Insumos!$B$1:$B$670,Insumos!$C$1:$C$670)</f>
        <v>UN</v>
      </c>
      <c r="F2219" s="1083">
        <v>1</v>
      </c>
      <c r="G2219" s="1081">
        <f>IF(B2219="insumo",_xlfn.XLOOKUP($D2219,Insumos!$B$1:$B$670,Insumos!$D$1:$D$670),"")</f>
        <v>196.76</v>
      </c>
      <c r="H2219" s="1081" cm="1">
        <f t="array" ref="H2219">_xlfn.IFS(B2219="Serviço",SUMIFS(H2220:$H$2465,C2220:$C$2465,$C2219),B2219="Insumo",F2219*G2219,B2219="Etapa","")</f>
        <v>196.76</v>
      </c>
      <c r="I2219" s="1082"/>
    </row>
    <row r="2220" spans="1:9" hidden="1" outlineLevel="2" x14ac:dyDescent="0.25">
      <c r="A2220" s="1079">
        <f t="shared" si="85"/>
        <v>6</v>
      </c>
      <c r="B2220" s="1079" t="s">
        <v>1362</v>
      </c>
      <c r="C2220" s="1079" t="str">
        <f t="shared" si="84"/>
        <v>Cozinha - Cuba / Inox</v>
      </c>
      <c r="D2220" s="1079" t="s">
        <v>2297</v>
      </c>
      <c r="E2220" s="1080" t="str">
        <f>_xlfn.XLOOKUP(D2220,Insumos!$B$1:$B$670,Insumos!$C$1:$C$670)</f>
        <v>UN</v>
      </c>
      <c r="F2220" s="1083">
        <v>6</v>
      </c>
      <c r="G2220" s="1081">
        <f>IF(B2220="insumo",_xlfn.XLOOKUP($D2220,Insumos!$B$1:$B$670,Insumos!$D$1:$D$670),"")</f>
        <v>0.6</v>
      </c>
      <c r="H2220" s="1081" cm="1">
        <f t="array" ref="H2220">_xlfn.IFS(B2220="Serviço",SUMIFS(H2221:$H$2465,C2221:$C$2465,$C2220),B2220="Insumo",F2220*G2220,B2220="Etapa","")</f>
        <v>3.5999999999999996</v>
      </c>
      <c r="I2220" s="1082"/>
    </row>
    <row r="2221" spans="1:9" hidden="1" outlineLevel="2" x14ac:dyDescent="0.25">
      <c r="A2221" s="1079">
        <f t="shared" si="85"/>
        <v>6</v>
      </c>
      <c r="B2221" s="1079" t="s">
        <v>1362</v>
      </c>
      <c r="C2221" s="1079" t="str">
        <f t="shared" si="84"/>
        <v>Cozinha - Cuba / Inox</v>
      </c>
      <c r="D2221" s="1079" t="s">
        <v>2298</v>
      </c>
      <c r="E2221" s="1080" t="str">
        <f>_xlfn.XLOOKUP(D2221,Insumos!$B$1:$B$670,Insumos!$C$1:$C$670)</f>
        <v>UN</v>
      </c>
      <c r="F2221" s="1083">
        <v>6</v>
      </c>
      <c r="G2221" s="1081">
        <f>IF(B2221="insumo",_xlfn.XLOOKUP($D2221,Insumos!$B$1:$B$670,Insumos!$D$1:$D$670),"")</f>
        <v>24.95</v>
      </c>
      <c r="H2221" s="1081" cm="1">
        <f t="array" ref="H2221">_xlfn.IFS(B2221="Serviço",SUMIFS(H2222:$H$2465,C2222:$C$2465,$C2221),B2221="Insumo",F2221*G2221,B2221="Etapa","")</f>
        <v>149.69999999999999</v>
      </c>
      <c r="I2221" s="1082"/>
    </row>
    <row r="2222" spans="1:9" hidden="1" outlineLevel="2" x14ac:dyDescent="0.25">
      <c r="A2222" s="1079">
        <f t="shared" si="85"/>
        <v>8</v>
      </c>
      <c r="B2222" s="1079" t="s">
        <v>1362</v>
      </c>
      <c r="C2222" s="1079" t="str">
        <f t="shared" si="84"/>
        <v>Cozinha - Cuba / Inox</v>
      </c>
      <c r="D2222" s="1079" t="s">
        <v>2274</v>
      </c>
      <c r="E2222" s="1080" t="str">
        <f>_xlfn.XLOOKUP(D2222,Insumos!$B$1:$B$670,Insumos!$C$1:$C$670)</f>
        <v>M</v>
      </c>
      <c r="F2222" s="1083">
        <v>0.3</v>
      </c>
      <c r="G2222" s="1081">
        <f>IF(B2222="insumo",_xlfn.XLOOKUP($D2222,Insumos!$B$1:$B$670,Insumos!$D$1:$D$670),"")</f>
        <v>0.24</v>
      </c>
      <c r="H2222" s="1081" cm="1">
        <f t="array" ref="H2222">_xlfn.IFS(B2222="Serviço",SUMIFS(H2223:$H$2465,C2223:$C$2465,$C2222),B2222="Insumo",F2222*G2222,B2222="Etapa","")</f>
        <v>7.1999999999999995E-2</v>
      </c>
      <c r="I2222" s="1082"/>
    </row>
    <row r="2223" spans="1:9" hidden="1" outlineLevel="2" x14ac:dyDescent="0.25">
      <c r="A2223" s="1079">
        <f t="shared" si="85"/>
        <v>7</v>
      </c>
      <c r="B2223" s="1079" t="s">
        <v>1362</v>
      </c>
      <c r="C2223" s="1079" t="str">
        <f t="shared" si="84"/>
        <v>Cozinha - Cuba / Inox</v>
      </c>
      <c r="D2223" s="1079" t="s">
        <v>2282</v>
      </c>
      <c r="E2223" s="1080" t="str">
        <f>_xlfn.XLOOKUP(D2223,Insumos!$B$1:$B$670,Insumos!$C$1:$C$670)</f>
        <v>UN</v>
      </c>
      <c r="F2223" s="1083">
        <v>0.4</v>
      </c>
      <c r="G2223" s="1081">
        <f>IF(B2223="insumo",_xlfn.XLOOKUP($D2223,Insumos!$B$1:$B$670,Insumos!$D$1:$D$670),"")</f>
        <v>35.6</v>
      </c>
      <c r="H2223" s="1081" cm="1">
        <f t="array" ref="H2223">_xlfn.IFS(B2223="Serviço",SUMIFS(H2224:$H$2465,C2224:$C$2465,$C2223),B2223="Insumo",F2223*G2223,B2223="Etapa","")</f>
        <v>14.240000000000002</v>
      </c>
      <c r="I2223" s="1082"/>
    </row>
    <row r="2224" spans="1:9" hidden="1" outlineLevel="2" x14ac:dyDescent="0.25">
      <c r="A2224" s="1079">
        <f t="shared" si="85"/>
        <v>11</v>
      </c>
      <c r="B2224" s="1079" t="s">
        <v>1362</v>
      </c>
      <c r="C2224" s="1079" t="str">
        <f t="shared" si="84"/>
        <v>Cozinha - Cuba / Inox</v>
      </c>
      <c r="D2224" s="1079" t="s">
        <v>2276</v>
      </c>
      <c r="E2224" s="1080" t="str">
        <f>_xlfn.XLOOKUP(D2224,Insumos!$B$1:$B$670,Insumos!$C$1:$C$670)</f>
        <v>UN</v>
      </c>
      <c r="F2224" s="1083">
        <v>0.25</v>
      </c>
      <c r="G2224" s="1081">
        <f>IF(B2224="insumo",_xlfn.XLOOKUP($D2224,Insumos!$B$1:$B$670,Insumos!$D$1:$D$670),"")</f>
        <v>75</v>
      </c>
      <c r="H2224" s="1081" cm="1">
        <f t="array" ref="H2224">_xlfn.IFS(B2224="Serviço",SUMIFS(H2225:$H$2465,C2225:$C$2465,$C2224),B2224="Insumo",F2224*G2224,B2224="Etapa","")</f>
        <v>18.75</v>
      </c>
      <c r="I2224" s="1082"/>
    </row>
    <row r="2225" spans="1:9" hidden="1" outlineLevel="2" x14ac:dyDescent="0.25">
      <c r="A2225" s="1079">
        <f t="shared" si="85"/>
        <v>11</v>
      </c>
      <c r="B2225" s="1079" t="s">
        <v>1362</v>
      </c>
      <c r="C2225" s="1079" t="str">
        <f t="shared" ref="C2225:C2288" si="86">IF(B2225="serviço",D2225,C2224)</f>
        <v>Cozinha - Cuba / Inox</v>
      </c>
      <c r="D2225" s="1079" t="s">
        <v>2277</v>
      </c>
      <c r="E2225" s="1080" t="str">
        <f>_xlfn.XLOOKUP(D2225,Insumos!$B$1:$B$670,Insumos!$C$1:$C$670)</f>
        <v>UN</v>
      </c>
      <c r="F2225" s="1083">
        <v>1</v>
      </c>
      <c r="G2225" s="1081">
        <f>IF(B2225="insumo",_xlfn.XLOOKUP($D2225,Insumos!$B$1:$B$670,Insumos!$D$1:$D$670),"")</f>
        <v>26.9</v>
      </c>
      <c r="H2225" s="1081" cm="1">
        <f t="array" ref="H2225">_xlfn.IFS(B2225="Serviço",SUMIFS(H2226:$H$2465,C2226:$C$2465,$C2225),B2225="Insumo",F2225*G2225,B2225="Etapa","")</f>
        <v>26.9</v>
      </c>
      <c r="I2225" s="1082"/>
    </row>
    <row r="2226" spans="1:9" hidden="1" outlineLevel="1" collapsed="1" x14ac:dyDescent="0.25">
      <c r="A2226" s="1079">
        <f t="shared" si="85"/>
        <v>1</v>
      </c>
      <c r="B2226" s="1079" t="s">
        <v>471</v>
      </c>
      <c r="C2226" s="1079" t="str">
        <f t="shared" si="86"/>
        <v>Lavatorio para banheiros suspenso</v>
      </c>
      <c r="D2226" s="1103" t="s">
        <v>2300</v>
      </c>
      <c r="E2226" s="1080" t="s">
        <v>491</v>
      </c>
      <c r="F2226" s="1104" t="s">
        <v>482</v>
      </c>
      <c r="G2226" s="1081" t="str">
        <f>IF(B2226="insumo",_xlfn.XLOOKUP($D2226,Insumos!$B$1:$B$670,Insumos!$D$1:$D$670),"")</f>
        <v/>
      </c>
      <c r="H2226" s="1081" cm="1">
        <f t="array" ref="H2226">_xlfn.IFS(B2226="Serviço",SUMIFS(H2227:$H$2465,C2227:$C$2465,$C2226),B2226="Insumo",F2226*G2226,B2226="Etapa","")</f>
        <v>709.96199999999999</v>
      </c>
      <c r="I2226" s="1105" t="s">
        <v>872</v>
      </c>
    </row>
    <row r="2227" spans="1:9" hidden="1" outlineLevel="2" x14ac:dyDescent="0.25">
      <c r="A2227" s="1079">
        <f t="shared" si="85"/>
        <v>1</v>
      </c>
      <c r="B2227" s="1079" t="s">
        <v>1362</v>
      </c>
      <c r="C2227" s="1079" t="str">
        <f t="shared" si="86"/>
        <v>Lavatorio para banheiros suspenso</v>
      </c>
      <c r="D2227" s="1079" t="s">
        <v>2301</v>
      </c>
      <c r="E2227" s="1080" t="str">
        <f>_xlfn.XLOOKUP(D2227,Insumos!$B$1:$B$670,Insumos!$C$1:$C$670)</f>
        <v>UN</v>
      </c>
      <c r="F2227" s="1083">
        <v>1</v>
      </c>
      <c r="G2227" s="1081">
        <f>IF(B2227="insumo",_xlfn.XLOOKUP($D2227,Insumos!$B$1:$B$670,Insumos!$D$1:$D$670),"")</f>
        <v>203.9</v>
      </c>
      <c r="H2227" s="1081" cm="1">
        <f t="array" ref="H2227">_xlfn.IFS(B2227="Serviço",SUMIFS(H2228:$H$2465,C2228:$C$2465,$C2227),B2227="Insumo",F2227*G2227,B2227="Etapa","")</f>
        <v>203.9</v>
      </c>
      <c r="I2227" s="1082"/>
    </row>
    <row r="2228" spans="1:9" hidden="1" outlineLevel="2" x14ac:dyDescent="0.25">
      <c r="A2228" s="1079">
        <f t="shared" si="85"/>
        <v>5</v>
      </c>
      <c r="B2228" s="1079" t="s">
        <v>1362</v>
      </c>
      <c r="C2228" s="1079" t="str">
        <f t="shared" si="86"/>
        <v>Lavatorio para banheiros suspenso</v>
      </c>
      <c r="D2228" s="1079" t="s">
        <v>2295</v>
      </c>
      <c r="E2228" s="1080" t="str">
        <f>_xlfn.XLOOKUP(D2228,Insumos!$B$1:$B$670,Insumos!$C$1:$C$670)</f>
        <v>UN</v>
      </c>
      <c r="F2228" s="1083">
        <v>1</v>
      </c>
      <c r="G2228" s="1081">
        <f>IF(B2228="insumo",_xlfn.XLOOKUP($D2228,Insumos!$B$1:$B$670,Insumos!$D$1:$D$670),"")</f>
        <v>256.89999999999998</v>
      </c>
      <c r="H2228" s="1081" cm="1">
        <f t="array" ref="H2228">_xlfn.IFS(B2228="Serviço",SUMIFS(H2229:$H$2465,C2229:$C$2465,$C2228),B2228="Insumo",F2228*G2228,B2228="Etapa","")</f>
        <v>256.89999999999998</v>
      </c>
      <c r="I2228" s="1082"/>
    </row>
    <row r="2229" spans="1:9" hidden="1" outlineLevel="2" x14ac:dyDescent="0.25">
      <c r="A2229" s="1079">
        <f t="shared" si="85"/>
        <v>3</v>
      </c>
      <c r="B2229" s="1079" t="s">
        <v>1362</v>
      </c>
      <c r="C2229" s="1079" t="str">
        <f t="shared" si="86"/>
        <v>Lavatorio para banheiros suspenso</v>
      </c>
      <c r="D2229" s="1079" t="s">
        <v>2302</v>
      </c>
      <c r="E2229" s="1080" t="str">
        <f>_xlfn.XLOOKUP(D2229,Insumos!$B$1:$B$670,Insumos!$C$1:$C$670)</f>
        <v>UN</v>
      </c>
      <c r="F2229" s="1083">
        <v>1</v>
      </c>
      <c r="G2229" s="1081">
        <f>IF(B2229="insumo",_xlfn.XLOOKUP($D2229,Insumos!$B$1:$B$670,Insumos!$D$1:$D$670),"")</f>
        <v>35.9</v>
      </c>
      <c r="H2229" s="1081" cm="1">
        <f t="array" ref="H2229">_xlfn.IFS(B2229="Serviço",SUMIFS(H2230:$H$2465,C2230:$C$2465,$C2229),B2229="Insumo",F2229*G2229,B2229="Etapa","")</f>
        <v>35.9</v>
      </c>
      <c r="I2229" s="1082"/>
    </row>
    <row r="2230" spans="1:9" hidden="1" outlineLevel="2" x14ac:dyDescent="0.25">
      <c r="A2230" s="1079">
        <f t="shared" si="85"/>
        <v>6</v>
      </c>
      <c r="B2230" s="1079" t="s">
        <v>1362</v>
      </c>
      <c r="C2230" s="1079" t="str">
        <f t="shared" si="86"/>
        <v>Lavatorio para banheiros suspenso</v>
      </c>
      <c r="D2230" s="1079" t="s">
        <v>2297</v>
      </c>
      <c r="E2230" s="1080" t="str">
        <f>_xlfn.XLOOKUP(D2230,Insumos!$B$1:$B$670,Insumos!$C$1:$C$670)</f>
        <v>UN</v>
      </c>
      <c r="F2230" s="1083">
        <v>6</v>
      </c>
      <c r="G2230" s="1081">
        <f>IF(B2230="insumo",_xlfn.XLOOKUP($D2230,Insumos!$B$1:$B$670,Insumos!$D$1:$D$670),"")</f>
        <v>0.6</v>
      </c>
      <c r="H2230" s="1081" cm="1">
        <f t="array" ref="H2230">_xlfn.IFS(B2230="Serviço",SUMIFS(H2231:$H$2465,C2231:$C$2465,$C2230),B2230="Insumo",F2230*G2230,B2230="Etapa","")</f>
        <v>3.5999999999999996</v>
      </c>
      <c r="I2230" s="1082"/>
    </row>
    <row r="2231" spans="1:9" hidden="1" outlineLevel="2" x14ac:dyDescent="0.25">
      <c r="A2231" s="1079">
        <f t="shared" si="85"/>
        <v>6</v>
      </c>
      <c r="B2231" s="1079" t="s">
        <v>1362</v>
      </c>
      <c r="C2231" s="1079" t="str">
        <f t="shared" si="86"/>
        <v>Lavatorio para banheiros suspenso</v>
      </c>
      <c r="D2231" s="1079" t="s">
        <v>2298</v>
      </c>
      <c r="E2231" s="1080" t="str">
        <f>_xlfn.XLOOKUP(D2231,Insumos!$B$1:$B$670,Insumos!$C$1:$C$670)</f>
        <v>UN</v>
      </c>
      <c r="F2231" s="1083">
        <v>6</v>
      </c>
      <c r="G2231" s="1081">
        <f>IF(B2231="insumo",_xlfn.XLOOKUP($D2231,Insumos!$B$1:$B$670,Insumos!$D$1:$D$670),"")</f>
        <v>24.95</v>
      </c>
      <c r="H2231" s="1081" cm="1">
        <f t="array" ref="H2231">_xlfn.IFS(B2231="Serviço",SUMIFS(H2232:$H$2465,C2232:$C$2465,$C2231),B2231="Insumo",F2231*G2231,B2231="Etapa","")</f>
        <v>149.69999999999999</v>
      </c>
      <c r="I2231" s="1082"/>
    </row>
    <row r="2232" spans="1:9" hidden="1" outlineLevel="2" x14ac:dyDescent="0.25">
      <c r="A2232" s="1079">
        <f t="shared" si="85"/>
        <v>8</v>
      </c>
      <c r="B2232" s="1079" t="s">
        <v>1362</v>
      </c>
      <c r="C2232" s="1079" t="str">
        <f t="shared" si="86"/>
        <v>Lavatorio para banheiros suspenso</v>
      </c>
      <c r="D2232" s="1079" t="s">
        <v>2274</v>
      </c>
      <c r="E2232" s="1080" t="str">
        <f>_xlfn.XLOOKUP(D2232,Insumos!$B$1:$B$670,Insumos!$C$1:$C$670)</f>
        <v>M</v>
      </c>
      <c r="F2232" s="1083">
        <v>0.3</v>
      </c>
      <c r="G2232" s="1081">
        <f>IF(B2232="insumo",_xlfn.XLOOKUP($D2232,Insumos!$B$1:$B$670,Insumos!$D$1:$D$670),"")</f>
        <v>0.24</v>
      </c>
      <c r="H2232" s="1081" cm="1">
        <f t="array" ref="H2232">_xlfn.IFS(B2232="Serviço",SUMIFS(H2233:$H$2465,C2233:$C$2465,$C2232),B2232="Insumo",F2232*G2232,B2232="Etapa","")</f>
        <v>7.1999999999999995E-2</v>
      </c>
      <c r="I2232" s="1082"/>
    </row>
    <row r="2233" spans="1:9" hidden="1" outlineLevel="2" x14ac:dyDescent="0.25">
      <c r="A2233" s="1079">
        <f t="shared" si="85"/>
        <v>7</v>
      </c>
      <c r="B2233" s="1079" t="s">
        <v>1362</v>
      </c>
      <c r="C2233" s="1079" t="str">
        <f t="shared" si="86"/>
        <v>Lavatorio para banheiros suspenso</v>
      </c>
      <c r="D2233" s="1079" t="s">
        <v>2282</v>
      </c>
      <c r="E2233" s="1080" t="str">
        <f>_xlfn.XLOOKUP(D2233,Insumos!$B$1:$B$670,Insumos!$C$1:$C$670)</f>
        <v>UN</v>
      </c>
      <c r="F2233" s="1083">
        <v>0.4</v>
      </c>
      <c r="G2233" s="1081">
        <f>IF(B2233="insumo",_xlfn.XLOOKUP($D2233,Insumos!$B$1:$B$670,Insumos!$D$1:$D$670),"")</f>
        <v>35.6</v>
      </c>
      <c r="H2233" s="1081" cm="1">
        <f t="array" ref="H2233">_xlfn.IFS(B2233="Serviço",SUMIFS(H2234:$H$2465,C2234:$C$2465,$C2233),B2233="Insumo",F2233*G2233,B2233="Etapa","")</f>
        <v>14.240000000000002</v>
      </c>
      <c r="I2233" s="1082"/>
    </row>
    <row r="2234" spans="1:9" hidden="1" outlineLevel="2" x14ac:dyDescent="0.25">
      <c r="A2234" s="1079">
        <f t="shared" si="85"/>
        <v>11</v>
      </c>
      <c r="B2234" s="1079" t="s">
        <v>1362</v>
      </c>
      <c r="C2234" s="1079" t="str">
        <f t="shared" si="86"/>
        <v>Lavatorio para banheiros suspenso</v>
      </c>
      <c r="D2234" s="1079" t="s">
        <v>2276</v>
      </c>
      <c r="E2234" s="1080" t="str">
        <f>_xlfn.XLOOKUP(D2234,Insumos!$B$1:$B$670,Insumos!$C$1:$C$670)</f>
        <v>UN</v>
      </c>
      <c r="F2234" s="1083">
        <v>0.25</v>
      </c>
      <c r="G2234" s="1081">
        <f>IF(B2234="insumo",_xlfn.XLOOKUP($D2234,Insumos!$B$1:$B$670,Insumos!$D$1:$D$670),"")</f>
        <v>75</v>
      </c>
      <c r="H2234" s="1081" cm="1">
        <f t="array" ref="H2234">_xlfn.IFS(B2234="Serviço",SUMIFS(H2235:$H$2465,C2235:$C$2465,$C2234),B2234="Insumo",F2234*G2234,B2234="Etapa","")</f>
        <v>18.75</v>
      </c>
      <c r="I2234" s="1082"/>
    </row>
    <row r="2235" spans="1:9" hidden="1" outlineLevel="2" x14ac:dyDescent="0.25">
      <c r="A2235" s="1079">
        <f t="shared" si="85"/>
        <v>11</v>
      </c>
      <c r="B2235" s="1079" t="s">
        <v>1362</v>
      </c>
      <c r="C2235" s="1079" t="str">
        <f t="shared" si="86"/>
        <v>Lavatorio para banheiros suspenso</v>
      </c>
      <c r="D2235" s="1079" t="s">
        <v>2277</v>
      </c>
      <c r="E2235" s="1080" t="str">
        <f>_xlfn.XLOOKUP(D2235,Insumos!$B$1:$B$670,Insumos!$C$1:$C$670)</f>
        <v>UN</v>
      </c>
      <c r="F2235" s="1083">
        <v>1</v>
      </c>
      <c r="G2235" s="1081">
        <f>IF(B2235="insumo",_xlfn.XLOOKUP($D2235,Insumos!$B$1:$B$670,Insumos!$D$1:$D$670),"")</f>
        <v>26.9</v>
      </c>
      <c r="H2235" s="1081" cm="1">
        <f t="array" ref="H2235">_xlfn.IFS(B2235="Serviço",SUMIFS(H2236:$H$2465,C2236:$C$2465,$C2235),B2235="Insumo",F2235*G2235,B2235="Etapa","")</f>
        <v>26.9</v>
      </c>
      <c r="I2235" s="1082"/>
    </row>
    <row r="2236" spans="1:9" hidden="1" outlineLevel="1" collapsed="1" x14ac:dyDescent="0.25">
      <c r="A2236" s="1079">
        <f t="shared" si="85"/>
        <v>1</v>
      </c>
      <c r="B2236" s="1079" t="s">
        <v>471</v>
      </c>
      <c r="C2236" s="1079" t="str">
        <f t="shared" si="86"/>
        <v>Lavatorio para banheiros suspenso PNE</v>
      </c>
      <c r="D2236" s="1103" t="s">
        <v>2303</v>
      </c>
      <c r="E2236" s="1080" t="s">
        <v>491</v>
      </c>
      <c r="F2236" s="1104" t="s">
        <v>482</v>
      </c>
      <c r="G2236" s="1081" t="str">
        <f>IF(B2236="insumo",_xlfn.XLOOKUP($D2236,Insumos!$B$1:$B$670,Insumos!$D$1:$D$670),"")</f>
        <v/>
      </c>
      <c r="H2236" s="1081" cm="1">
        <f t="array" ref="H2236">_xlfn.IFS(B2236="Serviço",SUMIFS(H2237:$H$2465,C2237:$C$2465,$C2236),B2236="Insumo",F2236*G2236,B2236="Etapa","")</f>
        <v>721.0619999999999</v>
      </c>
      <c r="I2236" s="1105" t="s">
        <v>872</v>
      </c>
    </row>
    <row r="2237" spans="1:9" hidden="1" outlineLevel="2" x14ac:dyDescent="0.25">
      <c r="A2237" s="1079">
        <f t="shared" si="85"/>
        <v>1</v>
      </c>
      <c r="B2237" s="1079" t="s">
        <v>1362</v>
      </c>
      <c r="C2237" s="1079" t="str">
        <f t="shared" si="86"/>
        <v>Lavatorio para banheiros suspenso PNE</v>
      </c>
      <c r="D2237" s="1079" t="s">
        <v>2304</v>
      </c>
      <c r="E2237" s="1080" t="str">
        <f>_xlfn.XLOOKUP(D2237,Insumos!$B$1:$B$670,Insumos!$C$1:$C$670)</f>
        <v>UN</v>
      </c>
      <c r="F2237" s="1083">
        <v>1</v>
      </c>
      <c r="G2237" s="1081">
        <f>IF(B2237="insumo",_xlfn.XLOOKUP($D2237,Insumos!$B$1:$B$670,Insumos!$D$1:$D$670),"")</f>
        <v>215</v>
      </c>
      <c r="H2237" s="1081" cm="1">
        <f t="array" ref="H2237">_xlfn.IFS(B2237="Serviço",SUMIFS(H2238:$H$2465,C2238:$C$2465,$C2237),B2237="Insumo",F2237*G2237,B2237="Etapa","")</f>
        <v>215</v>
      </c>
      <c r="I2237" s="1082"/>
    </row>
    <row r="2238" spans="1:9" hidden="1" outlineLevel="2" x14ac:dyDescent="0.25">
      <c r="A2238" s="1079">
        <f t="shared" si="85"/>
        <v>5</v>
      </c>
      <c r="B2238" s="1079" t="s">
        <v>1362</v>
      </c>
      <c r="C2238" s="1079" t="str">
        <f t="shared" si="86"/>
        <v>Lavatorio para banheiros suspenso PNE</v>
      </c>
      <c r="D2238" s="1079" t="s">
        <v>2295</v>
      </c>
      <c r="E2238" s="1080" t="str">
        <f>_xlfn.XLOOKUP(D2238,Insumos!$B$1:$B$670,Insumos!$C$1:$C$670)</f>
        <v>UN</v>
      </c>
      <c r="F2238" s="1083">
        <v>1</v>
      </c>
      <c r="G2238" s="1081">
        <f>IF(B2238="insumo",_xlfn.XLOOKUP($D2238,Insumos!$B$1:$B$670,Insumos!$D$1:$D$670),"")</f>
        <v>256.89999999999998</v>
      </c>
      <c r="H2238" s="1081" cm="1">
        <f t="array" ref="H2238">_xlfn.IFS(B2238="Serviço",SUMIFS(H2239:$H$2465,C2239:$C$2465,$C2238),B2238="Insumo",F2238*G2238,B2238="Etapa","")</f>
        <v>256.89999999999998</v>
      </c>
      <c r="I2238" s="1082"/>
    </row>
    <row r="2239" spans="1:9" hidden="1" outlineLevel="2" x14ac:dyDescent="0.25">
      <c r="A2239" s="1079">
        <f t="shared" si="85"/>
        <v>3</v>
      </c>
      <c r="B2239" s="1079" t="s">
        <v>1362</v>
      </c>
      <c r="C2239" s="1079" t="str">
        <f t="shared" si="86"/>
        <v>Lavatorio para banheiros suspenso PNE</v>
      </c>
      <c r="D2239" s="1079" t="s">
        <v>2302</v>
      </c>
      <c r="E2239" s="1080" t="str">
        <f>_xlfn.XLOOKUP(D2239,Insumos!$B$1:$B$670,Insumos!$C$1:$C$670)</f>
        <v>UN</v>
      </c>
      <c r="F2239" s="1083">
        <v>1</v>
      </c>
      <c r="G2239" s="1081">
        <f>IF(B2239="insumo",_xlfn.XLOOKUP($D2239,Insumos!$B$1:$B$670,Insumos!$D$1:$D$670),"")</f>
        <v>35.9</v>
      </c>
      <c r="H2239" s="1081" cm="1">
        <f t="array" ref="H2239">_xlfn.IFS(B2239="Serviço",SUMIFS(H2240:$H$2465,C2240:$C$2465,$C2239),B2239="Insumo",F2239*G2239,B2239="Etapa","")</f>
        <v>35.9</v>
      </c>
      <c r="I2239" s="1082"/>
    </row>
    <row r="2240" spans="1:9" hidden="1" outlineLevel="2" x14ac:dyDescent="0.25">
      <c r="A2240" s="1079">
        <f t="shared" si="85"/>
        <v>6</v>
      </c>
      <c r="B2240" s="1079" t="s">
        <v>1362</v>
      </c>
      <c r="C2240" s="1079" t="str">
        <f t="shared" si="86"/>
        <v>Lavatorio para banheiros suspenso PNE</v>
      </c>
      <c r="D2240" s="1079" t="s">
        <v>2297</v>
      </c>
      <c r="E2240" s="1080" t="str">
        <f>_xlfn.XLOOKUP(D2240,Insumos!$B$1:$B$670,Insumos!$C$1:$C$670)</f>
        <v>UN</v>
      </c>
      <c r="F2240" s="1083">
        <v>6</v>
      </c>
      <c r="G2240" s="1081">
        <f>IF(B2240="insumo",_xlfn.XLOOKUP($D2240,Insumos!$B$1:$B$670,Insumos!$D$1:$D$670),"")</f>
        <v>0.6</v>
      </c>
      <c r="H2240" s="1081" cm="1">
        <f t="array" ref="H2240">_xlfn.IFS(B2240="Serviço",SUMIFS(H2241:$H$2465,C2241:$C$2465,$C2240),B2240="Insumo",F2240*G2240,B2240="Etapa","")</f>
        <v>3.5999999999999996</v>
      </c>
      <c r="I2240" s="1082"/>
    </row>
    <row r="2241" spans="1:9" hidden="1" outlineLevel="2" x14ac:dyDescent="0.25">
      <c r="A2241" s="1079">
        <f t="shared" si="85"/>
        <v>6</v>
      </c>
      <c r="B2241" s="1079" t="s">
        <v>1362</v>
      </c>
      <c r="C2241" s="1079" t="str">
        <f t="shared" si="86"/>
        <v>Lavatorio para banheiros suspenso PNE</v>
      </c>
      <c r="D2241" s="1079" t="s">
        <v>2298</v>
      </c>
      <c r="E2241" s="1080" t="str">
        <f>_xlfn.XLOOKUP(D2241,Insumos!$B$1:$B$670,Insumos!$C$1:$C$670)</f>
        <v>UN</v>
      </c>
      <c r="F2241" s="1083">
        <v>6</v>
      </c>
      <c r="G2241" s="1081">
        <f>IF(B2241="insumo",_xlfn.XLOOKUP($D2241,Insumos!$B$1:$B$670,Insumos!$D$1:$D$670),"")</f>
        <v>24.95</v>
      </c>
      <c r="H2241" s="1081" cm="1">
        <f t="array" ref="H2241">_xlfn.IFS(B2241="Serviço",SUMIFS(H2242:$H$2465,C2242:$C$2465,$C2241),B2241="Insumo",F2241*G2241,B2241="Etapa","")</f>
        <v>149.69999999999999</v>
      </c>
      <c r="I2241" s="1082"/>
    </row>
    <row r="2242" spans="1:9" hidden="1" outlineLevel="2" x14ac:dyDescent="0.25">
      <c r="A2242" s="1079">
        <f t="shared" ref="A2242:A2305" si="87">COUNTIFS($D$2:$D$2465,D2242,$B$2:$B$2465,B2242)</f>
        <v>8</v>
      </c>
      <c r="B2242" s="1079" t="s">
        <v>1362</v>
      </c>
      <c r="C2242" s="1079" t="str">
        <f t="shared" si="86"/>
        <v>Lavatorio para banheiros suspenso PNE</v>
      </c>
      <c r="D2242" s="1079" t="s">
        <v>2274</v>
      </c>
      <c r="E2242" s="1080" t="str">
        <f>_xlfn.XLOOKUP(D2242,Insumos!$B$1:$B$670,Insumos!$C$1:$C$670)</f>
        <v>M</v>
      </c>
      <c r="F2242" s="1083">
        <v>0.3</v>
      </c>
      <c r="G2242" s="1081">
        <f>IF(B2242="insumo",_xlfn.XLOOKUP($D2242,Insumos!$B$1:$B$670,Insumos!$D$1:$D$670),"")</f>
        <v>0.24</v>
      </c>
      <c r="H2242" s="1081" cm="1">
        <f t="array" ref="H2242">_xlfn.IFS(B2242="Serviço",SUMIFS(H2243:$H$2465,C2243:$C$2465,$C2242),B2242="Insumo",F2242*G2242,B2242="Etapa","")</f>
        <v>7.1999999999999995E-2</v>
      </c>
      <c r="I2242" s="1082"/>
    </row>
    <row r="2243" spans="1:9" hidden="1" outlineLevel="2" x14ac:dyDescent="0.25">
      <c r="A2243" s="1079">
        <f t="shared" si="87"/>
        <v>7</v>
      </c>
      <c r="B2243" s="1079" t="s">
        <v>1362</v>
      </c>
      <c r="C2243" s="1079" t="str">
        <f t="shared" si="86"/>
        <v>Lavatorio para banheiros suspenso PNE</v>
      </c>
      <c r="D2243" s="1079" t="s">
        <v>2282</v>
      </c>
      <c r="E2243" s="1080" t="str">
        <f>_xlfn.XLOOKUP(D2243,Insumos!$B$1:$B$670,Insumos!$C$1:$C$670)</f>
        <v>UN</v>
      </c>
      <c r="F2243" s="1083">
        <v>0.4</v>
      </c>
      <c r="G2243" s="1081">
        <f>IF(B2243="insumo",_xlfn.XLOOKUP($D2243,Insumos!$B$1:$B$670,Insumos!$D$1:$D$670),"")</f>
        <v>35.6</v>
      </c>
      <c r="H2243" s="1081" cm="1">
        <f t="array" ref="H2243">_xlfn.IFS(B2243="Serviço",SUMIFS(H2244:$H$2465,C2244:$C$2465,$C2243),B2243="Insumo",F2243*G2243,B2243="Etapa","")</f>
        <v>14.240000000000002</v>
      </c>
      <c r="I2243" s="1082"/>
    </row>
    <row r="2244" spans="1:9" hidden="1" outlineLevel="2" x14ac:dyDescent="0.25">
      <c r="A2244" s="1079">
        <f t="shared" si="87"/>
        <v>11</v>
      </c>
      <c r="B2244" s="1079" t="s">
        <v>1362</v>
      </c>
      <c r="C2244" s="1079" t="str">
        <f t="shared" si="86"/>
        <v>Lavatorio para banheiros suspenso PNE</v>
      </c>
      <c r="D2244" s="1079" t="s">
        <v>2276</v>
      </c>
      <c r="E2244" s="1080" t="str">
        <f>_xlfn.XLOOKUP(D2244,Insumos!$B$1:$B$670,Insumos!$C$1:$C$670)</f>
        <v>UN</v>
      </c>
      <c r="F2244" s="1083">
        <v>0.25</v>
      </c>
      <c r="G2244" s="1081">
        <f>IF(B2244="insumo",_xlfn.XLOOKUP($D2244,Insumos!$B$1:$B$670,Insumos!$D$1:$D$670),"")</f>
        <v>75</v>
      </c>
      <c r="H2244" s="1081" cm="1">
        <f t="array" ref="H2244">_xlfn.IFS(B2244="Serviço",SUMIFS(H2245:$H$2465,C2245:$C$2465,$C2244),B2244="Insumo",F2244*G2244,B2244="Etapa","")</f>
        <v>18.75</v>
      </c>
      <c r="I2244" s="1082"/>
    </row>
    <row r="2245" spans="1:9" hidden="1" outlineLevel="2" x14ac:dyDescent="0.25">
      <c r="A2245" s="1079">
        <f t="shared" si="87"/>
        <v>11</v>
      </c>
      <c r="B2245" s="1079" t="s">
        <v>1362</v>
      </c>
      <c r="C2245" s="1079" t="str">
        <f t="shared" si="86"/>
        <v>Lavatorio para banheiros suspenso PNE</v>
      </c>
      <c r="D2245" s="1079" t="s">
        <v>2277</v>
      </c>
      <c r="E2245" s="1080" t="str">
        <f>_xlfn.XLOOKUP(D2245,Insumos!$B$1:$B$670,Insumos!$C$1:$C$670)</f>
        <v>UN</v>
      </c>
      <c r="F2245" s="1083">
        <v>1</v>
      </c>
      <c r="G2245" s="1081">
        <f>IF(B2245="insumo",_xlfn.XLOOKUP($D2245,Insumos!$B$1:$B$670,Insumos!$D$1:$D$670),"")</f>
        <v>26.9</v>
      </c>
      <c r="H2245" s="1081" cm="1">
        <f t="array" ref="H2245">_xlfn.IFS(B2245="Serviço",SUMIFS(H2246:$H$2465,C2246:$C$2465,$C2245),B2245="Insumo",F2245*G2245,B2245="Etapa","")</f>
        <v>26.9</v>
      </c>
      <c r="I2245" s="1082"/>
    </row>
    <row r="2246" spans="1:9" hidden="1" outlineLevel="1" collapsed="1" x14ac:dyDescent="0.25">
      <c r="A2246" s="1079">
        <f t="shared" si="87"/>
        <v>1</v>
      </c>
      <c r="B2246" s="1079" t="s">
        <v>471</v>
      </c>
      <c r="C2246" s="1079" t="str">
        <f t="shared" si="86"/>
        <v>Tanque Inox</v>
      </c>
      <c r="D2246" s="1103" t="s">
        <v>1337</v>
      </c>
      <c r="E2246" s="1080" t="s">
        <v>491</v>
      </c>
      <c r="F2246" s="1104" t="s">
        <v>482</v>
      </c>
      <c r="G2246" s="1081" t="str">
        <f>IF(B2246="insumo",_xlfn.XLOOKUP($D2246,Insumos!$B$1:$B$670,Insumos!$D$1:$D$670),"")</f>
        <v/>
      </c>
      <c r="H2246" s="1081" cm="1">
        <f t="array" ref="H2246">_xlfn.IFS(B2246="Serviço",SUMIFS(H2247:$H$2465,C2247:$C$2465,$C2246),B2246="Insumo",F2246*G2246,B2246="Etapa","")</f>
        <v>1426.9219999999998</v>
      </c>
      <c r="I2246" s="1105" t="s">
        <v>872</v>
      </c>
    </row>
    <row r="2247" spans="1:9" hidden="1" outlineLevel="2" x14ac:dyDescent="0.25">
      <c r="A2247" s="1079">
        <f t="shared" si="87"/>
        <v>1</v>
      </c>
      <c r="B2247" s="1079" t="s">
        <v>1362</v>
      </c>
      <c r="C2247" s="1079" t="str">
        <f t="shared" si="86"/>
        <v>Tanque Inox</v>
      </c>
      <c r="D2247" s="1079" t="s">
        <v>2305</v>
      </c>
      <c r="E2247" s="1080" t="str">
        <f>_xlfn.XLOOKUP(D2247,Insumos!$B$1:$B$670,Insumos!$C$1:$C$670)</f>
        <v>UN</v>
      </c>
      <c r="F2247" s="1083">
        <v>1</v>
      </c>
      <c r="G2247" s="1081">
        <f>IF(B2247="insumo",_xlfn.XLOOKUP($D2247,Insumos!$B$1:$B$670,Insumos!$D$1:$D$670),"")</f>
        <v>760</v>
      </c>
      <c r="H2247" s="1081" cm="1">
        <f t="array" ref="H2247">_xlfn.IFS(B2247="Serviço",SUMIFS(H2248:$H$2465,C2248:$C$2465,$C2247),B2247="Insumo",F2247*G2247,B2247="Etapa","")</f>
        <v>760</v>
      </c>
      <c r="I2247" s="1082"/>
    </row>
    <row r="2248" spans="1:9" hidden="1" outlineLevel="2" x14ac:dyDescent="0.25">
      <c r="A2248" s="1079">
        <f t="shared" si="87"/>
        <v>5</v>
      </c>
      <c r="B2248" s="1079" t="s">
        <v>1362</v>
      </c>
      <c r="C2248" s="1079" t="str">
        <f t="shared" si="86"/>
        <v>Tanque Inox</v>
      </c>
      <c r="D2248" s="1079" t="s">
        <v>2295</v>
      </c>
      <c r="E2248" s="1080" t="str">
        <f>_xlfn.XLOOKUP(D2248,Insumos!$B$1:$B$670,Insumos!$C$1:$C$670)</f>
        <v>UN</v>
      </c>
      <c r="F2248" s="1083">
        <v>1</v>
      </c>
      <c r="G2248" s="1081">
        <f>IF(B2248="insumo",_xlfn.XLOOKUP($D2248,Insumos!$B$1:$B$670,Insumos!$D$1:$D$670),"")</f>
        <v>256.89999999999998</v>
      </c>
      <c r="H2248" s="1081" cm="1">
        <f t="array" ref="H2248">_xlfn.IFS(B2248="Serviço",SUMIFS(H2249:$H$2465,C2249:$C$2465,$C2248),B2248="Insumo",F2248*G2248,B2248="Etapa","")</f>
        <v>256.89999999999998</v>
      </c>
      <c r="I2248" s="1082"/>
    </row>
    <row r="2249" spans="1:9" hidden="1" outlineLevel="2" x14ac:dyDescent="0.25">
      <c r="A2249" s="1079">
        <f t="shared" si="87"/>
        <v>3</v>
      </c>
      <c r="B2249" s="1079" t="s">
        <v>1362</v>
      </c>
      <c r="C2249" s="1079" t="str">
        <f t="shared" si="86"/>
        <v>Tanque Inox</v>
      </c>
      <c r="D2249" s="1079" t="s">
        <v>2296</v>
      </c>
      <c r="E2249" s="1080" t="str">
        <f>_xlfn.XLOOKUP(D2249,Insumos!$B$1:$B$670,Insumos!$C$1:$C$670)</f>
        <v>UN</v>
      </c>
      <c r="F2249" s="1083">
        <v>1</v>
      </c>
      <c r="G2249" s="1081">
        <f>IF(B2249="insumo",_xlfn.XLOOKUP($D2249,Insumos!$B$1:$B$670,Insumos!$D$1:$D$670),"")</f>
        <v>196.76</v>
      </c>
      <c r="H2249" s="1081" cm="1">
        <f t="array" ref="H2249">_xlfn.IFS(B2249="Serviço",SUMIFS(H2250:$H$2465,C2250:$C$2465,$C2249),B2249="Insumo",F2249*G2249,B2249="Etapa","")</f>
        <v>196.76</v>
      </c>
      <c r="I2249" s="1082"/>
    </row>
    <row r="2250" spans="1:9" hidden="1" outlineLevel="2" x14ac:dyDescent="0.25">
      <c r="A2250" s="1079">
        <f t="shared" si="87"/>
        <v>6</v>
      </c>
      <c r="B2250" s="1079" t="s">
        <v>1362</v>
      </c>
      <c r="C2250" s="1079" t="str">
        <f t="shared" si="86"/>
        <v>Tanque Inox</v>
      </c>
      <c r="D2250" s="1079" t="s">
        <v>2297</v>
      </c>
      <c r="E2250" s="1080" t="str">
        <f>_xlfn.XLOOKUP(D2250,Insumos!$B$1:$B$670,Insumos!$C$1:$C$670)</f>
        <v>UN</v>
      </c>
      <c r="F2250" s="1083">
        <v>6</v>
      </c>
      <c r="G2250" s="1081">
        <f>IF(B2250="insumo",_xlfn.XLOOKUP($D2250,Insumos!$B$1:$B$670,Insumos!$D$1:$D$670),"")</f>
        <v>0.6</v>
      </c>
      <c r="H2250" s="1081" cm="1">
        <f t="array" ref="H2250">_xlfn.IFS(B2250="Serviço",SUMIFS(H2251:$H$2465,C2251:$C$2465,$C2250),B2250="Insumo",F2250*G2250,B2250="Etapa","")</f>
        <v>3.5999999999999996</v>
      </c>
      <c r="I2250" s="1082"/>
    </row>
    <row r="2251" spans="1:9" hidden="1" outlineLevel="2" x14ac:dyDescent="0.25">
      <c r="A2251" s="1079">
        <f t="shared" si="87"/>
        <v>6</v>
      </c>
      <c r="B2251" s="1079" t="s">
        <v>1362</v>
      </c>
      <c r="C2251" s="1079" t="str">
        <f t="shared" si="86"/>
        <v>Tanque Inox</v>
      </c>
      <c r="D2251" s="1079" t="s">
        <v>2298</v>
      </c>
      <c r="E2251" s="1080" t="str">
        <f>_xlfn.XLOOKUP(D2251,Insumos!$B$1:$B$670,Insumos!$C$1:$C$670)</f>
        <v>UN</v>
      </c>
      <c r="F2251" s="1083">
        <v>6</v>
      </c>
      <c r="G2251" s="1081">
        <f>IF(B2251="insumo",_xlfn.XLOOKUP($D2251,Insumos!$B$1:$B$670,Insumos!$D$1:$D$670),"")</f>
        <v>24.95</v>
      </c>
      <c r="H2251" s="1081" cm="1">
        <f t="array" ref="H2251">_xlfn.IFS(B2251="Serviço",SUMIFS(H2252:$H$2465,C2252:$C$2465,$C2251),B2251="Insumo",F2251*G2251,B2251="Etapa","")</f>
        <v>149.69999999999999</v>
      </c>
      <c r="I2251" s="1082"/>
    </row>
    <row r="2252" spans="1:9" hidden="1" outlineLevel="2" x14ac:dyDescent="0.25">
      <c r="A2252" s="1079">
        <f t="shared" si="87"/>
        <v>8</v>
      </c>
      <c r="B2252" s="1079" t="s">
        <v>1362</v>
      </c>
      <c r="C2252" s="1079" t="str">
        <f t="shared" si="86"/>
        <v>Tanque Inox</v>
      </c>
      <c r="D2252" s="1079" t="s">
        <v>2274</v>
      </c>
      <c r="E2252" s="1080" t="str">
        <f>_xlfn.XLOOKUP(D2252,Insumos!$B$1:$B$670,Insumos!$C$1:$C$670)</f>
        <v>M</v>
      </c>
      <c r="F2252" s="1083">
        <v>0.3</v>
      </c>
      <c r="G2252" s="1081">
        <f>IF(B2252="insumo",_xlfn.XLOOKUP($D2252,Insumos!$B$1:$B$670,Insumos!$D$1:$D$670),"")</f>
        <v>0.24</v>
      </c>
      <c r="H2252" s="1081" cm="1">
        <f t="array" ref="H2252">_xlfn.IFS(B2252="Serviço",SUMIFS(H2253:$H$2465,C2253:$C$2465,$C2252),B2252="Insumo",F2252*G2252,B2252="Etapa","")</f>
        <v>7.1999999999999995E-2</v>
      </c>
      <c r="I2252" s="1082"/>
    </row>
    <row r="2253" spans="1:9" hidden="1" outlineLevel="2" x14ac:dyDescent="0.25">
      <c r="A2253" s="1079">
        <f t="shared" si="87"/>
        <v>7</v>
      </c>
      <c r="B2253" s="1079" t="s">
        <v>1362</v>
      </c>
      <c r="C2253" s="1079" t="str">
        <f t="shared" si="86"/>
        <v>Tanque Inox</v>
      </c>
      <c r="D2253" s="1079" t="s">
        <v>2282</v>
      </c>
      <c r="E2253" s="1080" t="str">
        <f>_xlfn.XLOOKUP(D2253,Insumos!$B$1:$B$670,Insumos!$C$1:$C$670)</f>
        <v>UN</v>
      </c>
      <c r="F2253" s="1083">
        <v>0.4</v>
      </c>
      <c r="G2253" s="1081">
        <f>IF(B2253="insumo",_xlfn.XLOOKUP($D2253,Insumos!$B$1:$B$670,Insumos!$D$1:$D$670),"")</f>
        <v>35.6</v>
      </c>
      <c r="H2253" s="1081" cm="1">
        <f t="array" ref="H2253">_xlfn.IFS(B2253="Serviço",SUMIFS(H2254:$H$2465,C2254:$C$2465,$C2253),B2253="Insumo",F2253*G2253,B2253="Etapa","")</f>
        <v>14.240000000000002</v>
      </c>
      <c r="I2253" s="1082"/>
    </row>
    <row r="2254" spans="1:9" hidden="1" outlineLevel="2" x14ac:dyDescent="0.25">
      <c r="A2254" s="1079">
        <f t="shared" si="87"/>
        <v>11</v>
      </c>
      <c r="B2254" s="1079" t="s">
        <v>1362</v>
      </c>
      <c r="C2254" s="1079" t="str">
        <f t="shared" si="86"/>
        <v>Tanque Inox</v>
      </c>
      <c r="D2254" s="1079" t="s">
        <v>2276</v>
      </c>
      <c r="E2254" s="1080" t="str">
        <f>_xlfn.XLOOKUP(D2254,Insumos!$B$1:$B$670,Insumos!$C$1:$C$670)</f>
        <v>UN</v>
      </c>
      <c r="F2254" s="1083">
        <v>0.25</v>
      </c>
      <c r="G2254" s="1081">
        <f>IF(B2254="insumo",_xlfn.XLOOKUP($D2254,Insumos!$B$1:$B$670,Insumos!$D$1:$D$670),"")</f>
        <v>75</v>
      </c>
      <c r="H2254" s="1081" cm="1">
        <f t="array" ref="H2254">_xlfn.IFS(B2254="Serviço",SUMIFS(H2255:$H$2465,C2255:$C$2465,$C2254),B2254="Insumo",F2254*G2254,B2254="Etapa","")</f>
        <v>18.75</v>
      </c>
      <c r="I2254" s="1082"/>
    </row>
    <row r="2255" spans="1:9" hidden="1" outlineLevel="2" x14ac:dyDescent="0.25">
      <c r="A2255" s="1079">
        <f t="shared" si="87"/>
        <v>11</v>
      </c>
      <c r="B2255" s="1079" t="s">
        <v>1362</v>
      </c>
      <c r="C2255" s="1079" t="str">
        <f t="shared" si="86"/>
        <v>Tanque Inox</v>
      </c>
      <c r="D2255" s="1079" t="s">
        <v>2277</v>
      </c>
      <c r="E2255" s="1080" t="str">
        <f>_xlfn.XLOOKUP(D2255,Insumos!$B$1:$B$670,Insumos!$C$1:$C$670)</f>
        <v>UN</v>
      </c>
      <c r="F2255" s="1083">
        <v>1</v>
      </c>
      <c r="G2255" s="1081">
        <f>IF(B2255="insumo",_xlfn.XLOOKUP($D2255,Insumos!$B$1:$B$670,Insumos!$D$1:$D$670),"")</f>
        <v>26.9</v>
      </c>
      <c r="H2255" s="1081" cm="1">
        <f t="array" ref="H2255">_xlfn.IFS(B2255="Serviço",SUMIFS(H2256:$H$2465,C2256:$C$2465,$C2255),B2255="Insumo",F2255*G2255,B2255="Etapa","")</f>
        <v>26.9</v>
      </c>
      <c r="I2255" s="1082"/>
    </row>
    <row r="2256" spans="1:9" hidden="1" outlineLevel="1" collapsed="1" x14ac:dyDescent="0.25">
      <c r="A2256" s="1079">
        <f t="shared" si="87"/>
        <v>1</v>
      </c>
      <c r="B2256" s="1079" t="s">
        <v>471</v>
      </c>
      <c r="C2256" s="1079" t="str">
        <f t="shared" si="86"/>
        <v>Tanque Louça Suspenso</v>
      </c>
      <c r="D2256" s="1103" t="s">
        <v>2306</v>
      </c>
      <c r="E2256" s="1080" t="s">
        <v>491</v>
      </c>
      <c r="F2256" s="1104" t="s">
        <v>482</v>
      </c>
      <c r="G2256" s="1081" t="str">
        <f>IF(B2256="insumo",_xlfn.XLOOKUP($D2256,Insumos!$B$1:$B$670,Insumos!$D$1:$D$670),"")</f>
        <v/>
      </c>
      <c r="H2256" s="1081" cm="1">
        <f t="array" ref="H2256">_xlfn.IFS(B2256="Serviço",SUMIFS(H2257:$H$2465,C2257:$C$2465,$C2256),B2256="Insumo",F2256*G2256,B2256="Etapa","")</f>
        <v>681.03199999999993</v>
      </c>
      <c r="I2256" s="1105" t="s">
        <v>872</v>
      </c>
    </row>
    <row r="2257" spans="1:9" hidden="1" outlineLevel="2" x14ac:dyDescent="0.25">
      <c r="A2257" s="1079">
        <f t="shared" si="87"/>
        <v>1</v>
      </c>
      <c r="B2257" s="1079" t="s">
        <v>1362</v>
      </c>
      <c r="C2257" s="1079" t="str">
        <f t="shared" si="86"/>
        <v>Tanque Louça Suspenso</v>
      </c>
      <c r="D2257" s="1079" t="s">
        <v>2307</v>
      </c>
      <c r="E2257" s="1080" t="str">
        <f>_xlfn.XLOOKUP(D2257,Insumos!$B$1:$B$670,Insumos!$C$1:$C$670)</f>
        <v>UN</v>
      </c>
      <c r="F2257" s="1083">
        <v>1</v>
      </c>
      <c r="G2257" s="1081">
        <f>IF(B2257="insumo",_xlfn.XLOOKUP($D2257,Insumos!$B$1:$B$670,Insumos!$D$1:$D$670),"")</f>
        <v>396.87</v>
      </c>
      <c r="H2257" s="1081" cm="1">
        <f t="array" ref="H2257">_xlfn.IFS(B2257="Serviço",SUMIFS(H2258:$H$2465,C2258:$C$2465,$C2257),B2257="Insumo",F2257*G2257,B2257="Etapa","")</f>
        <v>396.87</v>
      </c>
      <c r="I2257" s="1082"/>
    </row>
    <row r="2258" spans="1:9" hidden="1" outlineLevel="2" x14ac:dyDescent="0.25">
      <c r="A2258" s="1079">
        <f t="shared" si="87"/>
        <v>1</v>
      </c>
      <c r="B2258" s="1079" t="s">
        <v>1362</v>
      </c>
      <c r="C2258" s="1079" t="str">
        <f t="shared" si="86"/>
        <v>Tanque Louça Suspenso</v>
      </c>
      <c r="D2258" s="1079" t="s">
        <v>2308</v>
      </c>
      <c r="E2258" s="1080" t="str">
        <f>_xlfn.XLOOKUP(D2258,Insumos!$B$1:$B$670,Insumos!$C$1:$C$670)</f>
        <v>UN</v>
      </c>
      <c r="F2258" s="1083">
        <v>1</v>
      </c>
      <c r="G2258" s="1081">
        <f>IF(B2258="insumo",_xlfn.XLOOKUP($D2258,Insumos!$B$1:$B$670,Insumos!$D$1:$D$670),"")</f>
        <v>35</v>
      </c>
      <c r="H2258" s="1081" cm="1">
        <f t="array" ref="H2258">_xlfn.IFS(B2258="Serviço",SUMIFS(H2259:$H$2465,C2259:$C$2465,$C2258),B2258="Insumo",F2258*G2258,B2258="Etapa","")</f>
        <v>35</v>
      </c>
      <c r="I2258" s="1082"/>
    </row>
    <row r="2259" spans="1:9" hidden="1" outlineLevel="2" x14ac:dyDescent="0.25">
      <c r="A2259" s="1079">
        <f t="shared" si="87"/>
        <v>3</v>
      </c>
      <c r="B2259" s="1079" t="s">
        <v>1362</v>
      </c>
      <c r="C2259" s="1079" t="str">
        <f t="shared" si="86"/>
        <v>Tanque Louça Suspenso</v>
      </c>
      <c r="D2259" s="1079" t="s">
        <v>2302</v>
      </c>
      <c r="E2259" s="1080" t="str">
        <f>_xlfn.XLOOKUP(D2259,Insumos!$B$1:$B$670,Insumos!$C$1:$C$670)</f>
        <v>UN</v>
      </c>
      <c r="F2259" s="1083">
        <v>1</v>
      </c>
      <c r="G2259" s="1081">
        <f>IF(B2259="insumo",_xlfn.XLOOKUP($D2259,Insumos!$B$1:$B$670,Insumos!$D$1:$D$670),"")</f>
        <v>35.9</v>
      </c>
      <c r="H2259" s="1081" cm="1">
        <f t="array" ref="H2259">_xlfn.IFS(B2259="Serviço",SUMIFS(H2260:$H$2465,C2260:$C$2465,$C2259),B2259="Insumo",F2259*G2259,B2259="Etapa","")</f>
        <v>35.9</v>
      </c>
      <c r="I2259" s="1082"/>
    </row>
    <row r="2260" spans="1:9" hidden="1" outlineLevel="2" x14ac:dyDescent="0.25">
      <c r="A2260" s="1079">
        <f t="shared" si="87"/>
        <v>6</v>
      </c>
      <c r="B2260" s="1079" t="s">
        <v>1362</v>
      </c>
      <c r="C2260" s="1079" t="str">
        <f t="shared" si="86"/>
        <v>Tanque Louça Suspenso</v>
      </c>
      <c r="D2260" s="1079" t="s">
        <v>2297</v>
      </c>
      <c r="E2260" s="1080" t="str">
        <f>_xlfn.XLOOKUP(D2260,Insumos!$B$1:$B$670,Insumos!$C$1:$C$670)</f>
        <v>UN</v>
      </c>
      <c r="F2260" s="1083">
        <v>6</v>
      </c>
      <c r="G2260" s="1081">
        <f>IF(B2260="insumo",_xlfn.XLOOKUP($D2260,Insumos!$B$1:$B$670,Insumos!$D$1:$D$670),"")</f>
        <v>0.6</v>
      </c>
      <c r="H2260" s="1081" cm="1">
        <f t="array" ref="H2260">_xlfn.IFS(B2260="Serviço",SUMIFS(H2261:$H$2465,C2261:$C$2465,$C2260),B2260="Insumo",F2260*G2260,B2260="Etapa","")</f>
        <v>3.5999999999999996</v>
      </c>
      <c r="I2260" s="1082"/>
    </row>
    <row r="2261" spans="1:9" hidden="1" outlineLevel="2" x14ac:dyDescent="0.25">
      <c r="A2261" s="1079">
        <f t="shared" si="87"/>
        <v>6</v>
      </c>
      <c r="B2261" s="1079" t="s">
        <v>1362</v>
      </c>
      <c r="C2261" s="1079" t="str">
        <f t="shared" si="86"/>
        <v>Tanque Louça Suspenso</v>
      </c>
      <c r="D2261" s="1079" t="s">
        <v>2298</v>
      </c>
      <c r="E2261" s="1080" t="str">
        <f>_xlfn.XLOOKUP(D2261,Insumos!$B$1:$B$670,Insumos!$C$1:$C$670)</f>
        <v>UN</v>
      </c>
      <c r="F2261" s="1083">
        <v>6</v>
      </c>
      <c r="G2261" s="1081">
        <f>IF(B2261="insumo",_xlfn.XLOOKUP($D2261,Insumos!$B$1:$B$670,Insumos!$D$1:$D$670),"")</f>
        <v>24.95</v>
      </c>
      <c r="H2261" s="1081" cm="1">
        <f t="array" ref="H2261">_xlfn.IFS(B2261="Serviço",SUMIFS(H2262:$H$2465,C2262:$C$2465,$C2261),B2261="Insumo",F2261*G2261,B2261="Etapa","")</f>
        <v>149.69999999999999</v>
      </c>
      <c r="I2261" s="1082"/>
    </row>
    <row r="2262" spans="1:9" hidden="1" outlineLevel="2" x14ac:dyDescent="0.25">
      <c r="A2262" s="1079">
        <f t="shared" si="87"/>
        <v>8</v>
      </c>
      <c r="B2262" s="1079" t="s">
        <v>1362</v>
      </c>
      <c r="C2262" s="1079" t="str">
        <f t="shared" si="86"/>
        <v>Tanque Louça Suspenso</v>
      </c>
      <c r="D2262" s="1079" t="s">
        <v>2274</v>
      </c>
      <c r="E2262" s="1080" t="str">
        <f>_xlfn.XLOOKUP(D2262,Insumos!$B$1:$B$670,Insumos!$C$1:$C$670)</f>
        <v>M</v>
      </c>
      <c r="F2262" s="1083">
        <v>0.3</v>
      </c>
      <c r="G2262" s="1081">
        <f>IF(B2262="insumo",_xlfn.XLOOKUP($D2262,Insumos!$B$1:$B$670,Insumos!$D$1:$D$670),"")</f>
        <v>0.24</v>
      </c>
      <c r="H2262" s="1081" cm="1">
        <f t="array" ref="H2262">_xlfn.IFS(B2262="Serviço",SUMIFS(H2263:$H$2465,C2263:$C$2465,$C2262),B2262="Insumo",F2262*G2262,B2262="Etapa","")</f>
        <v>7.1999999999999995E-2</v>
      </c>
      <c r="I2262" s="1082"/>
    </row>
    <row r="2263" spans="1:9" hidden="1" outlineLevel="2" x14ac:dyDescent="0.25">
      <c r="A2263" s="1079">
        <f t="shared" si="87"/>
        <v>7</v>
      </c>
      <c r="B2263" s="1079" t="s">
        <v>1362</v>
      </c>
      <c r="C2263" s="1079" t="str">
        <f t="shared" si="86"/>
        <v>Tanque Louça Suspenso</v>
      </c>
      <c r="D2263" s="1079" t="s">
        <v>2282</v>
      </c>
      <c r="E2263" s="1080" t="str">
        <f>_xlfn.XLOOKUP(D2263,Insumos!$B$1:$B$670,Insumos!$C$1:$C$670)</f>
        <v>UN</v>
      </c>
      <c r="F2263" s="1083">
        <v>0.4</v>
      </c>
      <c r="G2263" s="1081">
        <f>IF(B2263="insumo",_xlfn.XLOOKUP($D2263,Insumos!$B$1:$B$670,Insumos!$D$1:$D$670),"")</f>
        <v>35.6</v>
      </c>
      <c r="H2263" s="1081" cm="1">
        <f t="array" ref="H2263">_xlfn.IFS(B2263="Serviço",SUMIFS(H2264:$H$2465,C2264:$C$2465,$C2263),B2263="Insumo",F2263*G2263,B2263="Etapa","")</f>
        <v>14.240000000000002</v>
      </c>
      <c r="I2263" s="1082"/>
    </row>
    <row r="2264" spans="1:9" hidden="1" outlineLevel="2" x14ac:dyDescent="0.25">
      <c r="A2264" s="1079">
        <f t="shared" si="87"/>
        <v>11</v>
      </c>
      <c r="B2264" s="1079" t="s">
        <v>1362</v>
      </c>
      <c r="C2264" s="1079" t="str">
        <f t="shared" si="86"/>
        <v>Tanque Louça Suspenso</v>
      </c>
      <c r="D2264" s="1079" t="s">
        <v>2276</v>
      </c>
      <c r="E2264" s="1080" t="str">
        <f>_xlfn.XLOOKUP(D2264,Insumos!$B$1:$B$670,Insumos!$C$1:$C$670)</f>
        <v>UN</v>
      </c>
      <c r="F2264" s="1083">
        <v>0.25</v>
      </c>
      <c r="G2264" s="1081">
        <f>IF(B2264="insumo",_xlfn.XLOOKUP($D2264,Insumos!$B$1:$B$670,Insumos!$D$1:$D$670),"")</f>
        <v>75</v>
      </c>
      <c r="H2264" s="1081" cm="1">
        <f t="array" ref="H2264">_xlfn.IFS(B2264="Serviço",SUMIFS(H2265:$H$2465,C2265:$C$2465,$C2264),B2264="Insumo",F2264*G2264,B2264="Etapa","")</f>
        <v>18.75</v>
      </c>
      <c r="I2264" s="1082"/>
    </row>
    <row r="2265" spans="1:9" hidden="1" outlineLevel="2" x14ac:dyDescent="0.25">
      <c r="A2265" s="1079">
        <f t="shared" si="87"/>
        <v>11</v>
      </c>
      <c r="B2265" s="1079" t="s">
        <v>1362</v>
      </c>
      <c r="C2265" s="1079" t="str">
        <f t="shared" si="86"/>
        <v>Tanque Louça Suspenso</v>
      </c>
      <c r="D2265" s="1079" t="s">
        <v>2277</v>
      </c>
      <c r="E2265" s="1080" t="str">
        <f>_xlfn.XLOOKUP(D2265,Insumos!$B$1:$B$670,Insumos!$C$1:$C$670)</f>
        <v>UN</v>
      </c>
      <c r="F2265" s="1083">
        <v>1</v>
      </c>
      <c r="G2265" s="1081">
        <f>IF(B2265="insumo",_xlfn.XLOOKUP($D2265,Insumos!$B$1:$B$670,Insumos!$D$1:$D$670),"")</f>
        <v>26.9</v>
      </c>
      <c r="H2265" s="1081" cm="1">
        <f t="array" ref="H2265">_xlfn.IFS(B2265="Serviço",SUMIFS(H2266:$H$2465,C2266:$C$2465,$C2265),B2265="Insumo",F2265*G2265,B2265="Etapa","")</f>
        <v>26.9</v>
      </c>
      <c r="I2265" s="1082"/>
    </row>
    <row r="2266" spans="1:9" hidden="1" outlineLevel="1" x14ac:dyDescent="0.25">
      <c r="A2266" s="1079">
        <f t="shared" si="87"/>
        <v>1</v>
      </c>
      <c r="B2266" s="1079" t="s">
        <v>471</v>
      </c>
      <c r="C2266" s="1079" t="str">
        <f t="shared" si="86"/>
        <v>Torneira Lavatório mesa</v>
      </c>
      <c r="D2266" s="1103" t="s">
        <v>1342</v>
      </c>
      <c r="E2266" s="1080" t="s">
        <v>491</v>
      </c>
      <c r="F2266" s="1104" t="s">
        <v>482</v>
      </c>
      <c r="G2266" s="1081" t="str">
        <f>IF(B2266="insumo",_xlfn.XLOOKUP($D2266,Insumos!$B$1:$B$670,Insumos!$D$1:$D$670),"")</f>
        <v/>
      </c>
      <c r="H2266" s="1081" cm="1">
        <f t="array" ref="H2266">_xlfn.IFS(B2266="Serviço",SUMIFS(H2267:$H$2465,C2267:$C$2465,$C2266),B2266="Insumo",F2266*G2266,B2266="Etapa","")</f>
        <v>350</v>
      </c>
      <c r="I2266" s="1105" t="s">
        <v>872</v>
      </c>
    </row>
    <row r="2267" spans="1:9" hidden="1" outlineLevel="2" x14ac:dyDescent="0.25">
      <c r="A2267" s="1079">
        <f t="shared" si="87"/>
        <v>1</v>
      </c>
      <c r="B2267" s="1079" t="s">
        <v>1362</v>
      </c>
      <c r="C2267" s="1079" t="str">
        <f t="shared" si="86"/>
        <v>Torneira Lavatório mesa</v>
      </c>
      <c r="D2267" s="1079" t="s">
        <v>2309</v>
      </c>
      <c r="E2267" s="1080" t="str">
        <f>_xlfn.XLOOKUP(D2267,Insumos!$B$1:$B$670,Insumos!$C$1:$C$670)</f>
        <v>UN</v>
      </c>
      <c r="F2267" s="1083">
        <v>1</v>
      </c>
      <c r="G2267" s="1081">
        <v>350</v>
      </c>
      <c r="H2267" s="1081" cm="1">
        <f t="array" ref="H2267">_xlfn.IFS(B2267="Serviço",SUMIFS(H2268:$H$2465,C2268:$C$2465,$C2267),B2267="Insumo",F2267*G2267,B2267="Etapa","")</f>
        <v>350</v>
      </c>
      <c r="I2267" s="1082"/>
    </row>
    <row r="2268" spans="1:9" hidden="1" outlineLevel="1" x14ac:dyDescent="0.25">
      <c r="A2268" s="1079">
        <f t="shared" si="87"/>
        <v>1</v>
      </c>
      <c r="B2268" s="1079" t="s">
        <v>471</v>
      </c>
      <c r="C2268" s="1079" t="str">
        <f t="shared" si="86"/>
        <v>Torneira tanque</v>
      </c>
      <c r="D2268" s="1103" t="s">
        <v>1341</v>
      </c>
      <c r="E2268" s="1080" t="s">
        <v>491</v>
      </c>
      <c r="F2268" s="1104" t="s">
        <v>482</v>
      </c>
      <c r="G2268" s="1081" t="str">
        <f>IF(B2268="insumo",_xlfn.XLOOKUP($D2268,Insumos!$B$1:$B$670,Insumos!$D$1:$D$670),"")</f>
        <v/>
      </c>
      <c r="H2268" s="1081" cm="1">
        <f t="array" ref="H2268">_xlfn.IFS(B2268="Serviço",SUMIFS(H2269:$H$2465,C2269:$C$2465,$C2268),B2268="Insumo",F2268*G2268,B2268="Etapa","")</f>
        <v>150</v>
      </c>
      <c r="I2268" s="1105" t="s">
        <v>872</v>
      </c>
    </row>
    <row r="2269" spans="1:9" hidden="1" outlineLevel="2" x14ac:dyDescent="0.25">
      <c r="A2269" s="1079">
        <f t="shared" si="87"/>
        <v>1</v>
      </c>
      <c r="B2269" s="1079" t="s">
        <v>1362</v>
      </c>
      <c r="C2269" s="1079" t="str">
        <f t="shared" si="86"/>
        <v>Torneira tanque</v>
      </c>
      <c r="D2269" s="1079" t="s">
        <v>2310</v>
      </c>
      <c r="E2269" s="1080" t="str">
        <f>_xlfn.XLOOKUP(D2269,Insumos!$B$1:$B$670,Insumos!$C$1:$C$670)</f>
        <v>UN</v>
      </c>
      <c r="F2269" s="1083">
        <v>1</v>
      </c>
      <c r="G2269" s="1081">
        <v>150</v>
      </c>
      <c r="H2269" s="1081" cm="1">
        <f t="array" ref="H2269">_xlfn.IFS(B2269="Serviço",SUMIFS(H2270:$H$2465,C2270:$C$2465,$C2269),B2269="Insumo",F2269*G2269,B2269="Etapa","")</f>
        <v>150</v>
      </c>
      <c r="I2269" s="1082"/>
    </row>
    <row r="2270" spans="1:9" hidden="1" outlineLevel="1" x14ac:dyDescent="0.25">
      <c r="A2270" s="1079">
        <f t="shared" si="87"/>
        <v>1</v>
      </c>
      <c r="B2270" s="1079" t="s">
        <v>471</v>
      </c>
      <c r="C2270" s="1079" t="str">
        <f t="shared" si="86"/>
        <v>Torneira de Jardins</v>
      </c>
      <c r="D2270" s="1103" t="s">
        <v>2311</v>
      </c>
      <c r="E2270" s="1080" t="s">
        <v>491</v>
      </c>
      <c r="F2270" s="1104" t="s">
        <v>482</v>
      </c>
      <c r="G2270" s="1081" t="str">
        <f>IF(B2270="insumo",_xlfn.XLOOKUP($D2270,Insumos!$B$1:$B$670,Insumos!$D$1:$D$670),"")</f>
        <v/>
      </c>
      <c r="H2270" s="1081" cm="1">
        <f t="array" ref="H2270">_xlfn.IFS(B2270="Serviço",SUMIFS(H2271:$H$2465,C2271:$C$2465,$C2270),B2270="Insumo",F2270*G2270,B2270="Etapa","")</f>
        <v>72</v>
      </c>
      <c r="I2270" s="1105" t="s">
        <v>872</v>
      </c>
    </row>
    <row r="2271" spans="1:9" hidden="1" outlineLevel="2" x14ac:dyDescent="0.25">
      <c r="A2271" s="1079">
        <f t="shared" si="87"/>
        <v>1</v>
      </c>
      <c r="B2271" s="1079" t="s">
        <v>1362</v>
      </c>
      <c r="C2271" s="1079" t="str">
        <f t="shared" si="86"/>
        <v>Torneira de Jardins</v>
      </c>
      <c r="D2271" s="1079" t="s">
        <v>2312</v>
      </c>
      <c r="E2271" s="1080" t="str">
        <f>_xlfn.XLOOKUP(D2271,Insumos!$B$1:$B$670,Insumos!$C$1:$C$670)</f>
        <v>UN</v>
      </c>
      <c r="F2271" s="1083">
        <v>1</v>
      </c>
      <c r="G2271" s="1081">
        <v>72</v>
      </c>
      <c r="H2271" s="1081" cm="1">
        <f t="array" ref="H2271">_xlfn.IFS(B2271="Serviço",SUMIFS(H2272:$H$2465,C2272:$C$2465,$C2271),B2271="Insumo",F2271*G2271,B2271="Etapa","")</f>
        <v>72</v>
      </c>
      <c r="I2271" s="1082"/>
    </row>
    <row r="2272" spans="1:9" hidden="1" outlineLevel="1" x14ac:dyDescent="0.25">
      <c r="A2272" s="1079">
        <f t="shared" si="87"/>
        <v>1</v>
      </c>
      <c r="B2272" s="1079" t="s">
        <v>471</v>
      </c>
      <c r="C2272" s="1079" t="str">
        <f t="shared" si="86"/>
        <v>Torneira misturador pia cozinha</v>
      </c>
      <c r="D2272" s="1103" t="s">
        <v>1340</v>
      </c>
      <c r="E2272" s="1080" t="s">
        <v>491</v>
      </c>
      <c r="F2272" s="1104" t="s">
        <v>482</v>
      </c>
      <c r="G2272" s="1081" t="str">
        <f>IF(B2272="insumo",_xlfn.XLOOKUP($D2272,Insumos!$B$1:$B$670,Insumos!$D$1:$D$670),"")</f>
        <v/>
      </c>
      <c r="H2272" s="1081" cm="1">
        <f t="array" ref="H2272">_xlfn.IFS(B2272="Serviço",SUMIFS(H2273:$H$2465,C2273:$C$2465,$C2272),B2272="Insumo",F2272*G2272,B2272="Etapa","")</f>
        <v>1054.93</v>
      </c>
      <c r="I2272" s="1105" t="s">
        <v>872</v>
      </c>
    </row>
    <row r="2273" spans="1:9" hidden="1" outlineLevel="2" x14ac:dyDescent="0.25">
      <c r="A2273" s="1079">
        <f t="shared" si="87"/>
        <v>1</v>
      </c>
      <c r="B2273" s="1079" t="s">
        <v>1362</v>
      </c>
      <c r="C2273" s="1079" t="str">
        <f t="shared" si="86"/>
        <v>Torneira misturador pia cozinha</v>
      </c>
      <c r="D2273" s="1079" t="s">
        <v>2313</v>
      </c>
      <c r="E2273" s="1080" t="str">
        <f>_xlfn.XLOOKUP(D2273,Insumos!$B$1:$B$670,Insumos!$C$1:$C$670)</f>
        <v>UN</v>
      </c>
      <c r="F2273" s="1083">
        <v>1</v>
      </c>
      <c r="G2273" s="1081">
        <f>IF(B2273="insumo",_xlfn.XLOOKUP($D2273,Insumos!$B$1:$B$670,Insumos!$D$1:$D$670),"")</f>
        <v>1054.93</v>
      </c>
      <c r="H2273" s="1081" cm="1">
        <f t="array" ref="H2273">_xlfn.IFS(B2273="Serviço",SUMIFS(H2274:$H$2465,C2274:$C$2465,$C2273),B2273="Insumo",F2273*G2273,B2273="Etapa","")</f>
        <v>1054.93</v>
      </c>
      <c r="I2273" s="1082"/>
    </row>
    <row r="2274" spans="1:9" hidden="1" outlineLevel="1" collapsed="1" x14ac:dyDescent="0.25">
      <c r="A2274" s="1079">
        <f t="shared" si="87"/>
        <v>1</v>
      </c>
      <c r="B2274" s="1079" t="s">
        <v>471</v>
      </c>
      <c r="C2274" s="1079" t="str">
        <f t="shared" si="86"/>
        <v>Ducha higienica</v>
      </c>
      <c r="D2274" s="1103" t="s">
        <v>2314</v>
      </c>
      <c r="E2274" s="1080" t="s">
        <v>491</v>
      </c>
      <c r="F2274" s="1104" t="s">
        <v>482</v>
      </c>
      <c r="G2274" s="1081" t="str">
        <f>IF(B2274="insumo",_xlfn.XLOOKUP($D2274,Insumos!$B$1:$B$670,Insumos!$D$1:$D$670),"")</f>
        <v/>
      </c>
      <c r="H2274" s="1081" cm="1">
        <f t="array" ref="H2274">_xlfn.IFS(B2274="Serviço",SUMIFS(H2275:$H$2465,C2275:$C$2465,$C2274),B2274="Insumo",F2274*G2274,B2274="Etapa","")</f>
        <v>688.68</v>
      </c>
      <c r="I2274" s="1105" t="s">
        <v>872</v>
      </c>
    </row>
    <row r="2275" spans="1:9" hidden="1" outlineLevel="2" x14ac:dyDescent="0.25">
      <c r="A2275" s="1079">
        <f t="shared" si="87"/>
        <v>1</v>
      </c>
      <c r="B2275" s="1079" t="s">
        <v>1362</v>
      </c>
      <c r="C2275" s="1079" t="str">
        <f t="shared" si="86"/>
        <v>Ducha higienica</v>
      </c>
      <c r="D2275" s="1079" t="s">
        <v>2315</v>
      </c>
      <c r="E2275" s="1080" t="str">
        <f>_xlfn.XLOOKUP(D2275,Insumos!$B$1:$B$670,Insumos!$C$1:$C$670)</f>
        <v>UN</v>
      </c>
      <c r="F2275" s="1083">
        <v>1</v>
      </c>
      <c r="G2275" s="1081">
        <f>IF(B2275="insumo",_xlfn.XLOOKUP($D2275,Insumos!$B$1:$B$670,Insumos!$D$1:$D$670),"")</f>
        <v>688.68</v>
      </c>
      <c r="H2275" s="1081" cm="1">
        <f t="array" ref="H2275">_xlfn.IFS(B2275="Serviço",SUMIFS(H2276:$H$2465,C2276:$C$2465,$C2275),B2275="Insumo",F2275*G2275,B2275="Etapa","")</f>
        <v>688.68</v>
      </c>
      <c r="I2275" s="1082"/>
    </row>
    <row r="2276" spans="1:9" hidden="1" outlineLevel="1" x14ac:dyDescent="0.25">
      <c r="A2276" s="1079">
        <f t="shared" si="87"/>
        <v>1</v>
      </c>
      <c r="B2276" s="1079" t="s">
        <v>471</v>
      </c>
      <c r="C2276" s="1079" t="str">
        <f t="shared" si="86"/>
        <v>Acabamento de Registro Comum</v>
      </c>
      <c r="D2276" s="1103" t="s">
        <v>1346</v>
      </c>
      <c r="E2276" s="1080" t="s">
        <v>491</v>
      </c>
      <c r="F2276" s="1104" t="s">
        <v>482</v>
      </c>
      <c r="G2276" s="1081" t="str">
        <f>IF(B2276="insumo",_xlfn.XLOOKUP($D2276,Insumos!$B$1:$B$670,Insumos!$D$1:$D$670),"")</f>
        <v/>
      </c>
      <c r="H2276" s="1081" cm="1">
        <f t="array" ref="H2276">_xlfn.IFS(B2276="Serviço",SUMIFS(H2277:$H$2465,C2277:$C$2465,$C2276),B2276="Insumo",F2276*G2276,B2276="Etapa","")</f>
        <v>176</v>
      </c>
      <c r="I2276" s="1105" t="s">
        <v>872</v>
      </c>
    </row>
    <row r="2277" spans="1:9" hidden="1" outlineLevel="2" x14ac:dyDescent="0.25">
      <c r="A2277" s="1079">
        <f t="shared" si="87"/>
        <v>1</v>
      </c>
      <c r="B2277" s="1079" t="s">
        <v>1362</v>
      </c>
      <c r="C2277" s="1079" t="str">
        <f t="shared" si="86"/>
        <v>Acabamento de Registro Comum</v>
      </c>
      <c r="D2277" s="1079" t="s">
        <v>2316</v>
      </c>
      <c r="E2277" s="1080" t="str">
        <f>_xlfn.XLOOKUP(D2277,Insumos!$B$1:$B$670,Insumos!$C$1:$C$670)</f>
        <v>UN</v>
      </c>
      <c r="F2277" s="1083">
        <v>1</v>
      </c>
      <c r="G2277" s="1081">
        <v>176</v>
      </c>
      <c r="H2277" s="1081" cm="1">
        <f t="array" ref="H2277">_xlfn.IFS(B2277="Serviço",SUMIFS(H2278:$H$2465,C2278:$C$2465,$C2277),B2277="Insumo",F2277*G2277,B2277="Etapa","")</f>
        <v>176</v>
      </c>
      <c r="I2277" s="1082"/>
    </row>
    <row r="2278" spans="1:9" hidden="1" outlineLevel="1" collapsed="1" x14ac:dyDescent="0.25">
      <c r="A2278" s="1079">
        <f t="shared" si="87"/>
        <v>1</v>
      </c>
      <c r="B2278" s="1079" t="s">
        <v>471</v>
      </c>
      <c r="C2278" s="1079" t="str">
        <f t="shared" si="86"/>
        <v>Acabamento de Registro Pressão</v>
      </c>
      <c r="D2278" s="1103" t="s">
        <v>1345</v>
      </c>
      <c r="E2278" s="1080" t="s">
        <v>491</v>
      </c>
      <c r="F2278" s="1104" t="s">
        <v>482</v>
      </c>
      <c r="G2278" s="1081" t="str">
        <f>IF(B2278="insumo",_xlfn.XLOOKUP($D2278,Insumos!$B$1:$B$670,Insumos!$D$1:$D$670),"")</f>
        <v/>
      </c>
      <c r="H2278" s="1081" cm="1">
        <f t="array" ref="H2278">_xlfn.IFS(B2278="Serviço",SUMIFS(H2279:$H$2465,C2279:$C$2465,$C2278),B2278="Insumo",F2278*G2278,B2278="Etapa","")</f>
        <v>493.7</v>
      </c>
      <c r="I2278" s="1106" t="s">
        <v>872</v>
      </c>
    </row>
    <row r="2279" spans="1:9" hidden="1" outlineLevel="2" x14ac:dyDescent="0.25">
      <c r="A2279" s="1079">
        <f t="shared" si="87"/>
        <v>1</v>
      </c>
      <c r="B2279" s="1079" t="s">
        <v>1362</v>
      </c>
      <c r="C2279" s="1079" t="str">
        <f t="shared" si="86"/>
        <v>Acabamento de Registro Pressão</v>
      </c>
      <c r="D2279" s="1079" t="s">
        <v>2317</v>
      </c>
      <c r="E2279" s="1080" t="str">
        <f>_xlfn.XLOOKUP(D2279,Insumos!$B$1:$B$670,Insumos!$C$1:$C$670)</f>
        <v>UN</v>
      </c>
      <c r="F2279" s="1083">
        <v>1</v>
      </c>
      <c r="G2279" s="1081">
        <f>IF(B2279="insumo",_xlfn.XLOOKUP($D2279,Insumos!$B$1:$B$670,Insumos!$D$1:$D$670),"")</f>
        <v>493.7</v>
      </c>
      <c r="H2279" s="1081" cm="1">
        <f t="array" ref="H2279">_xlfn.IFS(B2279="Serviço",SUMIFS(H2280:$H$2465,C2280:$C$2465,$C2279),B2279="Insumo",F2279*G2279,B2279="Etapa","")</f>
        <v>493.7</v>
      </c>
      <c r="I2279" s="1082"/>
    </row>
    <row r="2280" spans="1:9" hidden="1" outlineLevel="1" collapsed="1" x14ac:dyDescent="0.25">
      <c r="A2280" s="1079">
        <f t="shared" si="87"/>
        <v>1</v>
      </c>
      <c r="B2280" s="1079" t="s">
        <v>471</v>
      </c>
      <c r="C2280" s="1079" t="str">
        <f t="shared" si="86"/>
        <v>Exaustor mecânico</v>
      </c>
      <c r="D2280" s="1103" t="s">
        <v>2318</v>
      </c>
      <c r="E2280" s="1080" t="s">
        <v>491</v>
      </c>
      <c r="F2280" s="1104" t="s">
        <v>482</v>
      </c>
      <c r="G2280" s="1081" t="str">
        <f>IF(B2280="insumo",_xlfn.XLOOKUP($D2280,Insumos!$B$1:$B$670,Insumos!$D$1:$D$670),"")</f>
        <v/>
      </c>
      <c r="H2280" s="1081" cm="1">
        <f t="array" ref="H2280">_xlfn.IFS(B2280="Serviço",SUMIFS(H2281:$H$2465,C2281:$C$2465,$C2280),B2280="Insumo",F2280*G2280,B2280="Etapa","")</f>
        <v>900</v>
      </c>
      <c r="I2280" s="1106" t="s">
        <v>872</v>
      </c>
    </row>
    <row r="2281" spans="1:9" hidden="1" outlineLevel="2" x14ac:dyDescent="0.25">
      <c r="A2281" s="1079">
        <f t="shared" si="87"/>
        <v>1</v>
      </c>
      <c r="B2281" s="1079" t="s">
        <v>1362</v>
      </c>
      <c r="C2281" s="1079" t="str">
        <f t="shared" si="86"/>
        <v>Exaustor mecânico</v>
      </c>
      <c r="D2281" s="1079" t="s">
        <v>2319</v>
      </c>
      <c r="E2281" s="1080" t="str">
        <f>_xlfn.XLOOKUP(D2281,Insumos!$B$1:$B$670,Insumos!$C$1:$C$670)</f>
        <v>UN</v>
      </c>
      <c r="F2281" s="1083">
        <v>1</v>
      </c>
      <c r="G2281" s="1081">
        <f>IF(B2281="insumo",_xlfn.XLOOKUP($D2281,Insumos!$B$1:$B$670,Insumos!$D$1:$D$670),"")</f>
        <v>900</v>
      </c>
      <c r="H2281" s="1081" cm="1">
        <f t="array" ref="H2281">_xlfn.IFS(B2281="Serviço",SUMIFS(H2282:$H$2465,C2282:$C$2465,$C2281),B2281="Insumo",F2281*G2281,B2281="Etapa","")</f>
        <v>900</v>
      </c>
      <c r="I2281" s="1082"/>
    </row>
    <row r="2282" spans="1:9" hidden="1" outlineLevel="1" collapsed="1" x14ac:dyDescent="0.25">
      <c r="A2282" s="1079">
        <f t="shared" si="87"/>
        <v>1</v>
      </c>
      <c r="B2282" s="1079" t="s">
        <v>471</v>
      </c>
      <c r="C2282" s="1079" t="str">
        <f t="shared" si="86"/>
        <v>Barra de apoio PNE</v>
      </c>
      <c r="D2282" s="1103" t="s">
        <v>2320</v>
      </c>
      <c r="E2282" s="1080" t="s">
        <v>491</v>
      </c>
      <c r="F2282" s="1104" t="s">
        <v>482</v>
      </c>
      <c r="G2282" s="1081" t="str">
        <f>IF(B2282="insumo",_xlfn.XLOOKUP($D2282,Insumos!$B$1:$B$670,Insumos!$D$1:$D$670),"")</f>
        <v/>
      </c>
      <c r="H2282" s="1081" cm="1">
        <f t="array" ref="H2282">_xlfn.IFS(B2282="Serviço",SUMIFS(H2283:$H$2465,C2283:$C$2465,$C2282),B2282="Insumo",F2282*G2282,B2282="Etapa","")</f>
        <v>84.8</v>
      </c>
      <c r="I2282" s="1105" t="s">
        <v>872</v>
      </c>
    </row>
    <row r="2283" spans="1:9" hidden="1" outlineLevel="2" x14ac:dyDescent="0.25">
      <c r="A2283" s="1079">
        <f t="shared" si="87"/>
        <v>1</v>
      </c>
      <c r="B2283" s="1079" t="s">
        <v>1362</v>
      </c>
      <c r="C2283" s="1079" t="str">
        <f t="shared" si="86"/>
        <v>Barra de apoio PNE</v>
      </c>
      <c r="D2283" s="1079" t="s">
        <v>2321</v>
      </c>
      <c r="E2283" s="1080" t="str">
        <f>_xlfn.XLOOKUP(D2283,Insumos!$B$1:$B$670,Insumos!$C$1:$C$670)</f>
        <v>UN</v>
      </c>
      <c r="F2283" s="1083">
        <v>1</v>
      </c>
      <c r="G2283" s="1081">
        <f>IF(B2283="insumo",_xlfn.XLOOKUP($D2283,Insumos!$B$1:$B$670,Insumos!$D$1:$D$670),"")</f>
        <v>84.8</v>
      </c>
      <c r="H2283" s="1081" cm="1">
        <f t="array" ref="H2283">_xlfn.IFS(B2283="Serviço",SUMIFS(H2284:$H$2465,C2284:$C$2465,$C2283),B2283="Insumo",F2283*G2283,B2283="Etapa","")</f>
        <v>84.8</v>
      </c>
      <c r="I2283" s="1082"/>
    </row>
    <row r="2284" spans="1:9" hidden="1" outlineLevel="1" collapsed="1" x14ac:dyDescent="0.25">
      <c r="A2284" s="1079">
        <f t="shared" si="87"/>
        <v>1</v>
      </c>
      <c r="B2284" s="1079" t="s">
        <v>471</v>
      </c>
      <c r="C2284" s="1079" t="str">
        <f t="shared" si="86"/>
        <v>Chuveiro Elétrico</v>
      </c>
      <c r="D2284" s="1103" t="s">
        <v>2322</v>
      </c>
      <c r="E2284" s="1080" t="s">
        <v>491</v>
      </c>
      <c r="F2284" s="1104" t="s">
        <v>482</v>
      </c>
      <c r="G2284" s="1081" t="str">
        <f>IF(B2284="insumo",_xlfn.XLOOKUP($D2284,Insumos!$B$1:$B$670,Insumos!$D$1:$D$670),"")</f>
        <v/>
      </c>
      <c r="H2284" s="1081" cm="1">
        <f t="array" ref="H2284">_xlfn.IFS(B2284="Serviço",SUMIFS(H2285:$H$2465,C2285:$C$2465,$C2284),B2284="Insumo",F2284*G2284,B2284="Etapa","")</f>
        <v>660</v>
      </c>
      <c r="I2284" s="1105" t="s">
        <v>872</v>
      </c>
    </row>
    <row r="2285" spans="1:9" hidden="1" outlineLevel="2" x14ac:dyDescent="0.25">
      <c r="A2285" s="1079">
        <f t="shared" si="87"/>
        <v>1</v>
      </c>
      <c r="B2285" s="1079" t="s">
        <v>1362</v>
      </c>
      <c r="C2285" s="1079" t="str">
        <f t="shared" si="86"/>
        <v>Chuveiro Elétrico</v>
      </c>
      <c r="D2285" s="1079" t="s">
        <v>2323</v>
      </c>
      <c r="E2285" s="1080" t="str">
        <f>_xlfn.XLOOKUP(D2285,Insumos!$B$1:$B$670,Insumos!$C$1:$C$670)</f>
        <v>UN</v>
      </c>
      <c r="F2285" s="1083">
        <v>1</v>
      </c>
      <c r="G2285" s="1081">
        <f>IF(B2285="insumo",_xlfn.XLOOKUP($D2285,Insumos!$B$1:$B$670,Insumos!$D$1:$D$670),"")</f>
        <v>660</v>
      </c>
      <c r="H2285" s="1081" cm="1">
        <f t="array" ref="H2285">_xlfn.IFS(B2285="Serviço",SUMIFS(H2286:$H$2465,C2286:$C$2465,$C2285),B2285="Insumo",F2285*G2285,B2285="Etapa","")</f>
        <v>660</v>
      </c>
      <c r="I2285" s="1082"/>
    </row>
    <row r="2286" spans="1:9" hidden="1" outlineLevel="1" collapsed="1" x14ac:dyDescent="0.25">
      <c r="A2286" s="1079">
        <f t="shared" si="87"/>
        <v>1</v>
      </c>
      <c r="B2286" s="1079" t="s">
        <v>471</v>
      </c>
      <c r="C2286" s="1079" t="str">
        <f t="shared" si="86"/>
        <v>Chuveiro Monocromado</v>
      </c>
      <c r="D2286" s="1103" t="s">
        <v>1343</v>
      </c>
      <c r="E2286" s="1080" t="s">
        <v>491</v>
      </c>
      <c r="F2286" s="1104" t="s">
        <v>482</v>
      </c>
      <c r="G2286" s="1081" t="str">
        <f>IF(B2286="insumo",_xlfn.XLOOKUP($D2286,Insumos!$B$1:$B$670,Insumos!$D$1:$D$670),"")</f>
        <v/>
      </c>
      <c r="H2286" s="1081" cm="1">
        <f t="array" ref="H2286">_xlfn.IFS(B2286="Serviço",SUMIFS(H2287:$H$2465,C2287:$C$2465,$C2286),B2286="Insumo",F2286*G2286,B2286="Etapa","")</f>
        <v>970</v>
      </c>
      <c r="I2286" s="1105" t="s">
        <v>872</v>
      </c>
    </row>
    <row r="2287" spans="1:9" hidden="1" outlineLevel="2" x14ac:dyDescent="0.25">
      <c r="A2287" s="1079">
        <f t="shared" si="87"/>
        <v>1</v>
      </c>
      <c r="B2287" s="1079" t="s">
        <v>1362</v>
      </c>
      <c r="C2287" s="1079" t="str">
        <f t="shared" si="86"/>
        <v>Chuveiro Monocromado</v>
      </c>
      <c r="D2287" s="1079" t="s">
        <v>2324</v>
      </c>
      <c r="E2287" s="1080" t="str">
        <f>_xlfn.XLOOKUP(D2287,Insumos!$B$1:$B$670,Insumos!$C$1:$C$670)</f>
        <v>UN</v>
      </c>
      <c r="F2287" s="1083">
        <v>1</v>
      </c>
      <c r="G2287" s="1081">
        <f>IF(B2287="insumo",_xlfn.XLOOKUP($D2287,Insumos!$B$1:$B$670,Insumos!$D$1:$D$670),"")</f>
        <v>970</v>
      </c>
      <c r="H2287" s="1081" cm="1">
        <f t="array" ref="H2287">_xlfn.IFS(B2287="Serviço",SUMIFS(H2288:$H$2465,C2288:$C$2465,$C2287),B2287="Insumo",F2287*G2287,B2287="Etapa","")</f>
        <v>970</v>
      </c>
      <c r="I2287" s="1082"/>
    </row>
    <row r="2288" spans="1:9" hidden="1" outlineLevel="1" collapsed="1" x14ac:dyDescent="0.25">
      <c r="A2288" s="1079">
        <f t="shared" si="87"/>
        <v>1</v>
      </c>
      <c r="B2288" s="1079" t="s">
        <v>471</v>
      </c>
      <c r="C2288" s="1079" t="str">
        <f t="shared" si="86"/>
        <v>Ducha</v>
      </c>
      <c r="D2288" s="1103" t="s">
        <v>2325</v>
      </c>
      <c r="E2288" s="1080" t="s">
        <v>491</v>
      </c>
      <c r="F2288" s="1104" t="s">
        <v>482</v>
      </c>
      <c r="G2288" s="1081" t="str">
        <f>IF(B2288="insumo",_xlfn.XLOOKUP($D2288,Insumos!$B$1:$B$670,Insumos!$D$1:$D$670),"")</f>
        <v/>
      </c>
      <c r="H2288" s="1081" cm="1">
        <f t="array" ref="H2288">_xlfn.IFS(B2288="Serviço",SUMIFS(H2289:$H$2465,C2289:$C$2465,$C2288),B2288="Insumo",F2288*G2288,B2288="Etapa","")</f>
        <v>1196.32</v>
      </c>
      <c r="I2288" s="1105" t="s">
        <v>872</v>
      </c>
    </row>
    <row r="2289" spans="1:9" hidden="1" outlineLevel="2" x14ac:dyDescent="0.25">
      <c r="A2289" s="1079">
        <f t="shared" si="87"/>
        <v>1</v>
      </c>
      <c r="B2289" s="1079" t="s">
        <v>1362</v>
      </c>
      <c r="C2289" s="1079" t="str">
        <f t="shared" ref="C2289:C2299" si="88">IF(B2289="serviço",D2289,C2288)</f>
        <v>Ducha</v>
      </c>
      <c r="D2289" s="1079" t="s">
        <v>2326</v>
      </c>
      <c r="E2289" s="1080" t="str">
        <f>_xlfn.XLOOKUP(D2289,Insumos!$B$1:$B$670,Insumos!$C$1:$C$670)</f>
        <v>UN</v>
      </c>
      <c r="F2289" s="1083">
        <v>1</v>
      </c>
      <c r="G2289" s="1081">
        <f>IF(B2289="insumo",_xlfn.XLOOKUP($D2289,Insumos!$B$1:$B$670,Insumos!$D$1:$D$670),"")</f>
        <v>1196.32</v>
      </c>
      <c r="H2289" s="1081" cm="1">
        <f t="array" ref="H2289">_xlfn.IFS(B2289="Serviço",SUMIFS(H2290:$H$2465,C2290:$C$2465,$C2289),B2289="Insumo",F2289*G2289,B2289="Etapa","")</f>
        <v>1196.32</v>
      </c>
      <c r="I2289" s="1082"/>
    </row>
    <row r="2290" spans="1:9" hidden="1" outlineLevel="1" collapsed="1" x14ac:dyDescent="0.25">
      <c r="A2290" s="1079">
        <f t="shared" si="87"/>
        <v>1</v>
      </c>
      <c r="B2290" s="1079" t="s">
        <v>471</v>
      </c>
      <c r="C2290" s="1079" t="str">
        <f t="shared" si="88"/>
        <v>Acessórios de Banheiro/Lavabo</v>
      </c>
      <c r="D2290" s="1103" t="s">
        <v>2327</v>
      </c>
      <c r="E2290" s="1080" t="s">
        <v>491</v>
      </c>
      <c r="F2290" s="1104" t="s">
        <v>482</v>
      </c>
      <c r="G2290" s="1081" t="str">
        <f>IF(B2290="insumo",_xlfn.XLOOKUP($D2290,Insumos!$B$1:$B$670,Insumos!$D$1:$D$670),"")</f>
        <v/>
      </c>
      <c r="H2290" s="1081" cm="1">
        <f t="array" ref="H2290">_xlfn.IFS(B2290="Serviço",SUMIFS(H2291:$H$2465,C2291:$C$2465,$C2290),B2290="Insumo",F2290*G2290,B2290="Etapa","")</f>
        <v>1183.51</v>
      </c>
      <c r="I2290" s="1105" t="s">
        <v>872</v>
      </c>
    </row>
    <row r="2291" spans="1:9" hidden="1" outlineLevel="2" x14ac:dyDescent="0.25">
      <c r="A2291" s="1079">
        <f t="shared" si="87"/>
        <v>1</v>
      </c>
      <c r="B2291" s="1079" t="s">
        <v>1362</v>
      </c>
      <c r="C2291" s="1079" t="str">
        <f t="shared" si="88"/>
        <v>Acessórios de Banheiro/Lavabo</v>
      </c>
      <c r="D2291" s="1079" t="s">
        <v>2328</v>
      </c>
      <c r="E2291" s="1080" t="str">
        <f>_xlfn.XLOOKUP(D2291,Insumos!$B$1:$B$670,Insumos!$C$1:$C$670)</f>
        <v>UN</v>
      </c>
      <c r="F2291" s="1083">
        <v>1</v>
      </c>
      <c r="G2291" s="1081">
        <f>IF(B2291="insumo",_xlfn.XLOOKUP($D2291,Insumos!$B$1:$B$670,Insumos!$D$1:$D$670),"")</f>
        <v>396.67</v>
      </c>
      <c r="H2291" s="1081" cm="1">
        <f t="array" ref="H2291">_xlfn.IFS(B2291="Serviço",SUMIFS(H2292:$H$2465,C2292:$C$2465,$C2291),B2291="Insumo",F2291*G2291,B2291="Etapa","")</f>
        <v>396.67</v>
      </c>
      <c r="I2291" s="1082"/>
    </row>
    <row r="2292" spans="1:9" hidden="1" outlineLevel="2" x14ac:dyDescent="0.25">
      <c r="A2292" s="1079">
        <f t="shared" si="87"/>
        <v>1</v>
      </c>
      <c r="B2292" s="1079" t="s">
        <v>1362</v>
      </c>
      <c r="C2292" s="1079" t="str">
        <f t="shared" si="88"/>
        <v>Acessórios de Banheiro/Lavabo</v>
      </c>
      <c r="D2292" s="1079" t="s">
        <v>2329</v>
      </c>
      <c r="E2292" s="1080" t="str">
        <f>_xlfn.XLOOKUP(D2292,Insumos!$B$1:$B$670,Insumos!$C$1:$C$670)</f>
        <v>UN</v>
      </c>
      <c r="F2292" s="1083">
        <v>1</v>
      </c>
      <c r="G2292" s="1081">
        <f>IF(B2292="insumo",_xlfn.XLOOKUP($D2292,Insumos!$B$1:$B$670,Insumos!$D$1:$D$670),"")</f>
        <v>293</v>
      </c>
      <c r="H2292" s="1081" cm="1">
        <f t="array" ref="H2292">_xlfn.IFS(B2292="Serviço",SUMIFS(H2293:$H$2465,C2293:$C$2465,$C2292),B2292="Insumo",F2292*G2292,B2292="Etapa","")</f>
        <v>293</v>
      </c>
      <c r="I2292" s="1082"/>
    </row>
    <row r="2293" spans="1:9" hidden="1" outlineLevel="2" x14ac:dyDescent="0.25">
      <c r="A2293" s="1079">
        <f t="shared" si="87"/>
        <v>1</v>
      </c>
      <c r="B2293" s="1079" t="s">
        <v>1362</v>
      </c>
      <c r="C2293" s="1079" t="str">
        <f t="shared" si="88"/>
        <v>Acessórios de Banheiro/Lavabo</v>
      </c>
      <c r="D2293" s="1079" t="s">
        <v>2330</v>
      </c>
      <c r="E2293" s="1080" t="str">
        <f>_xlfn.XLOOKUP(D2293,Insumos!$B$1:$B$670,Insumos!$C$1:$C$670)</f>
        <v>UN</v>
      </c>
      <c r="F2293" s="1083">
        <v>1</v>
      </c>
      <c r="G2293" s="1081">
        <f>IF(B2293="insumo",_xlfn.XLOOKUP($D2293,Insumos!$B$1:$B$670,Insumos!$D$1:$D$670),"")</f>
        <v>493.84</v>
      </c>
      <c r="H2293" s="1081" cm="1">
        <f t="array" ref="H2293">_xlfn.IFS(B2293="Serviço",SUMIFS(H2294:$H$2465,C2294:$C$2465,$C2293),B2293="Insumo",F2293*G2293,B2293="Etapa","")</f>
        <v>493.84</v>
      </c>
      <c r="I2293" s="1082"/>
    </row>
    <row r="2294" spans="1:9" hidden="1" outlineLevel="1" collapsed="1" x14ac:dyDescent="0.25">
      <c r="A2294" s="1079">
        <f t="shared" si="87"/>
        <v>1</v>
      </c>
      <c r="B2294" s="1079" t="s">
        <v>471</v>
      </c>
      <c r="C2294" s="1079" t="str">
        <f t="shared" si="88"/>
        <v>Bancada em Granito para Lavatório</v>
      </c>
      <c r="D2294" s="1103" t="s">
        <v>2331</v>
      </c>
      <c r="E2294" s="1080" t="s">
        <v>17</v>
      </c>
      <c r="F2294" s="1104" t="s">
        <v>482</v>
      </c>
      <c r="G2294" s="1081" t="str">
        <f>IF(B2294="insumo",_xlfn.XLOOKUP($D2294,Insumos!$B$1:$B$670,Insumos!$D$1:$D$670),"")</f>
        <v/>
      </c>
      <c r="H2294" s="1081" cm="1">
        <f t="array" ref="H2294">_xlfn.IFS(B2294="Serviço",SUMIFS(H2295:$H$2465,C2295:$C$2465,$C2294),B2294="Insumo",F2294*G2294,B2294="Etapa","")</f>
        <v>750</v>
      </c>
      <c r="I2294" s="1105" t="s">
        <v>872</v>
      </c>
    </row>
    <row r="2295" spans="1:9" ht="18.75" hidden="1" customHeight="1" outlineLevel="2" x14ac:dyDescent="0.25">
      <c r="A2295" s="1079">
        <f t="shared" si="87"/>
        <v>1</v>
      </c>
      <c r="B2295" s="1079" t="s">
        <v>1362</v>
      </c>
      <c r="C2295" s="1079" t="str">
        <f t="shared" si="88"/>
        <v>Bancada em Granito para Lavatório</v>
      </c>
      <c r="D2295" s="1079" t="s">
        <v>2332</v>
      </c>
      <c r="E2295" s="1080" t="str">
        <f>_xlfn.XLOOKUP(D2295,Insumos!$B$1:$B$670,Insumos!$C$1:$C$670)</f>
        <v>M²</v>
      </c>
      <c r="F2295" s="1083">
        <v>1</v>
      </c>
      <c r="G2295" s="1081">
        <f>IF(B2295="insumo",_xlfn.XLOOKUP($D2295,Insumos!$B$1:$B$670,Insumos!$D$1:$D$670),"")</f>
        <v>750</v>
      </c>
      <c r="H2295" s="1081" cm="1">
        <f t="array" ref="H2295">_xlfn.IFS(B2295="Serviço",SUMIFS(H2296:$H$2465,C2296:$C$2465,$C2295),B2295="Insumo",F2295*G2295,B2295="Etapa","")</f>
        <v>750</v>
      </c>
      <c r="I2295" s="1082"/>
    </row>
    <row r="2296" spans="1:9" hidden="1" outlineLevel="1" collapsed="1" x14ac:dyDescent="0.25">
      <c r="A2296" s="1079">
        <f t="shared" si="87"/>
        <v>1</v>
      </c>
      <c r="B2296" s="1079" t="s">
        <v>471</v>
      </c>
      <c r="C2296" s="1079" t="str">
        <f t="shared" si="88"/>
        <v>Bancada em Granito para Pia Cozinha</v>
      </c>
      <c r="D2296" s="1103" t="s">
        <v>2333</v>
      </c>
      <c r="E2296" s="1080" t="s">
        <v>17</v>
      </c>
      <c r="F2296" s="1104" t="s">
        <v>482</v>
      </c>
      <c r="G2296" s="1081" t="str">
        <f>IF(B2296="insumo",_xlfn.XLOOKUP($D2296,Insumos!$B$1:$B$670,Insumos!$D$1:$D$670),"")</f>
        <v/>
      </c>
      <c r="H2296" s="1081" cm="1">
        <f t="array" ref="H2296">_xlfn.IFS(B2296="Serviço",SUMIFS(H2297:$H$2465,C2297:$C$2465,$C2296),B2296="Insumo",F2296*G2296,B2296="Etapa","")</f>
        <v>750</v>
      </c>
      <c r="I2296" s="1105" t="s">
        <v>872</v>
      </c>
    </row>
    <row r="2297" spans="1:9" hidden="1" outlineLevel="2" x14ac:dyDescent="0.25">
      <c r="A2297" s="1079">
        <f t="shared" si="87"/>
        <v>1</v>
      </c>
      <c r="B2297" s="1079" t="s">
        <v>1362</v>
      </c>
      <c r="C2297" s="1079" t="str">
        <f t="shared" si="88"/>
        <v>Bancada em Granito para Pia Cozinha</v>
      </c>
      <c r="D2297" s="1079" t="s">
        <v>2334</v>
      </c>
      <c r="E2297" s="1080" t="str">
        <f>_xlfn.XLOOKUP(D2297,Insumos!$B$1:$B$670,Insumos!$C$1:$C$670)</f>
        <v>M²</v>
      </c>
      <c r="F2297" s="1083">
        <v>1</v>
      </c>
      <c r="G2297" s="1081">
        <f>IF(B2297="insumo",_xlfn.XLOOKUP($D2297,Insumos!$B$1:$B$670,Insumos!$D$1:$D$670),"")</f>
        <v>750</v>
      </c>
      <c r="H2297" s="1081" cm="1">
        <f t="array" ref="H2297">_xlfn.IFS(B2297="Serviço",SUMIFS(H2298:$H$2465,C2298:$C$2465,$C2297),B2297="Insumo",F2297*G2297,B2297="Etapa","")</f>
        <v>750</v>
      </c>
      <c r="I2297" s="1082"/>
    </row>
    <row r="2298" spans="1:9" hidden="1" outlineLevel="1" collapsed="1" x14ac:dyDescent="0.25">
      <c r="A2298" s="1079">
        <f t="shared" si="87"/>
        <v>1</v>
      </c>
      <c r="B2298" s="1079" t="s">
        <v>471</v>
      </c>
      <c r="C2298" s="1079" t="str">
        <f t="shared" si="88"/>
        <v>Bancada em Granito para Tanques</v>
      </c>
      <c r="D2298" s="1103" t="s">
        <v>2335</v>
      </c>
      <c r="E2298" s="1080" t="s">
        <v>17</v>
      </c>
      <c r="F2298" s="1104" t="s">
        <v>482</v>
      </c>
      <c r="G2298" s="1081" t="str">
        <f>IF(B2298="insumo",_xlfn.XLOOKUP($D2298,Insumos!$B$1:$B$670,Insumos!$D$1:$D$670),"")</f>
        <v/>
      </c>
      <c r="H2298" s="1081" cm="1">
        <f t="array" ref="H2298">_xlfn.IFS(B2298="Serviço",SUMIFS(H2299:$H$2465,C2299:$C$2465,$C2298),B2298="Insumo",F2298*G2298,B2298="Etapa","")</f>
        <v>750</v>
      </c>
      <c r="I2298" s="1105" t="s">
        <v>872</v>
      </c>
    </row>
    <row r="2299" spans="1:9" hidden="1" outlineLevel="2" x14ac:dyDescent="0.25">
      <c r="A2299" s="1079">
        <f t="shared" si="87"/>
        <v>1</v>
      </c>
      <c r="B2299" s="1079" t="s">
        <v>1362</v>
      </c>
      <c r="C2299" s="1079" t="str">
        <f t="shared" si="88"/>
        <v>Bancada em Granito para Tanques</v>
      </c>
      <c r="D2299" s="1079" t="s">
        <v>2336</v>
      </c>
      <c r="E2299" s="1080" t="str">
        <f>_xlfn.XLOOKUP(D2299,Insumos!$B$1:$B$670,Insumos!$C$1:$C$670)</f>
        <v>M²</v>
      </c>
      <c r="F2299" s="1083">
        <v>1</v>
      </c>
      <c r="G2299" s="1081">
        <f>IF(B2299="insumo",_xlfn.XLOOKUP($D2299,Insumos!$B$1:$B$670,Insumos!$D$1:$D$670),"")</f>
        <v>750</v>
      </c>
      <c r="H2299" s="1081" cm="1">
        <f t="array" ref="H2299">_xlfn.IFS(B2299="Serviço",SUMIFS(H2300:$H$2465,C2300:$C$2465,$C2299),B2299="Insumo",F2299*G2299,B2299="Etapa","")</f>
        <v>750</v>
      </c>
      <c r="I2299" s="1082"/>
    </row>
    <row r="2300" spans="1:9" collapsed="1" x14ac:dyDescent="0.25">
      <c r="A2300" s="1076">
        <f t="shared" si="87"/>
        <v>1</v>
      </c>
      <c r="B2300" s="1076" t="s">
        <v>469</v>
      </c>
      <c r="C2300" s="1076"/>
      <c r="D2300" s="1076" t="s">
        <v>92</v>
      </c>
      <c r="E2300" s="1077"/>
      <c r="F2300" s="1078"/>
      <c r="G2300" s="1084" t="str">
        <f>IF(B2300="insumo",_xlfn.XLOOKUP($D2300,Insumos!$B$1:$B$670,Insumos!$D$1:$D$670),"")</f>
        <v/>
      </c>
      <c r="H2300" s="1084" t="str" cm="1">
        <f t="array" ref="H2300">_xlfn.IFS(B2300="Serviço",SUMIFS(H2301:$H$2465,C2301:$C$2465,$C2300),B2300="Insumo",F2300*G2300,B2300="Etapa","")</f>
        <v/>
      </c>
      <c r="I2300" s="1078"/>
    </row>
    <row r="2301" spans="1:9" hidden="1" outlineLevel="1" collapsed="1" x14ac:dyDescent="0.25">
      <c r="A2301" s="1079">
        <f t="shared" si="87"/>
        <v>1</v>
      </c>
      <c r="B2301" s="1079" t="s">
        <v>471</v>
      </c>
      <c r="C2301" s="1079" t="str">
        <f t="shared" ref="C2301:C2364" si="89">IF(B2301="serviço",D2301,C2300)</f>
        <v>Pergolado</v>
      </c>
      <c r="D2301" s="1079" t="s">
        <v>2337</v>
      </c>
      <c r="E2301" s="1080" t="s">
        <v>491</v>
      </c>
      <c r="F2301" s="1079"/>
      <c r="G2301" s="1081" t="str">
        <f>IF(B2301="insumo",_xlfn.XLOOKUP($D2301,Insumos!$B$1:$B$670,Insumos!$D$1:$D$670),"")</f>
        <v/>
      </c>
      <c r="H2301" s="1081" cm="1">
        <f t="array" ref="H2301">_xlfn.IFS(B2301="Serviço",SUMIFS(H2302:$H$2465,C2302:$C$2465,$C2301),B2301="Insumo",F2301*G2301,B2301="Etapa","")</f>
        <v>34721</v>
      </c>
      <c r="I2301" s="1082" t="s">
        <v>872</v>
      </c>
    </row>
    <row r="2302" spans="1:9" hidden="1" outlineLevel="2" x14ac:dyDescent="0.25">
      <c r="A2302" s="1079">
        <f t="shared" si="87"/>
        <v>4</v>
      </c>
      <c r="B2302" s="1079" t="s">
        <v>1362</v>
      </c>
      <c r="C2302" s="1079" t="str">
        <f t="shared" si="89"/>
        <v>Pergolado</v>
      </c>
      <c r="D2302" s="1079" t="s">
        <v>2338</v>
      </c>
      <c r="E2302" s="1080" t="str">
        <f>_xlfn.XLOOKUP(D2302,Insumos!$B$1:$B$670,Insumos!$C$1:$C$670)</f>
        <v>UN</v>
      </c>
      <c r="F2302" s="1083">
        <v>1</v>
      </c>
      <c r="G2302" s="1081">
        <f>IF(B2302="insumo",_xlfn.XLOOKUP($D2302,Insumos!$B$1:$B$670,Insumos!$D$1:$D$670),"")</f>
        <v>30657</v>
      </c>
      <c r="H2302" s="1081" cm="1">
        <f t="array" ref="H2302">_xlfn.IFS(B2302="Serviço",SUMIFS(H2303:$H$2465,C2303:$C$2465,$C2302),B2302="Insumo",F2302*G2302,B2302="Etapa","")</f>
        <v>30657</v>
      </c>
      <c r="I2302" s="1082"/>
    </row>
    <row r="2303" spans="1:9" hidden="1" outlineLevel="2" x14ac:dyDescent="0.25">
      <c r="A2303" s="1079">
        <f t="shared" si="87"/>
        <v>1</v>
      </c>
      <c r="B2303" s="1079" t="s">
        <v>1362</v>
      </c>
      <c r="C2303" s="1079" t="str">
        <f t="shared" si="89"/>
        <v>Pergolado</v>
      </c>
      <c r="D2303" s="1079" t="s">
        <v>2339</v>
      </c>
      <c r="E2303" s="1080" t="str">
        <f>_xlfn.XLOOKUP(D2303,Insumos!$B$1:$B$670,Insumos!$C$1:$C$670)</f>
        <v>UN</v>
      </c>
      <c r="F2303" s="1083">
        <v>1</v>
      </c>
      <c r="G2303" s="1081">
        <f>IF(B2303="insumo",_xlfn.XLOOKUP($D2303,Insumos!$B$1:$B$670,Insumos!$D$1:$D$670),"")</f>
        <v>3300</v>
      </c>
      <c r="H2303" s="1081" cm="1">
        <f t="array" ref="H2303">_xlfn.IFS(B2303="Serviço",SUMIFS(H2304:$H$2465,C2304:$C$2465,$C2303),B2303="Insumo",F2303*G2303,B2303="Etapa","")</f>
        <v>3300</v>
      </c>
      <c r="I2303" s="1082"/>
    </row>
    <row r="2304" spans="1:9" hidden="1" outlineLevel="2" x14ac:dyDescent="0.25">
      <c r="A2304" s="1079">
        <f t="shared" si="87"/>
        <v>1</v>
      </c>
      <c r="B2304" s="1079" t="s">
        <v>1362</v>
      </c>
      <c r="C2304" s="1079" t="str">
        <f t="shared" si="89"/>
        <v>Pergolado</v>
      </c>
      <c r="D2304" s="1079" t="s">
        <v>2340</v>
      </c>
      <c r="E2304" s="1080" t="str">
        <f>_xlfn.XLOOKUP(D2304,Insumos!$B$1:$B$670,Insumos!$C$1:$C$670)</f>
        <v>UN</v>
      </c>
      <c r="F2304" s="1083">
        <v>2</v>
      </c>
      <c r="G2304" s="1081">
        <f>IF(B2304="insumo",_xlfn.XLOOKUP($D2304,Insumos!$B$1:$B$670,Insumos!$D$1:$D$670),"")</f>
        <v>382</v>
      </c>
      <c r="H2304" s="1081" cm="1">
        <f t="array" ref="H2304">_xlfn.IFS(B2304="Serviço",SUMIFS(H2305:$H$2465,C2305:$C$2465,$C2304),B2304="Insumo",F2304*G2304,B2304="Etapa","")</f>
        <v>764</v>
      </c>
      <c r="I2304" s="1082"/>
    </row>
    <row r="2305" spans="1:9" hidden="1" outlineLevel="1" collapsed="1" x14ac:dyDescent="0.25">
      <c r="A2305" s="1079">
        <f t="shared" si="87"/>
        <v>1</v>
      </c>
      <c r="B2305" s="1079" t="s">
        <v>471</v>
      </c>
      <c r="C2305" s="1079" t="str">
        <f t="shared" si="89"/>
        <v>Estrutura Metálica para Portico com abamento em ACM- Material e mão de obra</v>
      </c>
      <c r="D2305" s="1079" t="s">
        <v>2341</v>
      </c>
      <c r="E2305" s="1080" t="s">
        <v>281</v>
      </c>
      <c r="F2305" s="1079"/>
      <c r="G2305" s="1081" t="str">
        <f>IF(B2305="insumo",_xlfn.XLOOKUP($D2305,Insumos!$B$1:$B$670,Insumos!$D$1:$D$670),"")</f>
        <v/>
      </c>
      <c r="H2305" s="1081" cm="1">
        <f t="array" ref="H2305">_xlfn.IFS(B2305="Serviço",SUMIFS(H2306:$H$2465,C2306:$C$2465,$C2305),B2305="Insumo",F2305*G2305,B2305="Etapa","")</f>
        <v>1744</v>
      </c>
      <c r="I2305" s="1082" t="s">
        <v>872</v>
      </c>
    </row>
    <row r="2306" spans="1:9" hidden="1" outlineLevel="2" x14ac:dyDescent="0.25">
      <c r="A2306" s="1079">
        <f t="shared" ref="A2306:A2369" si="90">COUNTIFS($D$2:$D$2465,D2306,$B$2:$B$2465,B2306)</f>
        <v>1</v>
      </c>
      <c r="B2306" s="1079" t="s">
        <v>1362</v>
      </c>
      <c r="C2306" s="1079" t="str">
        <f t="shared" si="89"/>
        <v>Estrutura Metálica para Portico com abamento em ACM- Material e mão de obra</v>
      </c>
      <c r="D2306" s="1079" t="s">
        <v>2342</v>
      </c>
      <c r="E2306" s="1080" t="str">
        <f>_xlfn.XLOOKUP(D2306,Insumos!$B$1:$B$670,Insumos!$C$1:$C$670)</f>
        <v>M2</v>
      </c>
      <c r="F2306" s="1083">
        <v>1</v>
      </c>
      <c r="G2306" s="1081">
        <f>IF(B2306="insumo",_xlfn.XLOOKUP($D2306,Insumos!$B$1:$B$670,Insumos!$D$1:$D$670),"")</f>
        <v>880</v>
      </c>
      <c r="H2306" s="1081" cm="1">
        <f t="array" ref="H2306">_xlfn.IFS(B2306="Serviço",SUMIFS(H2307:$H$2465,C2307:$C$2465,$C2306),B2306="Insumo",F2306*G2306,B2306="Etapa","")</f>
        <v>880</v>
      </c>
      <c r="I2306" s="1082"/>
    </row>
    <row r="2307" spans="1:9" hidden="1" outlineLevel="2" x14ac:dyDescent="0.25">
      <c r="A2307" s="1079">
        <f t="shared" si="90"/>
        <v>4</v>
      </c>
      <c r="B2307" s="1079" t="s">
        <v>1362</v>
      </c>
      <c r="C2307" s="1079" t="str">
        <f t="shared" si="89"/>
        <v>Estrutura Metálica para Portico com abamento em ACM- Material e mão de obra</v>
      </c>
      <c r="D2307" s="1079" t="s">
        <v>2249</v>
      </c>
      <c r="E2307" s="1080" t="str">
        <f>_xlfn.XLOOKUP(D2307,Insumos!$B$1:$B$670,Insumos!$C$1:$C$670)</f>
        <v>M2</v>
      </c>
      <c r="F2307" s="1083">
        <f>0.6*2</f>
        <v>1.2</v>
      </c>
      <c r="G2307" s="1081">
        <f>IF(B2307="insumo",_xlfn.XLOOKUP($D2307,Insumos!$B$1:$B$670,Insumos!$D$1:$D$670),"")</f>
        <v>720</v>
      </c>
      <c r="H2307" s="1081" cm="1">
        <f t="array" ref="H2307">_xlfn.IFS(B2307="Serviço",SUMIFS(H2308:$H$2465,C2308:$C$2465,$C2307),B2307="Insumo",F2307*G2307,B2307="Etapa","")</f>
        <v>864</v>
      </c>
      <c r="I2307" s="1082"/>
    </row>
    <row r="2308" spans="1:9" hidden="1" outlineLevel="1" collapsed="1" x14ac:dyDescent="0.25">
      <c r="A2308" s="1079">
        <f t="shared" si="90"/>
        <v>1</v>
      </c>
      <c r="B2308" s="1079" t="s">
        <v>471</v>
      </c>
      <c r="C2308" s="1079" t="str">
        <f t="shared" si="89"/>
        <v xml:space="preserve">Claraboia em vidro laminado </v>
      </c>
      <c r="D2308" s="1079" t="s">
        <v>2343</v>
      </c>
      <c r="E2308" s="1080" t="s">
        <v>17</v>
      </c>
      <c r="F2308" s="1079"/>
      <c r="G2308" s="1081" t="str">
        <f>IF(B2308="insumo",_xlfn.XLOOKUP($D2308,Insumos!$B$1:$B$670,Insumos!$D$1:$D$670),"")</f>
        <v/>
      </c>
      <c r="H2308" s="1081" cm="1">
        <f t="array" ref="H2308">_xlfn.IFS(B2308="Serviço",SUMIFS(H2309:$H$2465,C2309:$C$2465,$C2308),B2308="Insumo",F2308*G2308,B2308="Etapa","")</f>
        <v>1014</v>
      </c>
      <c r="I2308" s="1082" t="s">
        <v>872</v>
      </c>
    </row>
    <row r="2309" spans="1:9" hidden="1" outlineLevel="2" x14ac:dyDescent="0.25">
      <c r="A2309" s="1079">
        <f t="shared" si="90"/>
        <v>1</v>
      </c>
      <c r="B2309" s="1079" t="s">
        <v>1362</v>
      </c>
      <c r="C2309" s="1079" t="str">
        <f t="shared" si="89"/>
        <v xml:space="preserve">Claraboia em vidro laminado </v>
      </c>
      <c r="D2309" s="1079" t="s">
        <v>2343</v>
      </c>
      <c r="E2309" s="1080" t="str">
        <f>_xlfn.XLOOKUP(D2309,Insumos!$B$1:$B$670,Insumos!$C$1:$C$670)</f>
        <v>M2</v>
      </c>
      <c r="F2309" s="1083">
        <v>1</v>
      </c>
      <c r="G2309" s="1081">
        <f>IF(B2309="insumo",_xlfn.XLOOKUP($D2309,Insumos!$B$1:$B$670,Insumos!$D$1:$D$670),"")</f>
        <v>1014</v>
      </c>
      <c r="H2309" s="1081" cm="1">
        <f t="array" ref="H2309">_xlfn.IFS(B2309="Serviço",SUMIFS(H2310:$H$2465,C2310:$C$2465,$C2309),B2309="Insumo",F2309*G2309,B2309="Etapa","")</f>
        <v>1014</v>
      </c>
      <c r="I2309" s="1082"/>
    </row>
    <row r="2310" spans="1:9" hidden="1" outlineLevel="1" collapsed="1" x14ac:dyDescent="0.25">
      <c r="A2310" s="1079">
        <f t="shared" si="90"/>
        <v>1</v>
      </c>
      <c r="B2310" s="1079" t="s">
        <v>471</v>
      </c>
      <c r="C2310" s="1079" t="str">
        <f t="shared" si="89"/>
        <v>Estrutura para cobertura em concreto</v>
      </c>
      <c r="D2310" s="1079" t="s">
        <v>2344</v>
      </c>
      <c r="E2310" s="1080" t="s">
        <v>17</v>
      </c>
      <c r="F2310" s="1079"/>
      <c r="G2310" s="1081" t="str">
        <f>IF(B2310="insumo",_xlfn.XLOOKUP($D2310,Insumos!$B$1:$B$670,Insumos!$D$1:$D$670),"")</f>
        <v/>
      </c>
      <c r="H2310" s="1081" cm="1">
        <f t="array" ref="H2310">_xlfn.IFS(B2310="Serviço",SUMIFS(H2311:$H$2465,C2311:$C$2465,$C2310),B2310="Insumo",F2310*G2310,B2310="Etapa","")</f>
        <v>88.714500000000001</v>
      </c>
      <c r="I2310" s="1082" t="s">
        <v>872</v>
      </c>
    </row>
    <row r="2311" spans="1:9" hidden="1" outlineLevel="2" x14ac:dyDescent="0.25">
      <c r="A2311" s="1079">
        <f t="shared" si="90"/>
        <v>6</v>
      </c>
      <c r="B2311" s="1079" t="s">
        <v>1362</v>
      </c>
      <c r="C2311" s="1079" t="str">
        <f t="shared" si="89"/>
        <v>Estrutura para cobertura em concreto</v>
      </c>
      <c r="D2311" s="1079" t="s">
        <v>1516</v>
      </c>
      <c r="E2311" s="1080" t="str">
        <f>_xlfn.XLOOKUP(D2311,Insumos!$B$1:$B$670,Insumos!$C$1:$C$670)</f>
        <v>M3</v>
      </c>
      <c r="F2311" s="1083">
        <f>0.0243*3/2</f>
        <v>3.6449999999999996E-2</v>
      </c>
      <c r="G2311" s="1081">
        <f>IF(B2311="insumo",_xlfn.XLOOKUP($D2311,Insumos!$B$1:$B$670,Insumos!$D$1:$D$670),"")</f>
        <v>510</v>
      </c>
      <c r="H2311" s="1081" cm="1">
        <f t="array" ref="H2311">_xlfn.IFS(B2311="Serviço",SUMIFS(H2312:$H$2465,C2312:$C$2465,$C2311),B2311="Insumo",F2311*G2311,B2311="Etapa","")</f>
        <v>18.589499999999997</v>
      </c>
      <c r="I2311" s="1082"/>
    </row>
    <row r="2312" spans="1:9" hidden="1" outlineLevel="2" x14ac:dyDescent="0.25">
      <c r="A2312" s="1079">
        <f t="shared" si="90"/>
        <v>4</v>
      </c>
      <c r="B2312" s="1079" t="s">
        <v>1362</v>
      </c>
      <c r="C2312" s="1079" t="str">
        <f t="shared" si="89"/>
        <v>Estrutura para cobertura em concreto</v>
      </c>
      <c r="D2312" s="1079" t="s">
        <v>1901</v>
      </c>
      <c r="E2312" s="1080" t="str">
        <f>_xlfn.XLOOKUP(D2312,Insumos!$B$1:$B$670,Insumos!$C$1:$C$670)</f>
        <v>KG</v>
      </c>
      <c r="F2312" s="1083">
        <f>5*3/2</f>
        <v>7.5</v>
      </c>
      <c r="G2312" s="1081">
        <f>IF(B2312="insumo",_xlfn.XLOOKUP($D2312,Insumos!$B$1:$B$670,Insumos!$D$1:$D$670),"")</f>
        <v>9.35</v>
      </c>
      <c r="H2312" s="1081" cm="1">
        <f t="array" ref="H2312">_xlfn.IFS(B2312="Serviço",SUMIFS(H2313:$H$2465,C2313:$C$2465,$C2312),B2312="Insumo",F2312*G2312,B2312="Etapa","")</f>
        <v>70.125</v>
      </c>
      <c r="I2312" s="1082"/>
    </row>
    <row r="2313" spans="1:9" hidden="1" outlineLevel="1" x14ac:dyDescent="0.25">
      <c r="A2313" s="1079">
        <f t="shared" si="90"/>
        <v>1</v>
      </c>
      <c r="B2313" s="1079" t="s">
        <v>471</v>
      </c>
      <c r="C2313" s="1079" t="str">
        <f t="shared" si="89"/>
        <v>Estrutura e trama para cobertura em madeira</v>
      </c>
      <c r="D2313" s="1079" t="s">
        <v>2345</v>
      </c>
      <c r="E2313" s="1080" t="s">
        <v>17</v>
      </c>
      <c r="F2313" s="1079"/>
      <c r="G2313" s="1081" t="str">
        <f>IF(B2313="insumo",_xlfn.XLOOKUP($D2313,Insumos!$B$1:$B$670,Insumos!$D$1:$D$670),"")</f>
        <v/>
      </c>
      <c r="H2313" s="1081" cm="1">
        <f t="array" ref="H2313">_xlfn.IFS(B2313="Serviço",SUMIFS(H2314:$H$2465,C2314:$C$2465,$C2313),B2313="Insumo",F2313*G2313,B2313="Etapa","")</f>
        <v>119.77</v>
      </c>
      <c r="I2313" s="1082" t="s">
        <v>872</v>
      </c>
    </row>
    <row r="2314" spans="1:9" hidden="1" outlineLevel="2" x14ac:dyDescent="0.25">
      <c r="A2314" s="1079">
        <f t="shared" si="90"/>
        <v>1</v>
      </c>
      <c r="B2314" s="1079" t="s">
        <v>1362</v>
      </c>
      <c r="C2314" s="1079" t="str">
        <f t="shared" si="89"/>
        <v>Estrutura e trama para cobertura em madeira</v>
      </c>
      <c r="D2314" s="757" t="s">
        <v>2345</v>
      </c>
      <c r="E2314" s="1080" t="str">
        <f>_xlfn.XLOOKUP(D2314,Insumos!$B$1:$B$670,Insumos!$C$1:$C$670)</f>
        <v>M2</v>
      </c>
      <c r="F2314" s="1083">
        <v>1</v>
      </c>
      <c r="G2314" s="1081">
        <f>IF(B2314="insumo",_xlfn.XLOOKUP($D2314,Insumos!$B$1:$B$670,Insumos!$D$1:$D$670),"")</f>
        <v>119.77</v>
      </c>
      <c r="H2314" s="1081" cm="1">
        <f t="array" ref="H2314">_xlfn.IFS(B2314="Serviço",SUMIFS(H2315:$H$2465,C2315:$C$2465,$C2314),B2314="Insumo",F2314*G2314,B2314="Etapa","")</f>
        <v>119.77</v>
      </c>
      <c r="I2314" s="1082"/>
    </row>
    <row r="2315" spans="1:9" hidden="1" outlineLevel="1" x14ac:dyDescent="0.25">
      <c r="A2315" s="1079">
        <f t="shared" si="90"/>
        <v>1</v>
      </c>
      <c r="B2315" s="1079" t="s">
        <v>471</v>
      </c>
      <c r="C2315" s="1079" t="str">
        <f t="shared" si="89"/>
        <v>Telhamento para cobertura em Fribrocimento</v>
      </c>
      <c r="D2315" s="1079" t="s">
        <v>2346</v>
      </c>
      <c r="E2315" s="1080" t="s">
        <v>1426</v>
      </c>
      <c r="F2315" s="1079"/>
      <c r="G2315" s="1081" t="str">
        <f>IF(B2315="insumo",_xlfn.XLOOKUP($D2315,Insumos!$B$1:$B$670,Insumos!$D$1:$D$670),"")</f>
        <v/>
      </c>
      <c r="H2315" s="1081" cm="1">
        <f t="array" ref="H2315">_xlfn.IFS(B2315="Serviço",SUMIFS(H2316:$H$2465,C2316:$C$2465,$C2315),B2315="Insumo",F2315*G2315,B2315="Etapa","")</f>
        <v>94.997449999999986</v>
      </c>
      <c r="I2315" s="1082" t="s">
        <v>872</v>
      </c>
    </row>
    <row r="2316" spans="1:9" hidden="1" outlineLevel="2" x14ac:dyDescent="0.25">
      <c r="A2316" s="1079">
        <f t="shared" si="90"/>
        <v>2</v>
      </c>
      <c r="B2316" s="1079" t="s">
        <v>1362</v>
      </c>
      <c r="C2316" s="1079" t="str">
        <f t="shared" si="89"/>
        <v>Telhamento para cobertura em Fribrocimento</v>
      </c>
      <c r="D2316" s="1079" t="s">
        <v>2347</v>
      </c>
      <c r="E2316" s="1080" t="str">
        <f>_xlfn.XLOOKUP(D2316,Insumos!$B$1:$B$670,Insumos!$C$1:$C$670)</f>
        <v>CJ</v>
      </c>
      <c r="F2316" s="1083">
        <v>1.26</v>
      </c>
      <c r="G2316" s="1081">
        <f>IF(B2316="insumo",_xlfn.XLOOKUP($D2316,Insumos!$B$1:$B$670,Insumos!$D$1:$D$670),"")</f>
        <v>0.26</v>
      </c>
      <c r="H2316" s="1081" cm="1">
        <f t="array" ref="H2316">_xlfn.IFS(B2316="Serviço",SUMIFS(H2317:$H$2465,C2317:$C$2465,$C2316),B2316="Insumo",F2316*G2316,B2316="Etapa","")</f>
        <v>0.3276</v>
      </c>
      <c r="I2316" s="1082"/>
    </row>
    <row r="2317" spans="1:9" hidden="1" outlineLevel="2" x14ac:dyDescent="0.25">
      <c r="A2317" s="1079">
        <f t="shared" si="90"/>
        <v>2</v>
      </c>
      <c r="B2317" s="1079" t="s">
        <v>1362</v>
      </c>
      <c r="C2317" s="1079" t="str">
        <f t="shared" si="89"/>
        <v>Telhamento para cobertura em Fribrocimento</v>
      </c>
      <c r="D2317" s="1079" t="s">
        <v>2348</v>
      </c>
      <c r="E2317" s="1080" t="str">
        <f>_xlfn.XLOOKUP(D2317,Insumos!$B$1:$B$670,Insumos!$C$1:$C$670)</f>
        <v>UN</v>
      </c>
      <c r="F2317" s="1083">
        <v>1.26</v>
      </c>
      <c r="G2317" s="1081">
        <f>IF(B2317="insumo",_xlfn.XLOOKUP($D2317,Insumos!$B$1:$B$670,Insumos!$D$1:$D$670),"")</f>
        <v>4</v>
      </c>
      <c r="H2317" s="1081" cm="1">
        <f t="array" ref="H2317">_xlfn.IFS(B2317="Serviço",SUMIFS(H2318:$H$2465,C2318:$C$2465,$C2317),B2317="Insumo",F2317*G2317,B2317="Etapa","")</f>
        <v>5.04</v>
      </c>
      <c r="I2317" s="1082"/>
    </row>
    <row r="2318" spans="1:9" hidden="1" outlineLevel="2" x14ac:dyDescent="0.25">
      <c r="A2318" s="1079">
        <f t="shared" si="90"/>
        <v>1</v>
      </c>
      <c r="B2318" s="1079" t="s">
        <v>1362</v>
      </c>
      <c r="C2318" s="1079" t="str">
        <f t="shared" si="89"/>
        <v>Telhamento para cobertura em Fribrocimento</v>
      </c>
      <c r="D2318" s="1079" t="s">
        <v>2349</v>
      </c>
      <c r="E2318" s="1080" t="str">
        <f>_xlfn.XLOOKUP(D2318,Insumos!$B$1:$B$670,Insumos!$C$1:$C$670)</f>
        <v>M2</v>
      </c>
      <c r="F2318" s="1083">
        <v>1.357</v>
      </c>
      <c r="G2318" s="1081">
        <f>IF(B2318="insumo",_xlfn.XLOOKUP($D2318,Insumos!$B$1:$B$670,Insumos!$D$1:$D$670),"")</f>
        <v>66.05</v>
      </c>
      <c r="H2318" s="1081" cm="1">
        <f t="array" ref="H2318">_xlfn.IFS(B2318="Serviço",SUMIFS(H2319:$H$2465,C2319:$C$2465,$C2318),B2318="Insumo",F2318*G2318,B2318="Etapa","")</f>
        <v>89.62984999999999</v>
      </c>
      <c r="I2318" s="1082"/>
    </row>
    <row r="2319" spans="1:9" hidden="1" outlineLevel="1" collapsed="1" x14ac:dyDescent="0.25">
      <c r="A2319" s="1079">
        <f t="shared" si="90"/>
        <v>1</v>
      </c>
      <c r="B2319" s="1079" t="s">
        <v>471</v>
      </c>
      <c r="C2319" s="1079" t="str">
        <f t="shared" si="89"/>
        <v>Telhamento para cobertura em Telha metálica termoacústica</v>
      </c>
      <c r="D2319" s="1079" t="s">
        <v>2350</v>
      </c>
      <c r="E2319" s="1080" t="s">
        <v>1426</v>
      </c>
      <c r="F2319" s="1079"/>
      <c r="G2319" s="1081" t="str">
        <f>IF(B2319="insumo",_xlfn.XLOOKUP($D2319,Insumos!$B$1:$B$670,Insumos!$D$1:$D$670),"")</f>
        <v/>
      </c>
      <c r="H2319" s="1081" cm="1">
        <f t="array" ref="H2319">_xlfn.IFS(B2319="Serviço",SUMIFS(H2320:$H$2465,C2320:$C$2465,$C2319),B2319="Insumo",F2319*G2319,B2319="Etapa","")</f>
        <v>274.31142999999997</v>
      </c>
      <c r="I2319" s="1082" t="s">
        <v>872</v>
      </c>
    </row>
    <row r="2320" spans="1:9" hidden="1" outlineLevel="2" x14ac:dyDescent="0.25">
      <c r="A2320" s="1079">
        <f t="shared" si="90"/>
        <v>2</v>
      </c>
      <c r="B2320" s="1079" t="s">
        <v>1362</v>
      </c>
      <c r="C2320" s="1079" t="str">
        <f t="shared" si="89"/>
        <v>Telhamento para cobertura em Telha metálica termoacústica</v>
      </c>
      <c r="D2320" s="1079" t="s">
        <v>2347</v>
      </c>
      <c r="E2320" s="1080" t="str">
        <f>_xlfn.XLOOKUP(D2320,Insumos!$B$1:$B$670,Insumos!$C$1:$C$670)</f>
        <v>CJ</v>
      </c>
      <c r="F2320" s="1083">
        <v>1.26</v>
      </c>
      <c r="G2320" s="1081">
        <f>IF(B2320="insumo",_xlfn.XLOOKUP($D2320,Insumos!$B$1:$B$670,Insumos!$D$1:$D$670),"")</f>
        <v>0.26</v>
      </c>
      <c r="H2320" s="1081" cm="1">
        <f t="array" ref="H2320">_xlfn.IFS(B2320="Serviço",SUMIFS(H2321:$H$2465,C2321:$C$2465,$C2320),B2320="Insumo",F2320*G2320,B2320="Etapa","")</f>
        <v>0.3276</v>
      </c>
      <c r="I2320" s="1082"/>
    </row>
    <row r="2321" spans="1:9" hidden="1" outlineLevel="2" x14ac:dyDescent="0.25">
      <c r="A2321" s="1079">
        <f t="shared" si="90"/>
        <v>2</v>
      </c>
      <c r="B2321" s="1079" t="s">
        <v>1362</v>
      </c>
      <c r="C2321" s="1079" t="str">
        <f t="shared" si="89"/>
        <v>Telhamento para cobertura em Telha metálica termoacústica</v>
      </c>
      <c r="D2321" s="1079" t="s">
        <v>2348</v>
      </c>
      <c r="E2321" s="1080" t="str">
        <f>_xlfn.XLOOKUP(D2321,Insumos!$B$1:$B$670,Insumos!$C$1:$C$670)</f>
        <v>UN</v>
      </c>
      <c r="F2321" s="1083">
        <v>1.26</v>
      </c>
      <c r="G2321" s="1081">
        <f>IF(B2321="insumo",_xlfn.XLOOKUP($D2321,Insumos!$B$1:$B$670,Insumos!$D$1:$D$670),"")</f>
        <v>4</v>
      </c>
      <c r="H2321" s="1081" cm="1">
        <f t="array" ref="H2321">_xlfn.IFS(B2321="Serviço",SUMIFS(H2322:$H$2465,C2322:$C$2465,$C2321),B2321="Insumo",F2321*G2321,B2321="Etapa","")</f>
        <v>5.04</v>
      </c>
      <c r="I2321" s="1082"/>
    </row>
    <row r="2322" spans="1:9" hidden="1" outlineLevel="2" x14ac:dyDescent="0.25">
      <c r="A2322" s="1079">
        <f t="shared" si="90"/>
        <v>1</v>
      </c>
      <c r="B2322" s="1079" t="s">
        <v>1362</v>
      </c>
      <c r="C2322" s="1079" t="str">
        <f t="shared" si="89"/>
        <v>Telhamento para cobertura em Telha metálica termoacústica</v>
      </c>
      <c r="D2322" s="1079" t="s">
        <v>2351</v>
      </c>
      <c r="E2322" s="1080" t="str">
        <f>_xlfn.XLOOKUP(D2322,Insumos!$B$1:$B$670,Insumos!$C$1:$C$670)</f>
        <v>M2</v>
      </c>
      <c r="F2322" s="1083">
        <v>1.357</v>
      </c>
      <c r="G2322" s="1081">
        <f>IF(B2322="insumo",_xlfn.XLOOKUP($D2322,Insumos!$B$1:$B$670,Insumos!$D$1:$D$670),"")</f>
        <v>198.19</v>
      </c>
      <c r="H2322" s="1081" cm="1">
        <f t="array" ref="H2322">_xlfn.IFS(B2322="Serviço",SUMIFS(H2323:$H$2465,C2323:$C$2465,$C2322),B2322="Insumo",F2322*G2322,B2322="Etapa","")</f>
        <v>268.94382999999999</v>
      </c>
      <c r="I2322" s="1082"/>
    </row>
    <row r="2323" spans="1:9" hidden="1" outlineLevel="1" collapsed="1" x14ac:dyDescent="0.25">
      <c r="A2323" s="1079">
        <f t="shared" si="90"/>
        <v>1</v>
      </c>
      <c r="B2323" s="1079" t="s">
        <v>471</v>
      </c>
      <c r="C2323" s="1079" t="str">
        <f t="shared" si="89"/>
        <v>Calha em alumínio - 13 cm</v>
      </c>
      <c r="D2323" s="1079" t="s">
        <v>2352</v>
      </c>
      <c r="E2323" s="1080" t="s">
        <v>281</v>
      </c>
      <c r="F2323" s="1079"/>
      <c r="G2323" s="1081" t="str">
        <f>IF(B2323="insumo",_xlfn.XLOOKUP($D2323,Insumos!$B$1:$B$670,Insumos!$D$1:$D$670),"")</f>
        <v/>
      </c>
      <c r="H2323" s="1081" cm="1">
        <f t="array" ref="H2323">_xlfn.IFS(B2323="Serviço",SUMIFS(H2324:$H$2465,C2324:$C$2465,$C2323),B2323="Insumo",F2323*G2323,B2323="Etapa","")</f>
        <v>54.848489000000001</v>
      </c>
      <c r="I2323" s="1082" t="s">
        <v>872</v>
      </c>
    </row>
    <row r="2324" spans="1:9" hidden="1" outlineLevel="2" x14ac:dyDescent="0.25">
      <c r="A2324" s="1079">
        <f t="shared" si="90"/>
        <v>1</v>
      </c>
      <c r="B2324" s="1079" t="s">
        <v>1362</v>
      </c>
      <c r="C2324" s="1079" t="str">
        <f t="shared" si="89"/>
        <v>Calha em alumínio - 13 cm</v>
      </c>
      <c r="D2324" s="1079" t="s">
        <v>2353</v>
      </c>
      <c r="E2324" s="1080" t="str">
        <f>_xlfn.XLOOKUP(D2324,Insumos!$B$1:$B$670,Insumos!$C$1:$C$670)</f>
        <v>M</v>
      </c>
      <c r="F2324" s="1083">
        <v>1.05</v>
      </c>
      <c r="G2324" s="1081">
        <f>IF(B2324="insumo",_xlfn.XLOOKUP($D2324,Insumos!$B$1:$B$670,Insumos!$D$1:$D$670),"")</f>
        <v>18.7148</v>
      </c>
      <c r="H2324" s="1081" cm="1">
        <f t="array" ref="H2324">_xlfn.IFS(B2324="Serviço",SUMIFS(H2325:$H$2465,C2325:$C$2465,$C2324),B2324="Insumo",F2324*G2324,B2324="Etapa","")</f>
        <v>19.650539999999999</v>
      </c>
      <c r="I2324" s="1082"/>
    </row>
    <row r="2325" spans="1:9" hidden="1" outlineLevel="2" x14ac:dyDescent="0.25">
      <c r="A2325" s="1079">
        <f t="shared" si="90"/>
        <v>7</v>
      </c>
      <c r="B2325" s="1079" t="s">
        <v>1362</v>
      </c>
      <c r="C2325" s="1079" t="str">
        <f t="shared" si="89"/>
        <v>Calha em alumínio - 13 cm</v>
      </c>
      <c r="D2325" s="1079" t="s">
        <v>1409</v>
      </c>
      <c r="E2325" s="1080" t="str">
        <f>_xlfn.XLOOKUP(D2325,Insumos!$B$1:$B$670,Insumos!$C$1:$C$670)</f>
        <v>KG</v>
      </c>
      <c r="F2325" s="1083">
        <v>2.5000000000000001E-2</v>
      </c>
      <c r="G2325" s="1081">
        <f>IF(B2325="insumo",_xlfn.XLOOKUP($D2325,Insumos!$B$1:$B$670,Insumos!$D$1:$D$670),"")</f>
        <v>15.65</v>
      </c>
      <c r="H2325" s="1081" cm="1">
        <f t="array" ref="H2325">_xlfn.IFS(B2325="Serviço",SUMIFS(H2326:$H$2465,C2326:$C$2465,$C2325),B2325="Insumo",F2325*G2325,B2325="Etapa","")</f>
        <v>0.39125000000000004</v>
      </c>
      <c r="I2325" s="1082"/>
    </row>
    <row r="2326" spans="1:9" hidden="1" outlineLevel="2" x14ac:dyDescent="0.25">
      <c r="A2326" s="1079">
        <f t="shared" si="90"/>
        <v>7</v>
      </c>
      <c r="B2326" s="1079" t="s">
        <v>1362</v>
      </c>
      <c r="C2326" s="1079" t="str">
        <f t="shared" si="89"/>
        <v>Calha em alumínio - 13 cm</v>
      </c>
      <c r="D2326" s="1079" t="s">
        <v>2354</v>
      </c>
      <c r="E2326" s="1080" t="str">
        <f>_xlfn.XLOOKUP(D2326,Insumos!$B$1:$B$670,Insumos!$C$1:$C$670)</f>
        <v>KG</v>
      </c>
      <c r="F2326" s="1083">
        <v>4.8999999999999998E-3</v>
      </c>
      <c r="G2326" s="1081">
        <f>IF(B2326="insumo",_xlfn.XLOOKUP($D2326,Insumos!$B$1:$B$670,Insumos!$D$1:$D$670),"")</f>
        <v>71.510000000000005</v>
      </c>
      <c r="H2326" s="1081" cm="1">
        <f t="array" ref="H2326">_xlfn.IFS(B2326="Serviço",SUMIFS(H2327:$H$2465,C2327:$C$2465,$C2326),B2326="Insumo",F2326*G2326,B2326="Etapa","")</f>
        <v>0.35039900000000002</v>
      </c>
      <c r="I2326" s="1082"/>
    </row>
    <row r="2327" spans="1:9" hidden="1" outlineLevel="2" x14ac:dyDescent="0.25">
      <c r="A2327" s="1079">
        <f t="shared" si="90"/>
        <v>8</v>
      </c>
      <c r="B2327" s="1079" t="s">
        <v>1362</v>
      </c>
      <c r="C2327" s="1079" t="str">
        <f t="shared" si="89"/>
        <v>Calha em alumínio - 13 cm</v>
      </c>
      <c r="D2327" s="1079" t="s">
        <v>2156</v>
      </c>
      <c r="E2327" s="1080" t="str">
        <f>_xlfn.XLOOKUP(D2327,Insumos!$B$1:$B$670,Insumos!$C$1:$C$670)</f>
        <v>UN</v>
      </c>
      <c r="F2327" s="1083">
        <v>0.161</v>
      </c>
      <c r="G2327" s="1081">
        <f>IF(B2327="insumo",_xlfn.XLOOKUP($D2327,Insumos!$B$1:$B$670,Insumos!$D$1:$D$670),"")</f>
        <v>31.7</v>
      </c>
      <c r="H2327" s="1081" cm="1">
        <f t="array" ref="H2327">_xlfn.IFS(B2327="Serviço",SUMIFS(H2328:$H$2465,C2328:$C$2465,$C2327),B2327="Insumo",F2327*G2327,B2327="Etapa","")</f>
        <v>5.1036999999999999</v>
      </c>
      <c r="I2327" s="1082"/>
    </row>
    <row r="2328" spans="1:9" hidden="1" outlineLevel="2" x14ac:dyDescent="0.25">
      <c r="A2328" s="1079">
        <f t="shared" si="90"/>
        <v>7</v>
      </c>
      <c r="B2328" s="1079" t="s">
        <v>1362</v>
      </c>
      <c r="C2328" s="1079" t="str">
        <f t="shared" si="89"/>
        <v>Calha em alumínio - 13 cm</v>
      </c>
      <c r="D2328" s="1079" t="s">
        <v>2355</v>
      </c>
      <c r="E2328" s="1080" t="str">
        <f>_xlfn.XLOOKUP(D2328,Insumos!$B$1:$B$670,Insumos!$C$1:$C$670)</f>
        <v>KG</v>
      </c>
      <c r="F2328" s="1083">
        <v>0.18</v>
      </c>
      <c r="G2328" s="1081">
        <f>IF(B2328="insumo",_xlfn.XLOOKUP($D2328,Insumos!$B$1:$B$670,Insumos!$D$1:$D$670),"")</f>
        <v>163.07</v>
      </c>
      <c r="H2328" s="1081" cm="1">
        <f t="array" ref="H2328">_xlfn.IFS(B2328="Serviço",SUMIFS(H2329:$H$2465,C2329:$C$2465,$C2328),B2328="Insumo",F2328*G2328,B2328="Etapa","")</f>
        <v>29.352599999999999</v>
      </c>
      <c r="I2328" s="1082"/>
    </row>
    <row r="2329" spans="1:9" hidden="1" outlineLevel="1" collapsed="1" x14ac:dyDescent="0.25">
      <c r="A2329" s="1079">
        <f t="shared" si="90"/>
        <v>1</v>
      </c>
      <c r="B2329" s="1079" t="s">
        <v>471</v>
      </c>
      <c r="C2329" s="1079" t="str">
        <f t="shared" si="89"/>
        <v>Calha em alumínio - 16 cm</v>
      </c>
      <c r="D2329" s="1079" t="s">
        <v>2356</v>
      </c>
      <c r="E2329" s="1080" t="s">
        <v>281</v>
      </c>
      <c r="F2329" s="1079"/>
      <c r="G2329" s="1081" t="str">
        <f>IF(B2329="insumo",_xlfn.XLOOKUP($D2329,Insumos!$B$1:$B$670,Insumos!$D$1:$D$670),"")</f>
        <v/>
      </c>
      <c r="H2329" s="1081" cm="1">
        <f t="array" ref="H2329">_xlfn.IFS(B2329="Serviço",SUMIFS(H2330:$H$2465,C2330:$C$2465,$C2329),B2329="Insumo",F2329*G2329,B2329="Etapa","")</f>
        <v>59.383229</v>
      </c>
      <c r="I2329" s="1082" t="s">
        <v>872</v>
      </c>
    </row>
    <row r="2330" spans="1:9" hidden="1" outlineLevel="2" x14ac:dyDescent="0.25">
      <c r="A2330" s="1079">
        <f t="shared" si="90"/>
        <v>1</v>
      </c>
      <c r="B2330" s="1079" t="s">
        <v>1362</v>
      </c>
      <c r="C2330" s="1079" t="str">
        <f t="shared" si="89"/>
        <v>Calha em alumínio - 16 cm</v>
      </c>
      <c r="D2330" s="1079" t="s">
        <v>2357</v>
      </c>
      <c r="E2330" s="1080" t="str">
        <f>_xlfn.XLOOKUP(D2330,Insumos!$B$1:$B$670,Insumos!$C$1:$C$670)</f>
        <v>M</v>
      </c>
      <c r="F2330" s="1083">
        <v>1.05</v>
      </c>
      <c r="G2330" s="1081">
        <f>IF(B2330="insumo",_xlfn.XLOOKUP($D2330,Insumos!$B$1:$B$670,Insumos!$D$1:$D$670),"")</f>
        <v>23.0336</v>
      </c>
      <c r="H2330" s="1081" cm="1">
        <f t="array" ref="H2330">_xlfn.IFS(B2330="Serviço",SUMIFS(H2331:$H$2465,C2331:$C$2465,$C2330),B2330="Insumo",F2330*G2330,B2330="Etapa","")</f>
        <v>24.185280000000002</v>
      </c>
      <c r="I2330" s="1082"/>
    </row>
    <row r="2331" spans="1:9" hidden="1" outlineLevel="2" x14ac:dyDescent="0.25">
      <c r="A2331" s="1079">
        <f t="shared" si="90"/>
        <v>7</v>
      </c>
      <c r="B2331" s="1079" t="s">
        <v>1362</v>
      </c>
      <c r="C2331" s="1079" t="str">
        <f t="shared" si="89"/>
        <v>Calha em alumínio - 16 cm</v>
      </c>
      <c r="D2331" s="1079" t="s">
        <v>1409</v>
      </c>
      <c r="E2331" s="1080" t="str">
        <f>_xlfn.XLOOKUP(D2331,Insumos!$B$1:$B$670,Insumos!$C$1:$C$670)</f>
        <v>KG</v>
      </c>
      <c r="F2331" s="1083">
        <v>2.5000000000000001E-2</v>
      </c>
      <c r="G2331" s="1081">
        <f>IF(B2331="insumo",_xlfn.XLOOKUP($D2331,Insumos!$B$1:$B$670,Insumos!$D$1:$D$670),"")</f>
        <v>15.65</v>
      </c>
      <c r="H2331" s="1081" cm="1">
        <f t="array" ref="H2331">_xlfn.IFS(B2331="Serviço",SUMIFS(H2332:$H$2465,C2332:$C$2465,$C2331),B2331="Insumo",F2331*G2331,B2331="Etapa","")</f>
        <v>0.39125000000000004</v>
      </c>
      <c r="I2331" s="1082"/>
    </row>
    <row r="2332" spans="1:9" hidden="1" outlineLevel="2" x14ac:dyDescent="0.25">
      <c r="A2332" s="1079">
        <f t="shared" si="90"/>
        <v>7</v>
      </c>
      <c r="B2332" s="1079" t="s">
        <v>1362</v>
      </c>
      <c r="C2332" s="1079" t="str">
        <f t="shared" si="89"/>
        <v>Calha em alumínio - 16 cm</v>
      </c>
      <c r="D2332" s="1079" t="s">
        <v>2354</v>
      </c>
      <c r="E2332" s="1080" t="str">
        <f>_xlfn.XLOOKUP(D2332,Insumos!$B$1:$B$670,Insumos!$C$1:$C$670)</f>
        <v>KG</v>
      </c>
      <c r="F2332" s="1083">
        <v>4.8999999999999998E-3</v>
      </c>
      <c r="G2332" s="1081">
        <f>IF(B2332="insumo",_xlfn.XLOOKUP($D2332,Insumos!$B$1:$B$670,Insumos!$D$1:$D$670),"")</f>
        <v>71.510000000000005</v>
      </c>
      <c r="H2332" s="1081" cm="1">
        <f t="array" ref="H2332">_xlfn.IFS(B2332="Serviço",SUMIFS(H2333:$H$2465,C2333:$C$2465,$C2332),B2332="Insumo",F2332*G2332,B2332="Etapa","")</f>
        <v>0.35039900000000002</v>
      </c>
      <c r="I2332" s="1082"/>
    </row>
    <row r="2333" spans="1:9" hidden="1" outlineLevel="2" x14ac:dyDescent="0.25">
      <c r="A2333" s="1079">
        <f t="shared" si="90"/>
        <v>8</v>
      </c>
      <c r="B2333" s="1079" t="s">
        <v>1362</v>
      </c>
      <c r="C2333" s="1079" t="str">
        <f t="shared" si="89"/>
        <v>Calha em alumínio - 16 cm</v>
      </c>
      <c r="D2333" s="1079" t="s">
        <v>2156</v>
      </c>
      <c r="E2333" s="1080" t="str">
        <f>_xlfn.XLOOKUP(D2333,Insumos!$B$1:$B$670,Insumos!$C$1:$C$670)</f>
        <v>UN</v>
      </c>
      <c r="F2333" s="1083">
        <v>0.161</v>
      </c>
      <c r="G2333" s="1081">
        <f>IF(B2333="insumo",_xlfn.XLOOKUP($D2333,Insumos!$B$1:$B$670,Insumos!$D$1:$D$670),"")</f>
        <v>31.7</v>
      </c>
      <c r="H2333" s="1081" cm="1">
        <f t="array" ref="H2333">_xlfn.IFS(B2333="Serviço",SUMIFS(H2334:$H$2465,C2334:$C$2465,$C2333),B2333="Insumo",F2333*G2333,B2333="Etapa","")</f>
        <v>5.1036999999999999</v>
      </c>
      <c r="I2333" s="1082"/>
    </row>
    <row r="2334" spans="1:9" hidden="1" outlineLevel="2" x14ac:dyDescent="0.25">
      <c r="A2334" s="1079">
        <f t="shared" si="90"/>
        <v>7</v>
      </c>
      <c r="B2334" s="1079" t="s">
        <v>1362</v>
      </c>
      <c r="C2334" s="1079" t="str">
        <f t="shared" si="89"/>
        <v>Calha em alumínio - 16 cm</v>
      </c>
      <c r="D2334" s="1079" t="s">
        <v>2355</v>
      </c>
      <c r="E2334" s="1080" t="str">
        <f>_xlfn.XLOOKUP(D2334,Insumos!$B$1:$B$670,Insumos!$C$1:$C$670)</f>
        <v>KG</v>
      </c>
      <c r="F2334" s="1083">
        <v>0.18</v>
      </c>
      <c r="G2334" s="1081">
        <f>IF(B2334="insumo",_xlfn.XLOOKUP($D2334,Insumos!$B$1:$B$670,Insumos!$D$1:$D$670),"")</f>
        <v>163.07</v>
      </c>
      <c r="H2334" s="1081" cm="1">
        <f t="array" ref="H2334">_xlfn.IFS(B2334="Serviço",SUMIFS(H2335:$H$2465,C2335:$C$2465,$C2334),B2334="Insumo",F2334*G2334,B2334="Etapa","")</f>
        <v>29.352599999999999</v>
      </c>
      <c r="I2334" s="1082"/>
    </row>
    <row r="2335" spans="1:9" hidden="1" outlineLevel="1" collapsed="1" x14ac:dyDescent="0.25">
      <c r="A2335" s="1079">
        <f t="shared" si="90"/>
        <v>1</v>
      </c>
      <c r="B2335" s="1079" t="s">
        <v>471</v>
      </c>
      <c r="C2335" s="1079" t="str">
        <f t="shared" si="89"/>
        <v>Calha em alumínio - 23,5 cm</v>
      </c>
      <c r="D2335" s="1079" t="s">
        <v>2358</v>
      </c>
      <c r="E2335" s="1080" t="s">
        <v>281</v>
      </c>
      <c r="F2335" s="1079"/>
      <c r="G2335" s="1081" t="str">
        <f>IF(B2335="insumo",_xlfn.XLOOKUP($D2335,Insumos!$B$1:$B$670,Insumos!$D$1:$D$670),"")</f>
        <v/>
      </c>
      <c r="H2335" s="1081" cm="1">
        <f t="array" ref="H2335">_xlfn.IFS(B2335="Serviço",SUMIFS(H2336:$H$2465,C2336:$C$2465,$C2335),B2335="Insumo",F2335*G2335,B2335="Etapa","")</f>
        <v>72.987448999999998</v>
      </c>
      <c r="I2335" s="1082" t="s">
        <v>872</v>
      </c>
    </row>
    <row r="2336" spans="1:9" hidden="1" outlineLevel="2" x14ac:dyDescent="0.25">
      <c r="A2336" s="1079">
        <f t="shared" si="90"/>
        <v>1</v>
      </c>
      <c r="B2336" s="1079" t="s">
        <v>1362</v>
      </c>
      <c r="C2336" s="1079" t="str">
        <f t="shared" si="89"/>
        <v>Calha em alumínio - 23,5 cm</v>
      </c>
      <c r="D2336" s="1079" t="s">
        <v>2359</v>
      </c>
      <c r="E2336" s="1080" t="str">
        <f>_xlfn.XLOOKUP(D2336,Insumos!$B$1:$B$670,Insumos!$C$1:$C$670)</f>
        <v>M</v>
      </c>
      <c r="F2336" s="1083">
        <v>1.05</v>
      </c>
      <c r="G2336" s="1081">
        <f>IF(B2336="insumo",_xlfn.XLOOKUP($D2336,Insumos!$B$1:$B$670,Insumos!$D$1:$D$670),"")</f>
        <v>35.99</v>
      </c>
      <c r="H2336" s="1081" cm="1">
        <f t="array" ref="H2336">_xlfn.IFS(B2336="Serviço",SUMIFS(H2337:$H$2465,C2337:$C$2465,$C2336),B2336="Insumo",F2336*G2336,B2336="Etapa","")</f>
        <v>37.789500000000004</v>
      </c>
      <c r="I2336" s="1082"/>
    </row>
    <row r="2337" spans="1:9" hidden="1" outlineLevel="2" x14ac:dyDescent="0.25">
      <c r="A2337" s="1079">
        <f t="shared" si="90"/>
        <v>7</v>
      </c>
      <c r="B2337" s="1079" t="s">
        <v>1362</v>
      </c>
      <c r="C2337" s="1079" t="str">
        <f t="shared" si="89"/>
        <v>Calha em alumínio - 23,5 cm</v>
      </c>
      <c r="D2337" s="1079" t="s">
        <v>1409</v>
      </c>
      <c r="E2337" s="1080" t="str">
        <f>_xlfn.XLOOKUP(D2337,Insumos!$B$1:$B$670,Insumos!$C$1:$C$670)</f>
        <v>KG</v>
      </c>
      <c r="F2337" s="1083">
        <v>2.5000000000000001E-2</v>
      </c>
      <c r="G2337" s="1081">
        <f>IF(B2337="insumo",_xlfn.XLOOKUP($D2337,Insumos!$B$1:$B$670,Insumos!$D$1:$D$670),"")</f>
        <v>15.65</v>
      </c>
      <c r="H2337" s="1081" cm="1">
        <f t="array" ref="H2337">_xlfn.IFS(B2337="Serviço",SUMIFS(H2338:$H$2465,C2338:$C$2465,$C2337),B2337="Insumo",F2337*G2337,B2337="Etapa","")</f>
        <v>0.39125000000000004</v>
      </c>
      <c r="I2337" s="1082"/>
    </row>
    <row r="2338" spans="1:9" hidden="1" outlineLevel="2" x14ac:dyDescent="0.25">
      <c r="A2338" s="1079">
        <f t="shared" si="90"/>
        <v>7</v>
      </c>
      <c r="B2338" s="1079" t="s">
        <v>1362</v>
      </c>
      <c r="C2338" s="1079" t="str">
        <f t="shared" si="89"/>
        <v>Calha em alumínio - 23,5 cm</v>
      </c>
      <c r="D2338" s="1079" t="s">
        <v>2354</v>
      </c>
      <c r="E2338" s="1080" t="str">
        <f>_xlfn.XLOOKUP(D2338,Insumos!$B$1:$B$670,Insumos!$C$1:$C$670)</f>
        <v>KG</v>
      </c>
      <c r="F2338" s="1083">
        <v>4.8999999999999998E-3</v>
      </c>
      <c r="G2338" s="1081">
        <f>IF(B2338="insumo",_xlfn.XLOOKUP($D2338,Insumos!$B$1:$B$670,Insumos!$D$1:$D$670),"")</f>
        <v>71.510000000000005</v>
      </c>
      <c r="H2338" s="1081" cm="1">
        <f t="array" ref="H2338">_xlfn.IFS(B2338="Serviço",SUMIFS(H2339:$H$2465,C2339:$C$2465,$C2338),B2338="Insumo",F2338*G2338,B2338="Etapa","")</f>
        <v>0.35039900000000002</v>
      </c>
      <c r="I2338" s="1082"/>
    </row>
    <row r="2339" spans="1:9" hidden="1" outlineLevel="2" x14ac:dyDescent="0.25">
      <c r="A2339" s="1079">
        <f t="shared" si="90"/>
        <v>8</v>
      </c>
      <c r="B2339" s="1079" t="s">
        <v>1362</v>
      </c>
      <c r="C2339" s="1079" t="str">
        <f t="shared" si="89"/>
        <v>Calha em alumínio - 23,5 cm</v>
      </c>
      <c r="D2339" s="1079" t="s">
        <v>2156</v>
      </c>
      <c r="E2339" s="1080" t="str">
        <f>_xlfn.XLOOKUP(D2339,Insumos!$B$1:$B$670,Insumos!$C$1:$C$670)</f>
        <v>UN</v>
      </c>
      <c r="F2339" s="1083">
        <v>0.161</v>
      </c>
      <c r="G2339" s="1081">
        <f>IF(B2339="insumo",_xlfn.XLOOKUP($D2339,Insumos!$B$1:$B$670,Insumos!$D$1:$D$670),"")</f>
        <v>31.7</v>
      </c>
      <c r="H2339" s="1081" cm="1">
        <f t="array" ref="H2339">_xlfn.IFS(B2339="Serviço",SUMIFS(H2340:$H$2465,C2340:$C$2465,$C2339),B2339="Insumo",F2339*G2339,B2339="Etapa","")</f>
        <v>5.1036999999999999</v>
      </c>
      <c r="I2339" s="1082"/>
    </row>
    <row r="2340" spans="1:9" hidden="1" outlineLevel="2" x14ac:dyDescent="0.25">
      <c r="A2340" s="1079">
        <f t="shared" si="90"/>
        <v>7</v>
      </c>
      <c r="B2340" s="1079" t="s">
        <v>1362</v>
      </c>
      <c r="C2340" s="1079" t="str">
        <f t="shared" si="89"/>
        <v>Calha em alumínio - 23,5 cm</v>
      </c>
      <c r="D2340" s="1079" t="s">
        <v>2355</v>
      </c>
      <c r="E2340" s="1080" t="str">
        <f>_xlfn.XLOOKUP(D2340,Insumos!$B$1:$B$670,Insumos!$C$1:$C$670)</f>
        <v>KG</v>
      </c>
      <c r="F2340" s="1083">
        <v>0.18</v>
      </c>
      <c r="G2340" s="1081">
        <f>IF(B2340="insumo",_xlfn.XLOOKUP($D2340,Insumos!$B$1:$B$670,Insumos!$D$1:$D$670),"")</f>
        <v>163.07</v>
      </c>
      <c r="H2340" s="1081" cm="1">
        <f t="array" ref="H2340">_xlfn.IFS(B2340="Serviço",SUMIFS(H2341:$H$2465,C2341:$C$2465,$C2340),B2340="Insumo",F2340*G2340,B2340="Etapa","")</f>
        <v>29.352599999999999</v>
      </c>
      <c r="I2340" s="1082"/>
    </row>
    <row r="2341" spans="1:9" hidden="1" outlineLevel="1" collapsed="1" x14ac:dyDescent="0.25">
      <c r="A2341" s="1079">
        <f t="shared" si="90"/>
        <v>1</v>
      </c>
      <c r="B2341" s="1079" t="s">
        <v>471</v>
      </c>
      <c r="C2341" s="1079" t="str">
        <f t="shared" si="89"/>
        <v>Calha em alumínio - 30x30</v>
      </c>
      <c r="D2341" s="1079" t="s">
        <v>2360</v>
      </c>
      <c r="E2341" s="1080" t="s">
        <v>281</v>
      </c>
      <c r="F2341" s="1079"/>
      <c r="G2341" s="1081" t="str">
        <f>IF(B2341="insumo",_xlfn.XLOOKUP($D2341,Insumos!$B$1:$B$670,Insumos!$D$1:$D$670),"")</f>
        <v/>
      </c>
      <c r="H2341" s="1081" cm="1">
        <f t="array" ref="H2341">_xlfn.IFS(B2341="Serviço",SUMIFS(H2342:$H$2465,C2342:$C$2465,$C2341),B2341="Insumo",F2341*G2341,B2341="Etapa","")</f>
        <v>84.197948999999994</v>
      </c>
      <c r="I2341" s="1082" t="s">
        <v>872</v>
      </c>
    </row>
    <row r="2342" spans="1:9" hidden="1" outlineLevel="2" x14ac:dyDescent="0.25">
      <c r="A2342" s="1079">
        <f t="shared" si="90"/>
        <v>1</v>
      </c>
      <c r="B2342" s="1079" t="s">
        <v>1362</v>
      </c>
      <c r="C2342" s="1079" t="str">
        <f t="shared" si="89"/>
        <v>Calha em alumínio - 30x30</v>
      </c>
      <c r="D2342" s="1079" t="s">
        <v>2361</v>
      </c>
      <c r="E2342" s="1080" t="str">
        <f>_xlfn.XLOOKUP(D2342,Insumos!$B$1:$B$670,Insumos!$C$1:$C$670)</f>
        <v>M</v>
      </c>
      <c r="F2342" s="1083">
        <v>1.05</v>
      </c>
      <c r="G2342" s="1081">
        <f>IF(B2342="insumo",_xlfn.XLOOKUP($D2342,Insumos!$B$1:$B$670,Insumos!$D$1:$D$670),"")</f>
        <v>46.666666666666664</v>
      </c>
      <c r="H2342" s="1081" cm="1">
        <f t="array" ref="H2342">_xlfn.IFS(B2342="Serviço",SUMIFS(H2343:$H$2465,C2343:$C$2465,$C2342),B2342="Insumo",F2342*G2342,B2342="Etapa","")</f>
        <v>49</v>
      </c>
      <c r="I2342" s="1082"/>
    </row>
    <row r="2343" spans="1:9" hidden="1" outlineLevel="2" x14ac:dyDescent="0.25">
      <c r="A2343" s="1079">
        <f t="shared" si="90"/>
        <v>7</v>
      </c>
      <c r="B2343" s="1079" t="s">
        <v>1362</v>
      </c>
      <c r="C2343" s="1079" t="str">
        <f t="shared" si="89"/>
        <v>Calha em alumínio - 30x30</v>
      </c>
      <c r="D2343" s="1079" t="s">
        <v>1409</v>
      </c>
      <c r="E2343" s="1080" t="str">
        <f>_xlfn.XLOOKUP(D2343,Insumos!$B$1:$B$670,Insumos!$C$1:$C$670)</f>
        <v>KG</v>
      </c>
      <c r="F2343" s="1083">
        <v>2.5000000000000001E-2</v>
      </c>
      <c r="G2343" s="1081">
        <f>IF(B2343="insumo",_xlfn.XLOOKUP($D2343,Insumos!$B$1:$B$670,Insumos!$D$1:$D$670),"")</f>
        <v>15.65</v>
      </c>
      <c r="H2343" s="1081" cm="1">
        <f t="array" ref="H2343">_xlfn.IFS(B2343="Serviço",SUMIFS(H2344:$H$2465,C2344:$C$2465,$C2343),B2343="Insumo",F2343*G2343,B2343="Etapa","")</f>
        <v>0.39125000000000004</v>
      </c>
      <c r="I2343" s="1082"/>
    </row>
    <row r="2344" spans="1:9" hidden="1" outlineLevel="2" x14ac:dyDescent="0.25">
      <c r="A2344" s="1079">
        <f t="shared" si="90"/>
        <v>7</v>
      </c>
      <c r="B2344" s="1079" t="s">
        <v>1362</v>
      </c>
      <c r="C2344" s="1079" t="str">
        <f t="shared" si="89"/>
        <v>Calha em alumínio - 30x30</v>
      </c>
      <c r="D2344" s="1079" t="s">
        <v>2354</v>
      </c>
      <c r="E2344" s="1080" t="str">
        <f>_xlfn.XLOOKUP(D2344,Insumos!$B$1:$B$670,Insumos!$C$1:$C$670)</f>
        <v>KG</v>
      </c>
      <c r="F2344" s="1083">
        <v>4.8999999999999998E-3</v>
      </c>
      <c r="G2344" s="1081">
        <f>IF(B2344="insumo",_xlfn.XLOOKUP($D2344,Insumos!$B$1:$B$670,Insumos!$D$1:$D$670),"")</f>
        <v>71.510000000000005</v>
      </c>
      <c r="H2344" s="1081" cm="1">
        <f t="array" ref="H2344">_xlfn.IFS(B2344="Serviço",SUMIFS(H2345:$H$2465,C2345:$C$2465,$C2344),B2344="Insumo",F2344*G2344,B2344="Etapa","")</f>
        <v>0.35039900000000002</v>
      </c>
      <c r="I2344" s="1082"/>
    </row>
    <row r="2345" spans="1:9" hidden="1" outlineLevel="2" x14ac:dyDescent="0.25">
      <c r="A2345" s="1079">
        <f t="shared" si="90"/>
        <v>8</v>
      </c>
      <c r="B2345" s="1079" t="s">
        <v>1362</v>
      </c>
      <c r="C2345" s="1079" t="str">
        <f t="shared" si="89"/>
        <v>Calha em alumínio - 30x30</v>
      </c>
      <c r="D2345" s="1079" t="s">
        <v>2156</v>
      </c>
      <c r="E2345" s="1080" t="str">
        <f>_xlfn.XLOOKUP(D2345,Insumos!$B$1:$B$670,Insumos!$C$1:$C$670)</f>
        <v>UN</v>
      </c>
      <c r="F2345" s="1083">
        <v>0.161</v>
      </c>
      <c r="G2345" s="1081">
        <f>IF(B2345="insumo",_xlfn.XLOOKUP($D2345,Insumos!$B$1:$B$670,Insumos!$D$1:$D$670),"")</f>
        <v>31.7</v>
      </c>
      <c r="H2345" s="1081" cm="1">
        <f t="array" ref="H2345">_xlfn.IFS(B2345="Serviço",SUMIFS(H2346:$H$2465,C2346:$C$2465,$C2345),B2345="Insumo",F2345*G2345,B2345="Etapa","")</f>
        <v>5.1036999999999999</v>
      </c>
      <c r="I2345" s="1082"/>
    </row>
    <row r="2346" spans="1:9" hidden="1" outlineLevel="2" x14ac:dyDescent="0.25">
      <c r="A2346" s="1079">
        <f t="shared" si="90"/>
        <v>7</v>
      </c>
      <c r="B2346" s="1079" t="s">
        <v>1362</v>
      </c>
      <c r="C2346" s="1079" t="str">
        <f t="shared" si="89"/>
        <v>Calha em alumínio - 30x30</v>
      </c>
      <c r="D2346" s="1079" t="s">
        <v>2355</v>
      </c>
      <c r="E2346" s="1080" t="str">
        <f>_xlfn.XLOOKUP(D2346,Insumos!$B$1:$B$670,Insumos!$C$1:$C$670)</f>
        <v>KG</v>
      </c>
      <c r="F2346" s="1083">
        <v>0.18</v>
      </c>
      <c r="G2346" s="1081">
        <f>IF(B2346="insumo",_xlfn.XLOOKUP($D2346,Insumos!$B$1:$B$670,Insumos!$D$1:$D$670),"")</f>
        <v>163.07</v>
      </c>
      <c r="H2346" s="1081" cm="1">
        <f t="array" ref="H2346">_xlfn.IFS(B2346="Serviço",SUMIFS(H2347:$H$2465,C2347:$C$2465,$C2346),B2346="Insumo",F2346*G2346,B2346="Etapa","")</f>
        <v>29.352599999999999</v>
      </c>
      <c r="I2346" s="1082"/>
    </row>
    <row r="2347" spans="1:9" hidden="1" outlineLevel="1" x14ac:dyDescent="0.25">
      <c r="A2347" s="1079">
        <f t="shared" si="90"/>
        <v>1</v>
      </c>
      <c r="B2347" s="1079" t="s">
        <v>471</v>
      </c>
      <c r="C2347" s="1079" t="str">
        <f t="shared" si="89"/>
        <v>Calha em alumínio - 40 cm</v>
      </c>
      <c r="D2347" s="1079" t="s">
        <v>2362</v>
      </c>
      <c r="E2347" s="1080" t="s">
        <v>281</v>
      </c>
      <c r="F2347" s="1079"/>
      <c r="G2347" s="1081" t="str">
        <f>IF(B2347="insumo",_xlfn.XLOOKUP($D2347,Insumos!$B$1:$B$670,Insumos!$D$1:$D$670),"")</f>
        <v/>
      </c>
      <c r="H2347" s="1081" cm="1">
        <f t="array" ref="H2347">_xlfn.IFS(B2347="Serviço",SUMIFS(H2348:$H$2465,C2348:$C$2465,$C2347),B2347="Insumo",F2347*G2347,B2347="Etapa","")</f>
        <v>117.727949</v>
      </c>
      <c r="I2347" s="1082" t="s">
        <v>872</v>
      </c>
    </row>
    <row r="2348" spans="1:9" hidden="1" outlineLevel="2" x14ac:dyDescent="0.25">
      <c r="A2348" s="1079">
        <f t="shared" si="90"/>
        <v>1</v>
      </c>
      <c r="B2348" s="1079" t="s">
        <v>1362</v>
      </c>
      <c r="C2348" s="1079" t="str">
        <f t="shared" si="89"/>
        <v>Calha em alumínio - 40 cm</v>
      </c>
      <c r="D2348" s="1079" t="s">
        <v>2363</v>
      </c>
      <c r="E2348" s="1080" t="str">
        <f>_xlfn.XLOOKUP(D2348,Insumos!$B$1:$B$670,Insumos!$C$1:$C$670)</f>
        <v>M</v>
      </c>
      <c r="F2348" s="1083">
        <v>1.05</v>
      </c>
      <c r="G2348" s="1081">
        <f>IF(B2348="insumo",_xlfn.XLOOKUP($D2348,Insumos!$B$1:$B$670,Insumos!$D$1:$D$670),"")</f>
        <v>78.599999999999994</v>
      </c>
      <c r="H2348" s="1081" cm="1">
        <f t="array" ref="H2348">_xlfn.IFS(B2348="Serviço",SUMIFS(H2349:$H$2465,C2349:$C$2465,$C2348),B2348="Insumo",F2348*G2348,B2348="Etapa","")</f>
        <v>82.53</v>
      </c>
      <c r="I2348" s="1082"/>
    </row>
    <row r="2349" spans="1:9" hidden="1" outlineLevel="2" x14ac:dyDescent="0.25">
      <c r="A2349" s="1079">
        <f t="shared" si="90"/>
        <v>7</v>
      </c>
      <c r="B2349" s="1079" t="s">
        <v>1362</v>
      </c>
      <c r="C2349" s="1079" t="str">
        <f t="shared" si="89"/>
        <v>Calha em alumínio - 40 cm</v>
      </c>
      <c r="D2349" s="1079" t="s">
        <v>1409</v>
      </c>
      <c r="E2349" s="1080" t="str">
        <f>_xlfn.XLOOKUP(D2349,Insumos!$B$1:$B$670,Insumos!$C$1:$C$670)</f>
        <v>KG</v>
      </c>
      <c r="F2349" s="1083">
        <v>2.5000000000000001E-2</v>
      </c>
      <c r="G2349" s="1081">
        <f>IF(B2349="insumo",_xlfn.XLOOKUP($D2349,Insumos!$B$1:$B$670,Insumos!$D$1:$D$670),"")</f>
        <v>15.65</v>
      </c>
      <c r="H2349" s="1081" cm="1">
        <f t="array" ref="H2349">_xlfn.IFS(B2349="Serviço",SUMIFS(H2350:$H$2465,C2350:$C$2465,$C2349),B2349="Insumo",F2349*G2349,B2349="Etapa","")</f>
        <v>0.39125000000000004</v>
      </c>
      <c r="I2349" s="1082"/>
    </row>
    <row r="2350" spans="1:9" hidden="1" outlineLevel="2" x14ac:dyDescent="0.25">
      <c r="A2350" s="1079">
        <f t="shared" si="90"/>
        <v>7</v>
      </c>
      <c r="B2350" s="1079" t="s">
        <v>1362</v>
      </c>
      <c r="C2350" s="1079" t="str">
        <f t="shared" si="89"/>
        <v>Calha em alumínio - 40 cm</v>
      </c>
      <c r="D2350" s="1079" t="s">
        <v>2354</v>
      </c>
      <c r="E2350" s="1080" t="str">
        <f>_xlfn.XLOOKUP(D2350,Insumos!$B$1:$B$670,Insumos!$C$1:$C$670)</f>
        <v>KG</v>
      </c>
      <c r="F2350" s="1083">
        <v>4.8999999999999998E-3</v>
      </c>
      <c r="G2350" s="1081">
        <f>IF(B2350="insumo",_xlfn.XLOOKUP($D2350,Insumos!$B$1:$B$670,Insumos!$D$1:$D$670),"")</f>
        <v>71.510000000000005</v>
      </c>
      <c r="H2350" s="1081" cm="1">
        <f t="array" ref="H2350">_xlfn.IFS(B2350="Serviço",SUMIFS(H2351:$H$2465,C2351:$C$2465,$C2350),B2350="Insumo",F2350*G2350,B2350="Etapa","")</f>
        <v>0.35039900000000002</v>
      </c>
      <c r="I2350" s="1082"/>
    </row>
    <row r="2351" spans="1:9" hidden="1" outlineLevel="2" x14ac:dyDescent="0.25">
      <c r="A2351" s="1079">
        <f t="shared" si="90"/>
        <v>8</v>
      </c>
      <c r="B2351" s="1079" t="s">
        <v>1362</v>
      </c>
      <c r="C2351" s="1079" t="str">
        <f t="shared" si="89"/>
        <v>Calha em alumínio - 40 cm</v>
      </c>
      <c r="D2351" s="1079" t="s">
        <v>2156</v>
      </c>
      <c r="E2351" s="1080" t="str">
        <f>_xlfn.XLOOKUP(D2351,Insumos!$B$1:$B$670,Insumos!$C$1:$C$670)</f>
        <v>UN</v>
      </c>
      <c r="F2351" s="1083">
        <v>0.161</v>
      </c>
      <c r="G2351" s="1081">
        <f>IF(B2351="insumo",_xlfn.XLOOKUP($D2351,Insumos!$B$1:$B$670,Insumos!$D$1:$D$670),"")</f>
        <v>31.7</v>
      </c>
      <c r="H2351" s="1081" cm="1">
        <f t="array" ref="H2351">_xlfn.IFS(B2351="Serviço",SUMIFS(H2352:$H$2465,C2352:$C$2465,$C2351),B2351="Insumo",F2351*G2351,B2351="Etapa","")</f>
        <v>5.1036999999999999</v>
      </c>
      <c r="I2351" s="1082"/>
    </row>
    <row r="2352" spans="1:9" hidden="1" outlineLevel="2" x14ac:dyDescent="0.25">
      <c r="A2352" s="1079">
        <f t="shared" si="90"/>
        <v>7</v>
      </c>
      <c r="B2352" s="1079" t="s">
        <v>1362</v>
      </c>
      <c r="C2352" s="1079" t="str">
        <f t="shared" si="89"/>
        <v>Calha em alumínio - 40 cm</v>
      </c>
      <c r="D2352" s="1079" t="s">
        <v>2355</v>
      </c>
      <c r="E2352" s="1080" t="str">
        <f>_xlfn.XLOOKUP(D2352,Insumos!$B$1:$B$670,Insumos!$C$1:$C$670)</f>
        <v>KG</v>
      </c>
      <c r="F2352" s="1083">
        <v>0.18</v>
      </c>
      <c r="G2352" s="1081">
        <f>IF(B2352="insumo",_xlfn.XLOOKUP($D2352,Insumos!$B$1:$B$670,Insumos!$D$1:$D$670),"")</f>
        <v>163.07</v>
      </c>
      <c r="H2352" s="1081" cm="1">
        <f t="array" ref="H2352">_xlfn.IFS(B2352="Serviço",SUMIFS(H2353:$H$2465,C2353:$C$2465,$C2352),B2352="Insumo",F2352*G2352,B2352="Etapa","")</f>
        <v>29.352599999999999</v>
      </c>
      <c r="I2352" s="1082"/>
    </row>
    <row r="2353" spans="1:9" hidden="1" outlineLevel="1" collapsed="1" x14ac:dyDescent="0.25">
      <c r="A2353" s="1079">
        <f t="shared" si="90"/>
        <v>1</v>
      </c>
      <c r="B2353" s="1079" t="s">
        <v>471</v>
      </c>
      <c r="C2353" s="1079" t="str">
        <f t="shared" si="89"/>
        <v>Calha em alumínio - 94x94</v>
      </c>
      <c r="D2353" s="1079" t="s">
        <v>2364</v>
      </c>
      <c r="E2353" s="1080" t="s">
        <v>281</v>
      </c>
      <c r="F2353" s="1079"/>
      <c r="G2353" s="1081" t="str">
        <f>IF(B2353="insumo",_xlfn.XLOOKUP($D2353,Insumos!$B$1:$B$670,Insumos!$D$1:$D$670),"")</f>
        <v/>
      </c>
      <c r="H2353" s="1081" cm="1">
        <f t="array" ref="H2353">_xlfn.IFS(B2353="Serviço",SUMIFS(H2354:$H$2465,C2354:$C$2465,$C2353),B2353="Insumo",F2353*G2353,B2353="Etapa","")</f>
        <v>98.162948999999998</v>
      </c>
      <c r="I2353" s="1082" t="s">
        <v>872</v>
      </c>
    </row>
    <row r="2354" spans="1:9" hidden="1" outlineLevel="2" x14ac:dyDescent="0.25">
      <c r="A2354" s="1079">
        <f t="shared" si="90"/>
        <v>1</v>
      </c>
      <c r="B2354" s="1079" t="s">
        <v>1362</v>
      </c>
      <c r="C2354" s="1079" t="str">
        <f t="shared" si="89"/>
        <v>Calha em alumínio - 94x94</v>
      </c>
      <c r="D2354" s="1079" t="s">
        <v>2364</v>
      </c>
      <c r="E2354" s="1080" t="str">
        <f>_xlfn.XLOOKUP(D2354,Insumos!$B$1:$B$670,Insumos!$C$1:$C$670)</f>
        <v>M</v>
      </c>
      <c r="F2354" s="1083">
        <v>1.05</v>
      </c>
      <c r="G2354" s="1081">
        <f>IF(B2354="insumo",_xlfn.XLOOKUP($D2354,Insumos!$B$1:$B$670,Insumos!$D$1:$D$670),"")</f>
        <v>59.966666666666669</v>
      </c>
      <c r="H2354" s="1081" cm="1">
        <f t="array" ref="H2354">_xlfn.IFS(B2354="Serviço",SUMIFS(H2355:$H$2465,C2355:$C$2465,$C2354),B2354="Insumo",F2354*G2354,B2354="Etapa","")</f>
        <v>62.965000000000003</v>
      </c>
      <c r="I2354" s="1082"/>
    </row>
    <row r="2355" spans="1:9" hidden="1" outlineLevel="2" x14ac:dyDescent="0.25">
      <c r="A2355" s="1079">
        <f t="shared" si="90"/>
        <v>7</v>
      </c>
      <c r="B2355" s="1079" t="s">
        <v>1362</v>
      </c>
      <c r="C2355" s="1079" t="str">
        <f t="shared" si="89"/>
        <v>Calha em alumínio - 94x94</v>
      </c>
      <c r="D2355" s="1079" t="s">
        <v>1409</v>
      </c>
      <c r="E2355" s="1080" t="str">
        <f>_xlfn.XLOOKUP(D2355,Insumos!$B$1:$B$670,Insumos!$C$1:$C$670)</f>
        <v>KG</v>
      </c>
      <c r="F2355" s="1083">
        <v>2.5000000000000001E-2</v>
      </c>
      <c r="G2355" s="1081">
        <f>IF(B2355="insumo",_xlfn.XLOOKUP($D2355,Insumos!$B$1:$B$670,Insumos!$D$1:$D$670),"")</f>
        <v>15.65</v>
      </c>
      <c r="H2355" s="1081" cm="1">
        <f t="array" ref="H2355">_xlfn.IFS(B2355="Serviço",SUMIFS(H2356:$H$2465,C2356:$C$2465,$C2355),B2355="Insumo",F2355*G2355,B2355="Etapa","")</f>
        <v>0.39125000000000004</v>
      </c>
      <c r="I2355" s="1082"/>
    </row>
    <row r="2356" spans="1:9" hidden="1" outlineLevel="2" x14ac:dyDescent="0.25">
      <c r="A2356" s="1079">
        <f t="shared" si="90"/>
        <v>7</v>
      </c>
      <c r="B2356" s="1079" t="s">
        <v>1362</v>
      </c>
      <c r="C2356" s="1079" t="str">
        <f t="shared" si="89"/>
        <v>Calha em alumínio - 94x94</v>
      </c>
      <c r="D2356" s="1079" t="s">
        <v>2354</v>
      </c>
      <c r="E2356" s="1080" t="str">
        <f>_xlfn.XLOOKUP(D2356,Insumos!$B$1:$B$670,Insumos!$C$1:$C$670)</f>
        <v>KG</v>
      </c>
      <c r="F2356" s="1083">
        <v>4.8999999999999998E-3</v>
      </c>
      <c r="G2356" s="1081">
        <f>IF(B2356="insumo",_xlfn.XLOOKUP($D2356,Insumos!$B$1:$B$670,Insumos!$D$1:$D$670),"")</f>
        <v>71.510000000000005</v>
      </c>
      <c r="H2356" s="1081" cm="1">
        <f t="array" ref="H2356">_xlfn.IFS(B2356="Serviço",SUMIFS(H2357:$H$2465,C2357:$C$2465,$C2356),B2356="Insumo",F2356*G2356,B2356="Etapa","")</f>
        <v>0.35039900000000002</v>
      </c>
      <c r="I2356" s="1082"/>
    </row>
    <row r="2357" spans="1:9" hidden="1" outlineLevel="2" x14ac:dyDescent="0.25">
      <c r="A2357" s="1079">
        <f t="shared" si="90"/>
        <v>8</v>
      </c>
      <c r="B2357" s="1079" t="s">
        <v>1362</v>
      </c>
      <c r="C2357" s="1079" t="str">
        <f t="shared" si="89"/>
        <v>Calha em alumínio - 94x94</v>
      </c>
      <c r="D2357" s="1079" t="s">
        <v>2156</v>
      </c>
      <c r="E2357" s="1080" t="str">
        <f>_xlfn.XLOOKUP(D2357,Insumos!$B$1:$B$670,Insumos!$C$1:$C$670)</f>
        <v>UN</v>
      </c>
      <c r="F2357" s="1083">
        <v>0.161</v>
      </c>
      <c r="G2357" s="1081">
        <f>IF(B2357="insumo",_xlfn.XLOOKUP($D2357,Insumos!$B$1:$B$670,Insumos!$D$1:$D$670),"")</f>
        <v>31.7</v>
      </c>
      <c r="H2357" s="1081" cm="1">
        <f t="array" ref="H2357">_xlfn.IFS(B2357="Serviço",SUMIFS(H2358:$H$2465,C2358:$C$2465,$C2357),B2357="Insumo",F2357*G2357,B2357="Etapa","")</f>
        <v>5.1036999999999999</v>
      </c>
      <c r="I2357" s="1082"/>
    </row>
    <row r="2358" spans="1:9" hidden="1" outlineLevel="2" x14ac:dyDescent="0.25">
      <c r="A2358" s="1079">
        <f t="shared" si="90"/>
        <v>7</v>
      </c>
      <c r="B2358" s="1079" t="s">
        <v>1362</v>
      </c>
      <c r="C2358" s="1079" t="str">
        <f t="shared" si="89"/>
        <v>Calha em alumínio - 94x94</v>
      </c>
      <c r="D2358" s="1079" t="s">
        <v>2355</v>
      </c>
      <c r="E2358" s="1080" t="str">
        <f>_xlfn.XLOOKUP(D2358,Insumos!$B$1:$B$670,Insumos!$C$1:$C$670)</f>
        <v>KG</v>
      </c>
      <c r="F2358" s="1083">
        <v>0.18</v>
      </c>
      <c r="G2358" s="1081">
        <f>IF(B2358="insumo",_xlfn.XLOOKUP($D2358,Insumos!$B$1:$B$670,Insumos!$D$1:$D$670),"")</f>
        <v>163.07</v>
      </c>
      <c r="H2358" s="1081" cm="1">
        <f t="array" ref="H2358">_xlfn.IFS(B2358="Serviço",SUMIFS(H2359:$H$2465,C2359:$C$2465,$C2358),B2358="Insumo",F2358*G2358,B2358="Etapa","")</f>
        <v>29.352599999999999</v>
      </c>
      <c r="I2358" s="1082"/>
    </row>
    <row r="2359" spans="1:9" hidden="1" outlineLevel="1" x14ac:dyDescent="0.25">
      <c r="A2359" s="1079">
        <f t="shared" si="90"/>
        <v>1</v>
      </c>
      <c r="B2359" s="1079" t="s">
        <v>471</v>
      </c>
      <c r="C2359" s="1079" t="str">
        <f t="shared" si="89"/>
        <v>Rufo em alumínio</v>
      </c>
      <c r="D2359" s="1079" t="s">
        <v>2365</v>
      </c>
      <c r="E2359" s="1080" t="s">
        <v>281</v>
      </c>
      <c r="F2359" s="1079"/>
      <c r="G2359" s="1081" t="str">
        <f>IF(B2359="insumo",_xlfn.XLOOKUP($D2359,Insumos!$B$1:$B$670,Insumos!$D$1:$D$670),"")</f>
        <v/>
      </c>
      <c r="H2359" s="1081" cm="1">
        <f t="array" ref="H2359">_xlfn.IFS(B2359="Serviço",SUMIFS(H2360:$H$2465,C2360:$C$2465,$C2359),B2359="Insumo",F2359*G2359,B2359="Etapa","")</f>
        <v>43.100562000000004</v>
      </c>
      <c r="I2359" s="1082" t="s">
        <v>872</v>
      </c>
    </row>
    <row r="2360" spans="1:9" hidden="1" outlineLevel="2" x14ac:dyDescent="0.25">
      <c r="A2360" s="1079">
        <f t="shared" si="90"/>
        <v>7</v>
      </c>
      <c r="B2360" s="1079" t="s">
        <v>1362</v>
      </c>
      <c r="C2360" s="1079" t="str">
        <f t="shared" si="89"/>
        <v>Rufo em alumínio</v>
      </c>
      <c r="D2360" s="1079" t="s">
        <v>2354</v>
      </c>
      <c r="E2360" s="1080" t="str">
        <f>_xlfn.XLOOKUP(D2360,Insumos!$B$1:$B$670,Insumos!$C$1:$C$670)</f>
        <v>KG</v>
      </c>
      <c r="F2360" s="1083">
        <v>1.1999999999999999E-3</v>
      </c>
      <c r="G2360" s="1081">
        <f>IF(B2360="insumo",_xlfn.XLOOKUP($D2360,Insumos!$B$1:$B$670,Insumos!$D$1:$D$670),"")</f>
        <v>71.510000000000005</v>
      </c>
      <c r="H2360" s="1081" cm="1">
        <f t="array" ref="H2360">_xlfn.IFS(B2360="Serviço",SUMIFS(H2361:$H$2465,C2361:$C$2465,$C2360),B2360="Insumo",F2360*G2360,B2360="Etapa","")</f>
        <v>8.5811999999999999E-2</v>
      </c>
      <c r="I2360" s="1082"/>
    </row>
    <row r="2361" spans="1:9" hidden="1" outlineLevel="2" x14ac:dyDescent="0.25">
      <c r="A2361" s="1079">
        <f t="shared" si="90"/>
        <v>1</v>
      </c>
      <c r="B2361" s="1079" t="s">
        <v>1362</v>
      </c>
      <c r="C2361" s="1079" t="str">
        <f t="shared" si="89"/>
        <v>Rufo em alumínio</v>
      </c>
      <c r="D2361" s="1079" t="s">
        <v>2366</v>
      </c>
      <c r="E2361" s="1080" t="str">
        <f>_xlfn.XLOOKUP(D2361,Insumos!$B$1:$B$670,Insumos!$C$1:$C$670)</f>
        <v>M</v>
      </c>
      <c r="F2361" s="1083">
        <v>1.05</v>
      </c>
      <c r="G2361" s="1081">
        <f>IF(B2361="insumo",_xlfn.XLOOKUP($D2361,Insumos!$B$1:$B$670,Insumos!$D$1:$D$670),"")</f>
        <v>28</v>
      </c>
      <c r="H2361" s="1081" cm="1">
        <f t="array" ref="H2361">_xlfn.IFS(B2361="Serviço",SUMIFS(H2362:$H$2465,C2362:$C$2465,$C2361),B2361="Insumo",F2361*G2361,B2361="Etapa","")</f>
        <v>29.400000000000002</v>
      </c>
      <c r="I2361" s="1082"/>
    </row>
    <row r="2362" spans="1:9" hidden="1" outlineLevel="2" x14ac:dyDescent="0.25">
      <c r="A2362" s="1079">
        <f t="shared" si="90"/>
        <v>8</v>
      </c>
      <c r="B2362" s="1079" t="s">
        <v>1362</v>
      </c>
      <c r="C2362" s="1079" t="str">
        <f t="shared" si="89"/>
        <v>Rufo em alumínio</v>
      </c>
      <c r="D2362" s="1079" t="s">
        <v>2156</v>
      </c>
      <c r="E2362" s="1080" t="str">
        <f>_xlfn.XLOOKUP(D2362,Insumos!$B$1:$B$670,Insumos!$C$1:$C$670)</f>
        <v>UN</v>
      </c>
      <c r="F2362" s="1083">
        <v>0.19800000000000001</v>
      </c>
      <c r="G2362" s="1081">
        <f>IF(B2362="insumo",_xlfn.XLOOKUP($D2362,Insumos!$B$1:$B$670,Insumos!$D$1:$D$670),"")</f>
        <v>31.7</v>
      </c>
      <c r="H2362" s="1081" cm="1">
        <f t="array" ref="H2362">_xlfn.IFS(B2362="Serviço",SUMIFS(H2363:$H$2465,C2363:$C$2465,$C2362),B2362="Insumo",F2362*G2362,B2362="Etapa","")</f>
        <v>6.2766000000000002</v>
      </c>
      <c r="I2362" s="1082"/>
    </row>
    <row r="2363" spans="1:9" hidden="1" outlineLevel="2" x14ac:dyDescent="0.25">
      <c r="A2363" s="1079">
        <f t="shared" si="90"/>
        <v>7</v>
      </c>
      <c r="B2363" s="1079" t="s">
        <v>1362</v>
      </c>
      <c r="C2363" s="1079" t="str">
        <f t="shared" si="89"/>
        <v>Rufo em alumínio</v>
      </c>
      <c r="D2363" s="1079" t="s">
        <v>2355</v>
      </c>
      <c r="E2363" s="1080" t="str">
        <f>_xlfn.XLOOKUP(D2363,Insumos!$B$1:$B$670,Insumos!$C$1:$C$670)</f>
        <v>KG</v>
      </c>
      <c r="F2363" s="1083">
        <v>4.4999999999999998E-2</v>
      </c>
      <c r="G2363" s="1081">
        <f>IF(B2363="insumo",_xlfn.XLOOKUP($D2363,Insumos!$B$1:$B$670,Insumos!$D$1:$D$670),"")</f>
        <v>163.07</v>
      </c>
      <c r="H2363" s="1081" cm="1">
        <f t="array" ref="H2363">_xlfn.IFS(B2363="Serviço",SUMIFS(H2364:$H$2465,C2364:$C$2465,$C2363),B2363="Insumo",F2363*G2363,B2363="Etapa","")</f>
        <v>7.3381499999999997</v>
      </c>
      <c r="I2363" s="1082"/>
    </row>
    <row r="2364" spans="1:9" hidden="1" outlineLevel="1" x14ac:dyDescent="0.25">
      <c r="A2364" s="1079">
        <f t="shared" si="90"/>
        <v>1</v>
      </c>
      <c r="B2364" s="1079" t="s">
        <v>471</v>
      </c>
      <c r="C2364" s="1079" t="str">
        <f t="shared" si="89"/>
        <v>Pilares metálicos</v>
      </c>
      <c r="D2364" s="1079" t="s">
        <v>2586</v>
      </c>
      <c r="E2364" s="1080" t="s">
        <v>491</v>
      </c>
      <c r="F2364" s="1079"/>
      <c r="G2364" s="1081" t="str">
        <f>IF(B2364="insumo",_xlfn.XLOOKUP($D2364,Insumos!$B$1:$B$670,Insumos!$D$1:$D$670),"")</f>
        <v/>
      </c>
      <c r="H2364" s="1081" cm="1">
        <f t="array" ref="H2364">_xlfn.IFS(B2364="Serviço",SUMIFS(H2365:$H$2465,C2365:$C$2465,$C2364),B2364="Insumo",F2364*G2364,B2364="Etapa","")</f>
        <v>382</v>
      </c>
      <c r="I2364" s="1082" t="s">
        <v>872</v>
      </c>
    </row>
    <row r="2365" spans="1:9" hidden="1" outlineLevel="2" x14ac:dyDescent="0.25">
      <c r="A2365" s="1079">
        <f t="shared" si="90"/>
        <v>3</v>
      </c>
      <c r="B2365" s="1079" t="s">
        <v>1362</v>
      </c>
      <c r="C2365" s="1079" t="str">
        <f t="shared" ref="C2365:C2374" si="91">IF(B2365="serviço",D2365,C2364)</f>
        <v>Pilares metálicos</v>
      </c>
      <c r="D2365" s="1079" t="s">
        <v>2369</v>
      </c>
      <c r="E2365" s="1080" t="s">
        <v>491</v>
      </c>
      <c r="F2365" s="1083">
        <v>1</v>
      </c>
      <c r="G2365" s="1083">
        <v>382</v>
      </c>
      <c r="H2365" s="1081" cm="1">
        <f t="array" ref="H2365">_xlfn.IFS(B2365="Serviço",SUMIFS(H2366:$H$2465,C2366:$C$2465,$C2365),B2365="Insumo",F2365*G2365,B2365="Etapa","")</f>
        <v>382</v>
      </c>
      <c r="I2365" s="1082"/>
    </row>
    <row r="2366" spans="1:9" hidden="1" outlineLevel="1" x14ac:dyDescent="0.25">
      <c r="A2366" s="1079">
        <f t="shared" si="90"/>
        <v>1</v>
      </c>
      <c r="B2366" s="1079" t="s">
        <v>471</v>
      </c>
      <c r="C2366" s="1079" t="str">
        <f t="shared" si="91"/>
        <v>Pergolado com 2 pilares sustentação</v>
      </c>
      <c r="D2366" s="1079" t="s">
        <v>2367</v>
      </c>
      <c r="E2366" s="1080" t="s">
        <v>491</v>
      </c>
      <c r="F2366" s="1079"/>
      <c r="G2366" s="1081" t="str">
        <f>IF(B2366="insumo",_xlfn.XLOOKUP($D2366,Insumos!$B$1:$B$670,Insumos!$D$1:$D$670),"")</f>
        <v/>
      </c>
      <c r="H2366" s="1081" cm="1">
        <f t="array" ref="H2366">_xlfn.IFS(B2366="Serviço",SUMIFS(H2367:$H$2465,C2367:$C$2465,$C2366),B2366="Insumo",F2366*G2366,B2366="Etapa","")</f>
        <v>1999.6986899563319</v>
      </c>
      <c r="I2366" s="1082" t="s">
        <v>872</v>
      </c>
    </row>
    <row r="2367" spans="1:9" hidden="1" outlineLevel="2" x14ac:dyDescent="0.25">
      <c r="A2367" s="1079">
        <f t="shared" si="90"/>
        <v>4</v>
      </c>
      <c r="B2367" s="1079" t="s">
        <v>1362</v>
      </c>
      <c r="C2367" s="1079" t="str">
        <f t="shared" si="91"/>
        <v>Pergolado com 2 pilares sustentação</v>
      </c>
      <c r="D2367" s="1079" t="s">
        <v>2338</v>
      </c>
      <c r="E2367" s="1080" t="s">
        <v>491</v>
      </c>
      <c r="F2367" s="1083">
        <v>1</v>
      </c>
      <c r="G2367" s="1083">
        <f>30657/27.48</f>
        <v>1115.6113537117903</v>
      </c>
      <c r="H2367" s="1081" cm="1">
        <f t="array" ref="H2367">_xlfn.IFS(B2367="Serviço",SUMIFS(H2368:$H$2465,C2368:$C$2465,$C2367),B2367="Insumo",F2367*G2367,B2367="Etapa","")</f>
        <v>1115.6113537117903</v>
      </c>
      <c r="I2367" s="1082"/>
    </row>
    <row r="2368" spans="1:9" hidden="1" outlineLevel="2" x14ac:dyDescent="0.25">
      <c r="A2368" s="1079">
        <f t="shared" si="90"/>
        <v>3</v>
      </c>
      <c r="B2368" s="1079" t="s">
        <v>1362</v>
      </c>
      <c r="C2368" s="1079" t="str">
        <f t="shared" si="91"/>
        <v>Pergolado com 2 pilares sustentação</v>
      </c>
      <c r="D2368" s="1079" t="s">
        <v>2368</v>
      </c>
      <c r="E2368" s="1080" t="s">
        <v>491</v>
      </c>
      <c r="F2368" s="1083">
        <v>1</v>
      </c>
      <c r="G2368" s="1083">
        <f>3300/27.48</f>
        <v>120.08733624454149</v>
      </c>
      <c r="H2368" s="1081" cm="1">
        <f t="array" ref="H2368">_xlfn.IFS(B2368="Serviço",SUMIFS(H2369:$H$2465,C2369:$C$2465,$C2368),B2368="Insumo",F2368*G2368,B2368="Etapa","")</f>
        <v>120.08733624454149</v>
      </c>
      <c r="I2368" s="1082"/>
    </row>
    <row r="2369" spans="1:9" hidden="1" outlineLevel="2" x14ac:dyDescent="0.25">
      <c r="A2369" s="1079">
        <f t="shared" si="90"/>
        <v>3</v>
      </c>
      <c r="B2369" s="1079" t="s">
        <v>1362</v>
      </c>
      <c r="C2369" s="1079" t="str">
        <f t="shared" si="91"/>
        <v>Pergolado com 2 pilares sustentação</v>
      </c>
      <c r="D2369" s="1079" t="s">
        <v>2369</v>
      </c>
      <c r="E2369" s="1080" t="s">
        <v>491</v>
      </c>
      <c r="F2369" s="1083">
        <v>2</v>
      </c>
      <c r="G2369" s="1083">
        <v>382</v>
      </c>
      <c r="H2369" s="1081" cm="1">
        <f t="array" ref="H2369">_xlfn.IFS(B2369="Serviço",SUMIFS(H2370:$H$2465,C2370:$C$2465,$C2369),B2369="Insumo",F2369*G2369,B2369="Etapa","")</f>
        <v>764</v>
      </c>
      <c r="I2369" s="1082"/>
    </row>
    <row r="2370" spans="1:9" hidden="1" outlineLevel="1" collapsed="1" x14ac:dyDescent="0.25">
      <c r="A2370" s="1079">
        <f t="shared" ref="A2370:A2433" si="92">COUNTIFS($D$2:$D$2465,D2370,$B$2:$B$2465,B2370)</f>
        <v>1</v>
      </c>
      <c r="B2370" s="1079" t="s">
        <v>471</v>
      </c>
      <c r="C2370" s="1079" t="str">
        <f t="shared" si="91"/>
        <v>Pergolado com 4 pilares sustentação</v>
      </c>
      <c r="D2370" s="1079" t="s">
        <v>2370</v>
      </c>
      <c r="E2370" s="1080" t="s">
        <v>491</v>
      </c>
      <c r="F2370" s="1079"/>
      <c r="G2370" s="1079"/>
      <c r="H2370" s="1081" cm="1">
        <f t="array" ref="H2370">_xlfn.IFS(B2370="Serviço",SUMIFS(H2371:$H$2465,C2371:$C$2465,$C2370),B2370="Insumo",F2370*G2370,B2370="Etapa","")</f>
        <v>2763.6986899563317</v>
      </c>
      <c r="I2370" s="1082" t="s">
        <v>872</v>
      </c>
    </row>
    <row r="2371" spans="1:9" hidden="1" outlineLevel="2" x14ac:dyDescent="0.25">
      <c r="A2371" s="1079">
        <f t="shared" si="92"/>
        <v>4</v>
      </c>
      <c r="B2371" s="1079" t="s">
        <v>1362</v>
      </c>
      <c r="C2371" s="1079" t="str">
        <f t="shared" si="91"/>
        <v>Pergolado com 4 pilares sustentação</v>
      </c>
      <c r="D2371" s="1079" t="s">
        <v>2338</v>
      </c>
      <c r="E2371" s="1080" t="s">
        <v>491</v>
      </c>
      <c r="F2371" s="1083">
        <v>1</v>
      </c>
      <c r="G2371" s="1083">
        <f>30657/27.48</f>
        <v>1115.6113537117903</v>
      </c>
      <c r="H2371" s="1083" cm="1">
        <f t="array" ref="H2371">_xlfn.IFS(B2371="Serviço",SUMIFS(H2372:$H$2465,C2372:$C$2465,$C2371),B2371="Insumo",F2371*G2371,B2371="Etapa","")</f>
        <v>1115.6113537117903</v>
      </c>
      <c r="I2371" s="1082"/>
    </row>
    <row r="2372" spans="1:9" hidden="1" outlineLevel="2" x14ac:dyDescent="0.25">
      <c r="A2372" s="1079">
        <f t="shared" si="92"/>
        <v>3</v>
      </c>
      <c r="B2372" s="1079" t="s">
        <v>1362</v>
      </c>
      <c r="C2372" s="1079" t="str">
        <f t="shared" si="91"/>
        <v>Pergolado com 4 pilares sustentação</v>
      </c>
      <c r="D2372" s="1079" t="s">
        <v>2368</v>
      </c>
      <c r="E2372" s="1080" t="s">
        <v>491</v>
      </c>
      <c r="F2372" s="1083">
        <v>1</v>
      </c>
      <c r="G2372" s="1083">
        <f>3300/27.48</f>
        <v>120.08733624454149</v>
      </c>
      <c r="H2372" s="1083" cm="1">
        <f t="array" ref="H2372">_xlfn.IFS(B2372="Serviço",SUMIFS(H2373:$H$2465,C2373:$C$2465,$C2372),B2372="Insumo",F2372*G2372,B2372="Etapa","")</f>
        <v>120.08733624454149</v>
      </c>
      <c r="I2372" s="1082"/>
    </row>
    <row r="2373" spans="1:9" hidden="1" outlineLevel="2" x14ac:dyDescent="0.25">
      <c r="A2373" s="1079">
        <f t="shared" si="92"/>
        <v>3</v>
      </c>
      <c r="B2373" s="1079" t="s">
        <v>1362</v>
      </c>
      <c r="C2373" s="1079" t="str">
        <f t="shared" si="91"/>
        <v>Pergolado com 4 pilares sustentação</v>
      </c>
      <c r="D2373" s="1079" t="s">
        <v>2369</v>
      </c>
      <c r="E2373" s="1080" t="s">
        <v>491</v>
      </c>
      <c r="F2373" s="1083">
        <v>4</v>
      </c>
      <c r="G2373" s="1083">
        <v>382</v>
      </c>
      <c r="H2373" s="1083" cm="1">
        <f t="array" ref="H2373">_xlfn.IFS(B2373="Serviço",SUMIFS(H2374:$H$2465,C2374:$C$2465,$C2373),B2373="Insumo",F2373*G2373,B2373="Etapa","")</f>
        <v>1528</v>
      </c>
      <c r="I2373" s="1082"/>
    </row>
    <row r="2374" spans="1:9" hidden="1" outlineLevel="1" collapsed="1" x14ac:dyDescent="0.25">
      <c r="A2374" s="1079">
        <f t="shared" si="92"/>
        <v>1</v>
      </c>
      <c r="B2374" s="1079" t="s">
        <v>471</v>
      </c>
      <c r="C2374" s="1079" t="str">
        <f t="shared" si="91"/>
        <v>Pergolado sem pilares sustentação</v>
      </c>
      <c r="D2374" s="1079" t="s">
        <v>2371</v>
      </c>
      <c r="E2374" s="1080" t="s">
        <v>491</v>
      </c>
      <c r="F2374" s="1079"/>
      <c r="G2374" s="1079"/>
      <c r="H2374" s="1079" cm="1">
        <f t="array" ref="H2374">_xlfn.IFS(B2374="Serviço",SUMIFS(H2375:$H$2465,C2375:$C$2465,$C2374),B2374="Insumo",F2374*G2374,B2374="Etapa","")</f>
        <v>1235.6986899563319</v>
      </c>
      <c r="I2374" s="1082" t="s">
        <v>872</v>
      </c>
    </row>
    <row r="2375" spans="1:9" hidden="1" outlineLevel="2" x14ac:dyDescent="0.25">
      <c r="A2375" s="1079">
        <f t="shared" si="92"/>
        <v>4</v>
      </c>
      <c r="B2375" s="1079" t="s">
        <v>1362</v>
      </c>
      <c r="C2375" s="1079" t="str">
        <f t="shared" ref="C2375:C2378" si="93">IF(B2375="serviço",D2375,C2374)</f>
        <v>Pergolado sem pilares sustentação</v>
      </c>
      <c r="D2375" s="1079" t="s">
        <v>2338</v>
      </c>
      <c r="E2375" s="1080" t="s">
        <v>491</v>
      </c>
      <c r="F2375" s="1083">
        <v>1</v>
      </c>
      <c r="G2375" s="1083">
        <f>30657/27.48</f>
        <v>1115.6113537117903</v>
      </c>
      <c r="H2375" s="1083" cm="1">
        <f t="array" ref="H2375">_xlfn.IFS(B2375="Serviço",SUMIFS(H2376:$H$2465,C2376:$C$2465,$C2375),B2375="Insumo",F2375*G2375,B2375="Etapa","")</f>
        <v>1115.6113537117903</v>
      </c>
      <c r="I2375" s="1082"/>
    </row>
    <row r="2376" spans="1:9" hidden="1" outlineLevel="2" x14ac:dyDescent="0.25">
      <c r="A2376" s="1079">
        <f t="shared" si="92"/>
        <v>3</v>
      </c>
      <c r="B2376" s="1079" t="s">
        <v>1362</v>
      </c>
      <c r="C2376" s="1079" t="str">
        <f t="shared" si="93"/>
        <v>Pergolado sem pilares sustentação</v>
      </c>
      <c r="D2376" s="1079" t="s">
        <v>2368</v>
      </c>
      <c r="E2376" s="1080" t="s">
        <v>491</v>
      </c>
      <c r="F2376" s="1083">
        <v>1</v>
      </c>
      <c r="G2376" s="1083">
        <f>3300/27.48</f>
        <v>120.08733624454149</v>
      </c>
      <c r="H2376" s="1083" cm="1">
        <f t="array" ref="H2376">_xlfn.IFS(B2376="Serviço",SUMIFS(H2377:$H$2465,C2377:$C$2465,$C2376),B2376="Insumo",F2376*G2376,B2376="Etapa","")</f>
        <v>120.08733624454149</v>
      </c>
      <c r="I2376" s="1082"/>
    </row>
    <row r="2377" spans="1:9" hidden="1" outlineLevel="1" collapsed="1" x14ac:dyDescent="0.25">
      <c r="A2377" s="1079">
        <f t="shared" si="92"/>
        <v>1</v>
      </c>
      <c r="B2377" s="1079" t="s">
        <v>471</v>
      </c>
      <c r="C2377" s="1079" t="str">
        <f t="shared" si="93"/>
        <v>Mão de obra coberturas</v>
      </c>
      <c r="D2377" s="1079" t="s">
        <v>2372</v>
      </c>
      <c r="E2377" s="1080" t="s">
        <v>17</v>
      </c>
      <c r="F2377" s="1083"/>
      <c r="G2377" s="1081" t="str">
        <f>IF(B2377="insumo",_xlfn.XLOOKUP($D2377,Insumos!$B$1:$B$670,Insumos!$D$1:$D$670),"")</f>
        <v/>
      </c>
      <c r="H2377" s="1081" cm="1">
        <f t="array" ref="H2377">_xlfn.IFS(B2377="Serviço",SUMIFS(H2378:$H$2465,C2378:$C$2465,$C2377),B2377="Insumo",F2377*G2377,B2377="Etapa","")</f>
        <v>220</v>
      </c>
      <c r="I2377" s="1082" t="s">
        <v>872</v>
      </c>
    </row>
    <row r="2378" spans="1:9" hidden="1" outlineLevel="2" x14ac:dyDescent="0.25">
      <c r="A2378" s="1079">
        <f t="shared" si="92"/>
        <v>1</v>
      </c>
      <c r="B2378" s="1079" t="s">
        <v>1362</v>
      </c>
      <c r="C2378" s="1079" t="str">
        <f t="shared" si="93"/>
        <v>Mão de obra coberturas</v>
      </c>
      <c r="D2378" s="1079" t="s">
        <v>2372</v>
      </c>
      <c r="E2378" s="1080" t="str">
        <f>_xlfn.XLOOKUP(D2378,Insumos!$B$1:$B$670,Insumos!$C$1:$C$670)</f>
        <v>M2</v>
      </c>
      <c r="F2378" s="1083">
        <v>1</v>
      </c>
      <c r="G2378" s="1081">
        <f>IF(B2378="insumo",_xlfn.XLOOKUP($D2378,Insumos!$B$1:$B$670,Insumos!$D$1:$D$670),"")</f>
        <v>220</v>
      </c>
      <c r="H2378" s="1081" cm="1">
        <f t="array" ref="H2378">_xlfn.IFS(B2378="Serviço",SUMIFS(H2379:$H$2465,C2379:$C$2465,$C2378),B2378="Insumo",F2378*G2378,B2378="Etapa","")</f>
        <v>220</v>
      </c>
      <c r="I2378" s="1082"/>
    </row>
    <row r="2379" spans="1:9" collapsed="1" x14ac:dyDescent="0.25">
      <c r="A2379" s="1076">
        <f t="shared" si="92"/>
        <v>1</v>
      </c>
      <c r="B2379" s="1076" t="s">
        <v>469</v>
      </c>
      <c r="C2379" s="1076"/>
      <c r="D2379" s="1076" t="s">
        <v>2373</v>
      </c>
      <c r="E2379" s="1077"/>
      <c r="F2379" s="1078"/>
      <c r="G2379" s="1084" t="str">
        <f>IF(B2379="insumo",_xlfn.XLOOKUP($D2379,Insumos!$B$1:$B$670,Insumos!$D$1:$D$670),"")</f>
        <v/>
      </c>
      <c r="H2379" s="1084" t="str" cm="1">
        <f t="array" ref="H2379">_xlfn.IFS(B2379="Serviço",SUMIFS(H2380:$H$2465,C2380:$C$2465,$C2379),B2379="Insumo",F2379*G2379,B2379="Etapa","")</f>
        <v/>
      </c>
      <c r="I2379" s="1078"/>
    </row>
    <row r="2380" spans="1:9" hidden="1" outlineLevel="1" collapsed="1" x14ac:dyDescent="0.25">
      <c r="A2380" s="1079">
        <f t="shared" si="92"/>
        <v>1</v>
      </c>
      <c r="B2380" s="1079" t="s">
        <v>471</v>
      </c>
      <c r="C2380" s="1079" t="str">
        <f t="shared" ref="C2380:C2449" si="94">IF(B2380="serviço",D2380,C2379)</f>
        <v>Execução Rede Elétrica  (Produtividade 300m/dia)</v>
      </c>
      <c r="D2380" s="1079" t="s">
        <v>2374</v>
      </c>
      <c r="E2380" s="1080" t="s">
        <v>281</v>
      </c>
      <c r="F2380" s="1079"/>
      <c r="G2380" s="1081" t="str">
        <f>IF(B2380="insumo",_xlfn.XLOOKUP($D2380,Insumos!$B$1:$B$670,Insumos!$D$1:$D$670),"")</f>
        <v/>
      </c>
      <c r="H2380" s="1081" cm="1">
        <f t="array" ref="H2380">_xlfn.IFS(B2380="Serviço",SUMIFS(H2381:$H$2465,C2381:$C$2465,$C2380),B2380="Insumo",F2380*G2380,B2380="Etapa","")</f>
        <v>7.3972999999999995</v>
      </c>
      <c r="I2380" s="1082" t="s">
        <v>872</v>
      </c>
    </row>
    <row r="2381" spans="1:9" hidden="1" outlineLevel="2" x14ac:dyDescent="0.25">
      <c r="A2381" s="1079">
        <f t="shared" si="92"/>
        <v>4</v>
      </c>
      <c r="B2381" s="1079" t="s">
        <v>1362</v>
      </c>
      <c r="C2381" s="1079" t="str">
        <f t="shared" si="94"/>
        <v>Execução Rede Elétrica  (Produtividade 300m/dia)</v>
      </c>
      <c r="D2381" s="1079" t="s">
        <v>2375</v>
      </c>
      <c r="E2381" s="1080" t="str">
        <f>_xlfn.XLOOKUP(D2381,Insumos!$B$1:$B$670,Insumos!$C$1:$C$670)</f>
        <v>MÊS</v>
      </c>
      <c r="F2381" s="1083">
        <v>5.4700000000000007E-4</v>
      </c>
      <c r="G2381" s="1081">
        <f>IF(B2381="insumo",_xlfn.XLOOKUP($D2381,Insumos!$B$1:$B$670,Insumos!$D$1:$D$670),"")</f>
        <v>1500</v>
      </c>
      <c r="H2381" s="1081" cm="1">
        <f t="array" ref="H2381">_xlfn.IFS(B2381="Serviço",SUMIFS(H2382:$H$2465,C2382:$C$2465,$C2381),B2381="Insumo",F2381*G2381,B2381="Etapa","")</f>
        <v>0.82050000000000012</v>
      </c>
      <c r="I2381" s="1082"/>
    </row>
    <row r="2382" spans="1:9" hidden="1" outlineLevel="2" x14ac:dyDescent="0.25">
      <c r="A2382" s="1079">
        <f t="shared" si="92"/>
        <v>4</v>
      </c>
      <c r="B2382" s="1079" t="s">
        <v>1362</v>
      </c>
      <c r="C2382" s="1079" t="str">
        <f t="shared" si="94"/>
        <v>Execução Rede Elétrica  (Produtividade 300m/dia)</v>
      </c>
      <c r="D2382" s="1079" t="s">
        <v>2376</v>
      </c>
      <c r="E2382" s="1080" t="str">
        <f>_xlfn.XLOOKUP(D2382,Insumos!$B$1:$B$670,Insumos!$C$1:$C$670)</f>
        <v>MÊS</v>
      </c>
      <c r="F2382" s="1083">
        <v>2.5700000000000001E-4</v>
      </c>
      <c r="G2382" s="1081">
        <f>IF(B2382="insumo",_xlfn.XLOOKUP($D2382,Insumos!$B$1:$B$670,Insumos!$D$1:$D$670),"")</f>
        <v>3200</v>
      </c>
      <c r="H2382" s="1081" cm="1">
        <f t="array" ref="H2382">_xlfn.IFS(B2382="Serviço",SUMIFS(H2383:$H$2465,C2383:$C$2465,$C2382),B2382="Insumo",F2382*G2382,B2382="Etapa","")</f>
        <v>0.82240000000000002</v>
      </c>
      <c r="I2382" s="1082"/>
    </row>
    <row r="2383" spans="1:9" hidden="1" outlineLevel="2" x14ac:dyDescent="0.25">
      <c r="A2383" s="1079">
        <f t="shared" si="92"/>
        <v>7</v>
      </c>
      <c r="B2383" s="1079" t="s">
        <v>1362</v>
      </c>
      <c r="C2383" s="1079" t="str">
        <f t="shared" si="94"/>
        <v>Execução Rede Elétrica  (Produtividade 300m/dia)</v>
      </c>
      <c r="D2383" s="1079" t="s">
        <v>2377</v>
      </c>
      <c r="E2383" s="1080" t="str">
        <f>_xlfn.XLOOKUP(D2383,Insumos!$B$1:$B$670,Insumos!$C$1:$C$670)</f>
        <v>MÊS</v>
      </c>
      <c r="F2383" s="1083">
        <v>3.57E-4</v>
      </c>
      <c r="G2383" s="1081">
        <f>IF(B2383="insumo",_xlfn.XLOOKUP($D2383,Insumos!$B$1:$B$670,Insumos!$D$1:$D$670),"")</f>
        <v>3450</v>
      </c>
      <c r="H2383" s="1081" cm="1">
        <f t="array" ref="H2383">_xlfn.IFS(B2383="Serviço",SUMIFS(H2384:$H$2465,C2384:$C$2465,$C2383),B2383="Insumo",F2383*G2383,B2383="Etapa","")</f>
        <v>1.2316499999999999</v>
      </c>
      <c r="I2383" s="1082"/>
    </row>
    <row r="2384" spans="1:9" hidden="1" outlineLevel="2" x14ac:dyDescent="0.25">
      <c r="A2384" s="1079">
        <f t="shared" si="92"/>
        <v>4</v>
      </c>
      <c r="B2384" s="1079" t="s">
        <v>1362</v>
      </c>
      <c r="C2384" s="1079" t="str">
        <f t="shared" si="94"/>
        <v>Execução Rede Elétrica  (Produtividade 300m/dia)</v>
      </c>
      <c r="D2384" s="1079" t="s">
        <v>2378</v>
      </c>
      <c r="E2384" s="1080" t="str">
        <f>_xlfn.XLOOKUP(D2384,Insumos!$B$1:$B$670,Insumos!$C$1:$C$670)</f>
        <v>MÊS</v>
      </c>
      <c r="F2384" s="1083">
        <v>2.4600000000000002E-4</v>
      </c>
      <c r="G2384" s="1081">
        <f>IF(B2384="insumo",_xlfn.XLOOKUP($D2384,Insumos!$B$1:$B$670,Insumos!$D$1:$D$670),"")</f>
        <v>5000</v>
      </c>
      <c r="H2384" s="1081" cm="1">
        <f t="array" ref="H2384">_xlfn.IFS(B2384="Serviço",SUMIFS(H2385:$H$2465,C2385:$C$2465,$C2384),B2384="Insumo",F2384*G2384,B2384="Etapa","")</f>
        <v>1.23</v>
      </c>
      <c r="I2384" s="1082"/>
    </row>
    <row r="2385" spans="1:9" hidden="1" outlineLevel="2" x14ac:dyDescent="0.25">
      <c r="A2385" s="1079">
        <f t="shared" si="92"/>
        <v>4</v>
      </c>
      <c r="B2385" s="1079" t="s">
        <v>1362</v>
      </c>
      <c r="C2385" s="1079" t="str">
        <f t="shared" si="94"/>
        <v>Execução Rede Elétrica  (Produtividade 300m/dia)</v>
      </c>
      <c r="D2385" s="1079" t="s">
        <v>2379</v>
      </c>
      <c r="E2385" s="1080" t="str">
        <f>_xlfn.XLOOKUP(D2385,Insumos!$B$1:$B$670,Insumos!$C$1:$C$670)</f>
        <v>MÊS</v>
      </c>
      <c r="F2385" s="1083">
        <v>1.8100000000000001E-4</v>
      </c>
      <c r="G2385" s="1081">
        <f>IF(B2385="insumo",_xlfn.XLOOKUP($D2385,Insumos!$B$1:$B$670,Insumos!$D$1:$D$670),"")</f>
        <v>4550</v>
      </c>
      <c r="H2385" s="1081" cm="1">
        <f t="array" ref="H2385">_xlfn.IFS(B2385="Serviço",SUMIFS(H2386:$H$2465,C2386:$C$2465,$C2385),B2385="Insumo",F2385*G2385,B2385="Etapa","")</f>
        <v>0.82355</v>
      </c>
      <c r="I2385" s="1082"/>
    </row>
    <row r="2386" spans="1:9" hidden="1" outlineLevel="2" x14ac:dyDescent="0.25">
      <c r="A2386" s="1079">
        <f t="shared" si="92"/>
        <v>4</v>
      </c>
      <c r="B2386" s="1079" t="s">
        <v>1362</v>
      </c>
      <c r="C2386" s="1079" t="str">
        <f t="shared" si="94"/>
        <v>Execução Rede Elétrica  (Produtividade 300m/dia)</v>
      </c>
      <c r="D2386" s="1079" t="s">
        <v>2380</v>
      </c>
      <c r="E2386" s="1080" t="str">
        <f>_xlfn.XLOOKUP(D2386,Insumos!$B$1:$B$670,Insumos!$C$1:$C$670)</f>
        <v>MÊS</v>
      </c>
      <c r="F2386" s="1083">
        <v>3.9199999999999999E-4</v>
      </c>
      <c r="G2386" s="1081">
        <f>IF(B2386="insumo",_xlfn.XLOOKUP($D2386,Insumos!$B$1:$B$670,Insumos!$D$1:$D$670),"")</f>
        <v>4200</v>
      </c>
      <c r="H2386" s="1081" cm="1">
        <f t="array" ref="H2386">_xlfn.IFS(B2386="Serviço",SUMIFS(H2387:$H$2465,C2387:$C$2465,$C2386),B2386="Insumo",F2386*G2386,B2386="Etapa","")</f>
        <v>1.6463999999999999</v>
      </c>
      <c r="I2386" s="1082"/>
    </row>
    <row r="2387" spans="1:9" hidden="1" outlineLevel="2" x14ac:dyDescent="0.25">
      <c r="A2387" s="1079">
        <f t="shared" si="92"/>
        <v>4</v>
      </c>
      <c r="B2387" s="1079" t="s">
        <v>1362</v>
      </c>
      <c r="C2387" s="1079" t="str">
        <f t="shared" si="94"/>
        <v>Execução Rede Elétrica  (Produtividade 300m/dia)</v>
      </c>
      <c r="D2387" s="1079" t="s">
        <v>2381</v>
      </c>
      <c r="E2387" s="1080" t="str">
        <f>_xlfn.XLOOKUP(D2387,Insumos!$B$1:$B$670,Insumos!$C$1:$C$670)</f>
        <v>MÊS</v>
      </c>
      <c r="F2387" s="1083">
        <v>2.42E-4</v>
      </c>
      <c r="G2387" s="1081">
        <f>IF(B2387="insumo",_xlfn.XLOOKUP($D2387,Insumos!$B$1:$B$670,Insumos!$D$1:$D$670),"")</f>
        <v>3400</v>
      </c>
      <c r="H2387" s="1081" cm="1">
        <f t="array" ref="H2387">_xlfn.IFS(B2387="Serviço",SUMIFS(H2388:$H$2465,C2388:$C$2465,$C2387),B2387="Insumo",F2387*G2387,B2387="Etapa","")</f>
        <v>0.82279999999999998</v>
      </c>
      <c r="I2387" s="1082"/>
    </row>
    <row r="2388" spans="1:9" hidden="1" outlineLevel="1" collapsed="1" x14ac:dyDescent="0.25">
      <c r="A2388" s="1079">
        <f t="shared" si="92"/>
        <v>1</v>
      </c>
      <c r="B2388" s="1079" t="s">
        <v>471</v>
      </c>
      <c r="C2388" s="1079" t="str">
        <f t="shared" si="94"/>
        <v>Execução Rede de Drenagem  (Produtividade 200m/dia)</v>
      </c>
      <c r="D2388" s="1079" t="s">
        <v>2382</v>
      </c>
      <c r="E2388" s="1080" t="s">
        <v>281</v>
      </c>
      <c r="F2388" s="1079"/>
      <c r="G2388" s="1081" t="str">
        <f>IF(B2388="insumo",_xlfn.XLOOKUP($D2388,Insumos!$B$1:$B$670,Insumos!$D$1:$D$670),"")</f>
        <v/>
      </c>
      <c r="H2388" s="1081" cm="1">
        <f t="array" ref="H2388">_xlfn.IFS(B2388="Serviço",SUMIFS(H2389:$H$2465,C2389:$C$2465,$C2388),B2388="Insumo",F2388*G2388,B2388="Etapa","")</f>
        <v>9.8455000000000013</v>
      </c>
      <c r="I2388" s="1082" t="s">
        <v>872</v>
      </c>
    </row>
    <row r="2389" spans="1:9" hidden="1" outlineLevel="2" x14ac:dyDescent="0.25">
      <c r="A2389" s="1079">
        <f t="shared" si="92"/>
        <v>4</v>
      </c>
      <c r="B2389" s="1079" t="s">
        <v>1362</v>
      </c>
      <c r="C2389" s="1079" t="str">
        <f t="shared" si="94"/>
        <v>Execução Rede de Drenagem  (Produtividade 200m/dia)</v>
      </c>
      <c r="D2389" s="1079" t="s">
        <v>2375</v>
      </c>
      <c r="E2389" s="1080" t="str">
        <f>_xlfn.XLOOKUP(D2389,Insumos!$B$1:$B$670,Insumos!$C$1:$C$670)</f>
        <v>MÊS</v>
      </c>
      <c r="F2389" s="1083">
        <v>8.1999999999999998E-4</v>
      </c>
      <c r="G2389" s="1081">
        <f>IF(B2389="insumo",_xlfn.XLOOKUP($D2389,Insumos!$B$1:$B$670,Insumos!$D$1:$D$670),"")</f>
        <v>1500</v>
      </c>
      <c r="H2389" s="1081" cm="1">
        <f t="array" ref="H2389">_xlfn.IFS(B2389="Serviço",SUMIFS(H2390:$H$2465,C2390:$C$2465,$C2389),B2389="Insumo",F2389*G2389,B2389="Etapa","")</f>
        <v>1.23</v>
      </c>
      <c r="I2389" s="1082"/>
    </row>
    <row r="2390" spans="1:9" hidden="1" outlineLevel="2" x14ac:dyDescent="0.25">
      <c r="A2390" s="1079">
        <f t="shared" si="92"/>
        <v>4</v>
      </c>
      <c r="B2390" s="1079" t="s">
        <v>1362</v>
      </c>
      <c r="C2390" s="1079" t="str">
        <f t="shared" si="94"/>
        <v>Execução Rede de Drenagem  (Produtividade 200m/dia)</v>
      </c>
      <c r="D2390" s="1079" t="s">
        <v>2376</v>
      </c>
      <c r="E2390" s="1080" t="str">
        <f>_xlfn.XLOOKUP(D2390,Insumos!$B$1:$B$670,Insumos!$C$1:$C$670)</f>
        <v>MÊS</v>
      </c>
      <c r="F2390" s="1083">
        <v>3.8400000000000001E-4</v>
      </c>
      <c r="G2390" s="1081">
        <f>IF(B2390="insumo",_xlfn.XLOOKUP($D2390,Insumos!$B$1:$B$670,Insumos!$D$1:$D$670),"")</f>
        <v>3200</v>
      </c>
      <c r="H2390" s="1081" cm="1">
        <f t="array" ref="H2390">_xlfn.IFS(B2390="Serviço",SUMIFS(H2391:$H$2465,C2391:$C$2465,$C2390),B2390="Insumo",F2390*G2390,B2390="Etapa","")</f>
        <v>1.2288000000000001</v>
      </c>
      <c r="I2390" s="1082"/>
    </row>
    <row r="2391" spans="1:9" hidden="1" outlineLevel="2" x14ac:dyDescent="0.25">
      <c r="A2391" s="1079">
        <f t="shared" si="92"/>
        <v>7</v>
      </c>
      <c r="B2391" s="1079" t="s">
        <v>1362</v>
      </c>
      <c r="C2391" s="1079" t="str">
        <f t="shared" si="94"/>
        <v>Execução Rede de Drenagem  (Produtividade 200m/dia)</v>
      </c>
      <c r="D2391" s="1079" t="s">
        <v>2377</v>
      </c>
      <c r="E2391" s="1080" t="str">
        <f>_xlfn.XLOOKUP(D2391,Insumos!$B$1:$B$670,Insumos!$C$1:$C$670)</f>
        <v>MÊS</v>
      </c>
      <c r="F2391" s="1083">
        <v>3.57E-4</v>
      </c>
      <c r="G2391" s="1081">
        <f>IF(B2391="insumo",_xlfn.XLOOKUP($D2391,Insumos!$B$1:$B$670,Insumos!$D$1:$D$670),"")</f>
        <v>3450</v>
      </c>
      <c r="H2391" s="1081" cm="1">
        <f t="array" ref="H2391">_xlfn.IFS(B2391="Serviço",SUMIFS(H2392:$H$2465,C2392:$C$2465,$C2391),B2391="Insumo",F2391*G2391,B2391="Etapa","")</f>
        <v>1.2316499999999999</v>
      </c>
      <c r="I2391" s="1082"/>
    </row>
    <row r="2392" spans="1:9" hidden="1" outlineLevel="2" x14ac:dyDescent="0.25">
      <c r="A2392" s="1079">
        <f t="shared" si="92"/>
        <v>4</v>
      </c>
      <c r="B2392" s="1079" t="s">
        <v>1362</v>
      </c>
      <c r="C2392" s="1079" t="str">
        <f t="shared" si="94"/>
        <v>Execução Rede de Drenagem  (Produtividade 200m/dia)</v>
      </c>
      <c r="D2392" s="1079" t="s">
        <v>2378</v>
      </c>
      <c r="E2392" s="1080" t="str">
        <f>_xlfn.XLOOKUP(D2392,Insumos!$B$1:$B$670,Insumos!$C$1:$C$670)</f>
        <v>MÊS</v>
      </c>
      <c r="F2392" s="1083">
        <v>2.4600000000000002E-4</v>
      </c>
      <c r="G2392" s="1081">
        <f>IF(B2392="insumo",_xlfn.XLOOKUP($D2392,Insumos!$B$1:$B$670,Insumos!$D$1:$D$670),"")</f>
        <v>5000</v>
      </c>
      <c r="H2392" s="1081" cm="1">
        <f t="array" ref="H2392">_xlfn.IFS(B2392="Serviço",SUMIFS(H2393:$H$2465,C2393:$C$2465,$C2392),B2392="Insumo",F2392*G2392,B2392="Etapa","")</f>
        <v>1.23</v>
      </c>
      <c r="I2392" s="1082"/>
    </row>
    <row r="2393" spans="1:9" hidden="1" outlineLevel="2" x14ac:dyDescent="0.25">
      <c r="A2393" s="1079">
        <f t="shared" si="92"/>
        <v>4</v>
      </c>
      <c r="B2393" s="1079" t="s">
        <v>1362</v>
      </c>
      <c r="C2393" s="1079" t="str">
        <f t="shared" si="94"/>
        <v>Execução Rede de Drenagem  (Produtividade 200m/dia)</v>
      </c>
      <c r="D2393" s="1079" t="s">
        <v>2379</v>
      </c>
      <c r="E2393" s="1080" t="str">
        <f>_xlfn.XLOOKUP(D2393,Insumos!$B$1:$B$670,Insumos!$C$1:$C$670)</f>
        <v>MÊS</v>
      </c>
      <c r="F2393" s="1083">
        <v>2.7100000000000003E-4</v>
      </c>
      <c r="G2393" s="1081">
        <f>IF(B2393="insumo",_xlfn.XLOOKUP($D2393,Insumos!$B$1:$B$670,Insumos!$D$1:$D$670),"")</f>
        <v>4550</v>
      </c>
      <c r="H2393" s="1081" cm="1">
        <f t="array" ref="H2393">_xlfn.IFS(B2393="Serviço",SUMIFS(H2394:$H$2465,C2394:$C$2465,$C2393),B2393="Insumo",F2393*G2393,B2393="Etapa","")</f>
        <v>1.2330500000000002</v>
      </c>
      <c r="I2393" s="1082"/>
    </row>
    <row r="2394" spans="1:9" hidden="1" outlineLevel="2" x14ac:dyDescent="0.25">
      <c r="A2394" s="1079">
        <f t="shared" si="92"/>
        <v>4</v>
      </c>
      <c r="B2394" s="1079" t="s">
        <v>1362</v>
      </c>
      <c r="C2394" s="1079" t="str">
        <f t="shared" si="94"/>
        <v>Execução Rede de Drenagem  (Produtividade 200m/dia)</v>
      </c>
      <c r="D2394" s="1079" t="s">
        <v>2380</v>
      </c>
      <c r="E2394" s="1080" t="str">
        <f>_xlfn.XLOOKUP(D2394,Insumos!$B$1:$B$670,Insumos!$C$1:$C$670)</f>
        <v>MÊS</v>
      </c>
      <c r="F2394" s="1083">
        <v>5.8600000000000004E-4</v>
      </c>
      <c r="G2394" s="1081">
        <f>IF(B2394="insumo",_xlfn.XLOOKUP($D2394,Insumos!$B$1:$B$670,Insumos!$D$1:$D$670),"")</f>
        <v>4200</v>
      </c>
      <c r="H2394" s="1081" cm="1">
        <f t="array" ref="H2394">_xlfn.IFS(B2394="Serviço",SUMIFS(H2395:$H$2465,C2395:$C$2465,$C2394),B2394="Insumo",F2394*G2394,B2394="Etapa","")</f>
        <v>2.4612000000000003</v>
      </c>
      <c r="I2394" s="1082"/>
    </row>
    <row r="2395" spans="1:9" hidden="1" outlineLevel="2" x14ac:dyDescent="0.25">
      <c r="A2395" s="1079">
        <f t="shared" si="92"/>
        <v>4</v>
      </c>
      <c r="B2395" s="1079" t="s">
        <v>1362</v>
      </c>
      <c r="C2395" s="1079" t="str">
        <f t="shared" si="94"/>
        <v>Execução Rede de Drenagem  (Produtividade 200m/dia)</v>
      </c>
      <c r="D2395" s="1079" t="s">
        <v>2381</v>
      </c>
      <c r="E2395" s="1080" t="str">
        <f>_xlfn.XLOOKUP(D2395,Insumos!$B$1:$B$670,Insumos!$C$1:$C$670)</f>
        <v>MÊS</v>
      </c>
      <c r="F2395" s="1083">
        <v>3.6200000000000002E-4</v>
      </c>
      <c r="G2395" s="1081">
        <f>IF(B2395="insumo",_xlfn.XLOOKUP($D2395,Insumos!$B$1:$B$670,Insumos!$D$1:$D$670),"")</f>
        <v>3400</v>
      </c>
      <c r="H2395" s="1081" cm="1">
        <f t="array" ref="H2395">_xlfn.IFS(B2395="Serviço",SUMIFS(H2396:$H$2465,C2396:$C$2465,$C2395),B2395="Insumo",F2395*G2395,B2395="Etapa","")</f>
        <v>1.2308000000000001</v>
      </c>
      <c r="I2395" s="1082"/>
    </row>
    <row r="2396" spans="1:9" hidden="1" outlineLevel="1" collapsed="1" x14ac:dyDescent="0.25">
      <c r="A2396" s="1079">
        <f t="shared" si="92"/>
        <v>1</v>
      </c>
      <c r="B2396" s="1079" t="s">
        <v>471</v>
      </c>
      <c r="C2396" s="1079" t="str">
        <f t="shared" si="94"/>
        <v>Execução Rede água  (Produtividade 300m/dia)</v>
      </c>
      <c r="D2396" s="1079" t="s">
        <v>2383</v>
      </c>
      <c r="E2396" s="1080" t="s">
        <v>281</v>
      </c>
      <c r="F2396" s="1079"/>
      <c r="G2396" s="1081" t="str">
        <f>IF(B2396="insumo",_xlfn.XLOOKUP($D2396,Insumos!$B$1:$B$670,Insumos!$D$1:$D$670),"")</f>
        <v/>
      </c>
      <c r="H2396" s="1081" cm="1">
        <f t="array" ref="H2396">_xlfn.IFS(B2396="Serviço",SUMIFS(H2397:$H$2465,C2397:$C$2465,$C2396),B2396="Insumo",F2396*G2396,B2396="Etapa","")</f>
        <v>7.3972999999999995</v>
      </c>
      <c r="I2396" s="1082" t="s">
        <v>872</v>
      </c>
    </row>
    <row r="2397" spans="1:9" hidden="1" outlineLevel="2" x14ac:dyDescent="0.25">
      <c r="A2397" s="1079">
        <f t="shared" si="92"/>
        <v>4</v>
      </c>
      <c r="B2397" s="1079" t="s">
        <v>1362</v>
      </c>
      <c r="C2397" s="1079" t="str">
        <f t="shared" si="94"/>
        <v>Execução Rede água  (Produtividade 300m/dia)</v>
      </c>
      <c r="D2397" s="1079" t="s">
        <v>2375</v>
      </c>
      <c r="E2397" s="1080" t="str">
        <f>_xlfn.XLOOKUP(D2397,Insumos!$B$1:$B$670,Insumos!$C$1:$C$670)</f>
        <v>MÊS</v>
      </c>
      <c r="F2397" s="1083">
        <v>5.4700000000000007E-4</v>
      </c>
      <c r="G2397" s="1081">
        <f>IF(B2397="insumo",_xlfn.XLOOKUP($D2397,Insumos!$B$1:$B$670,Insumos!$D$1:$D$670),"")</f>
        <v>1500</v>
      </c>
      <c r="H2397" s="1081" cm="1">
        <f t="array" ref="H2397">_xlfn.IFS(B2397="Serviço",SUMIFS(H2398:$H$2465,C2398:$C$2465,$C2397),B2397="Insumo",F2397*G2397,B2397="Etapa","")</f>
        <v>0.82050000000000012</v>
      </c>
      <c r="I2397" s="1082"/>
    </row>
    <row r="2398" spans="1:9" hidden="1" outlineLevel="2" x14ac:dyDescent="0.25">
      <c r="A2398" s="1079">
        <f t="shared" si="92"/>
        <v>4</v>
      </c>
      <c r="B2398" s="1079" t="s">
        <v>1362</v>
      </c>
      <c r="C2398" s="1079" t="str">
        <f t="shared" si="94"/>
        <v>Execução Rede água  (Produtividade 300m/dia)</v>
      </c>
      <c r="D2398" s="1079" t="s">
        <v>2376</v>
      </c>
      <c r="E2398" s="1080" t="str">
        <f>_xlfn.XLOOKUP(D2398,Insumos!$B$1:$B$670,Insumos!$C$1:$C$670)</f>
        <v>MÊS</v>
      </c>
      <c r="F2398" s="1083">
        <v>2.5700000000000001E-4</v>
      </c>
      <c r="G2398" s="1081">
        <f>IF(B2398="insumo",_xlfn.XLOOKUP($D2398,Insumos!$B$1:$B$670,Insumos!$D$1:$D$670),"")</f>
        <v>3200</v>
      </c>
      <c r="H2398" s="1081" cm="1">
        <f t="array" ref="H2398">_xlfn.IFS(B2398="Serviço",SUMIFS(H2399:$H$2465,C2399:$C$2465,$C2398),B2398="Insumo",F2398*G2398,B2398="Etapa","")</f>
        <v>0.82240000000000002</v>
      </c>
      <c r="I2398" s="1082"/>
    </row>
    <row r="2399" spans="1:9" hidden="1" outlineLevel="2" x14ac:dyDescent="0.25">
      <c r="A2399" s="1079">
        <f t="shared" si="92"/>
        <v>7</v>
      </c>
      <c r="B2399" s="1079" t="s">
        <v>1362</v>
      </c>
      <c r="C2399" s="1079" t="str">
        <f t="shared" si="94"/>
        <v>Execução Rede água  (Produtividade 300m/dia)</v>
      </c>
      <c r="D2399" s="1079" t="s">
        <v>2377</v>
      </c>
      <c r="E2399" s="1080" t="str">
        <f>_xlfn.XLOOKUP(D2399,Insumos!$B$1:$B$670,Insumos!$C$1:$C$670)</f>
        <v>MÊS</v>
      </c>
      <c r="F2399" s="1083">
        <v>3.57E-4</v>
      </c>
      <c r="G2399" s="1081">
        <f>IF(B2399="insumo",_xlfn.XLOOKUP($D2399,Insumos!$B$1:$B$670,Insumos!$D$1:$D$670),"")</f>
        <v>3450</v>
      </c>
      <c r="H2399" s="1081" cm="1">
        <f t="array" ref="H2399">_xlfn.IFS(B2399="Serviço",SUMIFS(H2400:$H$2465,C2400:$C$2465,$C2399),B2399="Insumo",F2399*G2399,B2399="Etapa","")</f>
        <v>1.2316499999999999</v>
      </c>
      <c r="I2399" s="1082"/>
    </row>
    <row r="2400" spans="1:9" hidden="1" outlineLevel="2" x14ac:dyDescent="0.25">
      <c r="A2400" s="1079">
        <f t="shared" si="92"/>
        <v>4</v>
      </c>
      <c r="B2400" s="1079" t="s">
        <v>1362</v>
      </c>
      <c r="C2400" s="1079" t="str">
        <f t="shared" si="94"/>
        <v>Execução Rede água  (Produtividade 300m/dia)</v>
      </c>
      <c r="D2400" s="1079" t="s">
        <v>2378</v>
      </c>
      <c r="E2400" s="1080" t="str">
        <f>_xlfn.XLOOKUP(D2400,Insumos!$B$1:$B$670,Insumos!$C$1:$C$670)</f>
        <v>MÊS</v>
      </c>
      <c r="F2400" s="1083">
        <v>2.4600000000000002E-4</v>
      </c>
      <c r="G2400" s="1081">
        <f>IF(B2400="insumo",_xlfn.XLOOKUP($D2400,Insumos!$B$1:$B$670,Insumos!$D$1:$D$670),"")</f>
        <v>5000</v>
      </c>
      <c r="H2400" s="1081" cm="1">
        <f t="array" ref="H2400">_xlfn.IFS(B2400="Serviço",SUMIFS(H2401:$H$2465,C2401:$C$2465,$C2400),B2400="Insumo",F2400*G2400,B2400="Etapa","")</f>
        <v>1.23</v>
      </c>
      <c r="I2400" s="1082"/>
    </row>
    <row r="2401" spans="1:9" hidden="1" outlineLevel="2" x14ac:dyDescent="0.25">
      <c r="A2401" s="1079">
        <f t="shared" si="92"/>
        <v>4</v>
      </c>
      <c r="B2401" s="1079" t="s">
        <v>1362</v>
      </c>
      <c r="C2401" s="1079" t="str">
        <f t="shared" si="94"/>
        <v>Execução Rede água  (Produtividade 300m/dia)</v>
      </c>
      <c r="D2401" s="1079" t="s">
        <v>2379</v>
      </c>
      <c r="E2401" s="1080" t="str">
        <f>_xlfn.XLOOKUP(D2401,Insumos!$B$1:$B$670,Insumos!$C$1:$C$670)</f>
        <v>MÊS</v>
      </c>
      <c r="F2401" s="1083">
        <v>1.8100000000000001E-4</v>
      </c>
      <c r="G2401" s="1081">
        <f>IF(B2401="insumo",_xlfn.XLOOKUP($D2401,Insumos!$B$1:$B$670,Insumos!$D$1:$D$670),"")</f>
        <v>4550</v>
      </c>
      <c r="H2401" s="1081" cm="1">
        <f t="array" ref="H2401">_xlfn.IFS(B2401="Serviço",SUMIFS(H2402:$H$2465,C2402:$C$2465,$C2401),B2401="Insumo",F2401*G2401,B2401="Etapa","")</f>
        <v>0.82355</v>
      </c>
      <c r="I2401" s="1082"/>
    </row>
    <row r="2402" spans="1:9" hidden="1" outlineLevel="2" x14ac:dyDescent="0.25">
      <c r="A2402" s="1079">
        <f t="shared" si="92"/>
        <v>4</v>
      </c>
      <c r="B2402" s="1079" t="s">
        <v>1362</v>
      </c>
      <c r="C2402" s="1079" t="str">
        <f t="shared" si="94"/>
        <v>Execução Rede água  (Produtividade 300m/dia)</v>
      </c>
      <c r="D2402" s="1079" t="s">
        <v>2380</v>
      </c>
      <c r="E2402" s="1080" t="str">
        <f>_xlfn.XLOOKUP(D2402,Insumos!$B$1:$B$670,Insumos!$C$1:$C$670)</f>
        <v>MÊS</v>
      </c>
      <c r="F2402" s="1083">
        <v>3.9199999999999999E-4</v>
      </c>
      <c r="G2402" s="1081">
        <f>IF(B2402="insumo",_xlfn.XLOOKUP($D2402,Insumos!$B$1:$B$670,Insumos!$D$1:$D$670),"")</f>
        <v>4200</v>
      </c>
      <c r="H2402" s="1081" cm="1">
        <f t="array" ref="H2402">_xlfn.IFS(B2402="Serviço",SUMIFS(H2403:$H$2465,C2403:$C$2465,$C2402),B2402="Insumo",F2402*G2402,B2402="Etapa","")</f>
        <v>1.6463999999999999</v>
      </c>
      <c r="I2402" s="1082"/>
    </row>
    <row r="2403" spans="1:9" hidden="1" outlineLevel="2" x14ac:dyDescent="0.25">
      <c r="A2403" s="1079">
        <f t="shared" si="92"/>
        <v>4</v>
      </c>
      <c r="B2403" s="1079" t="s">
        <v>1362</v>
      </c>
      <c r="C2403" s="1079" t="str">
        <f t="shared" si="94"/>
        <v>Execução Rede água  (Produtividade 300m/dia)</v>
      </c>
      <c r="D2403" s="1079" t="s">
        <v>2381</v>
      </c>
      <c r="E2403" s="1080" t="str">
        <f>_xlfn.XLOOKUP(D2403,Insumos!$B$1:$B$670,Insumos!$C$1:$C$670)</f>
        <v>MÊS</v>
      </c>
      <c r="F2403" s="1083">
        <v>2.42E-4</v>
      </c>
      <c r="G2403" s="1081">
        <f>IF(B2403="insumo",_xlfn.XLOOKUP($D2403,Insumos!$B$1:$B$670,Insumos!$D$1:$D$670),"")</f>
        <v>3400</v>
      </c>
      <c r="H2403" s="1081" cm="1">
        <f t="array" ref="H2403">_xlfn.IFS(B2403="Serviço",SUMIFS(H2404:$H$2465,C2404:$C$2465,$C2403),B2403="Insumo",F2403*G2403,B2403="Etapa","")</f>
        <v>0.82279999999999998</v>
      </c>
      <c r="I2403" s="1082"/>
    </row>
    <row r="2404" spans="1:9" hidden="1" outlineLevel="1" collapsed="1" x14ac:dyDescent="0.25">
      <c r="A2404" s="1079">
        <f t="shared" si="92"/>
        <v>1</v>
      </c>
      <c r="B2404" s="1079" t="s">
        <v>471</v>
      </c>
      <c r="C2404" s="1079" t="str">
        <f t="shared" si="94"/>
        <v>Execução Rede Esgoto  (Produtividade 150m/dia)</v>
      </c>
      <c r="D2404" s="1079" t="s">
        <v>2384</v>
      </c>
      <c r="E2404" s="1080" t="s">
        <v>281</v>
      </c>
      <c r="F2404" s="1079"/>
      <c r="G2404" s="1081" t="str">
        <f>IF(B2404="insumo",_xlfn.XLOOKUP($D2404,Insumos!$B$1:$B$670,Insumos!$D$1:$D$670),"")</f>
        <v/>
      </c>
      <c r="H2404" s="1081" cm="1">
        <f t="array" ref="H2404">_xlfn.IFS(B2404="Serviço",SUMIFS(H2405:$H$2465,C2405:$C$2465,$C2404),B2404="Insumo",F2404*G2404,B2404="Etapa","")</f>
        <v>12.308499999999999</v>
      </c>
      <c r="I2404" s="1082" t="s">
        <v>872</v>
      </c>
    </row>
    <row r="2405" spans="1:9" hidden="1" outlineLevel="2" x14ac:dyDescent="0.25">
      <c r="A2405" s="1079">
        <f t="shared" si="92"/>
        <v>4</v>
      </c>
      <c r="B2405" s="1079" t="s">
        <v>1362</v>
      </c>
      <c r="C2405" s="1079" t="str">
        <f t="shared" si="94"/>
        <v>Execução Rede Esgoto  (Produtividade 150m/dia)</v>
      </c>
      <c r="D2405" s="1079" t="s">
        <v>2375</v>
      </c>
      <c r="E2405" s="1080" t="str">
        <f>_xlfn.XLOOKUP(D2405,Insumos!$B$1:$B$670,Insumos!$C$1:$C$670)</f>
        <v>MÊS</v>
      </c>
      <c r="F2405" s="1083">
        <v>1.093E-3</v>
      </c>
      <c r="G2405" s="1081">
        <f>IF(B2405="insumo",_xlfn.XLOOKUP($D2405,Insumos!$B$1:$B$670,Insumos!$D$1:$D$670),"")</f>
        <v>1500</v>
      </c>
      <c r="H2405" s="1081" cm="1">
        <f t="array" ref="H2405">_xlfn.IFS(B2405="Serviço",SUMIFS(H2406:$H$2465,C2406:$C$2465,$C2405),B2405="Insumo",F2405*G2405,B2405="Etapa","")</f>
        <v>1.6395</v>
      </c>
      <c r="I2405" s="1082"/>
    </row>
    <row r="2406" spans="1:9" hidden="1" outlineLevel="2" x14ac:dyDescent="0.25">
      <c r="A2406" s="1079">
        <f t="shared" si="92"/>
        <v>4</v>
      </c>
      <c r="B2406" s="1079" t="s">
        <v>1362</v>
      </c>
      <c r="C2406" s="1079" t="str">
        <f t="shared" si="94"/>
        <v>Execução Rede Esgoto  (Produtividade 150m/dia)</v>
      </c>
      <c r="D2406" s="1079" t="s">
        <v>2376</v>
      </c>
      <c r="E2406" s="1080" t="str">
        <f>_xlfn.XLOOKUP(D2406,Insumos!$B$1:$B$670,Insumos!$C$1:$C$670)</f>
        <v>MÊS</v>
      </c>
      <c r="F2406" s="1083">
        <v>5.13E-4</v>
      </c>
      <c r="G2406" s="1081">
        <f>IF(B2406="insumo",_xlfn.XLOOKUP($D2406,Insumos!$B$1:$B$670,Insumos!$D$1:$D$670),"")</f>
        <v>3200</v>
      </c>
      <c r="H2406" s="1081" cm="1">
        <f t="array" ref="H2406">_xlfn.IFS(B2406="Serviço",SUMIFS(H2407:$H$2465,C2407:$C$2465,$C2406),B2406="Insumo",F2406*G2406,B2406="Etapa","")</f>
        <v>1.6415999999999999</v>
      </c>
      <c r="I2406" s="1082"/>
    </row>
    <row r="2407" spans="1:9" hidden="1" outlineLevel="2" x14ac:dyDescent="0.25">
      <c r="A2407" s="1079">
        <f t="shared" si="92"/>
        <v>7</v>
      </c>
      <c r="B2407" s="1079" t="s">
        <v>1362</v>
      </c>
      <c r="C2407" s="1079" t="str">
        <f t="shared" si="94"/>
        <v>Execução Rede Esgoto  (Produtividade 150m/dia)</v>
      </c>
      <c r="D2407" s="1079" t="s">
        <v>2377</v>
      </c>
      <c r="E2407" s="1080" t="str">
        <f>_xlfn.XLOOKUP(D2407,Insumos!$B$1:$B$670,Insumos!$C$1:$C$670)</f>
        <v>MÊS</v>
      </c>
      <c r="F2407" s="1083">
        <v>3.57E-4</v>
      </c>
      <c r="G2407" s="1081">
        <f>IF(B2407="insumo",_xlfn.XLOOKUP($D2407,Insumos!$B$1:$B$670,Insumos!$D$1:$D$670),"")</f>
        <v>3450</v>
      </c>
      <c r="H2407" s="1081" cm="1">
        <f t="array" ref="H2407">_xlfn.IFS(B2407="Serviço",SUMIFS(H2408:$H$2465,C2408:$C$2465,$C2407),B2407="Insumo",F2407*G2407,B2407="Etapa","")</f>
        <v>1.2316499999999999</v>
      </c>
      <c r="I2407" s="1082"/>
    </row>
    <row r="2408" spans="1:9" hidden="1" outlineLevel="2" x14ac:dyDescent="0.25">
      <c r="A2408" s="1079">
        <f t="shared" si="92"/>
        <v>4</v>
      </c>
      <c r="B2408" s="1079" t="s">
        <v>1362</v>
      </c>
      <c r="C2408" s="1079" t="str">
        <f t="shared" si="94"/>
        <v>Execução Rede Esgoto  (Produtividade 150m/dia)</v>
      </c>
      <c r="D2408" s="1079" t="s">
        <v>2378</v>
      </c>
      <c r="E2408" s="1080" t="str">
        <f>_xlfn.XLOOKUP(D2408,Insumos!$B$1:$B$670,Insumos!$C$1:$C$670)</f>
        <v>MÊS</v>
      </c>
      <c r="F2408" s="1083">
        <v>2.4600000000000002E-4</v>
      </c>
      <c r="G2408" s="1081">
        <f>IF(B2408="insumo",_xlfn.XLOOKUP($D2408,Insumos!$B$1:$B$670,Insumos!$D$1:$D$670),"")</f>
        <v>5000</v>
      </c>
      <c r="H2408" s="1081" cm="1">
        <f t="array" ref="H2408">_xlfn.IFS(B2408="Serviço",SUMIFS(H2409:$H$2465,C2409:$C$2465,$C2408),B2408="Insumo",F2408*G2408,B2408="Etapa","")</f>
        <v>1.23</v>
      </c>
      <c r="I2408" s="1082"/>
    </row>
    <row r="2409" spans="1:9" hidden="1" outlineLevel="2" x14ac:dyDescent="0.25">
      <c r="A2409" s="1079">
        <f t="shared" si="92"/>
        <v>4</v>
      </c>
      <c r="B2409" s="1079" t="s">
        <v>1362</v>
      </c>
      <c r="C2409" s="1079" t="str">
        <f t="shared" si="94"/>
        <v>Execução Rede Esgoto  (Produtividade 150m/dia)</v>
      </c>
      <c r="D2409" s="1079" t="s">
        <v>2379</v>
      </c>
      <c r="E2409" s="1080" t="str">
        <f>_xlfn.XLOOKUP(D2409,Insumos!$B$1:$B$670,Insumos!$C$1:$C$670)</f>
        <v>MÊS</v>
      </c>
      <c r="F2409" s="1083">
        <v>3.6100000000000005E-4</v>
      </c>
      <c r="G2409" s="1081">
        <f>IF(B2409="insumo",_xlfn.XLOOKUP($D2409,Insumos!$B$1:$B$670,Insumos!$D$1:$D$670),"")</f>
        <v>4550</v>
      </c>
      <c r="H2409" s="1081" cm="1">
        <f t="array" ref="H2409">_xlfn.IFS(B2409="Serviço",SUMIFS(H2410:$H$2465,C2410:$C$2465,$C2409),B2409="Insumo",F2409*G2409,B2409="Etapa","")</f>
        <v>1.6425500000000002</v>
      </c>
      <c r="I2409" s="1082"/>
    </row>
    <row r="2410" spans="1:9" hidden="1" outlineLevel="2" x14ac:dyDescent="0.25">
      <c r="A2410" s="1079">
        <f t="shared" si="92"/>
        <v>4</v>
      </c>
      <c r="B2410" s="1079" t="s">
        <v>1362</v>
      </c>
      <c r="C2410" s="1079" t="str">
        <f t="shared" si="94"/>
        <v>Execução Rede Esgoto  (Produtividade 150m/dia)</v>
      </c>
      <c r="D2410" s="1079" t="s">
        <v>2380</v>
      </c>
      <c r="E2410" s="1080" t="str">
        <f>_xlfn.XLOOKUP(D2410,Insumos!$B$1:$B$670,Insumos!$C$1:$C$670)</f>
        <v>MÊS</v>
      </c>
      <c r="F2410" s="1083">
        <v>7.8200000000000003E-4</v>
      </c>
      <c r="G2410" s="1081">
        <f>IF(B2410="insumo",_xlfn.XLOOKUP($D2410,Insumos!$B$1:$B$670,Insumos!$D$1:$D$670),"")</f>
        <v>4200</v>
      </c>
      <c r="H2410" s="1081" cm="1">
        <f t="array" ref="H2410">_xlfn.IFS(B2410="Serviço",SUMIFS(H2411:$H$2465,C2411:$C$2465,$C2410),B2410="Insumo",F2410*G2410,B2410="Etapa","")</f>
        <v>3.2844000000000002</v>
      </c>
      <c r="I2410" s="1082"/>
    </row>
    <row r="2411" spans="1:9" hidden="1" outlineLevel="2" x14ac:dyDescent="0.25">
      <c r="A2411" s="1079">
        <f t="shared" si="92"/>
        <v>4</v>
      </c>
      <c r="B2411" s="1079" t="s">
        <v>1362</v>
      </c>
      <c r="C2411" s="1079" t="str">
        <f t="shared" si="94"/>
        <v>Execução Rede Esgoto  (Produtividade 150m/dia)</v>
      </c>
      <c r="D2411" s="1079" t="s">
        <v>2381</v>
      </c>
      <c r="E2411" s="1080" t="str">
        <f>_xlfn.XLOOKUP(D2411,Insumos!$B$1:$B$670,Insumos!$C$1:$C$670)</f>
        <v>MÊS</v>
      </c>
      <c r="F2411" s="1083">
        <v>4.8200000000000001E-4</v>
      </c>
      <c r="G2411" s="1081">
        <f>IF(B2411="insumo",_xlfn.XLOOKUP($D2411,Insumos!$B$1:$B$670,Insumos!$D$1:$D$670),"")</f>
        <v>3400</v>
      </c>
      <c r="H2411" s="1081" cm="1">
        <f t="array" ref="H2411">_xlfn.IFS(B2411="Serviço",SUMIFS(H2412:$H$2465,C2412:$C$2465,$C2411),B2411="Insumo",F2411*G2411,B2411="Etapa","")</f>
        <v>1.6388</v>
      </c>
      <c r="I2411" s="1082"/>
    </row>
    <row r="2412" spans="1:9" hidden="1" outlineLevel="1" collapsed="1" x14ac:dyDescent="0.25">
      <c r="A2412" s="1079">
        <f t="shared" si="92"/>
        <v>1</v>
      </c>
      <c r="B2412" s="1079" t="s">
        <v>471</v>
      </c>
      <c r="C2412" s="1079" t="str">
        <f t="shared" si="94"/>
        <v>Sarjeta extrusada</v>
      </c>
      <c r="D2412" s="1079" t="s">
        <v>2385</v>
      </c>
      <c r="E2412" s="1080" t="s">
        <v>281</v>
      </c>
      <c r="F2412" s="1079"/>
      <c r="G2412" s="1081" t="str">
        <f>IF(B2412="insumo",_xlfn.XLOOKUP($D2412,Insumos!$B$1:$B$670,Insumos!$D$1:$D$670),"")</f>
        <v/>
      </c>
      <c r="H2412" s="1081" cm="1">
        <f t="array" ref="H2412">_xlfn.IFS(B2412="Serviço",SUMIFS(H2413:$H$2465,C2413:$C$2465,$C2412),B2412="Insumo",F2412*G2412,B2412="Etapa","")</f>
        <v>20.09</v>
      </c>
      <c r="I2412" s="1082" t="s">
        <v>872</v>
      </c>
    </row>
    <row r="2413" spans="1:9" hidden="1" outlineLevel="2" x14ac:dyDescent="0.25">
      <c r="A2413" s="1079">
        <f t="shared" si="92"/>
        <v>9</v>
      </c>
      <c r="B2413" s="1079" t="s">
        <v>1362</v>
      </c>
      <c r="C2413" s="1079" t="str">
        <f t="shared" si="94"/>
        <v>Sarjeta extrusada</v>
      </c>
      <c r="D2413" s="1079" t="s">
        <v>1365</v>
      </c>
      <c r="E2413" s="1080" t="str">
        <f>_xlfn.XLOOKUP(D2413,Insumos!$B$1:$B$670,Insumos!$C$1:$C$670)</f>
        <v>M3</v>
      </c>
      <c r="F2413" s="1083">
        <v>4.1000000000000002E-2</v>
      </c>
      <c r="G2413" s="1081">
        <f>IF(B2413="insumo",_xlfn.XLOOKUP($D2413,Insumos!$B$1:$B$670,Insumos!$D$1:$D$670),"")</f>
        <v>490</v>
      </c>
      <c r="H2413" s="1081" cm="1">
        <f t="array" ref="H2413">_xlfn.IFS(B2413="Serviço",SUMIFS(H2414:$H$2465,C2414:$C$2465,$C2413),B2413="Insumo",F2413*G2413,B2413="Etapa","")</f>
        <v>20.09</v>
      </c>
      <c r="I2413" s="1082"/>
    </row>
    <row r="2414" spans="1:9" hidden="1" outlineLevel="1" collapsed="1" x14ac:dyDescent="0.25">
      <c r="A2414" s="1079">
        <f t="shared" si="92"/>
        <v>1</v>
      </c>
      <c r="B2414" s="1079" t="s">
        <v>471</v>
      </c>
      <c r="C2414" s="1079" t="str">
        <f t="shared" si="94"/>
        <v>Pavimentação em Pedras Naturais na calçada</v>
      </c>
      <c r="D2414" s="1079" t="s">
        <v>2386</v>
      </c>
      <c r="E2414" s="1080" t="s">
        <v>17</v>
      </c>
      <c r="F2414" s="1079"/>
      <c r="G2414" s="1081" t="str">
        <f>IF(B2414="insumo",_xlfn.XLOOKUP($D2414,Insumos!$B$1:$B$670,Insumos!$D$1:$D$670),"")</f>
        <v/>
      </c>
      <c r="H2414" s="1081" cm="1">
        <f t="array" ref="H2414">_xlfn.IFS(B2414="Serviço",SUMIFS(H2415:$H$2465,C2415:$C$2465,$C2414),B2414="Insumo",F2414*G2414,B2414="Etapa","")</f>
        <v>856.61500000000012</v>
      </c>
      <c r="I2414" s="1082" t="s">
        <v>872</v>
      </c>
    </row>
    <row r="2415" spans="1:9" hidden="1" outlineLevel="2" x14ac:dyDescent="0.25">
      <c r="A2415" s="1079">
        <f t="shared" si="92"/>
        <v>10</v>
      </c>
      <c r="B2415" s="1079" t="s">
        <v>1362</v>
      </c>
      <c r="C2415" s="1079" t="str">
        <f t="shared" si="94"/>
        <v>Pavimentação em Pedras Naturais na calçada</v>
      </c>
      <c r="D2415" s="1079" t="s">
        <v>1813</v>
      </c>
      <c r="E2415" s="1080" t="str">
        <f>_xlfn.XLOOKUP(D2415,Insumos!$B$1:$B$670,Insumos!$C$1:$C$670)</f>
        <v>M2</v>
      </c>
      <c r="F2415" s="1083">
        <v>1.1000000000000001</v>
      </c>
      <c r="G2415" s="1081">
        <f>IF(B2415="insumo",_xlfn.XLOOKUP($D2415,Insumos!$B$1:$B$670,Insumos!$D$1:$D$670),"")</f>
        <v>750</v>
      </c>
      <c r="H2415" s="1081" cm="1">
        <f t="array" ref="H2415">_xlfn.IFS(B2415="Serviço",SUMIFS(H2416:$H$2465,C2416:$C$2465,$C2415),B2415="Insumo",F2415*G2415,B2415="Etapa","")</f>
        <v>825.00000000000011</v>
      </c>
      <c r="I2415" s="1082"/>
    </row>
    <row r="2416" spans="1:9" hidden="1" outlineLevel="2" x14ac:dyDescent="0.25">
      <c r="A2416" s="1079">
        <f t="shared" si="92"/>
        <v>87</v>
      </c>
      <c r="B2416" s="1079" t="s">
        <v>1362</v>
      </c>
      <c r="C2416" s="1079" t="str">
        <f t="shared" si="94"/>
        <v>Pavimentação em Pedras Naturais na calçada</v>
      </c>
      <c r="D2416" s="1079" t="s">
        <v>1762</v>
      </c>
      <c r="E2416" s="1080" t="str">
        <f>_xlfn.XLOOKUP(D2416,Insumos!$B$1:$B$670,Insumos!$C$1:$C$670)</f>
        <v>KG</v>
      </c>
      <c r="F2416" s="1083">
        <v>9</v>
      </c>
      <c r="G2416" s="1081">
        <f>IF(B2416="insumo",_xlfn.XLOOKUP($D2416,Insumos!$B$1:$B$670,Insumos!$D$1:$D$670),"")</f>
        <v>2.5499999999999998</v>
      </c>
      <c r="H2416" s="1081" cm="1">
        <f t="array" ref="H2416">_xlfn.IFS(B2416="Serviço",SUMIFS(H2417:$H$2465,C2417:$C$2465,$C2416),B2416="Insumo",F2416*G2416,B2416="Etapa","")</f>
        <v>22.95</v>
      </c>
      <c r="I2416" s="1082"/>
    </row>
    <row r="2417" spans="1:9" hidden="1" outlineLevel="2" x14ac:dyDescent="0.25">
      <c r="A2417" s="1079">
        <f t="shared" si="92"/>
        <v>15</v>
      </c>
      <c r="B2417" s="1079" t="s">
        <v>1362</v>
      </c>
      <c r="C2417" s="1079" t="str">
        <f t="shared" si="94"/>
        <v>Pavimentação em Pedras Naturais na calçada</v>
      </c>
      <c r="D2417" s="1079" t="s">
        <v>1819</v>
      </c>
      <c r="E2417" s="1080" t="str">
        <f>_xlfn.XLOOKUP(D2417,Insumos!$B$1:$B$670,Insumos!$C$1:$C$670)</f>
        <v>UN</v>
      </c>
      <c r="F2417" s="1083">
        <v>0.5</v>
      </c>
      <c r="G2417" s="1081">
        <f>IF(B2417="insumo",_xlfn.XLOOKUP($D2417,Insumos!$B$1:$B$670,Insumos!$D$1:$D$670),"")</f>
        <v>17.329999999999998</v>
      </c>
      <c r="H2417" s="1081" cm="1">
        <f t="array" ref="H2417">_xlfn.IFS(B2417="Serviço",SUMIFS(H2418:$H$2465,C2418:$C$2465,$C2417),B2417="Insumo",F2417*G2417,B2417="Etapa","")</f>
        <v>8.6649999999999991</v>
      </c>
      <c r="I2417" s="1082"/>
    </row>
    <row r="2418" spans="1:9" hidden="1" outlineLevel="1" collapsed="1" x14ac:dyDescent="0.25">
      <c r="A2418" s="1079">
        <f t="shared" si="92"/>
        <v>1</v>
      </c>
      <c r="B2418" s="1079" t="s">
        <v>471</v>
      </c>
      <c r="C2418" s="1079" t="str">
        <f t="shared" si="94"/>
        <v>Mão de obra para execução de pedra natural em piso áreas externas</v>
      </c>
      <c r="D2418" s="1079" t="s">
        <v>2387</v>
      </c>
      <c r="E2418" s="1080" t="s">
        <v>17</v>
      </c>
      <c r="F2418" s="1079"/>
      <c r="G2418" s="1081" t="str">
        <f>IF(B2418="insumo",_xlfn.XLOOKUP($D2418,Insumos!$B$1:$B$670,Insumos!$D$1:$D$670),"")</f>
        <v/>
      </c>
      <c r="H2418" s="1081" cm="1">
        <f t="array" ref="H2418">_xlfn.IFS(B2418="Serviço",SUMIFS(H2419:$H$2465,C2419:$C$2465,$C2418),B2418="Insumo",F2418*G2418,B2418="Etapa","")</f>
        <v>40</v>
      </c>
      <c r="I2418" s="1082" t="s">
        <v>872</v>
      </c>
    </row>
    <row r="2419" spans="1:9" hidden="1" outlineLevel="2" x14ac:dyDescent="0.25">
      <c r="A2419" s="1079">
        <f t="shared" si="92"/>
        <v>2</v>
      </c>
      <c r="B2419" s="1079" t="s">
        <v>1362</v>
      </c>
      <c r="C2419" s="1079" t="str">
        <f t="shared" si="94"/>
        <v>Mão de obra para execução de pedra natural em piso áreas externas</v>
      </c>
      <c r="D2419" s="1079" t="s">
        <v>2387</v>
      </c>
      <c r="E2419" s="1080" t="str">
        <f>_xlfn.XLOOKUP(D2419,Insumos!$B$1:$B$670,Insumos!$C$1:$C$670)</f>
        <v>M2</v>
      </c>
      <c r="F2419" s="1083">
        <v>1</v>
      </c>
      <c r="G2419" s="1081">
        <f>IF(B2419="insumo",_xlfn.XLOOKUP($D2419,Insumos!$B$1:$B$670,Insumos!$D$1:$D$670),"")</f>
        <v>40</v>
      </c>
      <c r="H2419" s="1081" cm="1">
        <f t="array" ref="H2419">_xlfn.IFS(B2419="Serviço",SUMIFS(H2422:$H$2465,C2422:$C$2465,$C2419),B2419="Insumo",F2419*G2419,B2419="Etapa","")</f>
        <v>40</v>
      </c>
      <c r="I2419" s="1082"/>
    </row>
    <row r="2420" spans="1:9" hidden="1" outlineLevel="1" x14ac:dyDescent="0.25">
      <c r="A2420" s="1079">
        <f t="shared" si="92"/>
        <v>1</v>
      </c>
      <c r="B2420" s="1079" t="s">
        <v>471</v>
      </c>
      <c r="C2420" s="1079" t="str">
        <f>IF(B2420="serviço",D2420,C2417)</f>
        <v>Mão de obra para execução de piso de concreto estampado em piso áreas externas</v>
      </c>
      <c r="D2420" s="1079" t="s">
        <v>2388</v>
      </c>
      <c r="E2420" s="1080" t="s">
        <v>17</v>
      </c>
      <c r="F2420" s="1079"/>
      <c r="G2420" s="1081" t="str">
        <f>IF(B2420="insumo",_xlfn.XLOOKUP($D2420,Insumos!$B$1:$B$670,Insumos!$D$1:$D$670),"")</f>
        <v/>
      </c>
      <c r="H2420" s="1081" cm="1">
        <f t="array" ref="H2420">_xlfn.IFS(B2420="Serviço",SUMIFS(H2421:$H$2465,C2421:$C$2465,$C2420),B2420="Insumo",F2420*G2420,B2420="Etapa","")</f>
        <v>40</v>
      </c>
      <c r="I2420" s="1082" t="s">
        <v>872</v>
      </c>
    </row>
    <row r="2421" spans="1:9" hidden="1" outlineLevel="2" x14ac:dyDescent="0.25">
      <c r="A2421" s="1079">
        <f t="shared" si="92"/>
        <v>2</v>
      </c>
      <c r="B2421" s="1079" t="s">
        <v>1362</v>
      </c>
      <c r="C2421" s="1079" t="str">
        <f t="shared" ref="C2421" si="95">IF(B2421="serviço",D2421,C2420)</f>
        <v>Mão de obra para execução de piso de concreto estampado em piso áreas externas</v>
      </c>
      <c r="D2421" s="1079" t="s">
        <v>2387</v>
      </c>
      <c r="E2421" s="1080" t="str">
        <f>_xlfn.XLOOKUP(D2421,Insumos!$B$1:$B$670,Insumos!$C$1:$C$670)</f>
        <v>M2</v>
      </c>
      <c r="F2421" s="1083">
        <v>1</v>
      </c>
      <c r="G2421" s="1081">
        <f>IF(B2421="insumo",_xlfn.XLOOKUP($D2421,Insumos!$B$1:$B$670,Insumos!$D$1:$D$670),"")</f>
        <v>40</v>
      </c>
      <c r="H2421" s="1081" cm="1">
        <f t="array" ref="H2421">_xlfn.IFS(B2421="Serviço",SUMIFS(H2422:$H$2465,C2422:$C$2465,$C2421),B2421="Insumo",F2421*G2421,B2421="Etapa","")</f>
        <v>40</v>
      </c>
      <c r="I2421" s="1082"/>
    </row>
    <row r="2422" spans="1:9" hidden="1" outlineLevel="1" x14ac:dyDescent="0.25">
      <c r="A2422" s="1079">
        <f t="shared" si="92"/>
        <v>1</v>
      </c>
      <c r="B2422" s="1079" t="s">
        <v>471</v>
      </c>
      <c r="C2422" s="1079" t="str">
        <f>IF(B2422="serviço",D2422,C2419)</f>
        <v>Mão de obra para execução de piso de concregrama</v>
      </c>
      <c r="D2422" s="1079" t="s">
        <v>2580</v>
      </c>
      <c r="E2422" s="1080" t="s">
        <v>17</v>
      </c>
      <c r="F2422" s="1079"/>
      <c r="G2422" s="1081" t="str">
        <f>IF(B2422="insumo",_xlfn.XLOOKUP($D2422,Insumos!$B$1:$B$670,Insumos!$D$1:$D$670),"")</f>
        <v/>
      </c>
      <c r="H2422" s="1081" cm="1">
        <f t="array" ref="H2422">_xlfn.IFS(B2422="Serviço",SUMIFS(H2423:$H$2465,C2423:$C$2465,$C2422),B2422="Insumo",F2422*G2422,B2422="Etapa","")</f>
        <v>40</v>
      </c>
      <c r="I2422" s="1082" t="s">
        <v>872</v>
      </c>
    </row>
    <row r="2423" spans="1:9" hidden="1" outlineLevel="2" x14ac:dyDescent="0.25">
      <c r="A2423" s="1079">
        <f t="shared" si="92"/>
        <v>1</v>
      </c>
      <c r="B2423" s="1079" t="s">
        <v>1362</v>
      </c>
      <c r="C2423" s="1079" t="str">
        <f t="shared" si="94"/>
        <v>Mão de obra para execução de piso de concregrama</v>
      </c>
      <c r="D2423" s="1079" t="s">
        <v>2580</v>
      </c>
      <c r="E2423" s="1080" t="str">
        <f>_xlfn.XLOOKUP(D2423,Insumos!$B$1:$B$670,Insumos!$C$1:$C$670)</f>
        <v>M2</v>
      </c>
      <c r="F2423" s="1083">
        <v>1</v>
      </c>
      <c r="G2423" s="1081">
        <f>IF(B2423="insumo",_xlfn.XLOOKUP($D2423,Insumos!$B$1:$B$670,Insumos!$D$1:$D$670),"")</f>
        <v>40</v>
      </c>
      <c r="H2423" s="1081" cm="1">
        <f t="array" ref="H2423">_xlfn.IFS(B2423="Serviço",SUMIFS(H2424:$H$2465,C2424:$C$2465,$C2423),B2423="Insumo",F2423*G2423,B2423="Etapa","")</f>
        <v>40</v>
      </c>
      <c r="I2423" s="1082"/>
    </row>
    <row r="2424" spans="1:9" hidden="1" outlineLevel="1" collapsed="1" x14ac:dyDescent="0.25">
      <c r="A2424" s="1079">
        <f t="shared" si="92"/>
        <v>1</v>
      </c>
      <c r="B2424" s="1079" t="s">
        <v>471</v>
      </c>
      <c r="C2424" s="1079" t="str">
        <f t="shared" si="94"/>
        <v>Execução de sarjeta extrusada</v>
      </c>
      <c r="D2424" s="1079" t="s">
        <v>2389</v>
      </c>
      <c r="E2424" s="1080" t="s">
        <v>281</v>
      </c>
      <c r="F2424" s="1079"/>
      <c r="G2424" s="1081" t="str">
        <f>IF(B2424="insumo",_xlfn.XLOOKUP($D2424,Insumos!$B$1:$B$670,Insumos!$D$1:$D$670),"")</f>
        <v/>
      </c>
      <c r="H2424" s="1081" cm="1">
        <f t="array" ref="H2424">_xlfn.IFS(B2424="Serviço",SUMIFS(H2425:$H$2465,C2425:$C$2465,$C2424),B2424="Insumo",F2424*G2424,B2424="Etapa","")</f>
        <v>4.08</v>
      </c>
      <c r="I2424" s="1082" t="s">
        <v>872</v>
      </c>
    </row>
    <row r="2425" spans="1:9" hidden="1" outlineLevel="2" x14ac:dyDescent="0.25">
      <c r="A2425" s="1079">
        <f t="shared" si="92"/>
        <v>1</v>
      </c>
      <c r="B2425" s="1079" t="s">
        <v>1362</v>
      </c>
      <c r="C2425" s="1079" t="str">
        <f t="shared" si="94"/>
        <v>Execução de sarjeta extrusada</v>
      </c>
      <c r="D2425" s="1079" t="s">
        <v>2390</v>
      </c>
      <c r="E2425" s="1080" t="str">
        <f>_xlfn.XLOOKUP(D2425,Insumos!$B$1:$B$670,Insumos!$C$1:$C$670)</f>
        <v>MÊS</v>
      </c>
      <c r="F2425" s="1083">
        <v>6.8000000000000005E-4</v>
      </c>
      <c r="G2425" s="1081">
        <f>IF(B2425="insumo",_xlfn.XLOOKUP($D2425,Insumos!$B$1:$B$670,Insumos!$D$1:$D$670),"")</f>
        <v>1000</v>
      </c>
      <c r="H2425" s="1081" cm="1">
        <f t="array" ref="H2425">_xlfn.IFS(B2425="Serviço",SUMIFS(H2426:$H$2465,C2426:$C$2465,$C2425),B2425="Insumo",F2425*G2425,B2425="Etapa","")</f>
        <v>0.68</v>
      </c>
      <c r="I2425" s="1082"/>
    </row>
    <row r="2426" spans="1:9" hidden="1" outlineLevel="2" x14ac:dyDescent="0.25">
      <c r="A2426" s="1079">
        <f t="shared" si="92"/>
        <v>1</v>
      </c>
      <c r="B2426" s="1079" t="s">
        <v>1362</v>
      </c>
      <c r="C2426" s="1079" t="str">
        <f t="shared" si="94"/>
        <v>Execução de sarjeta extrusada</v>
      </c>
      <c r="D2426" s="1079" t="s">
        <v>2391</v>
      </c>
      <c r="E2426" s="1080" t="str">
        <f>_xlfn.XLOOKUP(D2426,Insumos!$B$1:$B$670,Insumos!$C$1:$C$670)</f>
        <v>MÊS</v>
      </c>
      <c r="F2426" s="1083">
        <v>4.5333333333333337E-4</v>
      </c>
      <c r="G2426" s="1081">
        <f>IF(B2426="insumo",_xlfn.XLOOKUP($D2426,Insumos!$B$1:$B$670,Insumos!$D$1:$D$670),"")</f>
        <v>1500</v>
      </c>
      <c r="H2426" s="1081" cm="1">
        <f t="array" ref="H2426">_xlfn.IFS(B2426="Serviço",SUMIFS(H2427:$H$2465,C2427:$C$2465,$C2426),B2426="Insumo",F2426*G2426,B2426="Etapa","")</f>
        <v>0.68</v>
      </c>
      <c r="I2426" s="1082"/>
    </row>
    <row r="2427" spans="1:9" hidden="1" outlineLevel="2" x14ac:dyDescent="0.25">
      <c r="A2427" s="1079">
        <f t="shared" si="92"/>
        <v>7</v>
      </c>
      <c r="B2427" s="1079" t="s">
        <v>1362</v>
      </c>
      <c r="C2427" s="1079" t="str">
        <f t="shared" si="94"/>
        <v>Execução de sarjeta extrusada</v>
      </c>
      <c r="D2427" s="1079" t="s">
        <v>2377</v>
      </c>
      <c r="E2427" s="1080" t="str">
        <f>_xlfn.XLOOKUP(D2427,Insumos!$B$1:$B$670,Insumos!$C$1:$C$670)</f>
        <v>MÊS</v>
      </c>
      <c r="F2427" s="1083">
        <v>1.9710144927536234E-4</v>
      </c>
      <c r="G2427" s="1081">
        <f>IF(B2427="insumo",_xlfn.XLOOKUP($D2427,Insumos!$B$1:$B$670,Insumos!$D$1:$D$670),"")</f>
        <v>3450</v>
      </c>
      <c r="H2427" s="1081" cm="1">
        <f t="array" ref="H2427">_xlfn.IFS(B2427="Serviço",SUMIFS(H2428:$H$2465,C2428:$C$2465,$C2427),B2427="Insumo",F2427*G2427,B2427="Etapa","")</f>
        <v>0.68</v>
      </c>
      <c r="I2427" s="1082"/>
    </row>
    <row r="2428" spans="1:9" hidden="1" outlineLevel="2" x14ac:dyDescent="0.25">
      <c r="A2428" s="1079">
        <f t="shared" si="92"/>
        <v>7</v>
      </c>
      <c r="B2428" s="1079" t="s">
        <v>1362</v>
      </c>
      <c r="C2428" s="1079" t="str">
        <f t="shared" si="94"/>
        <v>Execução de sarjeta extrusada</v>
      </c>
      <c r="D2428" s="1079" t="s">
        <v>2377</v>
      </c>
      <c r="E2428" s="1080" t="str">
        <f>_xlfn.XLOOKUP(D2428,Insumos!$B$1:$B$670,Insumos!$C$1:$C$670)</f>
        <v>MÊS</v>
      </c>
      <c r="F2428" s="1083">
        <v>1.9710144927536234E-4</v>
      </c>
      <c r="G2428" s="1081">
        <f>IF(B2428="insumo",_xlfn.XLOOKUP($D2428,Insumos!$B$1:$B$670,Insumos!$D$1:$D$670),"")</f>
        <v>3450</v>
      </c>
      <c r="H2428" s="1081" cm="1">
        <f t="array" ref="H2428">_xlfn.IFS(B2428="Serviço",SUMIFS(H2429:$H$2465,C2429:$C$2465,$C2428),B2428="Insumo",F2428*G2428,B2428="Etapa","")</f>
        <v>0.68</v>
      </c>
      <c r="I2428" s="1082"/>
    </row>
    <row r="2429" spans="1:9" hidden="1" outlineLevel="2" x14ac:dyDescent="0.25">
      <c r="A2429" s="1079">
        <f t="shared" si="92"/>
        <v>1</v>
      </c>
      <c r="B2429" s="1079" t="s">
        <v>1362</v>
      </c>
      <c r="C2429" s="1079" t="str">
        <f t="shared" si="94"/>
        <v>Execução de sarjeta extrusada</v>
      </c>
      <c r="D2429" s="1079" t="s">
        <v>2392</v>
      </c>
      <c r="E2429" s="1080" t="str">
        <f>_xlfn.XLOOKUP(D2429,Insumos!$B$1:$B$670,Insumos!$C$1:$C$670)</f>
        <v>MÊS</v>
      </c>
      <c r="F2429" s="1083">
        <v>2.2666666666666668E-4</v>
      </c>
      <c r="G2429" s="1081">
        <f>IF(B2429="insumo",_xlfn.XLOOKUP($D2429,Insumos!$B$1:$B$670,Insumos!$D$1:$D$670),"")</f>
        <v>3000</v>
      </c>
      <c r="H2429" s="1081" cm="1">
        <f t="array" ref="H2429">_xlfn.IFS(B2429="Serviço",SUMIFS(H2430:$H$2465,C2430:$C$2465,$C2429),B2429="Insumo",F2429*G2429,B2429="Etapa","")</f>
        <v>0.68</v>
      </c>
      <c r="I2429" s="1082"/>
    </row>
    <row r="2430" spans="1:9" hidden="1" outlineLevel="2" x14ac:dyDescent="0.25">
      <c r="A2430" s="1079">
        <f t="shared" si="92"/>
        <v>1</v>
      </c>
      <c r="B2430" s="1079" t="s">
        <v>1362</v>
      </c>
      <c r="C2430" s="1079" t="str">
        <f t="shared" si="94"/>
        <v>Execução de sarjeta extrusada</v>
      </c>
      <c r="D2430" s="1079" t="s">
        <v>2393</v>
      </c>
      <c r="E2430" s="1080" t="str">
        <f>_xlfn.XLOOKUP(D2430,Insumos!$B$1:$B$670,Insumos!$C$1:$C$670)</f>
        <v>MÊS</v>
      </c>
      <c r="F2430" s="1083">
        <v>2.8333333333333335E-4</v>
      </c>
      <c r="G2430" s="1081">
        <f>IF(B2430="insumo",_xlfn.XLOOKUP($D2430,Insumos!$B$1:$B$670,Insumos!$D$1:$D$670),"")</f>
        <v>2400</v>
      </c>
      <c r="H2430" s="1081" cm="1">
        <f t="array" ref="H2430">_xlfn.IFS(B2430="Serviço",SUMIFS(H2431:$H$2465,C2431:$C$2465,$C2430),B2430="Insumo",F2430*G2430,B2430="Etapa","")</f>
        <v>0.68</v>
      </c>
      <c r="I2430" s="1082"/>
    </row>
    <row r="2431" spans="1:9" hidden="1" outlineLevel="1" collapsed="1" x14ac:dyDescent="0.25">
      <c r="A2431" s="1079">
        <f t="shared" si="92"/>
        <v>1</v>
      </c>
      <c r="B2431" s="1079" t="s">
        <v>471</v>
      </c>
      <c r="C2431" s="1079" t="str">
        <f t="shared" si="94"/>
        <v>Base bica corrida e=20cm</v>
      </c>
      <c r="D2431" s="1079" t="s">
        <v>2394</v>
      </c>
      <c r="E2431" s="1080" t="s">
        <v>1426</v>
      </c>
      <c r="F2431" s="1079"/>
      <c r="G2431" s="1081" t="str">
        <f>IF(B2431="insumo",_xlfn.XLOOKUP($D2431,Insumos!$B$1:$B$670,Insumos!$D$1:$D$670),"")</f>
        <v/>
      </c>
      <c r="H2431" s="1081" cm="1">
        <f t="array" ref="H2431">_xlfn.IFS(B2431="Serviço",SUMIFS(H2432:$H$2465,C2432:$C$2465,$C2431),B2431="Insumo",F2431*G2431,B2431="Etapa","")</f>
        <v>150.15</v>
      </c>
      <c r="I2431" s="1082" t="s">
        <v>872</v>
      </c>
    </row>
    <row r="2432" spans="1:9" hidden="1" outlineLevel="2" x14ac:dyDescent="0.25">
      <c r="A2432" s="1079">
        <f t="shared" si="92"/>
        <v>1</v>
      </c>
      <c r="B2432" s="1079" t="s">
        <v>1362</v>
      </c>
      <c r="C2432" s="1079" t="str">
        <f t="shared" si="94"/>
        <v>Base bica corrida e=20cm</v>
      </c>
      <c r="D2432" s="1079" t="s">
        <v>2395</v>
      </c>
      <c r="E2432" s="1080" t="str">
        <f>_xlfn.XLOOKUP(D2432,Insumos!$B$1:$B$670,Insumos!$C$1:$C$670)</f>
        <v>M3</v>
      </c>
      <c r="F2432" s="1083">
        <v>1.05</v>
      </c>
      <c r="G2432" s="1081">
        <f>IF(B2432="insumo",_xlfn.XLOOKUP($D2432,Insumos!$B$1:$B$670,Insumos!$D$1:$D$670),"")</f>
        <v>143</v>
      </c>
      <c r="H2432" s="1081" cm="1">
        <f t="array" ref="H2432">_xlfn.IFS(B2432="Serviço",SUMIFS(H2433:$H$2465,C2433:$C$2465,$C2432),B2432="Insumo",F2432*G2432,B2432="Etapa","")</f>
        <v>150.15</v>
      </c>
      <c r="I2432" s="1082"/>
    </row>
    <row r="2433" spans="1:9" hidden="1" outlineLevel="1" collapsed="1" x14ac:dyDescent="0.25">
      <c r="A2433" s="1079">
        <f t="shared" si="92"/>
        <v>1</v>
      </c>
      <c r="B2433" s="1079" t="s">
        <v>471</v>
      </c>
      <c r="C2433" s="1079" t="str">
        <f t="shared" si="94"/>
        <v>Mão de obra para execução de base</v>
      </c>
      <c r="D2433" s="1079" t="s">
        <v>2396</v>
      </c>
      <c r="E2433" s="1080" t="s">
        <v>1426</v>
      </c>
      <c r="F2433" s="1079"/>
      <c r="G2433" s="1081" t="str">
        <f>IF(B2433="insumo",_xlfn.XLOOKUP($D2433,Insumos!$B$1:$B$670,Insumos!$D$1:$D$670),"")</f>
        <v/>
      </c>
      <c r="H2433" s="1081" cm="1">
        <f t="array" ref="H2433">_xlfn.IFS(B2433="Serviço",SUMIFS(H2434:$H$2465,C2434:$C$2465,$C2433),B2433="Insumo",F2433*G2433,B2433="Etapa","")</f>
        <v>5.08</v>
      </c>
      <c r="I2433" s="1082" t="s">
        <v>872</v>
      </c>
    </row>
    <row r="2434" spans="1:9" hidden="1" outlineLevel="2" x14ac:dyDescent="0.25">
      <c r="A2434" s="1079">
        <f t="shared" ref="A2434:A2465" si="96">COUNTIFS($D$2:$D$2465,D2434,$B$2:$B$2465,B2434)</f>
        <v>1</v>
      </c>
      <c r="B2434" s="1079" t="s">
        <v>1362</v>
      </c>
      <c r="C2434" s="1079" t="str">
        <f t="shared" si="94"/>
        <v>Mão de obra para execução de base</v>
      </c>
      <c r="D2434" s="1079" t="s">
        <v>2397</v>
      </c>
      <c r="E2434" s="1080" t="str">
        <f>_xlfn.XLOOKUP(D2434,Insumos!$B$1:$B$670,Insumos!$C$1:$C$670)</f>
        <v>MÊS</v>
      </c>
      <c r="F2434" s="1083">
        <v>1.8142857142857145E-4</v>
      </c>
      <c r="G2434" s="1081">
        <f>IF(B2434="insumo",_xlfn.XLOOKUP($D2434,Insumos!$B$1:$B$670,Insumos!$D$1:$D$670),"")</f>
        <v>4000</v>
      </c>
      <c r="H2434" s="1081" cm="1">
        <f t="array" ref="H2434">_xlfn.IFS(B2434="Serviço",SUMIFS(H2435:$H$2465,C2435:$C$2465,$C2434),B2434="Insumo",F2434*G2434,B2434="Etapa","")</f>
        <v>0.72571428571428576</v>
      </c>
      <c r="I2434" s="1082"/>
    </row>
    <row r="2435" spans="1:9" hidden="1" outlineLevel="2" x14ac:dyDescent="0.25">
      <c r="A2435" s="1079">
        <f t="shared" si="96"/>
        <v>1</v>
      </c>
      <c r="B2435" s="1079" t="s">
        <v>1362</v>
      </c>
      <c r="C2435" s="1079" t="str">
        <f t="shared" si="94"/>
        <v>Mão de obra para execução de base</v>
      </c>
      <c r="D2435" s="1079" t="s">
        <v>2398</v>
      </c>
      <c r="E2435" s="1080" t="str">
        <f>_xlfn.XLOOKUP(D2435,Insumos!$B$1:$B$670,Insumos!$C$1:$C$670)</f>
        <v>MÊS</v>
      </c>
      <c r="F2435" s="1083">
        <v>4.8380952380952383E-4</v>
      </c>
      <c r="G2435" s="1081">
        <f>IF(B2435="insumo",_xlfn.XLOOKUP($D2435,Insumos!$B$1:$B$670,Insumos!$D$1:$D$670),"")</f>
        <v>1500</v>
      </c>
      <c r="H2435" s="1081" cm="1">
        <f t="array" ref="H2435">_xlfn.IFS(B2435="Serviço",SUMIFS(H2436:$H$2465,C2436:$C$2465,$C2435),B2435="Insumo",F2435*G2435,B2435="Etapa","")</f>
        <v>0.72571428571428576</v>
      </c>
      <c r="I2435" s="1082"/>
    </row>
    <row r="2436" spans="1:9" hidden="1" outlineLevel="2" x14ac:dyDescent="0.25">
      <c r="A2436" s="1079">
        <f t="shared" si="96"/>
        <v>1</v>
      </c>
      <c r="B2436" s="1079" t="s">
        <v>1362</v>
      </c>
      <c r="C2436" s="1079" t="str">
        <f t="shared" si="94"/>
        <v>Mão de obra para execução de base</v>
      </c>
      <c r="D2436" s="1079" t="s">
        <v>2399</v>
      </c>
      <c r="E2436" s="1080" t="str">
        <f>_xlfn.XLOOKUP(D2436,Insumos!$B$1:$B$670,Insumos!$C$1:$C$670)</f>
        <v>MÊS</v>
      </c>
      <c r="F2436" s="1083">
        <v>3.628571428571429E-4</v>
      </c>
      <c r="G2436" s="1081">
        <f>IF(B2436="insumo",_xlfn.XLOOKUP($D2436,Insumos!$B$1:$B$670,Insumos!$D$1:$D$670),"")</f>
        <v>2000</v>
      </c>
      <c r="H2436" s="1081" cm="1">
        <f t="array" ref="H2436">_xlfn.IFS(B2436="Serviço",SUMIFS(H2437:$H$2465,C2437:$C$2465,$C2436),B2436="Insumo",F2436*G2436,B2436="Etapa","")</f>
        <v>0.72571428571428576</v>
      </c>
      <c r="I2436" s="1082"/>
    </row>
    <row r="2437" spans="1:9" hidden="1" outlineLevel="2" x14ac:dyDescent="0.25">
      <c r="A2437" s="1079">
        <f t="shared" si="96"/>
        <v>7</v>
      </c>
      <c r="B2437" s="1079" t="s">
        <v>1362</v>
      </c>
      <c r="C2437" s="1079" t="str">
        <f t="shared" si="94"/>
        <v>Mão de obra para execução de base</v>
      </c>
      <c r="D2437" s="1079" t="s">
        <v>2377</v>
      </c>
      <c r="E2437" s="1080" t="str">
        <f>_xlfn.XLOOKUP(D2437,Insumos!$B$1:$B$670,Insumos!$C$1:$C$670)</f>
        <v>MÊS</v>
      </c>
      <c r="F2437" s="1083">
        <v>2.10351966873706E-4</v>
      </c>
      <c r="G2437" s="1081">
        <f>IF(B2437="insumo",_xlfn.XLOOKUP($D2437,Insumos!$B$1:$B$670,Insumos!$D$1:$D$670),"")</f>
        <v>3450</v>
      </c>
      <c r="H2437" s="1081" cm="1">
        <f t="array" ref="H2437">_xlfn.IFS(B2437="Serviço",SUMIFS(H2438:$H$2465,C2438:$C$2465,$C2437),B2437="Insumo",F2437*G2437,B2437="Etapa","")</f>
        <v>0.72571428571428565</v>
      </c>
      <c r="I2437" s="1082"/>
    </row>
    <row r="2438" spans="1:9" hidden="1" outlineLevel="2" x14ac:dyDescent="0.25">
      <c r="A2438" s="1079">
        <f t="shared" si="96"/>
        <v>1</v>
      </c>
      <c r="B2438" s="1079" t="s">
        <v>1362</v>
      </c>
      <c r="C2438" s="1079" t="str">
        <f t="shared" si="94"/>
        <v>Mão de obra para execução de base</v>
      </c>
      <c r="D2438" s="1079" t="s">
        <v>2400</v>
      </c>
      <c r="E2438" s="1080" t="str">
        <f>_xlfn.XLOOKUP(D2438,Insumos!$B$1:$B$670,Insumos!$C$1:$C$670)</f>
        <v>MÊS</v>
      </c>
      <c r="F2438" s="1083">
        <v>2.4190476190476192E-4</v>
      </c>
      <c r="G2438" s="1081">
        <f>IF(B2438="insumo",_xlfn.XLOOKUP($D2438,Insumos!$B$1:$B$670,Insumos!$D$1:$D$670),"")</f>
        <v>3000</v>
      </c>
      <c r="H2438" s="1081" cm="1">
        <f t="array" ref="H2438">_xlfn.IFS(B2438="Serviço",SUMIFS(H2439:$H$2465,C2439:$C$2465,$C2438),B2438="Insumo",F2438*G2438,B2438="Etapa","")</f>
        <v>0.72571428571428576</v>
      </c>
      <c r="I2438" s="1082"/>
    </row>
    <row r="2439" spans="1:9" hidden="1" outlineLevel="2" x14ac:dyDescent="0.25">
      <c r="A2439" s="1079">
        <f t="shared" si="96"/>
        <v>1</v>
      </c>
      <c r="B2439" s="1079" t="s">
        <v>1362</v>
      </c>
      <c r="C2439" s="1079" t="str">
        <f t="shared" si="94"/>
        <v>Mão de obra para execução de base</v>
      </c>
      <c r="D2439" s="1079" t="s">
        <v>2401</v>
      </c>
      <c r="E2439" s="1080" t="str">
        <f>_xlfn.XLOOKUP(D2439,Insumos!$B$1:$B$670,Insumos!$C$1:$C$670)</f>
        <v>MÊS</v>
      </c>
      <c r="F2439" s="1083">
        <v>3.0238095238095241E-4</v>
      </c>
      <c r="G2439" s="1081">
        <f>IF(B2439="insumo",_xlfn.XLOOKUP($D2439,Insumos!$B$1:$B$670,Insumos!$D$1:$D$670),"")</f>
        <v>2400</v>
      </c>
      <c r="H2439" s="1081" cm="1">
        <f t="array" ref="H2439">_xlfn.IFS(B2439="Serviço",SUMIFS(H2440:$H$2465,C2440:$C$2465,$C2439),B2439="Insumo",F2439*G2439,B2439="Etapa","")</f>
        <v>0.72571428571428576</v>
      </c>
      <c r="I2439" s="1082"/>
    </row>
    <row r="2440" spans="1:9" hidden="1" outlineLevel="2" x14ac:dyDescent="0.25">
      <c r="A2440" s="1079">
        <f t="shared" si="96"/>
        <v>1</v>
      </c>
      <c r="B2440" s="1079" t="s">
        <v>1362</v>
      </c>
      <c r="C2440" s="1079" t="str">
        <f t="shared" si="94"/>
        <v>Mão de obra para execução de base</v>
      </c>
      <c r="D2440" s="1079" t="s">
        <v>2402</v>
      </c>
      <c r="E2440" s="1080" t="str">
        <f>_xlfn.XLOOKUP(D2440,Insumos!$B$1:$B$670,Insumos!$C$1:$C$670)</f>
        <v>MÊS</v>
      </c>
      <c r="F2440" s="1083">
        <v>1.1164835164835164E-4</v>
      </c>
      <c r="G2440" s="1081">
        <f>IF(B2440="insumo",_xlfn.XLOOKUP($D2440,Insumos!$B$1:$B$670,Insumos!$D$1:$D$670),"")</f>
        <v>6500</v>
      </c>
      <c r="H2440" s="1081" cm="1">
        <f t="array" ref="H2440">_xlfn.IFS(B2440="Serviço",SUMIFS(H2445:$H$2465,C2445:$C$2465,$C2440),B2440="Insumo",F2440*G2440,B2440="Etapa","")</f>
        <v>0.72571428571428565</v>
      </c>
      <c r="I2440" s="1082"/>
    </row>
    <row r="2441" spans="1:9" hidden="1" outlineLevel="1" x14ac:dyDescent="0.25">
      <c r="A2441" s="1079">
        <f t="shared" si="96"/>
        <v>1</v>
      </c>
      <c r="B2441" s="1079" t="s">
        <v>471</v>
      </c>
      <c r="C2441" s="1079" t="str">
        <f t="shared" si="94"/>
        <v>Pavimentação em Concregrama</v>
      </c>
      <c r="D2441" s="1079" t="s">
        <v>2577</v>
      </c>
      <c r="E2441" s="1080" t="s">
        <v>17</v>
      </c>
      <c r="F2441" s="1079"/>
      <c r="G2441" s="1081" t="str">
        <f>IF(B2441="insumo",_xlfn.XLOOKUP($D2441,Insumos!$B$1:$B$670,Insumos!$D$1:$D$670),"")</f>
        <v/>
      </c>
      <c r="H2441" s="1081" cm="1">
        <f t="array" ref="H2441">_xlfn.IFS(B2441="Serviço",SUMIFS(H2442:$H$2465,C2442:$C$2465,$C2441),B2441="Insumo",F2441*G2441,B2441="Etapa","")</f>
        <v>100.72970000000001</v>
      </c>
      <c r="I2441" s="1082" t="s">
        <v>872</v>
      </c>
    </row>
    <row r="2442" spans="1:9" hidden="1" outlineLevel="2" x14ac:dyDescent="0.25">
      <c r="A2442" s="1079">
        <f t="shared" si="96"/>
        <v>1</v>
      </c>
      <c r="B2442" s="1079" t="s">
        <v>1362</v>
      </c>
      <c r="C2442" s="1079" t="str">
        <f t="shared" si="94"/>
        <v>Pavimentação em Concregrama</v>
      </c>
      <c r="D2442" s="1079" t="s">
        <v>2578</v>
      </c>
      <c r="E2442" s="1080" t="str">
        <f>_xlfn.XLOOKUP(D2442,Insumos!$B$1:$B$670,Insumos!$C$1:$C$670)</f>
        <v>M2</v>
      </c>
      <c r="F2442" s="1083">
        <v>1.05</v>
      </c>
      <c r="G2442" s="1081">
        <f>IF(B2442="insumo",_xlfn.XLOOKUP($D2442,Insumos!$B$1:$B$670,Insumos!$D$1:$D$670),"")</f>
        <v>88.37</v>
      </c>
      <c r="H2442" s="1081" cm="1">
        <f t="array" ref="H2442">_xlfn.IFS(B2442="Serviço",SUMIFS(H2443:$H$2465,C2443:$C$2465,$C2442),B2442="Insumo",F2442*G2442,B2442="Etapa","")</f>
        <v>92.788500000000013</v>
      </c>
      <c r="I2442" s="1082"/>
    </row>
    <row r="2443" spans="1:9" hidden="1" outlineLevel="2" x14ac:dyDescent="0.25">
      <c r="A2443" s="1079">
        <f t="shared" si="96"/>
        <v>2</v>
      </c>
      <c r="B2443" s="1079" t="s">
        <v>1362</v>
      </c>
      <c r="C2443" s="1079" t="str">
        <f t="shared" si="94"/>
        <v>Pavimentação em Concregrama</v>
      </c>
      <c r="D2443" s="1079" t="s">
        <v>2405</v>
      </c>
      <c r="E2443" s="1080" t="str">
        <f>_xlfn.XLOOKUP(D2443,Insumos!$B$1:$B$670,Insumos!$C$1:$C$670)</f>
        <v>M3</v>
      </c>
      <c r="F2443" s="1083">
        <v>1.1000000000000001E-3</v>
      </c>
      <c r="G2443" s="1081">
        <f>IF(B2443="insumo",_xlfn.XLOOKUP($D2443,Insumos!$B$1:$B$670,Insumos!$D$1:$D$670),"")</f>
        <v>300</v>
      </c>
      <c r="H2443" s="1081" cm="1">
        <f t="array" ref="H2443">_xlfn.IFS(B2443="Serviço",SUMIFS(H2444:$H$2465,C2444:$C$2465,$C2443),B2443="Insumo",F2443*G2443,B2443="Etapa","")</f>
        <v>0.33</v>
      </c>
      <c r="I2443" s="1082"/>
    </row>
    <row r="2444" spans="1:9" hidden="1" outlineLevel="2" x14ac:dyDescent="0.25">
      <c r="A2444" s="1079">
        <f t="shared" si="96"/>
        <v>2</v>
      </c>
      <c r="B2444" s="1079" t="s">
        <v>1362</v>
      </c>
      <c r="C2444" s="1079" t="str">
        <f t="shared" si="94"/>
        <v>Pavimentação em Concregrama</v>
      </c>
      <c r="D2444" s="1079" t="s">
        <v>2406</v>
      </c>
      <c r="E2444" s="1080" t="str">
        <f>_xlfn.XLOOKUP(D2444,Insumos!$B$1:$B$670,Insumos!$C$1:$C$670)</f>
        <v>M3</v>
      </c>
      <c r="F2444" s="1083">
        <v>5.6800000000000003E-2</v>
      </c>
      <c r="G2444" s="1081">
        <f>IF(B2444="insumo",_xlfn.XLOOKUP($D2444,Insumos!$B$1:$B$670,Insumos!$D$1:$D$670),"")</f>
        <v>134</v>
      </c>
      <c r="H2444" s="1081" cm="1">
        <f t="array" ref="H2444">_xlfn.IFS(B2444="Serviço",SUMIFS(H2445:$H$2465,C2445:$C$2465,$C2444),B2444="Insumo",F2444*G2444,B2444="Etapa","")</f>
        <v>7.6112000000000002</v>
      </c>
      <c r="I2444" s="1082"/>
    </row>
    <row r="2445" spans="1:9" hidden="1" outlineLevel="1" x14ac:dyDescent="0.25">
      <c r="A2445" s="1079">
        <f t="shared" si="96"/>
        <v>1</v>
      </c>
      <c r="B2445" s="1079" t="s">
        <v>471</v>
      </c>
      <c r="C2445" s="1079" t="str">
        <f t="shared" si="94"/>
        <v>Pavimentação em Intertravado 10x20x06cm, Para vias, Calçadas e entrada das casas</v>
      </c>
      <c r="D2445" s="1079" t="s">
        <v>2403</v>
      </c>
      <c r="E2445" s="1080" t="s">
        <v>17</v>
      </c>
      <c r="F2445" s="1079"/>
      <c r="G2445" s="1081" t="str">
        <f>IF(B2445="insumo",_xlfn.XLOOKUP($D2445,Insumos!$B$1:$B$670,Insumos!$D$1:$D$670),"")</f>
        <v/>
      </c>
      <c r="H2445" s="1081" cm="1">
        <f t="array" ref="H2445">_xlfn.IFS(B2445="Serviço",SUMIFS(H2446:$H$2465,C2446:$C$2465,$C2445),B2445="Insumo",F2445*G2445,B2445="Etapa","")</f>
        <v>108.03500000000001</v>
      </c>
      <c r="I2445" s="1082" t="s">
        <v>872</v>
      </c>
    </row>
    <row r="2446" spans="1:9" hidden="1" outlineLevel="2" x14ac:dyDescent="0.25">
      <c r="A2446" s="1079">
        <f t="shared" si="96"/>
        <v>1</v>
      </c>
      <c r="B2446" s="1079" t="s">
        <v>1362</v>
      </c>
      <c r="C2446" s="1079" t="str">
        <f t="shared" si="94"/>
        <v>Pavimentação em Intertravado 10x20x06cm, Para vias, Calçadas e entrada das casas</v>
      </c>
      <c r="D2446" s="1079" t="s">
        <v>2404</v>
      </c>
      <c r="E2446" s="1080" t="str">
        <f>_xlfn.XLOOKUP(D2446,Insumos!$B$1:$B$670,Insumos!$C$1:$C$670)</f>
        <v>M2</v>
      </c>
      <c r="F2446" s="1083">
        <v>1.05</v>
      </c>
      <c r="G2446" s="1081">
        <f>IF(B2446="insumo",_xlfn.XLOOKUP($D2446,Insumos!$B$1:$B$670,Insumos!$D$1:$D$670),"")</f>
        <v>75.900000000000006</v>
      </c>
      <c r="H2446" s="1081" cm="1">
        <f t="array" ref="H2446">_xlfn.IFS(B2446="Serviço",SUMIFS(H2447:$H$2465,C2447:$C$2465,$C2446),B2446="Insumo",F2446*G2446,B2446="Etapa","")</f>
        <v>79.695000000000007</v>
      </c>
      <c r="I2446" s="1082"/>
    </row>
    <row r="2447" spans="1:9" hidden="1" outlineLevel="2" x14ac:dyDescent="0.25">
      <c r="A2447" s="1079">
        <f t="shared" si="96"/>
        <v>2</v>
      </c>
      <c r="B2447" s="1079" t="s">
        <v>1362</v>
      </c>
      <c r="C2447" s="1079" t="str">
        <f t="shared" si="94"/>
        <v>Pavimentação em Intertravado 10x20x06cm, Para vias, Calçadas e entrada das casas</v>
      </c>
      <c r="D2447" s="1079" t="s">
        <v>2405</v>
      </c>
      <c r="E2447" s="1080" t="str">
        <f>_xlfn.XLOOKUP(D2447,Insumos!$B$1:$B$670,Insumos!$C$1:$C$670)</f>
        <v>M3</v>
      </c>
      <c r="F2447" s="1083">
        <v>0.09</v>
      </c>
      <c r="G2447" s="1081">
        <f>IF(B2447="insumo",_xlfn.XLOOKUP($D2447,Insumos!$B$1:$B$670,Insumos!$D$1:$D$670),"")</f>
        <v>300</v>
      </c>
      <c r="H2447" s="1081" cm="1">
        <f t="array" ref="H2447">_xlfn.IFS(B2447="Serviço",SUMIFS(H2448:$H$2465,C2448:$C$2465,$C2447),B2447="Insumo",F2447*G2447,B2447="Etapa","")</f>
        <v>27</v>
      </c>
      <c r="I2447" s="1082"/>
    </row>
    <row r="2448" spans="1:9" hidden="1" outlineLevel="2" x14ac:dyDescent="0.25">
      <c r="A2448" s="1079">
        <f t="shared" si="96"/>
        <v>2</v>
      </c>
      <c r="B2448" s="1079" t="s">
        <v>1362</v>
      </c>
      <c r="C2448" s="1079" t="str">
        <f t="shared" si="94"/>
        <v>Pavimentação em Intertravado 10x20x06cm, Para vias, Calçadas e entrada das casas</v>
      </c>
      <c r="D2448" s="1079" t="s">
        <v>2406</v>
      </c>
      <c r="E2448" s="1080" t="str">
        <f>_xlfn.XLOOKUP(D2448,Insumos!$B$1:$B$670,Insumos!$C$1:$C$670)</f>
        <v>M3</v>
      </c>
      <c r="F2448" s="1083">
        <v>0.01</v>
      </c>
      <c r="G2448" s="1081">
        <f>IF(B2448="insumo",_xlfn.XLOOKUP($D2448,Insumos!$B$1:$B$670,Insumos!$D$1:$D$670),"")</f>
        <v>134</v>
      </c>
      <c r="H2448" s="1081" cm="1">
        <f t="array" ref="H2448">_xlfn.IFS(B2448="Serviço",SUMIFS(H2449:$H$2465,C2449:$C$2465,$C2448),B2448="Insumo",F2448*G2448,B2448="Etapa","")</f>
        <v>1.34</v>
      </c>
      <c r="I2448" s="1082"/>
    </row>
    <row r="2449" spans="1:9" hidden="1" outlineLevel="1" x14ac:dyDescent="0.25">
      <c r="A2449" s="1079">
        <f t="shared" si="96"/>
        <v>1</v>
      </c>
      <c r="B2449" s="1079" t="s">
        <v>471</v>
      </c>
      <c r="C2449" s="1079" t="str">
        <f t="shared" si="94"/>
        <v>Mão de Obra Instalação Pavimentação em Intertravado</v>
      </c>
      <c r="D2449" s="1079" t="s">
        <v>2407</v>
      </c>
      <c r="E2449" s="1080" t="s">
        <v>17</v>
      </c>
      <c r="F2449" s="1079"/>
      <c r="G2449" s="1081" t="str">
        <f>IF(B2449="insumo",_xlfn.XLOOKUP($D2449,Insumos!$B$1:$B$670,Insumos!$D$1:$D$670),"")</f>
        <v/>
      </c>
      <c r="H2449" s="1081" cm="1">
        <f t="array" ref="H2449">_xlfn.IFS(B2449="Serviço",SUMIFS(H2450:$H$2465,C2450:$C$2465,$C2449),B2449="Insumo",F2449*G2449,B2449="Etapa","")</f>
        <v>50</v>
      </c>
      <c r="I2449" s="1082" t="s">
        <v>872</v>
      </c>
    </row>
    <row r="2450" spans="1:9" hidden="1" outlineLevel="2" x14ac:dyDescent="0.25">
      <c r="A2450" s="1079">
        <f t="shared" si="96"/>
        <v>1</v>
      </c>
      <c r="B2450" s="1079" t="s">
        <v>1362</v>
      </c>
      <c r="C2450" s="1079" t="str">
        <f t="shared" ref="C2450:C2451" si="97">IF(B2450="serviço",D2450,C2449)</f>
        <v>Mão de Obra Instalação Pavimentação em Intertravado</v>
      </c>
      <c r="D2450" s="1079" t="s">
        <v>2408</v>
      </c>
      <c r="E2450" s="1080" t="str">
        <f>_xlfn.XLOOKUP(D2450,Insumos!$B$1:$B$670,Insumos!$C$1:$C$670)</f>
        <v>M2</v>
      </c>
      <c r="F2450" s="1083">
        <v>1</v>
      </c>
      <c r="G2450" s="1081">
        <f>IF(B2450="insumo",_xlfn.XLOOKUP($D2450,Insumos!$B$1:$B$670,Insumos!$D$1:$D$670),"")</f>
        <v>50</v>
      </c>
      <c r="H2450" s="1081" cm="1">
        <f t="array" ref="H2450">_xlfn.IFS(B2450="Serviço",SUMIFS(H2451:$H$2465,C2451:$C$2465,$C2450),B2450="Insumo",F2450*G2450,B2450="Etapa","")</f>
        <v>50</v>
      </c>
      <c r="I2450" s="1082"/>
    </row>
    <row r="2451" spans="1:9" hidden="1" outlineLevel="1" collapsed="1" x14ac:dyDescent="0.25">
      <c r="A2451" s="1079">
        <f t="shared" si="96"/>
        <v>1</v>
      </c>
      <c r="B2451" s="1079" t="s">
        <v>471</v>
      </c>
      <c r="C2451" s="1079" t="str">
        <f t="shared" si="97"/>
        <v>Pinturas das faixas de Pedestres</v>
      </c>
      <c r="D2451" s="1079" t="s">
        <v>2409</v>
      </c>
      <c r="E2451" s="1080" t="s">
        <v>17</v>
      </c>
      <c r="F2451" s="1079"/>
      <c r="G2451" s="1081" t="str">
        <f>IF(B2451="insumo",_xlfn.XLOOKUP($D2451,Insumos!$B$1:$B$670,Insumos!$D$1:$D$670),"")</f>
        <v/>
      </c>
      <c r="H2451" s="1081" cm="1">
        <f t="array" ref="H2451">_xlfn.IFS(B2451="Serviço",SUMIFS(H2452:$H$2465,C2452:$C$2465,$C2451),B2451="Insumo",F2451*G2451,B2451="Etapa","")</f>
        <v>28.335750000000001</v>
      </c>
      <c r="I2451" s="1082" t="s">
        <v>872</v>
      </c>
    </row>
    <row r="2452" spans="1:9" hidden="1" outlineLevel="2" x14ac:dyDescent="0.25">
      <c r="A2452" s="1079">
        <f t="shared" si="96"/>
        <v>6</v>
      </c>
      <c r="B2452" s="1079" t="s">
        <v>1362</v>
      </c>
      <c r="C2452" s="1079" t="str">
        <f t="shared" ref="C2452:C2465" si="98">IF(B2452="serviço",D2452,C2451)</f>
        <v>Pinturas das faixas de Pedestres</v>
      </c>
      <c r="D2452" s="1079" t="s">
        <v>2048</v>
      </c>
      <c r="E2452" s="1080" t="str">
        <f>_xlfn.XLOOKUP(D2452,Insumos!$B$1:$B$670,Insumos!$C$1:$C$670)</f>
        <v>L</v>
      </c>
      <c r="F2452" s="1083">
        <v>2.1000000000000001E-2</v>
      </c>
      <c r="G2452" s="1081">
        <f>IF(B2452="insumo",_xlfn.XLOOKUP($D2452,Insumos!$B$1:$B$670,Insumos!$D$1:$D$670),"")</f>
        <v>21.99</v>
      </c>
      <c r="H2452" s="1081" cm="1">
        <f t="array" ref="H2452">_xlfn.IFS(B2452="Serviço",SUMIFS(H2453:$H$2465,C2453:$C$2465,$C2452),B2452="Insumo",F2452*G2452,B2452="Etapa","")</f>
        <v>0.46178999999999998</v>
      </c>
      <c r="I2452" s="1082"/>
    </row>
    <row r="2453" spans="1:9" hidden="1" outlineLevel="2" x14ac:dyDescent="0.25">
      <c r="A2453" s="1079">
        <f t="shared" si="96"/>
        <v>2</v>
      </c>
      <c r="B2453" s="1079" t="s">
        <v>1362</v>
      </c>
      <c r="C2453" s="1079" t="str">
        <f t="shared" si="98"/>
        <v>Pinturas das faixas de Pedestres</v>
      </c>
      <c r="D2453" s="1079" t="s">
        <v>2410</v>
      </c>
      <c r="E2453" s="1080" t="str">
        <f>_xlfn.XLOOKUP(D2453,Insumos!$B$1:$B$670,Insumos!$C$1:$C$670)</f>
        <v>L</v>
      </c>
      <c r="F2453" s="1083">
        <v>0.42699999999999999</v>
      </c>
      <c r="G2453" s="1081">
        <f>IF(B2453="insumo",_xlfn.XLOOKUP($D2453,Insumos!$B$1:$B$670,Insumos!$D$1:$D$670),"")</f>
        <v>35.42</v>
      </c>
      <c r="H2453" s="1081" cm="1">
        <f t="array" ref="H2453">_xlfn.IFS(B2453="Serviço",SUMIFS(H2454:$H$2465,C2454:$C$2465,$C2453),B2453="Insumo",F2453*G2453,B2453="Etapa","")</f>
        <v>15.12434</v>
      </c>
      <c r="I2453" s="1082"/>
    </row>
    <row r="2454" spans="1:9" hidden="1" outlineLevel="2" x14ac:dyDescent="0.25">
      <c r="A2454" s="1079">
        <f t="shared" si="96"/>
        <v>14</v>
      </c>
      <c r="B2454" s="1079" t="s">
        <v>1362</v>
      </c>
      <c r="C2454" s="1079" t="str">
        <f t="shared" si="98"/>
        <v>Pinturas das faixas de Pedestres</v>
      </c>
      <c r="D2454" s="1079" t="s">
        <v>2040</v>
      </c>
      <c r="E2454" s="1080" t="str">
        <f>_xlfn.XLOOKUP(D2454,Insumos!$B$1:$B$670,Insumos!$C$1:$C$670)</f>
        <v>UN</v>
      </c>
      <c r="F2454" s="1083">
        <v>1.2E-2</v>
      </c>
      <c r="G2454" s="1081">
        <f>IF(B2454="insumo",_xlfn.XLOOKUP($D2454,Insumos!$B$1:$B$670,Insumos!$D$1:$D$670),"")</f>
        <v>11.26</v>
      </c>
      <c r="H2454" s="1081" cm="1">
        <f t="array" ref="H2454">_xlfn.IFS(B2454="Serviço",SUMIFS(H2455:$H$2465,C2455:$C$2465,$C2454),B2454="Insumo",F2454*G2454,B2454="Etapa","")</f>
        <v>0.13511999999999999</v>
      </c>
      <c r="I2454" s="1082"/>
    </row>
    <row r="2455" spans="1:9" hidden="1" outlineLevel="2" x14ac:dyDescent="0.25">
      <c r="A2455" s="1079">
        <f t="shared" si="96"/>
        <v>2</v>
      </c>
      <c r="B2455" s="1079" t="s">
        <v>1362</v>
      </c>
      <c r="C2455" s="1079" t="str">
        <f t="shared" si="98"/>
        <v>Pinturas das faixas de Pedestres</v>
      </c>
      <c r="D2455" s="1079" t="s">
        <v>2411</v>
      </c>
      <c r="E2455" s="1080" t="str">
        <f>_xlfn.XLOOKUP(D2455,Insumos!$B$1:$B$670,Insumos!$C$1:$C$670)</f>
        <v>L</v>
      </c>
      <c r="F2455" s="1083">
        <v>0.25</v>
      </c>
      <c r="G2455" s="1081">
        <f>IF(B2455="insumo",_xlfn.XLOOKUP($D2455,Insumos!$B$1:$B$670,Insumos!$D$1:$D$670),"")</f>
        <v>40.25</v>
      </c>
      <c r="H2455" s="1081" cm="1">
        <f t="array" ref="H2455">_xlfn.IFS(B2455="Serviço",SUMIFS(H2456:$H$2465,C2456:$C$2465,$C2455),B2455="Insumo",F2455*G2455,B2455="Etapa","")</f>
        <v>10.0625</v>
      </c>
      <c r="I2455" s="1082"/>
    </row>
    <row r="2456" spans="1:9" hidden="1" outlineLevel="2" x14ac:dyDescent="0.25">
      <c r="A2456" s="1079">
        <f t="shared" si="96"/>
        <v>2</v>
      </c>
      <c r="B2456" s="1079" t="s">
        <v>1362</v>
      </c>
      <c r="C2456" s="1079" t="str">
        <f t="shared" si="98"/>
        <v>Pinturas das faixas de Pedestres</v>
      </c>
      <c r="D2456" s="1079" t="s">
        <v>2412</v>
      </c>
      <c r="E2456" s="1080" t="str">
        <f>_xlfn.XLOOKUP(D2456,Insumos!$B$1:$B$670,Insumos!$C$1:$C$670)</f>
        <v>KG</v>
      </c>
      <c r="F2456" s="1083">
        <v>0.11</v>
      </c>
      <c r="G2456" s="1081">
        <f>IF(B2456="insumo",_xlfn.XLOOKUP($D2456,Insumos!$B$1:$B$670,Insumos!$D$1:$D$670),"")</f>
        <v>23.2</v>
      </c>
      <c r="H2456" s="1081" cm="1">
        <f t="array" ref="H2456">_xlfn.IFS(B2456="Serviço",SUMIFS(H2457:$H$2465,C2457:$C$2465,$C2456),B2456="Insumo",F2456*G2456,B2456="Etapa","")</f>
        <v>2.552</v>
      </c>
      <c r="I2456" s="1082"/>
    </row>
    <row r="2457" spans="1:9" hidden="1" outlineLevel="1" collapsed="1" x14ac:dyDescent="0.25">
      <c r="A2457" s="1079">
        <f t="shared" si="96"/>
        <v>1</v>
      </c>
      <c r="B2457" s="1079" t="s">
        <v>471</v>
      </c>
      <c r="C2457" s="1079" t="str">
        <f t="shared" si="98"/>
        <v xml:space="preserve">Pinturas das vias com tinta acrilica </v>
      </c>
      <c r="D2457" s="1079" t="s">
        <v>2413</v>
      </c>
      <c r="E2457" s="1080" t="s">
        <v>17</v>
      </c>
      <c r="F2457" s="1079"/>
      <c r="G2457" s="1081" t="str">
        <f>IF(B2457="insumo",_xlfn.XLOOKUP($D2457,Insumos!$B$1:$B$670,Insumos!$D$1:$D$670),"")</f>
        <v/>
      </c>
      <c r="H2457" s="1081" cm="1">
        <f t="array" ref="H2457">_xlfn.IFS(B2457="Serviço",SUMIFS(H2458:$H$2465,C2458:$C$2465,$C2457),B2457="Insumo",F2457*G2457,B2457="Etapa","")</f>
        <v>2.8284899999999999</v>
      </c>
      <c r="I2457" s="1082" t="s">
        <v>872</v>
      </c>
    </row>
    <row r="2458" spans="1:9" hidden="1" outlineLevel="2" x14ac:dyDescent="0.25">
      <c r="A2458" s="1079">
        <f t="shared" si="96"/>
        <v>6</v>
      </c>
      <c r="B2458" s="1079" t="s">
        <v>1362</v>
      </c>
      <c r="C2458" s="1079" t="str">
        <f t="shared" si="98"/>
        <v xml:space="preserve">Pinturas das vias com tinta acrilica </v>
      </c>
      <c r="D2458" s="1079" t="s">
        <v>2048</v>
      </c>
      <c r="E2458" s="1080" t="str">
        <f>_xlfn.XLOOKUP(D2458,Insumos!$B$1:$B$670,Insumos!$C$1:$C$670)</f>
        <v>L</v>
      </c>
      <c r="F2458" s="1083">
        <v>2E-3</v>
      </c>
      <c r="G2458" s="1081">
        <f>IF(B2458="insumo",_xlfn.XLOOKUP($D2458,Insumos!$B$1:$B$670,Insumos!$D$1:$D$670),"")</f>
        <v>21.99</v>
      </c>
      <c r="H2458" s="1081" cm="1">
        <f t="array" ref="H2458">_xlfn.IFS(B2458="Serviço",SUMIFS(H2459:$H$2465,C2459:$C$2465,$C2458),B2458="Insumo",F2458*G2458,B2458="Etapa","")</f>
        <v>4.3979999999999998E-2</v>
      </c>
      <c r="I2458" s="1082"/>
    </row>
    <row r="2459" spans="1:9" hidden="1" outlineLevel="2" x14ac:dyDescent="0.25">
      <c r="A2459" s="1079">
        <f t="shared" si="96"/>
        <v>2</v>
      </c>
      <c r="B2459" s="1079" t="s">
        <v>1362</v>
      </c>
      <c r="C2459" s="1079" t="str">
        <f t="shared" si="98"/>
        <v xml:space="preserve">Pinturas das vias com tinta acrilica </v>
      </c>
      <c r="D2459" s="1079" t="s">
        <v>2410</v>
      </c>
      <c r="E2459" s="1080" t="str">
        <f>_xlfn.XLOOKUP(D2459,Insumos!$B$1:$B$670,Insumos!$C$1:$C$670)</f>
        <v>L</v>
      </c>
      <c r="F2459" s="1083">
        <v>4.2999999999999997E-2</v>
      </c>
      <c r="G2459" s="1081">
        <f>IF(B2459="insumo",_xlfn.XLOOKUP($D2459,Insumos!$B$1:$B$670,Insumos!$D$1:$D$670),"")</f>
        <v>35.42</v>
      </c>
      <c r="H2459" s="1081" cm="1">
        <f t="array" ref="H2459">_xlfn.IFS(B2459="Serviço",SUMIFS(H2460:$H$2465,C2460:$C$2465,$C2459),B2459="Insumo",F2459*G2459,B2459="Etapa","")</f>
        <v>1.5230599999999999</v>
      </c>
      <c r="I2459" s="1082"/>
    </row>
    <row r="2460" spans="1:9" hidden="1" outlineLevel="2" x14ac:dyDescent="0.25">
      <c r="A2460" s="1079">
        <f t="shared" si="96"/>
        <v>2</v>
      </c>
      <c r="B2460" s="1079" t="s">
        <v>1362</v>
      </c>
      <c r="C2460" s="1079" t="str">
        <f t="shared" si="98"/>
        <v xml:space="preserve">Pinturas das vias com tinta acrilica </v>
      </c>
      <c r="D2460" s="1079" t="s">
        <v>2411</v>
      </c>
      <c r="E2460" s="1080" t="str">
        <f>_xlfn.XLOOKUP(D2460,Insumos!$B$1:$B$670,Insumos!$C$1:$C$670)</f>
        <v>L</v>
      </c>
      <c r="F2460" s="1083">
        <v>2.5000000000000001E-2</v>
      </c>
      <c r="G2460" s="1081">
        <f>IF(B2460="insumo",_xlfn.XLOOKUP($D2460,Insumos!$B$1:$B$670,Insumos!$D$1:$D$670),"")</f>
        <v>40.25</v>
      </c>
      <c r="H2460" s="1081" cm="1">
        <f t="array" ref="H2460">_xlfn.IFS(B2460="Serviço",SUMIFS(H2461:$H$2465,C2461:$C$2465,$C2460),B2460="Insumo",F2460*G2460,B2460="Etapa","")</f>
        <v>1.0062500000000001</v>
      </c>
      <c r="I2460" s="1082"/>
    </row>
    <row r="2461" spans="1:9" hidden="1" outlineLevel="2" x14ac:dyDescent="0.25">
      <c r="A2461" s="1079">
        <f t="shared" si="96"/>
        <v>2</v>
      </c>
      <c r="B2461" s="1079" t="s">
        <v>1362</v>
      </c>
      <c r="C2461" s="1079" t="str">
        <f t="shared" si="98"/>
        <v xml:space="preserve">Pinturas das vias com tinta acrilica </v>
      </c>
      <c r="D2461" s="1079" t="s">
        <v>2412</v>
      </c>
      <c r="E2461" s="1080" t="str">
        <f>_xlfn.XLOOKUP(D2461,Insumos!$B$1:$B$670,Insumos!$C$1:$C$670)</f>
        <v>KG</v>
      </c>
      <c r="F2461" s="1083">
        <v>1.0999999999999999E-2</v>
      </c>
      <c r="G2461" s="1081">
        <f>IF(B2461="insumo",_xlfn.XLOOKUP($D2461,Insumos!$B$1:$B$670,Insumos!$D$1:$D$670),"")</f>
        <v>23.2</v>
      </c>
      <c r="H2461" s="1081" cm="1">
        <f t="array" ref="H2461">_xlfn.IFS(B2461="Serviço",SUMIFS(H2462:$H$2465,C2462:$C$2465,$C2461),B2461="Insumo",F2461*G2461,B2461="Etapa","")</f>
        <v>0.25519999999999998</v>
      </c>
      <c r="I2461" s="1082"/>
    </row>
    <row r="2462" spans="1:9" hidden="1" outlineLevel="1" collapsed="1" x14ac:dyDescent="0.25">
      <c r="A2462" s="1079">
        <f t="shared" si="96"/>
        <v>1</v>
      </c>
      <c r="B2462" s="1079" t="s">
        <v>471</v>
      </c>
      <c r="C2462" s="1079" t="str">
        <f t="shared" si="98"/>
        <v>Mão de Obra Pinturas das faixas de Pedestres</v>
      </c>
      <c r="D2462" s="1079" t="s">
        <v>2414</v>
      </c>
      <c r="E2462" s="1080" t="s">
        <v>17</v>
      </c>
      <c r="F2462" s="1079"/>
      <c r="G2462" s="1081" t="str">
        <f>IF(B2462="insumo",_xlfn.XLOOKUP($D2462,Insumos!$B$1:$B$670,Insumos!$D$1:$D$670),"")</f>
        <v/>
      </c>
      <c r="H2462" s="1081" cm="1">
        <f t="array" ref="H2462">_xlfn.IFS(B2462="Serviço",SUMIFS(H2463:$H$2465,C2463:$C$2465,$C2462),B2462="Insumo",F2462*G2462,B2462="Etapa","")</f>
        <v>20</v>
      </c>
      <c r="I2462" s="1082" t="s">
        <v>872</v>
      </c>
    </row>
    <row r="2463" spans="1:9" hidden="1" outlineLevel="2" x14ac:dyDescent="0.25">
      <c r="A2463" s="1079">
        <f t="shared" si="96"/>
        <v>1</v>
      </c>
      <c r="B2463" s="1079" t="s">
        <v>1362</v>
      </c>
      <c r="C2463" s="1079" t="str">
        <f t="shared" si="98"/>
        <v>Mão de Obra Pinturas das faixas de Pedestres</v>
      </c>
      <c r="D2463" s="1079" t="s">
        <v>2414</v>
      </c>
      <c r="E2463" s="1080" t="str">
        <f>_xlfn.XLOOKUP(D2463,Insumos!$B$1:$B$670,Insumos!$C$1:$C$670)</f>
        <v>M2</v>
      </c>
      <c r="F2463" s="1083">
        <v>1</v>
      </c>
      <c r="G2463" s="1081">
        <f>IF(B2463="insumo",_xlfn.XLOOKUP($D2463,Insumos!$B$1:$B$670,Insumos!$D$1:$D$670),"")</f>
        <v>20</v>
      </c>
      <c r="H2463" s="1081" cm="1">
        <f t="array" ref="H2463">_xlfn.IFS(B2463="Serviço",SUMIFS(H2464:$H$2465,C2464:$C$2465,$C2463),B2463="Insumo",F2463*G2463,B2463="Etapa","")</f>
        <v>20</v>
      </c>
      <c r="I2463" s="1082"/>
    </row>
    <row r="2464" spans="1:9" hidden="1" outlineLevel="1" collapsed="1" x14ac:dyDescent="0.25">
      <c r="A2464" s="1079">
        <f t="shared" si="96"/>
        <v>1</v>
      </c>
      <c r="B2464" s="1079" t="s">
        <v>471</v>
      </c>
      <c r="C2464" s="1079" t="str">
        <f t="shared" si="98"/>
        <v>Mão de Obra Pinturas das vias</v>
      </c>
      <c r="D2464" s="1079" t="s">
        <v>2415</v>
      </c>
      <c r="E2464" s="1080" t="s">
        <v>281</v>
      </c>
      <c r="F2464" s="1079"/>
      <c r="G2464" s="1081" t="str">
        <f>IF(B2464="insumo",_xlfn.XLOOKUP($D2464,Insumos!$B$1:$B$670,Insumos!$D$1:$D$670),"")</f>
        <v/>
      </c>
      <c r="H2464" s="1081" cm="1">
        <f t="array" aca="1" ref="H2464" ca="1">_xlfn.IFS(B2464="Serviço",SUMIFS(H2465:$H$2465,C2465:$C$2465,$C2464),B2464="Insumo",F2464*G2464,B2464="Etapa","")</f>
        <v>5</v>
      </c>
      <c r="I2464" s="1082" t="s">
        <v>872</v>
      </c>
    </row>
    <row r="2465" spans="1:9" hidden="1" outlineLevel="2" x14ac:dyDescent="0.25">
      <c r="A2465" s="1079">
        <f t="shared" si="96"/>
        <v>1</v>
      </c>
      <c r="B2465" s="1079" t="s">
        <v>1362</v>
      </c>
      <c r="C2465" s="1079" t="str">
        <f t="shared" si="98"/>
        <v>Mão de Obra Pinturas das vias</v>
      </c>
      <c r="D2465" s="1079" t="s">
        <v>2415</v>
      </c>
      <c r="E2465" s="1080" t="str">
        <f>_xlfn.XLOOKUP(D2465,Insumos!$B$1:$B$670,Insumos!$C$1:$C$670)</f>
        <v>M</v>
      </c>
      <c r="F2465" s="1083">
        <v>1</v>
      </c>
      <c r="G2465" s="1081">
        <f>IF(B2465="insumo",_xlfn.XLOOKUP($D2465,Insumos!$B$1:$B$670,Insumos!$D$1:$D$670),"")</f>
        <v>5</v>
      </c>
      <c r="H2465" s="1081" cm="1">
        <f t="array" aca="1" ref="H2465" ca="1">_xlfn.IFS(B2465="Serviço",SUMIFS(H$2465:$H2466,C$2465:$C2466,$C2465),B2465="Insumo",F2465*G2465,B2465="Etapa","")</f>
        <v>5</v>
      </c>
      <c r="I2465" s="1082"/>
    </row>
  </sheetData>
  <autoFilter ref="B1:I2465" xr:uid="{65D854C9-D0CF-4927-804E-5E062CD88E8E}"/>
  <conditionalFormatting sqref="A245:A382 H2315:H2376 E2365:F2365">
    <cfRule type="expression" dxfId="3121" priority="568">
      <formula>$B245="Serviço"</formula>
    </cfRule>
  </conditionalFormatting>
  <conditionalFormatting sqref="A245:A382 H2315:H2376 E2365:G2365">
    <cfRule type="expression" dxfId="3120" priority="569">
      <formula>$B245="Subetapa"</formula>
    </cfRule>
  </conditionalFormatting>
  <conditionalFormatting sqref="A405:A458">
    <cfRule type="expression" dxfId="3119" priority="675">
      <formula>$B405="Serviço"</formula>
    </cfRule>
    <cfRule type="expression" dxfId="3118" priority="676">
      <formula>$B405="Subetapa"</formula>
    </cfRule>
  </conditionalFormatting>
  <conditionalFormatting sqref="A595:A606">
    <cfRule type="expression" dxfId="3117" priority="640">
      <formula>$B595="Serviço"</formula>
    </cfRule>
    <cfRule type="expression" dxfId="3116" priority="641">
      <formula>$B595="Subetapa"</formula>
    </cfRule>
  </conditionalFormatting>
  <conditionalFormatting sqref="A641:A649">
    <cfRule type="expression" dxfId="3115" priority="428">
      <formula>$B641="Serviço"</formula>
    </cfRule>
    <cfRule type="expression" dxfId="3114" priority="429">
      <formula>$B641="Subetapa"</formula>
    </cfRule>
  </conditionalFormatting>
  <conditionalFormatting sqref="A650:A655 A686:A698 A700:A705 B709:C739 A638:B640 A792:B838 A839:A864 B839:B875 B1773:C1788 B2160:C2216 A2161:A2185 I749:I890 A776:B788 B876:C876 A1015:C1354 D1090:H1127 D1128:I1129 D1130:H1131 D1615:I1674 A1622:C1691 D1675:H1684 C1692:C1696 A1704:C1705 A1707:C1757 D1754:H1762 A1758:B1770 C1758:C1771 D1763:I1765 D1766:H1770 I2298:I2395 D2359:G2364 D2364:D2376 D2366:G2366 D1773:H1781 D248:I276 F280:G280 H280:H281 D290:I313 D281:G281 B289:C313 E512:H514 B514:C514 B672:B673 D673 B675:B676 A879:C890 I916:I1127 E1087:H1089 D1088:D1089 I1130:I1390 E1136:H1136 D1288:H1295 E1337:G1337 D1338:G1350 D1354:H1354 D1358:H1358 D1362:F1362 E1392:E1395 D1396:F1396 E1397:E1400 E1432:E1435 G1432:G1435 D1436:G1436 D1437:E1440 G1437:G1440 D1441:G1441 D1442:E1445 G1442:G1445 E1516:G1518 D1517:D1518 E1528:E1530 G1528:G1530 E1553:G1555 D1554:D1555 D1556:G1614 H1605:I1614 I1675:I1690 G1689:H1689 I1700:I1762 D1702:H1711 D1715:E1715 G1715:H1715 I1766:I1856 C1789:C1800 A1894:I1896 A1899:H1909 A1910:B1918 D1910:G1918 H1910:H1924 C1910:C1928 A2311:B2376 D2315:G2315 E2316:G2358 G2365 B2380:C2413">
    <cfRule type="expression" dxfId="3113" priority="807">
      <formula>$B248="Serviço"</formula>
    </cfRule>
  </conditionalFormatting>
  <conditionalFormatting sqref="A699">
    <cfRule type="expression" dxfId="3112" priority="764">
      <formula>$B699="Serviço"</formula>
    </cfRule>
    <cfRule type="expression" dxfId="3111" priority="765">
      <formula>$B699="Subetapa"</formula>
    </cfRule>
  </conditionalFormatting>
  <conditionalFormatting sqref="A706">
    <cfRule type="expression" dxfId="3110" priority="762">
      <formula>$B706="Serviço"</formula>
    </cfRule>
    <cfRule type="expression" dxfId="3109" priority="763">
      <formula>$B706="Subetapa"</formula>
    </cfRule>
  </conditionalFormatting>
  <conditionalFormatting sqref="A708:A739 A792:A874 B817:B875 A2160 A2377:A2413 A2424:C2465 D1351:E1353 G1351:H1353 D1355:E1357 G1355:H1357 D1359:E1361 G1359:H1380 D1363:E1365 E1712:E1713 G1712:H1713 D1717:E1718 G1717:H1718 D1720:E1720 G1720:H1720 D1643:H1684 D2142:H2154 I722:I890 G1391:H1405 A1392:C1410 A1766:A1791 A1622:C1757 A2308:H2309 A927:B1168 B2377:B2379 D2377:H2379 A776:A788 E817:G827 B876:C876 D1090:H1131 D1622:I1642 D1757:D1763 A1758:B1765 C1758:C1771 D1766 B1766:B1769 I2298:I2387 D2364:D2376">
    <cfRule type="expression" dxfId="3108" priority="759">
      <formula>$B708="Subetapa"</formula>
    </cfRule>
  </conditionalFormatting>
  <conditionalFormatting sqref="A708:A739 A865:B874 A2160 A2377:A2413 A2424:C2465">
    <cfRule type="expression" dxfId="3107" priority="758">
      <formula>$B708="Serviço"</formula>
    </cfRule>
  </conditionalFormatting>
  <conditionalFormatting sqref="A740:A745">
    <cfRule type="expression" dxfId="3106" priority="622">
      <formula>$B740="Subetapa"</formula>
    </cfRule>
  </conditionalFormatting>
  <conditionalFormatting sqref="A746:A748">
    <cfRule type="expression" dxfId="3105" priority="438">
      <formula>$B746="Subetapa"</formula>
    </cfRule>
  </conditionalFormatting>
  <conditionalFormatting sqref="A875:A876">
    <cfRule type="expression" dxfId="3104" priority="396">
      <formula>$B875="Serviço"</formula>
    </cfRule>
    <cfRule type="expression" dxfId="3103" priority="397">
      <formula>$B875="Subetapa"</formula>
    </cfRule>
  </conditionalFormatting>
  <conditionalFormatting sqref="A913:A921">
    <cfRule type="expression" dxfId="3102" priority="593">
      <formula>$B913="Serviço"</formula>
    </cfRule>
    <cfRule type="expression" dxfId="3101" priority="594">
      <formula>$B913="Subetapa"</formula>
    </cfRule>
  </conditionalFormatting>
  <conditionalFormatting sqref="A918">
    <cfRule type="expression" dxfId="3100" priority="805">
      <formula>$B918="Serviço"</formula>
    </cfRule>
    <cfRule type="expression" dxfId="3099" priority="806">
      <formula>$B918="Subetapa"</formula>
    </cfRule>
  </conditionalFormatting>
  <conditionalFormatting sqref="A921:A922">
    <cfRule type="expression" dxfId="3098" priority="803">
      <formula>$B921="Serviço"</formula>
    </cfRule>
    <cfRule type="expression" dxfId="3097" priority="804">
      <formula>$B921="Subetapa"</formula>
    </cfRule>
  </conditionalFormatting>
  <conditionalFormatting sqref="A923:A925">
    <cfRule type="expression" dxfId="3096" priority="588">
      <formula>$B923="Serviço"</formula>
    </cfRule>
  </conditionalFormatting>
  <conditionalFormatting sqref="A923:A926">
    <cfRule type="expression" dxfId="3095" priority="589">
      <formula>$B923="Subetapa"</formula>
    </cfRule>
  </conditionalFormatting>
  <conditionalFormatting sqref="A1169:A1189 B1175:B1189">
    <cfRule type="expression" dxfId="3094" priority="620">
      <formula>$B1169="Subetapa"</formula>
    </cfRule>
  </conditionalFormatting>
  <conditionalFormatting sqref="A1771:A1791">
    <cfRule type="expression" dxfId="3093" priority="381">
      <formula>$B1771="Serviço"</formula>
    </cfRule>
  </conditionalFormatting>
  <conditionalFormatting sqref="A2099:A2101">
    <cfRule type="expression" dxfId="3092" priority="773">
      <formula>$B2099="Serviço"</formula>
    </cfRule>
    <cfRule type="expression" dxfId="3091" priority="774">
      <formula>$B2099="Subetapa"</formula>
    </cfRule>
  </conditionalFormatting>
  <conditionalFormatting sqref="A2100">
    <cfRule type="expression" dxfId="3090" priority="771">
      <formula>$B2100="Serviço"</formula>
    </cfRule>
    <cfRule type="expression" dxfId="3089" priority="772">
      <formula>$B2100="Subetapa"</formula>
    </cfRule>
  </conditionalFormatting>
  <conditionalFormatting sqref="A2186:A2245">
    <cfRule type="expression" dxfId="3088" priority="664">
      <formula>$B2186="Serviço"</formula>
    </cfRule>
    <cfRule type="expression" dxfId="3087" priority="665">
      <formula>$B2186="Subetapa"</formula>
    </cfRule>
  </conditionalFormatting>
  <conditionalFormatting sqref="A2414:A2423">
    <cfRule type="expression" dxfId="3086" priority="340">
      <formula>$B2414="Subetapa"</formula>
    </cfRule>
  </conditionalFormatting>
  <conditionalFormatting sqref="A209:B244 A468:A514">
    <cfRule type="expression" dxfId="3085" priority="559">
      <formula>$B209="Serviço"</formula>
    </cfRule>
    <cfRule type="expression" dxfId="3084" priority="560">
      <formula>$B209="Subetapa"</formula>
    </cfRule>
  </conditionalFormatting>
  <conditionalFormatting sqref="A609:B636">
    <cfRule type="expression" dxfId="3083" priority="586">
      <formula>$B609="Serviço"</formula>
    </cfRule>
    <cfRule type="expression" dxfId="3082" priority="587">
      <formula>$B609="Subetapa"</formula>
    </cfRule>
  </conditionalFormatting>
  <conditionalFormatting sqref="A640:B640">
    <cfRule type="expression" dxfId="3081" priority="799">
      <formula>$B640="Serviço"</formula>
    </cfRule>
    <cfRule type="expression" dxfId="3080" priority="800">
      <formula>$B640="Subetapa"</formula>
    </cfRule>
  </conditionalFormatting>
  <conditionalFormatting sqref="A643:B643">
    <cfRule type="expression" dxfId="3079" priority="52">
      <formula>$B643="Serviço"</formula>
    </cfRule>
    <cfRule type="expression" dxfId="3078" priority="53">
      <formula>$B643="Subetapa"</formula>
    </cfRule>
  </conditionalFormatting>
  <conditionalFormatting sqref="A646:B646 A649:B649">
    <cfRule type="expression" dxfId="3077" priority="426">
      <formula>$B646="Serviço"</formula>
    </cfRule>
    <cfRule type="expression" dxfId="3076" priority="427">
      <formula>$B646="Subetapa"</formula>
    </cfRule>
  </conditionalFormatting>
  <conditionalFormatting sqref="A652:B652 A687:B692 D687:D692 A702:B704 A706:B707 A708:C708 A711:C711 A714:C714">
    <cfRule type="expression" dxfId="3075" priority="802">
      <formula>$B652="Subetapa"</formula>
    </cfRule>
  </conditionalFormatting>
  <conditionalFormatting sqref="A655:B659">
    <cfRule type="expression" dxfId="3074" priority="703">
      <formula>$B655="Serviço"</formula>
    </cfRule>
    <cfRule type="expression" dxfId="3073" priority="704">
      <formula>$B655="Subetapa"</formula>
    </cfRule>
  </conditionalFormatting>
  <conditionalFormatting sqref="A658:B658">
    <cfRule type="expression" dxfId="3072" priority="701">
      <formula>$B658="Serviço"</formula>
    </cfRule>
    <cfRule type="expression" dxfId="3071" priority="702">
      <formula>$B658="Subetapa"</formula>
    </cfRule>
  </conditionalFormatting>
  <conditionalFormatting sqref="A660:B662">
    <cfRule type="expression" dxfId="3070" priority="699">
      <formula>$B660="Serviço"</formula>
    </cfRule>
    <cfRule type="expression" dxfId="3069" priority="700">
      <formula>$B660="Subetapa"</formula>
    </cfRule>
  </conditionalFormatting>
  <conditionalFormatting sqref="A661:B661">
    <cfRule type="expression" dxfId="3068" priority="697">
      <formula>$B661="Serviço"</formula>
    </cfRule>
    <cfRule type="expression" dxfId="3067" priority="698">
      <formula>$B661="Subetapa"</formula>
    </cfRule>
  </conditionalFormatting>
  <conditionalFormatting sqref="A663:B664">
    <cfRule type="expression" dxfId="3066" priority="56">
      <formula>$B663="Serviço"</formula>
    </cfRule>
    <cfRule type="expression" dxfId="3065" priority="57">
      <formula>$B663="Subetapa"</formula>
    </cfRule>
  </conditionalFormatting>
  <conditionalFormatting sqref="A664:B664">
    <cfRule type="expression" dxfId="3064" priority="54">
      <formula>$B664="Serviço"</formula>
    </cfRule>
    <cfRule type="expression" dxfId="3063" priority="55">
      <formula>$B664="Subetapa"</formula>
    </cfRule>
  </conditionalFormatting>
  <conditionalFormatting sqref="A665:B668">
    <cfRule type="expression" dxfId="3062" priority="695">
      <formula>$B665="Serviço"</formula>
    </cfRule>
    <cfRule type="expression" dxfId="3061" priority="696">
      <formula>$B665="Subetapa"</formula>
    </cfRule>
  </conditionalFormatting>
  <conditionalFormatting sqref="A667:B667">
    <cfRule type="expression" dxfId="3060" priority="693">
      <formula>$B667="Serviço"</formula>
    </cfRule>
    <cfRule type="expression" dxfId="3059" priority="694">
      <formula>$B667="Subetapa"</formula>
    </cfRule>
  </conditionalFormatting>
  <conditionalFormatting sqref="A669:B676">
    <cfRule type="expression" dxfId="3058" priority="691">
      <formula>$B669="Serviço"</formula>
    </cfRule>
    <cfRule type="expression" dxfId="3057" priority="692">
      <formula>$B669="Subetapa"</formula>
    </cfRule>
  </conditionalFormatting>
  <conditionalFormatting sqref="A670:B670">
    <cfRule type="expression" dxfId="3056" priority="689">
      <formula>$B670="Serviço"</formula>
    </cfRule>
    <cfRule type="expression" dxfId="3055" priority="690">
      <formula>$B670="Subetapa"</formula>
    </cfRule>
  </conditionalFormatting>
  <conditionalFormatting sqref="A677:B685">
    <cfRule type="expression" dxfId="3054" priority="422">
      <formula>$B677="Serviço"</formula>
    </cfRule>
    <cfRule type="expression" dxfId="3053" priority="423">
      <formula>$B677="Subetapa"</formula>
    </cfRule>
  </conditionalFormatting>
  <conditionalFormatting sqref="A694:B700 D694:D704">
    <cfRule type="expression" dxfId="3052" priority="766">
      <formula>$B694="Serviço"</formula>
    </cfRule>
    <cfRule type="expression" dxfId="3051" priority="767">
      <formula>$B694="Subetapa"</formula>
    </cfRule>
  </conditionalFormatting>
  <conditionalFormatting sqref="A706:B707 A708:C708 A711:C711 A714:C714 A652:B652 A687:B692 D687:D692 A702:B704">
    <cfRule type="expression" dxfId="3050" priority="801">
      <formula>$B652="Serviço"</formula>
    </cfRule>
  </conditionalFormatting>
  <conditionalFormatting sqref="A729:B730">
    <cfRule type="expression" dxfId="3049" priority="795">
      <formula>$B729="Serviço"</formula>
    </cfRule>
    <cfRule type="expression" dxfId="3048" priority="796">
      <formula>$B729="Subetapa"</formula>
    </cfRule>
  </conditionalFormatting>
  <conditionalFormatting sqref="A733:B739">
    <cfRule type="expression" dxfId="3047" priority="791">
      <formula>$B733="Serviço"</formula>
    </cfRule>
    <cfRule type="expression" dxfId="3046" priority="792">
      <formula>$B733="Subetapa"</formula>
    </cfRule>
  </conditionalFormatting>
  <conditionalFormatting sqref="A741:B748">
    <cfRule type="expression" dxfId="3045" priority="437">
      <formula>$B741="Serviço"</formula>
    </cfRule>
  </conditionalFormatting>
  <conditionalFormatting sqref="A748:B775">
    <cfRule type="expression" dxfId="3044" priority="435">
      <formula>$B748="Serviço"</formula>
    </cfRule>
    <cfRule type="expression" dxfId="3043" priority="436">
      <formula>$B748="Subetapa"</formula>
    </cfRule>
  </conditionalFormatting>
  <conditionalFormatting sqref="A749:B749">
    <cfRule type="expression" dxfId="3042" priority="432">
      <formula>$B749="Serviço"</formula>
    </cfRule>
    <cfRule type="expression" dxfId="3041" priority="433">
      <formula>$B749="Subetapa"</formula>
    </cfRule>
  </conditionalFormatting>
  <conditionalFormatting sqref="A752:B761">
    <cfRule type="expression" dxfId="3040" priority="235">
      <formula>$B752="Serviço"</formula>
    </cfRule>
    <cfRule type="expression" dxfId="3039" priority="236">
      <formula>$B752="Subetapa"</formula>
    </cfRule>
  </conditionalFormatting>
  <conditionalFormatting sqref="A775:B788">
    <cfRule type="expression" dxfId="3038" priority="33">
      <formula>$B775="Serviço"</formula>
    </cfRule>
    <cfRule type="expression" dxfId="3037" priority="34">
      <formula>$B775="Subetapa"</formula>
    </cfRule>
  </conditionalFormatting>
  <conditionalFormatting sqref="A789:B791 I1939:I2018 A2094:B2095 A149:A207">
    <cfRule type="expression" dxfId="3036" priority="655">
      <formula>$B149="Subetapa"</formula>
    </cfRule>
  </conditionalFormatting>
  <conditionalFormatting sqref="A791:B803">
    <cfRule type="expression" dxfId="3035" priority="35">
      <formula>$B791="Serviço"</formula>
    </cfRule>
    <cfRule type="expression" dxfId="3034" priority="36">
      <formula>$B791="Subetapa"</formula>
    </cfRule>
  </conditionalFormatting>
  <conditionalFormatting sqref="A806:B815">
    <cfRule type="expression" dxfId="3033" priority="789">
      <formula>$B806="Serviço"</formula>
    </cfRule>
    <cfRule type="expression" dxfId="3032" priority="790">
      <formula>$B806="Subetapa"</formula>
    </cfRule>
  </conditionalFormatting>
  <conditionalFormatting sqref="A818:B827">
    <cfRule type="expression" dxfId="3031" priority="783">
      <formula>$B818="Serviço"</formula>
    </cfRule>
    <cfRule type="expression" dxfId="3030" priority="784">
      <formula>$B818="Subetapa"</formula>
    </cfRule>
  </conditionalFormatting>
  <conditionalFormatting sqref="A830:B838">
    <cfRule type="expression" dxfId="3029" priority="48">
      <formula>$B830="Serviço"</formula>
    </cfRule>
    <cfRule type="expression" dxfId="3028" priority="49">
      <formula>$B830="Subetapa"</formula>
    </cfRule>
  </conditionalFormatting>
  <conditionalFormatting sqref="A841:B850">
    <cfRule type="expression" dxfId="3027" priority="785">
      <formula>$B841="Serviço"</formula>
    </cfRule>
    <cfRule type="expression" dxfId="3026" priority="786">
      <formula>$B841="Subetapa"</formula>
    </cfRule>
  </conditionalFormatting>
  <conditionalFormatting sqref="A853:B862">
    <cfRule type="expression" dxfId="3025" priority="781">
      <formula>$B853="Serviço"</formula>
    </cfRule>
    <cfRule type="expression" dxfId="3024" priority="782">
      <formula>$B853="Subetapa"</formula>
    </cfRule>
  </conditionalFormatting>
  <conditionalFormatting sqref="A877:B911">
    <cfRule type="expression" dxfId="3023" priority="285">
      <formula>$B877="Subetapa"</formula>
    </cfRule>
  </conditionalFormatting>
  <conditionalFormatting sqref="A1280:B1391">
    <cfRule type="expression" dxfId="3022" priority="400">
      <formula>$B1280="Subetapa"</formula>
    </cfRule>
  </conditionalFormatting>
  <conditionalFormatting sqref="A1355:B1415">
    <cfRule type="expression" dxfId="3021" priority="386">
      <formula>$B1355="Serviço"</formula>
    </cfRule>
  </conditionalFormatting>
  <conditionalFormatting sqref="A1416:B1541 I1421:I1445 I1506:I1604 A1542:A1604 D1939:G1948 D1949:E1949 G1949 D1950:G1950 D1951:E1952 G1951:G1952 D2060:E2060 D2067:E2067 D2069:E2069 D2096:H2116 A2102:A2119 I1948:I2023 A2124:A2127 I2094 G2060:H2060 G2067:H2067 G2069:H2069 A1948:B2023 I2096:I2102 B2099:B2119 H1943:H1952">
    <cfRule type="expression" dxfId="3020" priority="672">
      <formula>$B1416="Serviço"</formula>
    </cfRule>
  </conditionalFormatting>
  <conditionalFormatting sqref="A1792:B1800">
    <cfRule type="expression" dxfId="3019" priority="27">
      <formula>$B1792="Serviço"</formula>
    </cfRule>
    <cfRule type="expression" dxfId="3018" priority="28">
      <formula>$B1792="Subetapa"</formula>
    </cfRule>
  </conditionalFormatting>
  <conditionalFormatting sqref="A1919:B1919 I1919:I1937">
    <cfRule type="expression" dxfId="3017" priority="6">
      <formula>$B1919="Subetapa"</formula>
    </cfRule>
  </conditionalFormatting>
  <conditionalFormatting sqref="A1939:B1940">
    <cfRule type="expression" dxfId="3016" priority="769">
      <formula>$B1939="Serviço"</formula>
    </cfRule>
    <cfRule type="expression" dxfId="3015" priority="770">
      <formula>$B1939="Subetapa"</formula>
    </cfRule>
  </conditionalFormatting>
  <conditionalFormatting sqref="A1944:B1945 D1944:D1945">
    <cfRule type="expression" dxfId="3014" priority="707">
      <formula>$B1944="Serviço"</formula>
    </cfRule>
    <cfRule type="expression" dxfId="3013" priority="708">
      <formula>$B1944="Subetapa"</formula>
    </cfRule>
  </conditionalFormatting>
  <conditionalFormatting sqref="A2094:B2095 A789:B791 I1939:I1947">
    <cfRule type="expression" dxfId="3012" priority="654">
      <formula>$B789="Serviço"</formula>
    </cfRule>
  </conditionalFormatting>
  <conditionalFormatting sqref="A2096:B2098">
    <cfRule type="expression" dxfId="3011" priority="777">
      <formula>$B2096="Serviço"</formula>
    </cfRule>
    <cfRule type="expression" dxfId="3010" priority="778">
      <formula>$B2096="Subetapa"</formula>
    </cfRule>
  </conditionalFormatting>
  <conditionalFormatting sqref="A2124:B2127">
    <cfRule type="expression" dxfId="3009" priority="599">
      <formula>$B2124="Subetapa"</formula>
    </cfRule>
  </conditionalFormatting>
  <conditionalFormatting sqref="A2126:B2127">
    <cfRule type="expression" dxfId="3008" priority="597">
      <formula>$B2126="Subetapa"</formula>
    </cfRule>
  </conditionalFormatting>
  <conditionalFormatting sqref="A2127:B2159 I2128:I2194">
    <cfRule type="expression" dxfId="3007" priority="443">
      <formula>$B2127="Serviço"</formula>
    </cfRule>
  </conditionalFormatting>
  <conditionalFormatting sqref="A2162:B2168 D2162:D2168">
    <cfRule type="expression" dxfId="3006" priority="768">
      <formula>$B2162="Subetapa"</formula>
    </cfRule>
  </conditionalFormatting>
  <conditionalFormatting sqref="A2367:B2369">
    <cfRule type="expression" dxfId="3005" priority="211">
      <formula>$B2367="Subetapa"</formula>
    </cfRule>
  </conditionalFormatting>
  <conditionalFormatting sqref="A2371:B2376">
    <cfRule type="expression" dxfId="3004" priority="213">
      <formula>$B2371="Subetapa"</formula>
    </cfRule>
  </conditionalFormatting>
  <conditionalFormatting sqref="A2414:B2423 I2412:I2423">
    <cfRule type="expression" dxfId="3003" priority="341">
      <formula>$B2412="Serviço"</formula>
    </cfRule>
  </conditionalFormatting>
  <conditionalFormatting sqref="A2:C148">
    <cfRule type="expression" dxfId="3002" priority="250">
      <formula>$B2="Subetapa"</formula>
    </cfRule>
  </conditionalFormatting>
  <conditionalFormatting sqref="A383:C404">
    <cfRule type="expression" dxfId="3001" priority="217">
      <formula>$B383="Serviço"</formula>
    </cfRule>
    <cfRule type="expression" dxfId="3000" priority="218">
      <formula>$B383="Subetapa"</formula>
    </cfRule>
  </conditionalFormatting>
  <conditionalFormatting sqref="A459:C467">
    <cfRule type="expression" dxfId="2999" priority="256">
      <formula>$B459="Serviço"</formula>
    </cfRule>
    <cfRule type="expression" dxfId="2998" priority="257">
      <formula>$B459="Subetapa"</formula>
    </cfRule>
  </conditionalFormatting>
  <conditionalFormatting sqref="A740:C740">
    <cfRule type="expression" dxfId="2997" priority="621">
      <formula>$B740="Serviço"</formula>
    </cfRule>
  </conditionalFormatting>
  <conditionalFormatting sqref="A877:C878">
    <cfRule type="expression" dxfId="2996" priority="245">
      <formula>$B877="Serviço"</formula>
    </cfRule>
  </conditionalFormatting>
  <conditionalFormatting sqref="A880:C884">
    <cfRule type="expression" dxfId="2995" priority="184">
      <formula>$B880="Serviço"</formula>
    </cfRule>
  </conditionalFormatting>
  <conditionalFormatting sqref="A886:C912">
    <cfRule type="expression" dxfId="2994" priority="182">
      <formula>$B886="Serviço"</formula>
    </cfRule>
  </conditionalFormatting>
  <conditionalFormatting sqref="A912:C912">
    <cfRule type="expression" dxfId="2993" priority="595">
      <formula>$B912="Subetapa"</formula>
    </cfRule>
  </conditionalFormatting>
  <conditionalFormatting sqref="A926:C1014">
    <cfRule type="expression" dxfId="2992" priority="205">
      <formula>$B926="Serviço"</formula>
    </cfRule>
  </conditionalFormatting>
  <conditionalFormatting sqref="A1411:C1505">
    <cfRule type="expression" dxfId="2991" priority="233">
      <formula>$B1411="Subetapa"</formula>
    </cfRule>
  </conditionalFormatting>
  <conditionalFormatting sqref="A1605:C1621">
    <cfRule type="expression" dxfId="2990" priority="200">
      <formula>$B1605="Serviço"</formula>
    </cfRule>
    <cfRule type="expression" dxfId="2989" priority="201">
      <formula>$B1605="Subetapa"</formula>
    </cfRule>
  </conditionalFormatting>
  <conditionalFormatting sqref="A1692:C1703">
    <cfRule type="expression" dxfId="2988" priority="178">
      <formula>$B1692="Serviço"</formula>
    </cfRule>
  </conditionalFormatting>
  <conditionalFormatting sqref="A1706:C1706">
    <cfRule type="expression" dxfId="2987" priority="300">
      <formula>$B1706="Serviço"</formula>
    </cfRule>
  </conditionalFormatting>
  <conditionalFormatting sqref="A1787:C1787">
    <cfRule type="expression" dxfId="2986" priority="779">
      <formula>$B1787="Serviço"</formula>
    </cfRule>
    <cfRule type="expression" dxfId="2985" priority="780">
      <formula>$B1787="Subetapa"</formula>
    </cfRule>
  </conditionalFormatting>
  <conditionalFormatting sqref="A1801:C1863 C1864:C1872">
    <cfRule type="expression" dxfId="2984" priority="187">
      <formula>$B1801="Subetapa"</formula>
    </cfRule>
  </conditionalFormatting>
  <conditionalFormatting sqref="A1801:C1893">
    <cfRule type="expression" dxfId="2983" priority="186">
      <formula>$B1801="Serviço"</formula>
    </cfRule>
  </conditionalFormatting>
  <conditionalFormatting sqref="A1864:C1869">
    <cfRule type="expression" dxfId="2982" priority="41">
      <formula>$B1864="Subetapa"</formula>
    </cfRule>
  </conditionalFormatting>
  <conditionalFormatting sqref="A1929:C1947">
    <cfRule type="expression" dxfId="2981" priority="194">
      <formula>$B1929="Serviço"</formula>
    </cfRule>
  </conditionalFormatting>
  <conditionalFormatting sqref="A2024:C2094">
    <cfRule type="expression" dxfId="2980" priority="192">
      <formula>$B2024="Serviço"</formula>
    </cfRule>
  </conditionalFormatting>
  <conditionalFormatting sqref="A2097:C2097">
    <cfRule type="expression" dxfId="2979" priority="775">
      <formula>$B2097="Serviço"</formula>
    </cfRule>
    <cfRule type="expression" dxfId="2978" priority="776">
      <formula>$B2097="Subetapa"</formula>
    </cfRule>
  </conditionalFormatting>
  <conditionalFormatting sqref="A2120:C2123">
    <cfRule type="expression" dxfId="2977" priority="190">
      <formula>$B2120="Subetapa"</formula>
    </cfRule>
    <cfRule type="expression" dxfId="2976" priority="191">
      <formula>$B2120="Serviço"</formula>
    </cfRule>
  </conditionalFormatting>
  <conditionalFormatting sqref="A2126:C2126">
    <cfRule type="expression" dxfId="2975" priority="596">
      <formula>$B2126="Serviço"</formula>
    </cfRule>
  </conditionalFormatting>
  <conditionalFormatting sqref="A2129:C2129">
    <cfRule type="expression" dxfId="2974" priority="441">
      <formula>$B2129="Serviço"</formula>
    </cfRule>
  </conditionalFormatting>
  <conditionalFormatting sqref="A2246:C2307">
    <cfRule type="expression" dxfId="2973" priority="227">
      <formula>$B2246="Serviço"</formula>
    </cfRule>
    <cfRule type="expression" dxfId="2972" priority="228">
      <formula>$B2246="Subetapa"</formula>
    </cfRule>
  </conditionalFormatting>
  <conditionalFormatting sqref="A717:D717">
    <cfRule type="expression" dxfId="2971" priority="725">
      <formula>$B717="Serviço"</formula>
    </cfRule>
    <cfRule type="expression" dxfId="2970" priority="726">
      <formula>$B717="Subetapa"</formula>
    </cfRule>
  </conditionalFormatting>
  <conditionalFormatting sqref="A720:D720">
    <cfRule type="expression" dxfId="2969" priority="793">
      <formula>$B720="Serviço"</formula>
    </cfRule>
    <cfRule type="expression" dxfId="2968" priority="794">
      <formula>$B720="Subetapa"</formula>
    </cfRule>
  </conditionalFormatting>
  <conditionalFormatting sqref="A723:D723 A726:D726">
    <cfRule type="expression" dxfId="2967" priority="797">
      <formula>$B723="Serviço"</formula>
    </cfRule>
    <cfRule type="expression" dxfId="2966" priority="798">
      <formula>$B723="Subetapa"</formula>
    </cfRule>
  </conditionalFormatting>
  <conditionalFormatting sqref="A2310:D2310">
    <cfRule type="expression" dxfId="2965" priority="389">
      <formula>$B2310="Serviço"</formula>
    </cfRule>
  </conditionalFormatting>
  <conditionalFormatting sqref="A607:F607">
    <cfRule type="expression" dxfId="2964" priority="630">
      <formula>$B607="Serviço"</formula>
    </cfRule>
    <cfRule type="expression" dxfId="2963" priority="631">
      <formula>$B607="Subetapa"</formula>
    </cfRule>
  </conditionalFormatting>
  <conditionalFormatting sqref="A637:F637">
    <cfRule type="expression" dxfId="2962" priority="760">
      <formula>$B637="Serviço"</formula>
    </cfRule>
    <cfRule type="expression" dxfId="2961" priority="761">
      <formula>$B637="Subetapa"</formula>
    </cfRule>
  </conditionalFormatting>
  <conditionalFormatting sqref="A515:G594">
    <cfRule type="expression" dxfId="2960" priority="179">
      <formula>$B515="Subetapa"</formula>
    </cfRule>
  </conditionalFormatting>
  <conditionalFormatting sqref="A515:H594">
    <cfRule type="expression" dxfId="2959" priority="60">
      <formula>$B515="Serviço"</formula>
    </cfRule>
  </conditionalFormatting>
  <conditionalFormatting sqref="A1897:H1898">
    <cfRule type="expression" dxfId="2958" priority="14">
      <formula>$B1897="Serviço"</formula>
    </cfRule>
  </conditionalFormatting>
  <conditionalFormatting sqref="A2129:H2129">
    <cfRule type="expression" dxfId="2957" priority="442">
      <formula>$B2129="Subetapa"</formula>
    </cfRule>
  </conditionalFormatting>
  <conditionalFormatting sqref="A2308:H2309">
    <cfRule type="expression" dxfId="2956" priority="210">
      <formula>$B2308="Serviço"</formula>
    </cfRule>
  </conditionalFormatting>
  <conditionalFormatting sqref="A2:I208">
    <cfRule type="expression" dxfId="2955" priority="132">
      <formula>$B2="Serviço"</formula>
    </cfRule>
  </conditionalFormatting>
  <conditionalFormatting sqref="A208:I208">
    <cfRule type="expression" dxfId="2954" priority="659">
      <formula>$B208="Subetapa"</formula>
    </cfRule>
  </conditionalFormatting>
  <conditionalFormatting sqref="A608:I608">
    <cfRule type="expression" dxfId="2953" priority="638">
      <formula>$B608="Serviço"</formula>
    </cfRule>
    <cfRule type="expression" dxfId="2952" priority="639">
      <formula>$B608="Subetapa"</formula>
    </cfRule>
  </conditionalFormatting>
  <conditionalFormatting sqref="B245:B247">
    <cfRule type="expression" dxfId="2951" priority="660">
      <formula>$B245="Serviço"</formula>
    </cfRule>
    <cfRule type="expression" dxfId="2950" priority="661">
      <formula>$B245="Subetapa"</formula>
    </cfRule>
  </conditionalFormatting>
  <conditionalFormatting sqref="B641:B650">
    <cfRule type="expression" dxfId="2949" priority="430">
      <formula>$B641="Serviço"</formula>
    </cfRule>
    <cfRule type="expression" dxfId="2948" priority="431">
      <formula>$B641="Subetapa"</formula>
    </cfRule>
  </conditionalFormatting>
  <conditionalFormatting sqref="B651:B655">
    <cfRule type="expression" dxfId="2947" priority="955">
      <formula>$B651="Serviço"</formula>
    </cfRule>
    <cfRule type="expression" dxfId="2946" priority="956">
      <formula>$B651="Subetapa"</formula>
    </cfRule>
  </conditionalFormatting>
  <conditionalFormatting sqref="B678:B679">
    <cfRule type="expression" dxfId="2945" priority="626">
      <formula>$B678="Serviço"</formula>
    </cfRule>
    <cfRule type="expression" dxfId="2944" priority="627">
      <formula>$B678="Subetapa"</formula>
    </cfRule>
  </conditionalFormatting>
  <conditionalFormatting sqref="B681:B682">
    <cfRule type="expression" dxfId="2943" priority="424">
      <formula>$B681="Serviço"</formula>
    </cfRule>
    <cfRule type="expression" dxfId="2942" priority="425">
      <formula>$B681="Subetapa"</formula>
    </cfRule>
  </conditionalFormatting>
  <conditionalFormatting sqref="B684:B686">
    <cfRule type="expression" dxfId="2941" priority="624">
      <formula>$B684="Serviço"</formula>
    </cfRule>
    <cfRule type="expression" dxfId="2940" priority="625">
      <formula>$B684="Subetapa"</formula>
    </cfRule>
  </conditionalFormatting>
  <conditionalFormatting sqref="B687:B706">
    <cfRule type="expression" dxfId="2939" priority="819">
      <formula>$B687="Serviço"</formula>
    </cfRule>
    <cfRule type="expression" dxfId="2938" priority="820">
      <formula>$B687="Subetapa"</formula>
    </cfRule>
  </conditionalFormatting>
  <conditionalFormatting sqref="B741:B748">
    <cfRule type="expression" dxfId="2937" priority="439">
      <formula>$B741="Subetapa"</formula>
    </cfRule>
  </conditionalFormatting>
  <conditionalFormatting sqref="B918:B926">
    <cfRule type="expression" dxfId="2936" priority="592">
      <formula>$B918="Subetapa"</formula>
    </cfRule>
  </conditionalFormatting>
  <conditionalFormatting sqref="B1685:B1686 D1685:D1686">
    <cfRule type="expression" dxfId="2935" priority="1056">
      <formula>$B1685="Subetapa"</formula>
    </cfRule>
  </conditionalFormatting>
  <conditionalFormatting sqref="B1770 D1770:H1770 B1773:C1788 C1789:C1800">
    <cfRule type="expression" dxfId="2934" priority="927">
      <formula>$B1770="Subetapa"</formula>
    </cfRule>
  </conditionalFormatting>
  <conditionalFormatting sqref="B1771 B1772:C1772">
    <cfRule type="expression" dxfId="2933" priority="196">
      <formula>$B1771="Serviço"</formula>
    </cfRule>
    <cfRule type="expression" dxfId="2932" priority="197">
      <formula>$B1771="Subetapa"</formula>
    </cfRule>
  </conditionalFormatting>
  <conditionalFormatting sqref="B1789:B1791">
    <cfRule type="expression" dxfId="2931" priority="243">
      <formula>$B1789="Serviço"</formula>
    </cfRule>
    <cfRule type="expression" dxfId="2930" priority="244">
      <formula>$B1789="Subetapa"</formula>
    </cfRule>
  </conditionalFormatting>
  <conditionalFormatting sqref="B2099:B2100">
    <cfRule type="expression" dxfId="2929" priority="1023">
      <formula>$B2099="Subetapa"</formula>
    </cfRule>
  </conditionalFormatting>
  <conditionalFormatting sqref="B2124:B2127">
    <cfRule type="expression" dxfId="2928" priority="598">
      <formula>$B2124="Serviço"</formula>
    </cfRule>
  </conditionalFormatting>
  <conditionalFormatting sqref="B2418:B2423 D2414:G2423">
    <cfRule type="expression" dxfId="2927" priority="342">
      <formula>$B2414="Subetapa"</formula>
    </cfRule>
  </conditionalFormatting>
  <conditionalFormatting sqref="B149:C196">
    <cfRule type="expression" dxfId="2926" priority="249">
      <formula>$B149="Subetapa"</formula>
    </cfRule>
  </conditionalFormatting>
  <conditionalFormatting sqref="B248:C288">
    <cfRule type="expression" dxfId="2925" priority="216">
      <formula>$B248="Serviço"</formula>
    </cfRule>
  </conditionalFormatting>
  <conditionalFormatting sqref="B330:C335">
    <cfRule type="expression" dxfId="2924" priority="241">
      <formula>$B330="Serviço"</formula>
    </cfRule>
    <cfRule type="expression" dxfId="2923" priority="242">
      <formula>$B330="Subetapa"</formula>
    </cfRule>
  </conditionalFormatting>
  <conditionalFormatting sqref="B337:C382">
    <cfRule type="expression" dxfId="2922" priority="219">
      <formula>$B337="Serviço"</formula>
    </cfRule>
    <cfRule type="expression" dxfId="2921" priority="220">
      <formula>$B337="Subetapa"</formula>
    </cfRule>
  </conditionalFormatting>
  <conditionalFormatting sqref="B405:C418">
    <cfRule type="expression" dxfId="2920" priority="264">
      <formula>$B405="Subetapa"</formula>
    </cfRule>
  </conditionalFormatting>
  <conditionalFormatting sqref="B405:C450">
    <cfRule type="expression" dxfId="2919" priority="262">
      <formula>$B405="Serviço"</formula>
    </cfRule>
  </conditionalFormatting>
  <conditionalFormatting sqref="B452:C458">
    <cfRule type="expression" dxfId="2918" priority="258">
      <formula>$B452="Serviço"</formula>
    </cfRule>
    <cfRule type="expression" dxfId="2917" priority="259">
      <formula>$B452="Subetapa"</formula>
    </cfRule>
  </conditionalFormatting>
  <conditionalFormatting sqref="B468:C513">
    <cfRule type="expression" dxfId="2916" priority="180">
      <formula>$B468="Serviço"</formula>
    </cfRule>
  </conditionalFormatting>
  <conditionalFormatting sqref="B468:C514">
    <cfRule type="expression" dxfId="2915" priority="181">
      <formula>$B468="Subetapa"</formula>
    </cfRule>
  </conditionalFormatting>
  <conditionalFormatting sqref="B596:C606">
    <cfRule type="expression" dxfId="2914" priority="239">
      <formula>$B596="Serviço"</formula>
    </cfRule>
    <cfRule type="expression" dxfId="2913" priority="240">
      <formula>$B596="Subetapa"</formula>
    </cfRule>
  </conditionalFormatting>
  <conditionalFormatting sqref="B740:C740">
    <cfRule type="expression" dxfId="2912" priority="623">
      <formula>$B740="Subetapa"</formula>
    </cfRule>
  </conditionalFormatting>
  <conditionalFormatting sqref="B913:C914">
    <cfRule type="expression" dxfId="2911" priority="225">
      <formula>$B913="Serviço"</formula>
    </cfRule>
    <cfRule type="expression" dxfId="2910" priority="226">
      <formula>$B913="Subetapa"</formula>
    </cfRule>
  </conditionalFormatting>
  <conditionalFormatting sqref="B916:C918 F2266:I2266 D2315:D2323 D2268 I934 I941">
    <cfRule type="expression" dxfId="2909" priority="1062">
      <formula>$B916="Subetapa"</formula>
    </cfRule>
  </conditionalFormatting>
  <conditionalFormatting sqref="B918:C925">
    <cfRule type="expression" dxfId="2908" priority="223">
      <formula>$B918="Serviço"</formula>
    </cfRule>
  </conditionalFormatting>
  <conditionalFormatting sqref="B1542:C1604">
    <cfRule type="expression" dxfId="2907" priority="231">
      <formula>$B1542="Serviço"</formula>
    </cfRule>
    <cfRule type="expression" dxfId="2906" priority="232">
      <formula>$B1542="Subetapa"</formula>
    </cfRule>
  </conditionalFormatting>
  <conditionalFormatting sqref="B2100:C2119">
    <cfRule type="expression" dxfId="2905" priority="252">
      <formula>$B2100="Subetapa"</formula>
    </cfRule>
  </conditionalFormatting>
  <conditionalFormatting sqref="B2217:C2245">
    <cfRule type="expression" dxfId="2904" priority="253">
      <formula>$B2217="Serviço"</formula>
    </cfRule>
  </conditionalFormatting>
  <conditionalFormatting sqref="B921:D921">
    <cfRule type="expression" dxfId="2903" priority="1057">
      <formula>$B921="Serviço"</formula>
    </cfRule>
    <cfRule type="expression" dxfId="2902" priority="1058">
      <formula>$B921="Subetapa"</formula>
    </cfRule>
  </conditionalFormatting>
  <conditionalFormatting sqref="B268:F268 E269:H269">
    <cfRule type="expression" dxfId="2901" priority="950">
      <formula>$B268="Subetapa"</formula>
    </cfRule>
  </conditionalFormatting>
  <conditionalFormatting sqref="B314:F314">
    <cfRule type="expression" dxfId="2900" priority="959">
      <formula>$B314="Serviço"</formula>
    </cfRule>
    <cfRule type="expression" dxfId="2899" priority="960">
      <formula>$B314="Subetapa"</formula>
    </cfRule>
  </conditionalFormatting>
  <conditionalFormatting sqref="B419:G450">
    <cfRule type="expression" dxfId="2898" priority="263">
      <formula>$B419="Subetapa"</formula>
    </cfRule>
  </conditionalFormatting>
  <conditionalFormatting sqref="B197:H207">
    <cfRule type="expression" dxfId="2897" priority="134">
      <formula>$B197="Subetapa"</formula>
    </cfRule>
  </conditionalFormatting>
  <conditionalFormatting sqref="B267:H267 E270:H271 B310:I313 D337:D341 E337:H342 D413:D417 E413:H418 D504:D506 E504:H507 E687:E692 E693:H693 E694:E704 D732:D738 E732:H739 D916:F919 G916:H921 D920 E920:F921 D1075:H1077 D1081:H1085 E1132:H1134 D1256:G1277 H1256:H1279 D1278:E1279 D1288:H1291 E1685:E1688 E1690 E2161:E2193 D2185 F2185:G2185 H2185:H2225 G2186:G2225 D2194:F2194 I2195:I2225 F2246:H2265 E2246:E2266 E2267:F2269 G2267:H2271 F2270:F2271 I2270:I2271 E2270:E2273 D2276:I2276 E2313:H2314 D2329 E2380:E2413 D2404 F2404:H2404 F2406 E2431:H2448 D1689:D1690 G1690:H1690 D1020:E1023 D1024:G1024 D1025:E1028 D1049:G1049 D1050:E1053 D1054:G1054 E1055:E1058 E1059:G1059 E1060:E1063 D1064:G1064 D1065:E1068 D1069:G1069 E1070:G1071 D1071 G281:H281 E1136:H1136 E1392:E1395 E1397:E1400 E1432:E1435 D804:G816 F2116:H2116 G1020:G1023 G1025:G1028 G1050:G1053 G1055:G1058 G1060:G1063 G1065:G1068 D1055:D1063">
    <cfRule type="expression" dxfId="2896" priority="1054">
      <formula>$B267="Subetapa"</formula>
    </cfRule>
  </conditionalFormatting>
  <conditionalFormatting sqref="B329:H329">
    <cfRule type="expression" dxfId="2895" priority="644">
      <formula>$B329="Serviço"</formula>
    </cfRule>
    <cfRule type="expression" dxfId="2894" priority="645">
      <formula>$B329="Subetapa"</formula>
    </cfRule>
  </conditionalFormatting>
  <conditionalFormatting sqref="B451:H451">
    <cfRule type="expression" dxfId="2893" priority="673">
      <formula>$B451="Serviço"</formula>
    </cfRule>
    <cfRule type="expression" dxfId="2892" priority="674">
      <formula>$B451="Subetapa"</formula>
    </cfRule>
  </conditionalFormatting>
  <conditionalFormatting sqref="B595:H595">
    <cfRule type="expression" dxfId="2891" priority="733">
      <formula>$B595="Serviço"</formula>
    </cfRule>
    <cfRule type="expression" dxfId="2890" priority="734">
      <formula>$B595="Subetapa"</formula>
    </cfRule>
  </conditionalFormatting>
  <conditionalFormatting sqref="B708:H708">
    <cfRule type="expression" dxfId="2889" priority="821">
      <formula>$B708="Serviço"</formula>
    </cfRule>
    <cfRule type="expression" dxfId="2888" priority="822">
      <formula>$B708="Subetapa"</formula>
    </cfRule>
  </conditionalFormatting>
  <conditionalFormatting sqref="B2377:H2379">
    <cfRule type="expression" dxfId="2887" priority="161">
      <formula>$B2377="Serviço"</formula>
    </cfRule>
  </conditionalFormatting>
  <conditionalFormatting sqref="B915:I915">
    <cfRule type="expression" dxfId="2886" priority="925">
      <formula>$B915="Serviço"</formula>
    </cfRule>
    <cfRule type="expression" dxfId="2885" priority="926">
      <formula>$B915="Subetapa"</formula>
    </cfRule>
  </conditionalFormatting>
  <conditionalFormatting sqref="C209:C247">
    <cfRule type="expression" dxfId="2884" priority="215">
      <formula>$B209="Subetapa"</formula>
    </cfRule>
  </conditionalFormatting>
  <conditionalFormatting sqref="C289:C309">
    <cfRule type="expression" dxfId="2883" priority="274">
      <formula>$B289="Subetapa"</formula>
    </cfRule>
  </conditionalFormatting>
  <conditionalFormatting sqref="C617:C636">
    <cfRule type="expression" dxfId="2882" priority="221">
      <formula>$B617="Serviço"</formula>
    </cfRule>
    <cfRule type="expression" dxfId="2881" priority="222">
      <formula>$B617="Subetapa"</formula>
    </cfRule>
  </conditionalFormatting>
  <conditionalFormatting sqref="C638:C707">
    <cfRule type="expression" dxfId="2880" priority="206">
      <formula>$B638="Serviço"</formula>
    </cfRule>
    <cfRule type="expression" dxfId="2879" priority="207">
      <formula>$B638="Subetapa"</formula>
    </cfRule>
  </conditionalFormatting>
  <conditionalFormatting sqref="C729:C730">
    <cfRule type="expression" dxfId="2878" priority="272">
      <formula>$B729="Serviço"</formula>
    </cfRule>
    <cfRule type="expression" dxfId="2877" priority="273">
      <formula>$B729="Subetapa"</formula>
    </cfRule>
  </conditionalFormatting>
  <conditionalFormatting sqref="C733:C739">
    <cfRule type="expression" dxfId="2876" priority="270">
      <formula>$B733="Serviço"</formula>
    </cfRule>
    <cfRule type="expression" dxfId="2875" priority="271">
      <formula>$B733="Subetapa"</formula>
    </cfRule>
  </conditionalFormatting>
  <conditionalFormatting sqref="C741:C875">
    <cfRule type="expression" dxfId="2874" priority="268">
      <formula>$B741="Serviço"</formula>
    </cfRule>
    <cfRule type="expression" dxfId="2873" priority="269">
      <formula>$B741="Subetapa"</formula>
    </cfRule>
  </conditionalFormatting>
  <conditionalFormatting sqref="C877:C890">
    <cfRule type="expression" dxfId="2872" priority="246">
      <formula>$B877="Subetapa"</formula>
    </cfRule>
  </conditionalFormatting>
  <conditionalFormatting sqref="C880:C884">
    <cfRule type="expression" dxfId="2871" priority="185">
      <formula>$B880="Subetapa"</formula>
    </cfRule>
  </conditionalFormatting>
  <conditionalFormatting sqref="C886:C911">
    <cfRule type="expression" dxfId="2870" priority="183">
      <formula>$B886="Subetapa"</formula>
    </cfRule>
  </conditionalFormatting>
  <conditionalFormatting sqref="C918:C1137">
    <cfRule type="expression" dxfId="2869" priority="224">
      <formula>$B918="Subetapa"</formula>
    </cfRule>
  </conditionalFormatting>
  <conditionalFormatting sqref="C1138:C1168">
    <cfRule type="expression" dxfId="2868" priority="199">
      <formula>$B1138="Subetapa"</formula>
    </cfRule>
  </conditionalFormatting>
  <conditionalFormatting sqref="C1175:C1255">
    <cfRule type="expression" dxfId="2867" priority="234">
      <formula>$B1175="Subetapa"</formula>
    </cfRule>
  </conditionalFormatting>
  <conditionalFormatting sqref="C1280:C1391">
    <cfRule type="expression" dxfId="2866" priority="204">
      <formula>$B1280="Subetapa"</formula>
    </cfRule>
  </conditionalFormatting>
  <conditionalFormatting sqref="C1355:C1391">
    <cfRule type="expression" dxfId="2865" priority="198">
      <formula>$B1355="Serviço"</formula>
    </cfRule>
  </conditionalFormatting>
  <conditionalFormatting sqref="C1392:C1541">
    <cfRule type="expression" dxfId="2864" priority="251">
      <formula>$B1392="Serviço"</formula>
    </cfRule>
  </conditionalFormatting>
  <conditionalFormatting sqref="C1685:C1686">
    <cfRule type="expression" dxfId="2863" priority="275">
      <formula>$B1685="Serviço"</formula>
    </cfRule>
    <cfRule type="expression" dxfId="2862" priority="276">
      <formula>$B1685="Subetapa"</formula>
    </cfRule>
  </conditionalFormatting>
  <conditionalFormatting sqref="C1870:C2033">
    <cfRule type="expression" dxfId="2861" priority="195">
      <formula>$B1870="Subetapa"</formula>
    </cfRule>
  </conditionalFormatting>
  <conditionalFormatting sqref="C1944:C1945">
    <cfRule type="expression" dxfId="2860" priority="260">
      <formula>$B1944="Serviço"</formula>
    </cfRule>
    <cfRule type="expression" dxfId="2859" priority="261">
      <formula>$B1944="Subetapa"</formula>
    </cfRule>
  </conditionalFormatting>
  <conditionalFormatting sqref="C2034:C2094">
    <cfRule type="expression" dxfId="2858" priority="193">
      <formula>$B2034="Subetapa"</formula>
    </cfRule>
  </conditionalFormatting>
  <conditionalFormatting sqref="C2094:C2095">
    <cfRule type="expression" dxfId="2857" priority="247">
      <formula>$B2094="Serviço"</formula>
    </cfRule>
    <cfRule type="expression" dxfId="2856" priority="248">
      <formula>$B2094="Subetapa"</formula>
    </cfRule>
  </conditionalFormatting>
  <conditionalFormatting sqref="C2096:C2100">
    <cfRule type="expression" dxfId="2855" priority="267">
      <formula>$B2096="Subetapa"</formula>
    </cfRule>
  </conditionalFormatting>
  <conditionalFormatting sqref="C2096:C2119 C1948:C2023">
    <cfRule type="expression" dxfId="2854" priority="255">
      <formula>$B1948="Serviço"</formula>
    </cfRule>
  </conditionalFormatting>
  <conditionalFormatting sqref="C2124:C2127">
    <cfRule type="expression" dxfId="2853" priority="229">
      <formula>$B2124="Serviço"</formula>
    </cfRule>
    <cfRule type="expression" dxfId="2852" priority="230">
      <formula>$B2124="Subetapa"</formula>
    </cfRule>
  </conditionalFormatting>
  <conditionalFormatting sqref="C2126:C2159">
    <cfRule type="expression" dxfId="2851" priority="209">
      <formula>$B2126="Subetapa"</formula>
    </cfRule>
  </conditionalFormatting>
  <conditionalFormatting sqref="C2127:C2159">
    <cfRule type="expression" dxfId="2850" priority="208">
      <formula>$B2127="Serviço"</formula>
    </cfRule>
  </conditionalFormatting>
  <conditionalFormatting sqref="C2162:C2245">
    <cfRule type="expression" dxfId="2849" priority="254">
      <formula>$B2162="Subetapa"</formula>
    </cfRule>
  </conditionalFormatting>
  <conditionalFormatting sqref="C2310:C2379">
    <cfRule type="expression" dxfId="2848" priority="203">
      <formula>$B2310="Subetapa"</formula>
    </cfRule>
  </conditionalFormatting>
  <conditionalFormatting sqref="C2311:C2376">
    <cfRule type="expression" dxfId="2847" priority="202">
      <formula>$B2311="Serviço"</formula>
    </cfRule>
  </conditionalFormatting>
  <conditionalFormatting sqref="C2418:C2423">
    <cfRule type="expression" dxfId="2846" priority="189">
      <formula>$B2418="Subetapa"</formula>
    </cfRule>
  </conditionalFormatting>
  <conditionalFormatting sqref="C1939:D1940">
    <cfRule type="expression" dxfId="2845" priority="265">
      <formula>$B1939="Serviço"</formula>
    </cfRule>
    <cfRule type="expression" dxfId="2844" priority="266">
      <formula>$B1939="Subetapa"</formula>
    </cfRule>
  </conditionalFormatting>
  <conditionalFormatting sqref="C609:E616">
    <cfRule type="expression" dxfId="2843" priority="237">
      <formula>$B609="Serviço"</formula>
    </cfRule>
    <cfRule type="expression" dxfId="2842" priority="238">
      <formula>$B609="Subetapa"</formula>
    </cfRule>
  </conditionalFormatting>
  <conditionalFormatting sqref="C2414:G2423">
    <cfRule type="expression" dxfId="2841" priority="188">
      <formula>$B2414="Serviço"</formula>
    </cfRule>
  </conditionalFormatting>
  <conditionalFormatting sqref="C209:I247">
    <cfRule type="expression" dxfId="2840" priority="107">
      <formula>$B209="Serviço"</formula>
    </cfRule>
  </conditionalFormatting>
  <conditionalFormatting sqref="D269:D271">
    <cfRule type="expression" dxfId="2839" priority="949">
      <formula>$B269="Subetapa"</formula>
    </cfRule>
  </conditionalFormatting>
  <conditionalFormatting sqref="D282:D285">
    <cfRule type="expression" dxfId="2838" priority="563">
      <formula>$B282="Serviço"</formula>
    </cfRule>
    <cfRule type="expression" dxfId="2837" priority="564">
      <formula>$B282="Subetapa"</formula>
    </cfRule>
  </conditionalFormatting>
  <conditionalFormatting sqref="D330:D334">
    <cfRule type="expression" dxfId="2836" priority="648">
      <formula>$B330="Serviço"</formula>
    </cfRule>
    <cfRule type="expression" dxfId="2835" priority="649">
      <formula>$B330="Subetapa"</formula>
    </cfRule>
  </conditionalFormatting>
  <conditionalFormatting sqref="D335">
    <cfRule type="expression" dxfId="2834" priority="646">
      <formula>#REF!="Serviço"</formula>
    </cfRule>
    <cfRule type="expression" dxfId="2833" priority="647">
      <formula>#REF!="Subetapa"</formula>
    </cfRule>
  </conditionalFormatting>
  <conditionalFormatting sqref="D342">
    <cfRule type="expression" dxfId="2832" priority="756">
      <formula>#REF!="Serviço"</formula>
    </cfRule>
    <cfRule type="expression" dxfId="2831" priority="757">
      <formula>#REF!="Subetapa"</formula>
    </cfRule>
  </conditionalFormatting>
  <conditionalFormatting sqref="D418">
    <cfRule type="expression" dxfId="2830" priority="754">
      <formula>#REF!="Serviço"</formula>
    </cfRule>
    <cfRule type="expression" dxfId="2829" priority="755">
      <formula>#REF!="Subetapa"</formula>
    </cfRule>
  </conditionalFormatting>
  <conditionalFormatting sqref="D507">
    <cfRule type="expression" dxfId="2828" priority="750">
      <formula>#REF!="Serviço"</formula>
    </cfRule>
    <cfRule type="expression" dxfId="2827" priority="751">
      <formula>#REF!="Subetapa"</formula>
    </cfRule>
  </conditionalFormatting>
  <conditionalFormatting sqref="D512:D514">
    <cfRule type="expression" dxfId="2826" priority="282">
      <formula>$B512="Serviço"</formula>
    </cfRule>
  </conditionalFormatting>
  <conditionalFormatting sqref="D596">
    <cfRule type="expression" dxfId="2825" priority="951">
      <formula>$B596="Serviço"</formula>
    </cfRule>
    <cfRule type="expression" dxfId="2824" priority="952">
      <formula>$B596="Subetapa"</formula>
    </cfRule>
  </conditionalFormatting>
  <conditionalFormatting sqref="D672">
    <cfRule type="expression" dxfId="2823" priority="686">
      <formula>$A672=2</formula>
    </cfRule>
  </conditionalFormatting>
  <conditionalFormatting sqref="D693">
    <cfRule type="expression" dxfId="2822" priority="958">
      <formula>$B693="Subetapa"</formula>
    </cfRule>
  </conditionalFormatting>
  <conditionalFormatting sqref="D709:D716 D718:D719">
    <cfRule type="expression" dxfId="2821" priority="938">
      <formula>$B709="Subetapa"</formula>
    </cfRule>
  </conditionalFormatting>
  <conditionalFormatting sqref="D713:D716 D718:D719">
    <cfRule type="expression" dxfId="2820" priority="937">
      <formula>$B713="Serviço"</formula>
    </cfRule>
  </conditionalFormatting>
  <conditionalFormatting sqref="D721:D722">
    <cfRule type="expression" dxfId="2819" priority="940">
      <formula>$B721="Subetapa"</formula>
    </cfRule>
  </conditionalFormatting>
  <conditionalFormatting sqref="D722">
    <cfRule type="expression" dxfId="2818" priority="939">
      <formula>$B722="Serviço"</formula>
    </cfRule>
  </conditionalFormatting>
  <conditionalFormatting sqref="D724:D725">
    <cfRule type="expression" dxfId="2817" priority="556">
      <formula>$B724="Subetapa"</formula>
    </cfRule>
  </conditionalFormatting>
  <conditionalFormatting sqref="D725">
    <cfRule type="expression" dxfId="2816" priority="555">
      <formula>$B725="Serviço"</formula>
    </cfRule>
  </conditionalFormatting>
  <conditionalFormatting sqref="D739">
    <cfRule type="expression" dxfId="2815" priority="752">
      <formula>#REF!="Serviço"</formula>
    </cfRule>
    <cfRule type="expression" dxfId="2814" priority="753">
      <formula>#REF!="Subetapa"</formula>
    </cfRule>
  </conditionalFormatting>
  <conditionalFormatting sqref="D817:D827">
    <cfRule type="expression" dxfId="2813" priority="788">
      <formula>$B817="Subetapa"</formula>
    </cfRule>
  </conditionalFormatting>
  <conditionalFormatting sqref="D1055:D1063">
    <cfRule type="expression" dxfId="2812" priority="310">
      <formula>$B1055="Serviço"</formula>
    </cfRule>
  </conditionalFormatting>
  <conditionalFormatting sqref="D1070">
    <cfRule type="expression" dxfId="2811" priority="719">
      <formula>$A1070=2</formula>
    </cfRule>
  </conditionalFormatting>
  <conditionalFormatting sqref="D1087">
    <cfRule type="expression" dxfId="2810" priority="722">
      <formula>$A1087=2</formula>
    </cfRule>
  </conditionalFormatting>
  <conditionalFormatting sqref="D1132:D1134">
    <cfRule type="expression" dxfId="2809" priority="718">
      <formula>$B1132="Subetapa"</formula>
    </cfRule>
  </conditionalFormatting>
  <conditionalFormatting sqref="D1135:D1136">
    <cfRule type="expression" dxfId="2808" priority="651">
      <formula>$A1135=2</formula>
    </cfRule>
  </conditionalFormatting>
  <conditionalFormatting sqref="D1165:D1168 D2154:D2157 D2314">
    <cfRule type="expression" dxfId="2807" priority="1031">
      <formula>$I1165="CÉLULA CONSTRUTIVA"</formula>
    </cfRule>
    <cfRule type="expression" dxfId="2806" priority="1032">
      <formula>$I1165="ETAPA"</formula>
    </cfRule>
  </conditionalFormatting>
  <conditionalFormatting sqref="D1337">
    <cfRule type="expression" dxfId="2805" priority="713">
      <formula>$A1337=2</formula>
    </cfRule>
  </conditionalFormatting>
  <conditionalFormatting sqref="D1392:D1395 F1715 F1949 F1951:F1952 F2060 F2067 F2069">
    <cfRule type="expression" dxfId="2804" priority="538">
      <formula>$A1392="Subetapa"</formula>
    </cfRule>
  </conditionalFormatting>
  <conditionalFormatting sqref="D1397">
    <cfRule type="expression" dxfId="2803" priority="714">
      <formula>$A1397=2</formula>
    </cfRule>
  </conditionalFormatting>
  <conditionalFormatting sqref="D1398:D1400 D1433:D1435 D1396:F1396 D1437:E1440 D1442:E1445 D1401:F1401 D1402:E1405">
    <cfRule type="expression" dxfId="2802" priority="936">
      <formula>$B1396="Subetapa"</formula>
    </cfRule>
  </conditionalFormatting>
  <conditionalFormatting sqref="D1432">
    <cfRule type="expression" dxfId="2801" priority="715">
      <formula>$A1432=2</formula>
    </cfRule>
  </conditionalFormatting>
  <conditionalFormatting sqref="D1516">
    <cfRule type="expression" dxfId="2800" priority="716">
      <formula>$A1516=2</formula>
    </cfRule>
  </conditionalFormatting>
  <conditionalFormatting sqref="D1528:D1530">
    <cfRule type="expression" dxfId="2799" priority="518">
      <formula>$A1528="Serviço"</formula>
    </cfRule>
    <cfRule type="expression" dxfId="2798" priority="519">
      <formula>$A1528="Subetapa"</formula>
    </cfRule>
  </conditionalFormatting>
  <conditionalFormatting sqref="D1553">
    <cfRule type="expression" dxfId="2797" priority="712">
      <formula>$A1553=2</formula>
    </cfRule>
  </conditionalFormatting>
  <conditionalFormatting sqref="D1674">
    <cfRule type="expression" dxfId="2796" priority="12">
      <formula>$B1674="Subetapa"</formula>
    </cfRule>
  </conditionalFormatting>
  <conditionalFormatting sqref="D1677">
    <cfRule type="expression" dxfId="2795" priority="39">
      <formula>$B1677="Subetapa"</formula>
    </cfRule>
  </conditionalFormatting>
  <conditionalFormatting sqref="D1685:D1686 B1685:B1686">
    <cfRule type="expression" dxfId="2794" priority="1055">
      <formula>$B1685="Serviço"</formula>
    </cfRule>
  </conditionalFormatting>
  <conditionalFormatting sqref="D1685:D1688">
    <cfRule type="expression" dxfId="2793" priority="928">
      <formula>$B1685="Serviço"</formula>
    </cfRule>
    <cfRule type="expression" dxfId="2792" priority="929">
      <formula>$B1685="Subetapa"</formula>
    </cfRule>
  </conditionalFormatting>
  <conditionalFormatting sqref="D1690 D1700">
    <cfRule type="expression" dxfId="2791" priority="705">
      <formula>$B1690="Serviço"</formula>
    </cfRule>
  </conditionalFormatting>
  <conditionalFormatting sqref="D1701">
    <cfRule type="expression" dxfId="2790" priority="294">
      <formula>$A1701="Serviço"</formula>
    </cfRule>
    <cfRule type="expression" dxfId="2789" priority="295">
      <formula>$A1701="Subetapa"</formula>
    </cfRule>
    <cfRule type="expression" dxfId="2788" priority="296">
      <formula>$A1701="Serviço"</formula>
    </cfRule>
    <cfRule type="expression" dxfId="2787" priority="297">
      <formula>$A1701="Subetapa"</formula>
    </cfRule>
  </conditionalFormatting>
  <conditionalFormatting sqref="D1712">
    <cfRule type="expression" dxfId="2786" priority="507">
      <formula>$A1712="Serviço"</formula>
    </cfRule>
    <cfRule type="expression" dxfId="2785" priority="508">
      <formula>$A1712="Subetapa"</formula>
    </cfRule>
  </conditionalFormatting>
  <conditionalFormatting sqref="D1712:D1713">
    <cfRule type="expression" dxfId="2784" priority="505">
      <formula>$A1712="Serviço"</formula>
    </cfRule>
    <cfRule type="expression" dxfId="2783" priority="506">
      <formula>$A1712="Subetapa"</formula>
    </cfRule>
  </conditionalFormatting>
  <conditionalFormatting sqref="D1862:D1864 D1866:D1867">
    <cfRule type="expression" dxfId="2782" priority="324">
      <formula>$B1862="Subetapa"</formula>
    </cfRule>
  </conditionalFormatting>
  <conditionalFormatting sqref="D1862:D1868">
    <cfRule type="expression" dxfId="2781" priority="280">
      <formula>$B1862="Serviço"</formula>
    </cfRule>
  </conditionalFormatting>
  <conditionalFormatting sqref="D1865">
    <cfRule type="expression" dxfId="2780" priority="42">
      <formula>$B1865="Subetapa"</formula>
    </cfRule>
  </conditionalFormatting>
  <conditionalFormatting sqref="D1867">
    <cfRule type="expression" dxfId="2779" priority="279">
      <formula>$B1867="Subetapa"</formula>
    </cfRule>
  </conditionalFormatting>
  <conditionalFormatting sqref="D1869">
    <cfRule type="expression" dxfId="2778" priority="320">
      <formula>$B1869="Subetapa"</formula>
    </cfRule>
  </conditionalFormatting>
  <conditionalFormatting sqref="D1919">
    <cfRule type="expression" dxfId="2777" priority="9">
      <formula>$I1919="SUBETAPA"</formula>
    </cfRule>
    <cfRule type="expression" dxfId="2776" priority="10">
      <formula>$I1919="CÉLULA CONSTRUTIVA"</formula>
    </cfRule>
    <cfRule type="expression" dxfId="2775" priority="11">
      <formula>$I1919="ETAPA"</formula>
    </cfRule>
  </conditionalFormatting>
  <conditionalFormatting sqref="D1977">
    <cfRule type="expression" dxfId="2774" priority="37">
      <formula>$B1977="Serviço"</formula>
    </cfRule>
  </conditionalFormatting>
  <conditionalFormatting sqref="D2016">
    <cfRule type="expression" dxfId="2773" priority="38">
      <formula>$B2016="Serviço"</formula>
    </cfRule>
  </conditionalFormatting>
  <conditionalFormatting sqref="D2096:D2119 F2117:G2119">
    <cfRule type="expression" dxfId="2772" priority="601">
      <formula>$B2096="Subetapa"</formula>
    </cfRule>
  </conditionalFormatting>
  <conditionalFormatting sqref="D2120:D2123 F2120:G2123">
    <cfRule type="expression" dxfId="2771" priority="350">
      <formula>$B2120="Subetapa"</formula>
    </cfRule>
  </conditionalFormatting>
  <conditionalFormatting sqref="D2154:D2157 D1165:D1168 D2314">
    <cfRule type="expression" dxfId="2770" priority="1030">
      <formula>$I1165="SUBETAPA"</formula>
    </cfRule>
  </conditionalFormatting>
  <conditionalFormatting sqref="D2158:D2159">
    <cfRule type="expression" dxfId="2769" priority="679">
      <formula>$I2158="SUBETAPA"</formula>
    </cfRule>
    <cfRule type="expression" dxfId="2768" priority="680">
      <formula>$I2158="CÉLULA CONSTRUTIVA"</formula>
    </cfRule>
    <cfRule type="expression" dxfId="2767" priority="681">
      <formula>$I2158="ETAPA"</formula>
    </cfRule>
  </conditionalFormatting>
  <conditionalFormatting sqref="D2161">
    <cfRule type="expression" dxfId="2766" priority="1017">
      <formula>$B2161="Subetapa"</formula>
    </cfRule>
  </conditionalFormatting>
  <conditionalFormatting sqref="D2169:D2184">
    <cfRule type="expression" dxfId="2765" priority="943">
      <formula>$B2169="Subetapa"</formula>
    </cfRule>
  </conditionalFormatting>
  <conditionalFormatting sqref="D2186:D2193 F2186:F2193 B2169:B2225">
    <cfRule type="expression" dxfId="2764" priority="857">
      <formula>$B2169="Subetapa"</formula>
    </cfRule>
  </conditionalFormatting>
  <conditionalFormatting sqref="D2269:D2273">
    <cfRule type="expression" dxfId="2763" priority="1010">
      <formula>$B2269="Serviço"</formula>
    </cfRule>
    <cfRule type="expression" dxfId="2762" priority="1011">
      <formula>$B2269="Subetapa"</formula>
    </cfRule>
  </conditionalFormatting>
  <conditionalFormatting sqref="D2313">
    <cfRule type="expression" dxfId="2761" priority="1028">
      <formula>$B2313="Serviço"</formula>
    </cfRule>
    <cfRule type="expression" dxfId="2760" priority="1029">
      <formula>$B2313="Subetapa"</formula>
    </cfRule>
  </conditionalFormatting>
  <conditionalFormatting sqref="D2315:D2323 F2266:I2266 B916:C918">
    <cfRule type="expression" dxfId="2759" priority="1061">
      <formula>$B916="Serviço"</formula>
    </cfRule>
  </conditionalFormatting>
  <conditionalFormatting sqref="D2319">
    <cfRule type="expression" dxfId="2758" priority="1041">
      <formula>$B2319="Serviço"</formula>
    </cfRule>
    <cfRule type="expression" dxfId="2757" priority="1042">
      <formula>$B2319="Subetapa"</formula>
    </cfRule>
  </conditionalFormatting>
  <conditionalFormatting sqref="D2323:D2330">
    <cfRule type="expression" dxfId="2756" priority="1021">
      <formula>$B2323="Serviço"</formula>
    </cfRule>
    <cfRule type="expression" dxfId="2755" priority="1022">
      <formula>$B2323="Subetapa"</formula>
    </cfRule>
  </conditionalFormatting>
  <conditionalFormatting sqref="D2329 D2185:G2185 H2185:H2225 G2186:G2225 D2194:F2194 G2269:H2271 F2270:F2271 I2270:I2271 D2276:I2276 E2380:E2413 D2404 F2404:H2404 F2406 I2195:I2225 F2246:H2265 E1683:E1690 G1683:H1683 E267 G267:H267 E271 G271:H271 E311:E313 D337:D341 E337:H342 D413:D417 E413:H418 D504:D506 E504:H507 E687:E704 D732:D738 E732:H739 D916:F919 G916:H921 D920 E920:F921 E1076:E1077 E1082:E1085 G1082:H1085 E1133 E1257:E1259 G1257:H1259 E1261:E1263 G1261:H1263 E1265:E1267 G1265:H1267 E1269:E1271 G1269:H1271 E1273:E1275 G1273:H1275 E1277:E1279 E1289:E1291 G1289:H1291 E1296:E1298 G1296:H1298 E2246:E2266 E2267:H2267 E2269:F2269 E2270:E2273 E2313:H2314 E2431:H2448">
    <cfRule type="expression" dxfId="2754" priority="1053">
      <formula>$B267="Serviço"</formula>
    </cfRule>
  </conditionalFormatting>
  <conditionalFormatting sqref="D2331:D2335">
    <cfRule type="expression" dxfId="2753" priority="1026">
      <formula>$B2331="Serviço"</formula>
    </cfRule>
    <cfRule type="expression" dxfId="2752" priority="1027">
      <formula>$B2331="Subetapa"</formula>
    </cfRule>
  </conditionalFormatting>
  <conditionalFormatting sqref="D2335:D2341">
    <cfRule type="expression" dxfId="2751" priority="1024">
      <formula>$B2335="Serviço"</formula>
    </cfRule>
    <cfRule type="expression" dxfId="2750" priority="1025">
      <formula>$B2335="Subetapa"</formula>
    </cfRule>
  </conditionalFormatting>
  <conditionalFormatting sqref="D2341:D2346">
    <cfRule type="expression" dxfId="2749" priority="1035">
      <formula>$B2341="Serviço"</formula>
    </cfRule>
    <cfRule type="expression" dxfId="2748" priority="1036">
      <formula>$B2341="Subetapa"</formula>
    </cfRule>
  </conditionalFormatting>
  <conditionalFormatting sqref="D2347">
    <cfRule type="expression" dxfId="2747" priority="313">
      <formula>$B2347="Serviço"</formula>
    </cfRule>
    <cfRule type="expression" dxfId="2746" priority="314">
      <formula>$B2347="Subetapa"</formula>
    </cfRule>
    <cfRule type="expression" dxfId="2745" priority="315">
      <formula>$B2347="Serviço"</formula>
    </cfRule>
    <cfRule type="expression" dxfId="2744" priority="316">
      <formula>$B2347="Subetapa"</formula>
    </cfRule>
  </conditionalFormatting>
  <conditionalFormatting sqref="D2348:D2359">
    <cfRule type="expression" dxfId="2743" priority="1039">
      <formula>$B2348="Serviço"</formula>
    </cfRule>
    <cfRule type="expression" dxfId="2742" priority="1040">
      <formula>$B2348="Subetapa"</formula>
    </cfRule>
  </conditionalFormatting>
  <conditionalFormatting sqref="D2353">
    <cfRule type="expression" dxfId="2741" priority="1037">
      <formula>$B2353="Serviço"</formula>
    </cfRule>
    <cfRule type="expression" dxfId="2740" priority="1038">
      <formula>$B2353="Subetapa"</formula>
    </cfRule>
  </conditionalFormatting>
  <conditionalFormatting sqref="D2380:D2387">
    <cfRule type="expression" dxfId="2739" priority="981">
      <formula>$B2380="Serviço"</formula>
    </cfRule>
    <cfRule type="expression" dxfId="2738" priority="982">
      <formula>$B2380="Subetapa"</formula>
    </cfRule>
  </conditionalFormatting>
  <conditionalFormatting sqref="D2388:D2403">
    <cfRule type="expression" dxfId="2737" priority="992">
      <formula>$B2388="Subetapa"</formula>
    </cfRule>
  </conditionalFormatting>
  <conditionalFormatting sqref="D2396:D2403">
    <cfRule type="expression" dxfId="2736" priority="991">
      <formula>$B2396="Serviço"</formula>
    </cfRule>
  </conditionalFormatting>
  <conditionalFormatting sqref="D2405:D2412">
    <cfRule type="expression" dxfId="2735" priority="989">
      <formula>$B2405="Serviço"</formula>
    </cfRule>
    <cfRule type="expression" dxfId="2734" priority="990">
      <formula>$B2405="Subetapa"</formula>
    </cfRule>
  </conditionalFormatting>
  <conditionalFormatting sqref="D2412:D2413 F2412:G2413 D2424">
    <cfRule type="expression" dxfId="2733" priority="988">
      <formula>$B2412="Subetapa"</formula>
    </cfRule>
  </conditionalFormatting>
  <conditionalFormatting sqref="D2431">
    <cfRule type="expression" dxfId="2732" priority="971">
      <formula>$B2431="Serviço"</formula>
    </cfRule>
    <cfRule type="expression" dxfId="2731" priority="972">
      <formula>$B2431="Subetapa"</formula>
    </cfRule>
  </conditionalFormatting>
  <conditionalFormatting sqref="D2431:D2433">
    <cfRule type="expression" dxfId="2730" priority="973">
      <formula>$B2431="Serviço"</formula>
    </cfRule>
    <cfRule type="expression" dxfId="2729" priority="974">
      <formula>$B2431="Subetapa"</formula>
    </cfRule>
  </conditionalFormatting>
  <conditionalFormatting sqref="D2433:D2443 D2445:D2447">
    <cfRule type="expression" dxfId="2728" priority="978">
      <formula>$B2433="Subetapa"</formula>
    </cfRule>
  </conditionalFormatting>
  <conditionalFormatting sqref="D2433:D2443">
    <cfRule type="expression" dxfId="2727" priority="977">
      <formula>$B2433="Serviço"</formula>
    </cfRule>
  </conditionalFormatting>
  <conditionalFormatting sqref="D2441">
    <cfRule type="expression" dxfId="2726" priority="31">
      <formula>$B2441="Serviço"</formula>
    </cfRule>
    <cfRule type="expression" dxfId="2725" priority="32">
      <formula>$B2441="Subetapa"</formula>
    </cfRule>
  </conditionalFormatting>
  <conditionalFormatting sqref="D2444:D2445">
    <cfRule type="expression" dxfId="2724" priority="29">
      <formula>$B2444="Serviço"</formula>
    </cfRule>
    <cfRule type="expression" dxfId="2723" priority="30">
      <formula>$B2444="Subetapa"</formula>
    </cfRule>
  </conditionalFormatting>
  <conditionalFormatting sqref="D2445:D2464">
    <cfRule type="expression" dxfId="2722" priority="946">
      <formula>$B2445="Serviço"</formula>
    </cfRule>
  </conditionalFormatting>
  <conditionalFormatting sqref="D2448:D2464">
    <cfRule type="expression" dxfId="2721" priority="947">
      <formula>$B2448="Subetapa"</formula>
    </cfRule>
  </conditionalFormatting>
  <conditionalFormatting sqref="D280:E280">
    <cfRule type="expression" dxfId="2720" priority="561">
      <formula>$B280="Serviço"</formula>
    </cfRule>
    <cfRule type="expression" dxfId="2719" priority="562">
      <formula>$B280="Subetapa"</formula>
    </cfRule>
  </conditionalFormatting>
  <conditionalFormatting sqref="D603:E606">
    <cfRule type="expression" dxfId="2718" priority="632">
      <formula>$B603="Serviço"</formula>
    </cfRule>
    <cfRule type="expression" dxfId="2717" priority="633">
      <formula>$B603="Subetapa"</formula>
    </cfRule>
  </conditionalFormatting>
  <conditionalFormatting sqref="D1367:E1370">
    <cfRule type="expression" dxfId="2716" priority="335">
      <formula>$B1367="Serviço"</formula>
    </cfRule>
    <cfRule type="expression" dxfId="2715" priority="336">
      <formula>$B1367="Subetapa"</formula>
    </cfRule>
  </conditionalFormatting>
  <conditionalFormatting sqref="D1412:E1415">
    <cfRule type="expression" dxfId="2714" priority="611">
      <formula>$B1412="Subetapa"</formula>
    </cfRule>
  </conditionalFormatting>
  <conditionalFormatting sqref="D1417:E1420">
    <cfRule type="expression" dxfId="2713" priority="615">
      <formula>$B1417="Serviço"</formula>
    </cfRule>
    <cfRule type="expression" dxfId="2712" priority="616">
      <formula>$B1417="Subetapa"</formula>
    </cfRule>
  </conditionalFormatting>
  <conditionalFormatting sqref="D2040:E2043 D2039:F2039">
    <cfRule type="expression" dxfId="2711" priority="377">
      <formula>$B2039="Subetapa"</formula>
    </cfRule>
  </conditionalFormatting>
  <conditionalFormatting sqref="D2040:E2043 G2040:G2043">
    <cfRule type="expression" dxfId="2710" priority="375">
      <formula>$B2040="Serviço"</formula>
    </cfRule>
  </conditionalFormatting>
  <conditionalFormatting sqref="D272:F272 D273:H273 D274:F274 D275:H275 D276:F276 F280:F281 D281:E281 B289:B309 D290:F290 D291:H293 D294:F294 D295:H297 D298:F298 D299:H301 D302:F302 D303:H305 D306:F306 D307:H309 D277:H277">
    <cfRule type="expression" dxfId="2709" priority="948">
      <formula>$B272="Subetapa"</formula>
    </cfRule>
  </conditionalFormatting>
  <conditionalFormatting sqref="D278:F278">
    <cfRule type="expression" dxfId="2708" priority="583">
      <formula>$B278="Subetapa"</formula>
    </cfRule>
  </conditionalFormatting>
  <conditionalFormatting sqref="D633:F636">
    <cfRule type="expression" dxfId="2707" priority="682">
      <formula>$B633="Serviço"</formula>
    </cfRule>
    <cfRule type="expression" dxfId="2706" priority="683">
      <formula>$B633="Subetapa"</formula>
    </cfRule>
  </conditionalFormatting>
  <conditionalFormatting sqref="D638:F670">
    <cfRule type="expression" dxfId="2705" priority="50">
      <formula>$B638="Serviço"</formula>
    </cfRule>
    <cfRule type="expression" dxfId="2704" priority="51">
      <formula>$B638="Subetapa"</formula>
    </cfRule>
  </conditionalFormatting>
  <conditionalFormatting sqref="D1019:F1019 D1020:E1023 D1024:F1024 D1025:E1028 D1049:F1049 D1050:E1053 D1054:F1054 E1055:E1058 E1059:F1059 E1060:E1063 D1064:F1064 D1065:E1068 D1069:F1069 E1070:G1071 D1071 D1398:D1400 D1433:D1435">
    <cfRule type="expression" dxfId="2703" priority="935">
      <formula>$B1019="Serviço"</formula>
    </cfRule>
  </conditionalFormatting>
  <conditionalFormatting sqref="D1029:F1029">
    <cfRule type="expression" dxfId="2702" priority="490">
      <formula>$B1029="Serviço"</formula>
    </cfRule>
  </conditionalFormatting>
  <conditionalFormatting sqref="D1072:F1080">
    <cfRule type="expression" dxfId="2701" priority="577">
      <formula>$B1072="Serviço"</formula>
    </cfRule>
  </conditionalFormatting>
  <conditionalFormatting sqref="D1132:F1134">
    <cfRule type="expression" dxfId="2700" priority="717">
      <formula>$B1132="Serviço"</formula>
    </cfRule>
  </conditionalFormatting>
  <conditionalFormatting sqref="D1366:F1366">
    <cfRule type="expression" dxfId="2699" priority="331">
      <formula>$B1366="Serviço"</formula>
    </cfRule>
    <cfRule type="expression" dxfId="2698" priority="332">
      <formula>$B1366="Subetapa"</formula>
    </cfRule>
  </conditionalFormatting>
  <conditionalFormatting sqref="D1371:F1371 D1372:E1375 D1376:F1376 D1377:E1380">
    <cfRule type="expression" dxfId="2697" priority="405">
      <formula>$B1371="Serviço"</formula>
    </cfRule>
    <cfRule type="expression" dxfId="2696" priority="406">
      <formula>$B1371="Subetapa"</formula>
    </cfRule>
  </conditionalFormatting>
  <conditionalFormatting sqref="D1391:F1391">
    <cfRule type="expression" dxfId="2695" priority="535">
      <formula>$B1391="Serviço"</formula>
    </cfRule>
    <cfRule type="expression" dxfId="2694" priority="536">
      <formula>$B1391="Subetapa"</formula>
    </cfRule>
  </conditionalFormatting>
  <conditionalFormatting sqref="D1401:F1401 D1402:E1405 D1406:G1411 D1412:E1415 G1412:G1415 D1416:G1416">
    <cfRule type="expression" dxfId="2693" priority="609">
      <formula>$B1401="Serviço"</formula>
    </cfRule>
  </conditionalFormatting>
  <conditionalFormatting sqref="D1421:F1421 D1422:E1425">
    <cfRule type="expression" dxfId="2692" priority="575">
      <formula>$B1421="Serviço"</formula>
    </cfRule>
    <cfRule type="expression" dxfId="2691" priority="576">
      <formula>$B1421="Subetapa"</formula>
    </cfRule>
  </conditionalFormatting>
  <conditionalFormatting sqref="D1689:F1689 F1690:H1690 E1700:F1700">
    <cfRule type="expression" dxfId="2690" priority="1033">
      <formula>$B1689="Serviço"</formula>
    </cfRule>
  </conditionalFormatting>
  <conditionalFormatting sqref="D1755:F1755 D1756:H1756 E1757:F1757 E1760:F1760 E1766:F1766 D1769:F1769 D1773:F1773 D1774:H1774 D1775:F1775 D1776:H1776 D1777:F1777 D1778:H1778 D1779:F1779 D1780:H1780 D1781:F1781">
    <cfRule type="expression" dxfId="2689" priority="1034">
      <formula>$B1755="Subetapa"</formula>
    </cfRule>
  </conditionalFormatting>
  <conditionalFormatting sqref="D1771:F1771 D1772:H1772">
    <cfRule type="expression" dxfId="2688" priority="384">
      <formula>$B1771="Subetapa"</formula>
    </cfRule>
  </conditionalFormatting>
  <conditionalFormatting sqref="D1868:F1868 E1869:H1869">
    <cfRule type="expression" dxfId="2687" priority="323">
      <formula>$B1868="Subetapa"</formula>
    </cfRule>
  </conditionalFormatting>
  <conditionalFormatting sqref="D2044:F2044 D2045:E2048 D2070:F2070 D1939:G1942">
    <cfRule type="expression" dxfId="2686" priority="934">
      <formula>$B1939="Subetapa"</formula>
    </cfRule>
  </conditionalFormatting>
  <conditionalFormatting sqref="D2049:F2049 D2050:E2053">
    <cfRule type="expression" dxfId="2685" priority="370">
      <formula>$B2049="Subetapa"</formula>
    </cfRule>
  </conditionalFormatting>
  <conditionalFormatting sqref="D2054:F2054 D2055:E2058">
    <cfRule type="expression" dxfId="2684" priority="366">
      <formula>$B2054="Subetapa"</formula>
    </cfRule>
  </conditionalFormatting>
  <conditionalFormatting sqref="D2059:F2059">
    <cfRule type="expression" dxfId="2683" priority="361">
      <formula>$B2059="Subetapa"</formula>
    </cfRule>
  </conditionalFormatting>
  <conditionalFormatting sqref="D2061:F2061 D2062:E2065">
    <cfRule type="expression" dxfId="2682" priority="359">
      <formula>$B2061="Subetapa"</formula>
    </cfRule>
  </conditionalFormatting>
  <conditionalFormatting sqref="D2066:F2066">
    <cfRule type="expression" dxfId="2681" priority="346">
      <formula>$B2066="Subetapa"</formula>
    </cfRule>
  </conditionalFormatting>
  <conditionalFormatting sqref="D2068:F2068">
    <cfRule type="expression" dxfId="2680" priority="344">
      <formula>$B2068="Subetapa"</formula>
    </cfRule>
  </conditionalFormatting>
  <conditionalFormatting sqref="D2161:F2184">
    <cfRule type="expression" dxfId="2679" priority="809">
      <formula>$B2161="Serviço"</formula>
    </cfRule>
  </conditionalFormatting>
  <conditionalFormatting sqref="D2186:F2193">
    <cfRule type="expression" dxfId="2678" priority="856">
      <formula>$B2186="Serviço"</formula>
    </cfRule>
  </conditionalFormatting>
  <conditionalFormatting sqref="D2195:F2225">
    <cfRule type="expression" dxfId="2677" priority="1005">
      <formula>$B2195="Serviço"</formula>
    </cfRule>
    <cfRule type="expression" dxfId="2676" priority="1006">
      <formula>$B2195="Subetapa"</formula>
    </cfRule>
  </conditionalFormatting>
  <conditionalFormatting sqref="D2282:F2282 D2284:F2284 D2283:H2283">
    <cfRule type="expression" dxfId="2675" priority="944">
      <formula>$B2282="Serviço"</formula>
    </cfRule>
  </conditionalFormatting>
  <conditionalFormatting sqref="D2282:F2282 D2283:H2283 D2284:F2284">
    <cfRule type="expression" dxfId="2674" priority="945">
      <formula>$B2282="Subetapa"</formula>
    </cfRule>
  </conditionalFormatting>
  <conditionalFormatting sqref="D2290:F2290 D2294:F2294">
    <cfRule type="expression" dxfId="2673" priority="1012">
      <formula>$B2290="Serviço"</formula>
    </cfRule>
    <cfRule type="expression" dxfId="2672" priority="1013">
      <formula>$B2290="Subetapa"</formula>
    </cfRule>
  </conditionalFormatting>
  <conditionalFormatting sqref="D2296:F2296 D2297:H2297 D2298:F2298">
    <cfRule type="expression" dxfId="2671" priority="1009">
      <formula>$B2296="Subetapa"</formula>
    </cfRule>
  </conditionalFormatting>
  <conditionalFormatting sqref="D2298:F2298 D2296:F2296 D2297:H2297">
    <cfRule type="expression" dxfId="2670" priority="1008">
      <formula>$B2296="Serviço"</formula>
    </cfRule>
  </conditionalFormatting>
  <conditionalFormatting sqref="D2388:F2395">
    <cfRule type="expression" dxfId="2669" priority="846">
      <formula>$B2388="Serviço"</formula>
    </cfRule>
  </conditionalFormatting>
  <conditionalFormatting sqref="D2451:F2451">
    <cfRule type="expression" dxfId="2668" priority="969">
      <formula>$B2451="Serviço"</formula>
    </cfRule>
    <cfRule type="expression" dxfId="2667" priority="970">
      <formula>$B2451="Subetapa"</formula>
    </cfRule>
  </conditionalFormatting>
  <conditionalFormatting sqref="D277:G279">
    <cfRule type="expression" dxfId="2666" priority="582">
      <formula>$B277="Serviço"</formula>
    </cfRule>
  </conditionalFormatting>
  <conditionalFormatting sqref="D508:G514">
    <cfRule type="expression" dxfId="2665" priority="283">
      <formula>$B508="Subetapa"</formula>
    </cfRule>
  </conditionalFormatting>
  <conditionalFormatting sqref="D596:G599">
    <cfRule type="expression" dxfId="2664" priority="953">
      <formula>$B596="Serviço"</formula>
    </cfRule>
    <cfRule type="expression" dxfId="2663" priority="954">
      <formula>$B596="Subetapa"</formula>
    </cfRule>
  </conditionalFormatting>
  <conditionalFormatting sqref="D600:G602">
    <cfRule type="expression" dxfId="2662" priority="642">
      <formula>$B600="Serviço"</formula>
    </cfRule>
    <cfRule type="expression" dxfId="2661" priority="643">
      <formula>$B600="Subetapa"</formula>
    </cfRule>
  </conditionalFormatting>
  <conditionalFormatting sqref="D617:G632">
    <cfRule type="expression" dxfId="2660" priority="584">
      <formula>$B617="Serviço"</formula>
    </cfRule>
    <cfRule type="expression" dxfId="2659" priority="585">
      <formula>$B617="Subetapa"</formula>
    </cfRule>
  </conditionalFormatting>
  <conditionalFormatting sqref="D671:G671">
    <cfRule type="expression" dxfId="2658" priority="687">
      <formula>$B671="Serviço"</formula>
    </cfRule>
    <cfRule type="expression" dxfId="2657" priority="688">
      <formula>$B671="Subetapa"</formula>
    </cfRule>
  </conditionalFormatting>
  <conditionalFormatting sqref="D745:G803">
    <cfRule type="expression" dxfId="2656" priority="46">
      <formula>$B745="Serviço"</formula>
    </cfRule>
    <cfRule type="expression" dxfId="2655" priority="47">
      <formula>$B745="Subetapa"</formula>
    </cfRule>
  </conditionalFormatting>
  <conditionalFormatting sqref="D804:G862">
    <cfRule type="expression" dxfId="2654" priority="787">
      <formula>$B804="Serviço"</formula>
    </cfRule>
  </conditionalFormatting>
  <conditionalFormatting sqref="D828:G885 D886:H914">
    <cfRule type="expression" dxfId="2653" priority="65">
      <formula>$B828="Subetapa"</formula>
    </cfRule>
  </conditionalFormatting>
  <conditionalFormatting sqref="D863:G885 D886:H914">
    <cfRule type="expression" dxfId="2652" priority="64">
      <formula>$B863="Serviço"</formula>
    </cfRule>
  </conditionalFormatting>
  <conditionalFormatting sqref="D922:G926">
    <cfRule type="expression" dxfId="2651" priority="590">
      <formula>$B922="Serviço"</formula>
    </cfRule>
    <cfRule type="expression" dxfId="2650" priority="591">
      <formula>$B922="Subetapa"</formula>
    </cfRule>
  </conditionalFormatting>
  <conditionalFormatting sqref="D927:G930">
    <cfRule type="expression" dxfId="2649" priority="748">
      <formula>$B927="Serviço"</formula>
    </cfRule>
    <cfRule type="expression" dxfId="2648" priority="749">
      <formula>$B927="Subetapa"</formula>
    </cfRule>
  </conditionalFormatting>
  <conditionalFormatting sqref="D931:G932">
    <cfRule type="expression" dxfId="2647" priority="1051">
      <formula>$B931="Serviço"</formula>
    </cfRule>
    <cfRule type="expression" dxfId="2646" priority="1052">
      <formula>$B931="Subetapa"</formula>
    </cfRule>
  </conditionalFormatting>
  <conditionalFormatting sqref="D934:G940">
    <cfRule type="expression" dxfId="2645" priority="305">
      <formula>$B934="Serviço"</formula>
    </cfRule>
    <cfRule type="expression" dxfId="2644" priority="306">
      <formula>$B934="Subetapa"</formula>
    </cfRule>
  </conditionalFormatting>
  <conditionalFormatting sqref="D941:G942">
    <cfRule type="expression" dxfId="2643" priority="1045">
      <formula>$B941="Serviço"</formula>
    </cfRule>
    <cfRule type="expression" dxfId="2642" priority="1046">
      <formula>$B941="Subetapa"</formula>
    </cfRule>
  </conditionalFormatting>
  <conditionalFormatting sqref="D943:G1015">
    <cfRule type="expression" dxfId="2641" priority="419">
      <formula>$B943="Subetapa"</formula>
    </cfRule>
  </conditionalFormatting>
  <conditionalFormatting sqref="D943:G1018">
    <cfRule type="expression" dxfId="2640" priority="418">
      <formula>$B943="Serviço"</formula>
    </cfRule>
  </conditionalFormatting>
  <conditionalFormatting sqref="D1029:G1038">
    <cfRule type="expression" dxfId="2639" priority="493">
      <formula>$B1029="Subetapa"</formula>
    </cfRule>
  </conditionalFormatting>
  <conditionalFormatting sqref="D1030:G1039 D1040:E1043 G1040:G1043">
    <cfRule type="expression" dxfId="2638" priority="488">
      <formula>$B1030="Serviço"</formula>
    </cfRule>
  </conditionalFormatting>
  <conditionalFormatting sqref="D1039:G1039 D1040:E1043 G1040:G1043">
    <cfRule type="expression" dxfId="2637" priority="489">
      <formula>$B1039="Subetapa"</formula>
    </cfRule>
  </conditionalFormatting>
  <conditionalFormatting sqref="D1044:G1044 D1045:E1048 G1045:G1048 H1039:H1071">
    <cfRule type="expression" dxfId="2636" priority="485">
      <formula>$B1039="Subetapa"</formula>
    </cfRule>
  </conditionalFormatting>
  <conditionalFormatting sqref="D1044:G1044 D1045:E1048 G1045:G1080">
    <cfRule type="expression" dxfId="2635" priority="484">
      <formula>$B1044="Serviço"</formula>
    </cfRule>
  </conditionalFormatting>
  <conditionalFormatting sqref="D1072:G1074">
    <cfRule type="expression" dxfId="2634" priority="578">
      <formula>$B1072="Subetapa"</formula>
    </cfRule>
  </conditionalFormatting>
  <conditionalFormatting sqref="D1078:G1080">
    <cfRule type="expression" dxfId="2633" priority="606">
      <formula>$B1078="Subetapa"</formula>
    </cfRule>
  </conditionalFormatting>
  <conditionalFormatting sqref="D1081:G1086">
    <cfRule type="expression" dxfId="2632" priority="720">
      <formula>$B1081="Serviço"</formula>
    </cfRule>
  </conditionalFormatting>
  <conditionalFormatting sqref="D1280:G1281 D1282:E1283 D1284:G1285 D1286:E1287">
    <cfRule type="expression" dxfId="2631" priority="619">
      <formula>$B1280="Subetapa"</formula>
    </cfRule>
  </conditionalFormatting>
  <conditionalFormatting sqref="D1296:G1329">
    <cfRule type="expression" dxfId="2630" priority="570">
      <formula>$B1296="Serviço"</formula>
    </cfRule>
  </conditionalFormatting>
  <conditionalFormatting sqref="D1309:G1315 D1317:G1329">
    <cfRule type="expression" dxfId="2629" priority="571">
      <formula>$B1309="Subetapa"</formula>
    </cfRule>
  </conditionalFormatting>
  <conditionalFormatting sqref="D1330:G1336">
    <cfRule type="expression" dxfId="2628" priority="385">
      <formula>$B1330="Serviço"</formula>
    </cfRule>
    <cfRule type="expression" dxfId="2627" priority="387">
      <formula>$B1330="Subetapa"</formula>
    </cfRule>
  </conditionalFormatting>
  <conditionalFormatting sqref="D1381:G1381 H1381:H1390 D1382:E1385 G1382:G1385 D1386:G1386 D1387:E1390 G1387:G1390">
    <cfRule type="expression" dxfId="2626" priority="402">
      <formula>$B1381="Subetapa"</formula>
    </cfRule>
  </conditionalFormatting>
  <conditionalFormatting sqref="D1406:G1411 G1412:G1415">
    <cfRule type="expression" dxfId="2625" priority="610">
      <formula>$B1406="Subetapa"</formula>
    </cfRule>
  </conditionalFormatting>
  <conditionalFormatting sqref="D1426:G1431">
    <cfRule type="expression" dxfId="2624" priority="612">
      <formula>$B1426="Serviço"</formula>
    </cfRule>
    <cfRule type="expression" dxfId="2623" priority="613">
      <formula>$B1426="Subetapa"</formula>
    </cfRule>
  </conditionalFormatting>
  <conditionalFormatting sqref="D1446:G1446 D1447:E1450 G1447:G1450 D1451:G1451 D1452:E1455 G1452:G1455">
    <cfRule type="expression" dxfId="2622" priority="480">
      <formula>$B1446="Serviço"</formula>
    </cfRule>
    <cfRule type="expression" dxfId="2621" priority="481">
      <formula>$B1446="Subetapa"</formula>
    </cfRule>
  </conditionalFormatting>
  <conditionalFormatting sqref="D1456:G1456 D1457:E1460 G1457:G1460">
    <cfRule type="expression" dxfId="2620" priority="464">
      <formula>$B1456="Serviço"</formula>
    </cfRule>
    <cfRule type="expression" dxfId="2619" priority="465">
      <formula>$B1456="Subetapa"</formula>
    </cfRule>
  </conditionalFormatting>
  <conditionalFormatting sqref="D1461:G1461 D1462:E1465 G1462:G1465">
    <cfRule type="expression" dxfId="2618" priority="468">
      <formula>$B1461="Serviço"</formula>
    </cfRule>
    <cfRule type="expression" dxfId="2617" priority="469">
      <formula>$B1461="Subetapa"</formula>
    </cfRule>
  </conditionalFormatting>
  <conditionalFormatting sqref="D1466:G1466 D1467:E1470 G1467:G1470">
    <cfRule type="expression" dxfId="2616" priority="454">
      <formula>$B1466="Serviço"</formula>
    </cfRule>
    <cfRule type="expression" dxfId="2615" priority="455">
      <formula>$B1466="Subetapa"</formula>
    </cfRule>
  </conditionalFormatting>
  <conditionalFormatting sqref="D1471:G1471 D1472:E1475 G1472:G1475">
    <cfRule type="expression" dxfId="2614" priority="460">
      <formula>$B1471="Serviço"</formula>
    </cfRule>
    <cfRule type="expression" dxfId="2613" priority="461">
      <formula>$B1471="Subetapa"</formula>
    </cfRule>
  </conditionalFormatting>
  <conditionalFormatting sqref="D1476:G1476 D1477:E1480 G1477:G1480">
    <cfRule type="expression" dxfId="2612" priority="476">
      <formula>$B1476="Serviço"</formula>
    </cfRule>
    <cfRule type="expression" dxfId="2611" priority="477">
      <formula>$B1476="Subetapa"</formula>
    </cfRule>
  </conditionalFormatting>
  <conditionalFormatting sqref="D1481:G1481 D1482:E1485 G1482:G1485 D1486:G1486 D1487:E1490 G1487:G1490">
    <cfRule type="expression" dxfId="2610" priority="472">
      <formula>$B1481="Serviço"</formula>
    </cfRule>
    <cfRule type="expression" dxfId="2609" priority="473">
      <formula>$B1481="Subetapa"</formula>
    </cfRule>
  </conditionalFormatting>
  <conditionalFormatting sqref="D1491:G1515">
    <cfRule type="expression" dxfId="2608" priority="456">
      <formula>$B1491="Serviço"</formula>
    </cfRule>
    <cfRule type="expression" dxfId="2607" priority="457">
      <formula>$B1491="Subetapa"</formula>
    </cfRule>
  </conditionalFormatting>
  <conditionalFormatting sqref="D1519:G1527">
    <cfRule type="expression" dxfId="2606" priority="517">
      <formula>$B1519="Serviço"</formula>
    </cfRule>
  </conditionalFormatting>
  <conditionalFormatting sqref="D1531:G1552">
    <cfRule type="expression" dxfId="2605" priority="607">
      <formula>$B1531="Serviço"</formula>
    </cfRule>
  </conditionalFormatting>
  <conditionalFormatting sqref="D1542:G1552">
    <cfRule type="expression" dxfId="2604" priority="608">
      <formula>$B1542="Subetapa"</formula>
    </cfRule>
  </conditionalFormatting>
  <conditionalFormatting sqref="D1556:G1621">
    <cfRule type="expression" dxfId="2603" priority="388">
      <formula>$B1556="Subetapa"</formula>
    </cfRule>
  </conditionalFormatting>
  <conditionalFormatting sqref="D1696:G1700">
    <cfRule type="expression" dxfId="2602" priority="706">
      <formula>$B1696="Subetapa"</formula>
    </cfRule>
  </conditionalFormatting>
  <conditionalFormatting sqref="D1721:G1725">
    <cfRule type="expression" dxfId="2601" priority="514">
      <formula>$B1721="Subetapa"</formula>
    </cfRule>
  </conditionalFormatting>
  <conditionalFormatting sqref="D1721:G1753">
    <cfRule type="expression" dxfId="2600" priority="513">
      <formula>$B1721="Serviço"</formula>
    </cfRule>
  </conditionalFormatting>
  <conditionalFormatting sqref="D1734:G1753">
    <cfRule type="expression" dxfId="2599" priority="603">
      <formula>$B1734="Subetapa"</formula>
    </cfRule>
  </conditionalFormatting>
  <conditionalFormatting sqref="D1771:G1772">
    <cfRule type="expression" dxfId="2598" priority="383">
      <formula>$B1771="Serviço"</formula>
    </cfRule>
  </conditionalFormatting>
  <conditionalFormatting sqref="D1782:G1861">
    <cfRule type="expression" dxfId="2597" priority="317">
      <formula>$B1782="Serviço"</formula>
    </cfRule>
    <cfRule type="expression" dxfId="2596" priority="318">
      <formula>$B1782="Subetapa"</formula>
    </cfRule>
  </conditionalFormatting>
  <conditionalFormatting sqref="D1870:G1896">
    <cfRule type="expression" dxfId="2595" priority="378">
      <formula>$B1870="Subetapa"</formula>
    </cfRule>
  </conditionalFormatting>
  <conditionalFormatting sqref="D1897:G1897 D1898 F1898:G1898">
    <cfRule type="expression" dxfId="2594" priority="20">
      <formula>$B1897="Subetapa"</formula>
    </cfRule>
  </conditionalFormatting>
  <conditionalFormatting sqref="D1899:G1938">
    <cfRule type="expression" dxfId="2593" priority="8">
      <formula>$B1899="Subetapa"</formula>
    </cfRule>
  </conditionalFormatting>
  <conditionalFormatting sqref="D1919:G1938">
    <cfRule type="expression" dxfId="2592" priority="7">
      <formula>$B1919="Serviço"</formula>
    </cfRule>
  </conditionalFormatting>
  <conditionalFormatting sqref="D1953:G1961 E1962:G1962 D1963:G1966 E1967:G1967 D1968:G1971 E1972:G1972 D1973:G2012">
    <cfRule type="expression" dxfId="2591" priority="309">
      <formula>$B1953="Serviço"</formula>
    </cfRule>
  </conditionalFormatting>
  <conditionalFormatting sqref="D2013:G2039">
    <cfRule type="expression" dxfId="2590" priority="374">
      <formula>$B2013="Serviço"</formula>
    </cfRule>
  </conditionalFormatting>
  <conditionalFormatting sqref="D2044:G2044 D2045:E2048 G2045:G2048 D2070:H2079">
    <cfRule type="expression" dxfId="2589" priority="727">
      <formula>$B2044="Serviço"</formula>
    </cfRule>
  </conditionalFormatting>
  <conditionalFormatting sqref="D2049:G2049 G2050:G2053 D2050:E2053">
    <cfRule type="expression" dxfId="2588" priority="369">
      <formula>$B2049="Serviço"</formula>
    </cfRule>
  </conditionalFormatting>
  <conditionalFormatting sqref="D2054:G2054 G2055:G2058 H2044:H2058 D2055:E2058">
    <cfRule type="expression" dxfId="2587" priority="365">
      <formula>$B2044="Serviço"</formula>
    </cfRule>
  </conditionalFormatting>
  <conditionalFormatting sqref="D2061:G2061 G2062:G2065 H2061:H2065 D2062:E2065">
    <cfRule type="expression" dxfId="2586" priority="358">
      <formula>$B2061="Serviço"</formula>
    </cfRule>
  </conditionalFormatting>
  <conditionalFormatting sqref="D2071:G2079">
    <cfRule type="expression" dxfId="2585" priority="728">
      <formula>$B2071="Subetapa"</formula>
    </cfRule>
  </conditionalFormatting>
  <conditionalFormatting sqref="D2117:G2118 D2119 F2119:G2119">
    <cfRule type="expression" dxfId="2584" priority="600">
      <formula>$B2117="Serviço"</formula>
    </cfRule>
  </conditionalFormatting>
  <conditionalFormatting sqref="D2120:G2120 D2121 F2121:G2121 D2122:G2122 D2123 F2123:G2123">
    <cfRule type="expression" dxfId="2583" priority="349">
      <formula>$B2120="Serviço"</formula>
    </cfRule>
  </conditionalFormatting>
  <conditionalFormatting sqref="D2131:G2135">
    <cfRule type="expression" dxfId="2582" priority="446">
      <formula>$B2131="Subetapa"</formula>
    </cfRule>
  </conditionalFormatting>
  <conditionalFormatting sqref="D2134:G2138 D2124:G2132">
    <cfRule type="expression" dxfId="2581" priority="449">
      <formula>$B2124="Serviço"</formula>
    </cfRule>
  </conditionalFormatting>
  <conditionalFormatting sqref="D2137:G2141">
    <cfRule type="expression" dxfId="2580" priority="448">
      <formula>$B2137="Subetapa"</formula>
    </cfRule>
  </conditionalFormatting>
  <conditionalFormatting sqref="D2140:G2160 I2129">
    <cfRule type="expression" dxfId="2579" priority="451">
      <formula>$B2129="Serviço"</formula>
    </cfRule>
  </conditionalFormatting>
  <conditionalFormatting sqref="D2155:G2158">
    <cfRule type="expression" dxfId="2578" priority="678">
      <formula>$B2155="Subetapa"</formula>
    </cfRule>
  </conditionalFormatting>
  <conditionalFormatting sqref="D2227:G2237 D2238:D2267">
    <cfRule type="expression" dxfId="2577" priority="662">
      <formula>$B2227="Serviço"</formula>
    </cfRule>
    <cfRule type="expression" dxfId="2576" priority="663">
      <formula>$B2227="Subetapa"</formula>
    </cfRule>
  </conditionalFormatting>
  <conditionalFormatting sqref="D2311:G2312 A2310:B2366">
    <cfRule type="expression" dxfId="2575" priority="395">
      <formula>$B2310="Subetapa"</formula>
    </cfRule>
  </conditionalFormatting>
  <conditionalFormatting sqref="D2424:G2430">
    <cfRule type="expression" dxfId="2574" priority="1001">
      <formula>$B2424="Serviço"</formula>
    </cfRule>
    <cfRule type="expression" dxfId="2573" priority="1002">
      <formula>$B2424="Subetapa"</formula>
    </cfRule>
  </conditionalFormatting>
  <conditionalFormatting sqref="D2464:G2465">
    <cfRule type="expression" dxfId="2572" priority="961">
      <formula>$B2464="Serviço"</formula>
    </cfRule>
    <cfRule type="expression" dxfId="2571" priority="962">
      <formula>$B2464="Subetapa"</formula>
    </cfRule>
  </conditionalFormatting>
  <conditionalFormatting sqref="D151:H196">
    <cfRule type="expression" dxfId="2570" priority="151">
      <formula>$B151="Subetapa"</formula>
    </cfRule>
  </conditionalFormatting>
  <conditionalFormatting sqref="D247:H266 I247:I309 A638:B640 A650:A655 B672:B673 D673 B675:B676 A686:A698 A700:A705 B709:C739 B804:B816 E1087:H1089 D1088:D1089 B1169:C1174 B1256:C1279 E1337:G1337 D1338:G1350 D1354:H1354 D1358:H1358 D1362:F1362 G1432:G1435 D1436:G1436 G1437:G1440 D1441:G1441 G1442:G1445 E1516:G1518 D1517:D1518 E1553:G1555 D1554:D1555 F1689:H1689 D1754:H1754 B2160:C2161 A2161 A2169:A2185 D2315:G2315 E2316:G2358 D2359:G2364 D2366:G2366 A2370:B2370 D2370 D2374 B2380:C2417 B1506:C1541 D1716:H1716 D1719:H1719 D1531:H1541 D279:H279 D1303:H1308 D1519:G1527 D1726:H1733 B248:C266 B269:C288 E1685:E1689 F1690">
    <cfRule type="expression" dxfId="2569" priority="808">
      <formula>$B247="Subetapa"</formula>
    </cfRule>
  </conditionalFormatting>
  <conditionalFormatting sqref="D343:H412">
    <cfRule type="expression" dxfId="2568" priority="109">
      <formula>$B343="Serviço"</formula>
    </cfRule>
    <cfRule type="expression" dxfId="2567" priority="110">
      <formula>$B343="Subetapa"</formula>
    </cfRule>
  </conditionalFormatting>
  <conditionalFormatting sqref="D419:H450">
    <cfRule type="expression" dxfId="2566" priority="152">
      <formula>$B419="Serviço"</formula>
    </cfRule>
  </conditionalFormatting>
  <conditionalFormatting sqref="D452:H503">
    <cfRule type="expression" dxfId="2565" priority="139">
      <formula>$B452="Serviço"</formula>
    </cfRule>
    <cfRule type="expression" dxfId="2564" priority="140">
      <formula>$B452="Subetapa"</formula>
    </cfRule>
  </conditionalFormatting>
  <conditionalFormatting sqref="D508:H511">
    <cfRule type="expression" dxfId="2563" priority="62">
      <formula>$B508="Serviço"</formula>
    </cfRule>
  </conditionalFormatting>
  <conditionalFormatting sqref="D674:H686">
    <cfRule type="expression" dxfId="2562" priority="88">
      <formula>$B674="Serviço"</formula>
    </cfRule>
    <cfRule type="expression" dxfId="2561" priority="89">
      <formula>$B674="Subetapa"</formula>
    </cfRule>
  </conditionalFormatting>
  <conditionalFormatting sqref="D693:H693">
    <cfRule type="expression" dxfId="2560" priority="957">
      <formula>$B693="Serviço"</formula>
    </cfRule>
  </conditionalFormatting>
  <conditionalFormatting sqref="D709:H712">
    <cfRule type="expression" dxfId="2559" priority="105">
      <formula>$B709="Serviço"</formula>
    </cfRule>
  </conditionalFormatting>
  <conditionalFormatting sqref="D724:H724">
    <cfRule type="expression" dxfId="2558" priority="553">
      <formula>$B724="Serviço"</formula>
    </cfRule>
  </conditionalFormatting>
  <conditionalFormatting sqref="D727:H731">
    <cfRule type="expression" dxfId="2557" priority="159">
      <formula>$B727="Serviço"</formula>
    </cfRule>
    <cfRule type="expression" dxfId="2556" priority="160">
      <formula>$B727="Subetapa"</formula>
    </cfRule>
  </conditionalFormatting>
  <conditionalFormatting sqref="D740:H744 H745:H885">
    <cfRule type="expression" dxfId="2555" priority="90">
      <formula>$B740="Serviço"</formula>
    </cfRule>
    <cfRule type="expression" dxfId="2554" priority="91">
      <formula>$B740="Subetapa"</formula>
    </cfRule>
  </conditionalFormatting>
  <conditionalFormatting sqref="D933:H933">
    <cfRule type="expression" dxfId="2553" priority="1047">
      <formula>$B933="Serviço"</formula>
    </cfRule>
    <cfRule type="expression" dxfId="2552" priority="1048">
      <formula>$B933="Subetapa"</formula>
    </cfRule>
  </conditionalFormatting>
  <conditionalFormatting sqref="D1086:H1086">
    <cfRule type="expression" dxfId="2551" priority="721">
      <formula>$B1086="Subetapa"</formula>
    </cfRule>
  </conditionalFormatting>
  <conditionalFormatting sqref="D1137:H1189">
    <cfRule type="expression" dxfId="2550" priority="83">
      <formula>$B1137="Serviço"</formula>
    </cfRule>
  </conditionalFormatting>
  <conditionalFormatting sqref="D1137:H1255">
    <cfRule type="expression" dxfId="2549" priority="84">
      <formula>$B1137="Subetapa"</formula>
    </cfRule>
  </conditionalFormatting>
  <conditionalFormatting sqref="D1190:H1287">
    <cfRule type="expression" dxfId="2548" priority="125">
      <formula>$B1190="Serviço"</formula>
    </cfRule>
  </conditionalFormatting>
  <conditionalFormatting sqref="D1302:H1302">
    <cfRule type="expression" dxfId="2547" priority="411">
      <formula>$B1302="Subetapa"</formula>
    </cfRule>
  </conditionalFormatting>
  <conditionalFormatting sqref="D1316:H1316">
    <cfRule type="expression" dxfId="2546" priority="337">
      <formula>$B1316="Subetapa"</formula>
    </cfRule>
  </conditionalFormatting>
  <conditionalFormatting sqref="D1416:H1416">
    <cfRule type="expression" dxfId="2545" priority="614">
      <formula>$B1416="Subetapa"</formula>
    </cfRule>
  </conditionalFormatting>
  <conditionalFormatting sqref="D1691:H1695">
    <cfRule type="expression" dxfId="2544" priority="59">
      <formula>$B1691="Subetapa"</formula>
    </cfRule>
  </conditionalFormatting>
  <conditionalFormatting sqref="D1702:H1711">
    <cfRule type="expression" dxfId="2543" priority="101">
      <formula>$B1702="Subetapa"</formula>
    </cfRule>
  </conditionalFormatting>
  <conditionalFormatting sqref="D1714:H1714">
    <cfRule type="expression" dxfId="2542" priority="330">
      <formula>$B1714="Subetapa"</formula>
    </cfRule>
  </conditionalFormatting>
  <conditionalFormatting sqref="D1764:H1765">
    <cfRule type="expression" dxfId="2541" priority="45">
      <formula>$B1764="Subetapa"</formula>
    </cfRule>
  </conditionalFormatting>
  <conditionalFormatting sqref="D1973:H2038 D1953:H1961 E1962:H1962 D1963:H1966 E1967:H1967 D1968:H1971 E1972:H1972">
    <cfRule type="expression" dxfId="2540" priority="69">
      <formula>$B1953="Subetapa"</formula>
    </cfRule>
  </conditionalFormatting>
  <conditionalFormatting sqref="D2059:H2059">
    <cfRule type="expression" dxfId="2539" priority="360">
      <formula>$B2059="Serviço"</formula>
    </cfRule>
  </conditionalFormatting>
  <conditionalFormatting sqref="D2066:H2066">
    <cfRule type="expression" dxfId="2538" priority="345">
      <formula>$B2066="Serviço"</formula>
    </cfRule>
  </conditionalFormatting>
  <conditionalFormatting sqref="D2068:H2068">
    <cfRule type="expression" dxfId="2537" priority="343">
      <formula>$B2068="Serviço"</formula>
    </cfRule>
  </conditionalFormatting>
  <conditionalFormatting sqref="D2080:H2080">
    <cfRule type="expression" dxfId="2536" priority="711">
      <formula>$B2080="Subetapa"</formula>
    </cfRule>
  </conditionalFormatting>
  <conditionalFormatting sqref="D2081:H2095">
    <cfRule type="expression" dxfId="2535" priority="87">
      <formula>$B2081="Subetapa"</formula>
    </cfRule>
  </conditionalFormatting>
  <conditionalFormatting sqref="D2124:H2128 D2130:H2130 D2136:H2136">
    <cfRule type="expression" dxfId="2534" priority="450">
      <formula>$B2124="Subetapa"</formula>
    </cfRule>
  </conditionalFormatting>
  <conditionalFormatting sqref="D2133:H2133">
    <cfRule type="expression" dxfId="2533" priority="445">
      <formula>$B2133="Serviço"</formula>
    </cfRule>
  </conditionalFormatting>
  <conditionalFormatting sqref="D2139:H2139">
    <cfRule type="expression" dxfId="2532" priority="447">
      <formula>$B2139="Serviço"</formula>
    </cfRule>
  </conditionalFormatting>
  <conditionalFormatting sqref="D2226:H2226 B2226:B2245">
    <cfRule type="expression" dxfId="2531" priority="671">
      <formula>$B2226="Subetapa"</formula>
    </cfRule>
  </conditionalFormatting>
  <conditionalFormatting sqref="D2226:H2226">
    <cfRule type="expression" dxfId="2530" priority="670">
      <formula>$B2226="Serviço"</formula>
    </cfRule>
  </conditionalFormatting>
  <conditionalFormatting sqref="D2268:H2268">
    <cfRule type="expression" dxfId="2529" priority="1020">
      <formula>$B2268="Serviço"</formula>
    </cfRule>
  </conditionalFormatting>
  <conditionalFormatting sqref="D2274:H2274">
    <cfRule type="expression" dxfId="2528" priority="745">
      <formula>$B2274="Serviço"</formula>
    </cfRule>
    <cfRule type="expression" dxfId="2527" priority="746">
      <formula>$B2274="Subetapa"</formula>
    </cfRule>
  </conditionalFormatting>
  <conditionalFormatting sqref="D2278:H2280">
    <cfRule type="expression" dxfId="2526" priority="155">
      <formula>$B2278="Serviço"</formula>
    </cfRule>
    <cfRule type="expression" dxfId="2525" priority="156">
      <formula>$B2278="Subetapa"</formula>
    </cfRule>
  </conditionalFormatting>
  <conditionalFormatting sqref="D2291:H2293">
    <cfRule type="expression" dxfId="2524" priority="174">
      <formula>$B2291="Serviço"</formula>
    </cfRule>
    <cfRule type="expression" dxfId="2523" priority="175">
      <formula>$B2291="Subetapa"</formula>
    </cfRule>
  </conditionalFormatting>
  <conditionalFormatting sqref="D2299:H2307">
    <cfRule type="expression" dxfId="2522" priority="118">
      <formula>$B2299="Serviço"</formula>
    </cfRule>
    <cfRule type="expression" dxfId="2521" priority="119">
      <formula>$B2299="Subetapa"</formula>
    </cfRule>
  </conditionalFormatting>
  <conditionalFormatting sqref="D2310:H2310">
    <cfRule type="expression" dxfId="2520" priority="390">
      <formula>$B2310="Subetapa"</formula>
    </cfRule>
  </conditionalFormatting>
  <conditionalFormatting sqref="D2404:H2404">
    <cfRule type="expression" dxfId="2519" priority="1003">
      <formula>$B2404="Serviço"</formula>
    </cfRule>
    <cfRule type="expression" dxfId="2518" priority="1004">
      <formula>$B2404="Subetapa"</formula>
    </cfRule>
  </conditionalFormatting>
  <conditionalFormatting sqref="D2457:H2457">
    <cfRule type="expression" dxfId="2517" priority="967">
      <formula>$B2457="Serviço"</formula>
    </cfRule>
    <cfRule type="expression" dxfId="2516" priority="968">
      <formula>$B2457="Subetapa"</formula>
    </cfRule>
  </conditionalFormatting>
  <conditionalFormatting sqref="D2462:H2462">
    <cfRule type="expression" dxfId="2515" priority="965">
      <formula>$B2462="Serviço"</formula>
    </cfRule>
    <cfRule type="expression" dxfId="2514" priority="966">
      <formula>$B2462="Subetapa"</formula>
    </cfRule>
  </conditionalFormatting>
  <conditionalFormatting sqref="D2:I150">
    <cfRule type="expression" dxfId="2513" priority="133">
      <formula>$B2="Subetapa"</formula>
    </cfRule>
  </conditionalFormatting>
  <conditionalFormatting sqref="D209:I246">
    <cfRule type="expression" dxfId="2512" priority="108">
      <formula>$B209="Subetapa"</formula>
    </cfRule>
  </conditionalFormatting>
  <conditionalFormatting sqref="D705:I707">
    <cfRule type="expression" dxfId="2511" priority="817">
      <formula>$B705="Serviço"</formula>
    </cfRule>
    <cfRule type="expression" dxfId="2510" priority="818">
      <formula>$B705="Subetapa"</formula>
    </cfRule>
  </conditionalFormatting>
  <conditionalFormatting sqref="D721:I721">
    <cfRule type="expression" dxfId="2509" priority="922">
      <formula>$B721="Serviço"</formula>
    </cfRule>
  </conditionalFormatting>
  <conditionalFormatting sqref="D1691:I1699">
    <cfRule type="expression" dxfId="2508" priority="58">
      <formula>$B1691="Serviço"</formula>
    </cfRule>
  </conditionalFormatting>
  <conditionalFormatting sqref="D2080:I2095">
    <cfRule type="expression" dxfId="2507" priority="407">
      <formula>$B2080="Serviço"</formula>
    </cfRule>
  </conditionalFormatting>
  <conditionalFormatting sqref="D2159:I2160">
    <cfRule type="expression" dxfId="2506" priority="677">
      <formula>$B2159="Subetapa"</formula>
    </cfRule>
  </conditionalFormatting>
  <conditionalFormatting sqref="D2275:I2275">
    <cfRule type="expression" dxfId="2505" priority="888">
      <formula>$B2275="Serviço"</formula>
    </cfRule>
    <cfRule type="expression" dxfId="2504" priority="889">
      <formula>$B2275="Subetapa"</formula>
    </cfRule>
  </conditionalFormatting>
  <conditionalFormatting sqref="D2277:I2277">
    <cfRule type="expression" dxfId="2503" priority="886">
      <formula>$B2277="Serviço"</formula>
    </cfRule>
    <cfRule type="expression" dxfId="2502" priority="887">
      <formula>$B2277="Subetapa"</formula>
    </cfRule>
  </conditionalFormatting>
  <conditionalFormatting sqref="D2281:I2281">
    <cfRule type="expression" dxfId="2501" priority="862">
      <formula>$B2281="Serviço"</formula>
    </cfRule>
    <cfRule type="expression" dxfId="2500" priority="863">
      <formula>$B2281="Subetapa"</formula>
    </cfRule>
  </conditionalFormatting>
  <conditionalFormatting sqref="D2285:I2285">
    <cfRule type="expression" dxfId="2499" priority="811">
      <formula>$B2285="Serviço"</formula>
    </cfRule>
    <cfRule type="expression" dxfId="2498" priority="812">
      <formula>$B2285="Subetapa"</formula>
    </cfRule>
  </conditionalFormatting>
  <conditionalFormatting sqref="D2286:I2286">
    <cfRule type="expression" dxfId="2497" priority="902">
      <formula>$B2286="Serviço"</formula>
    </cfRule>
    <cfRule type="expression" dxfId="2496" priority="903">
      <formula>$B2286="Subetapa"</formula>
    </cfRule>
  </conditionalFormatting>
  <conditionalFormatting sqref="D2287:I2287">
    <cfRule type="expression" dxfId="2495" priority="884">
      <formula>$B2287="Serviço"</formula>
    </cfRule>
    <cfRule type="expression" dxfId="2494" priority="885">
      <formula>$B2287="Subetapa"</formula>
    </cfRule>
  </conditionalFormatting>
  <conditionalFormatting sqref="D2288:I2288">
    <cfRule type="expression" dxfId="2493" priority="898">
      <formula>$B2288="Serviço"</formula>
    </cfRule>
    <cfRule type="expression" dxfId="2492" priority="899">
      <formula>$B2288="Subetapa"</formula>
    </cfRule>
  </conditionalFormatting>
  <conditionalFormatting sqref="D2289:I2289">
    <cfRule type="expression" dxfId="2491" priority="882">
      <formula>$B2289="Serviço"</formula>
    </cfRule>
    <cfRule type="expression" dxfId="2490" priority="883">
      <formula>$B2289="Subetapa"</formula>
    </cfRule>
  </conditionalFormatting>
  <conditionalFormatting sqref="D2295:I2295">
    <cfRule type="expression" dxfId="2489" priority="872">
      <formula>$B2295="Serviço"</formula>
    </cfRule>
    <cfRule type="expression" dxfId="2488" priority="873">
      <formula>$B2295="Subetapa"</formula>
    </cfRule>
  </conditionalFormatting>
  <conditionalFormatting sqref="D2449:I2449 G2451:H2451">
    <cfRule type="expression" dxfId="2487" priority="737">
      <formula>$B2449="Serviço"</formula>
    </cfRule>
    <cfRule type="expression" dxfId="2486" priority="738">
      <formula>$B2449="Subetapa"</formula>
    </cfRule>
  </conditionalFormatting>
  <conditionalFormatting sqref="E1030:E1033 E1035:E1038">
    <cfRule type="expression" dxfId="2485" priority="492">
      <formula>$B1030="Serviço"</formula>
    </cfRule>
  </conditionalFormatting>
  <conditionalFormatting sqref="E1079:E1080">
    <cfRule type="expression" dxfId="2484" priority="605">
      <formula>$B1079="Serviço"</formula>
    </cfRule>
  </conditionalFormatting>
  <conditionalFormatting sqref="E1281:E1283 E1285:E1287">
    <cfRule type="expression" dxfId="2483" priority="618">
      <formula>$B1281="Serviço"</formula>
    </cfRule>
  </conditionalFormatting>
  <conditionalFormatting sqref="E1528:E1530">
    <cfRule type="expression" dxfId="2482" priority="520">
      <formula>$B1528="Subetapa"</formula>
    </cfRule>
  </conditionalFormatting>
  <conditionalFormatting sqref="E1647:E1650 G1647:G1650">
    <cfRule type="expression" dxfId="2481" priority="604">
      <formula>$B1647="Serviço"</formula>
    </cfRule>
  </conditionalFormatting>
  <conditionalFormatting sqref="E1701 G1701:H1701">
    <cfRule type="expression" dxfId="2480" priority="299">
      <formula>$B1701="Subetapa"</formula>
    </cfRule>
  </conditionalFormatting>
  <conditionalFormatting sqref="E1701">
    <cfRule type="expression" dxfId="2479" priority="298">
      <formula>$B1701="Serviço"</formula>
    </cfRule>
  </conditionalFormatting>
  <conditionalFormatting sqref="E1898">
    <cfRule type="expression" dxfId="2478" priority="13">
      <formula>$B1898="Subetapa"</formula>
    </cfRule>
  </conditionalFormatting>
  <conditionalFormatting sqref="E2098:E2119">
    <cfRule type="expression" dxfId="2477" priority="602">
      <formula>$B2098="Subetapa"</formula>
    </cfRule>
  </conditionalFormatting>
  <conditionalFormatting sqref="E2118:E2123">
    <cfRule type="expression" dxfId="2476" priority="351">
      <formula>$B2118="Serviço"</formula>
    </cfRule>
  </conditionalFormatting>
  <conditionalFormatting sqref="E2120:E2123">
    <cfRule type="expression" dxfId="2475" priority="352">
      <formula>$B2120="Subetapa"</formula>
    </cfRule>
  </conditionalFormatting>
  <conditionalFormatting sqref="E2185 E2194">
    <cfRule type="containsText" dxfId="2474" priority="1016" operator="containsText" text="INSERIR">
      <formula>NOT(ISERROR(SEARCH("INSERIR",E2185)))</formula>
    </cfRule>
  </conditionalFormatting>
  <conditionalFormatting sqref="E2298">
    <cfRule type="containsText" dxfId="2473" priority="1007" operator="containsText" text="INSERIR">
      <formula>NOT(ISERROR(SEARCH("INSERIR",E2298)))</formula>
    </cfRule>
  </conditionalFormatting>
  <conditionalFormatting sqref="E282:F282 E283:H283 E284:F284 E285:H285 D286:F286 D287:H289">
    <cfRule type="expression" dxfId="2472" priority="567">
      <formula>$B282="Subetapa"</formula>
    </cfRule>
  </conditionalFormatting>
  <conditionalFormatting sqref="E1135:F1135">
    <cfRule type="expression" dxfId="2471" priority="652">
      <formula>$B1135="Serviço"</formula>
    </cfRule>
  </conditionalFormatting>
  <conditionalFormatting sqref="E1862:F1862 E1863:H1863">
    <cfRule type="expression" dxfId="2470" priority="327">
      <formula>$B1862="Subetapa"</formula>
    </cfRule>
  </conditionalFormatting>
  <conditionalFormatting sqref="E2367:F2367 F2368:F2369 E2368:E2376">
    <cfRule type="expression" dxfId="2469" priority="497">
      <formula>$B2367="Serviço"</formula>
    </cfRule>
    <cfRule type="expression" dxfId="2468" priority="498">
      <formula>$B2367="Subetapa"</formula>
    </cfRule>
  </conditionalFormatting>
  <conditionalFormatting sqref="E282:G285 H282:H289 D286:G289 I277:I289">
    <cfRule type="expression" dxfId="2467" priority="566">
      <formula>$B277="Serviço"</formula>
    </cfRule>
  </conditionalFormatting>
  <conditionalFormatting sqref="E1862:G1863">
    <cfRule type="expression" dxfId="2466" priority="326">
      <formula>$B1862="Serviço"</formula>
    </cfRule>
  </conditionalFormatting>
  <conditionalFormatting sqref="E1864:G1865">
    <cfRule type="expression" dxfId="2465" priority="43">
      <formula>$B1864="Serviço"</formula>
    </cfRule>
  </conditionalFormatting>
  <conditionalFormatting sqref="E1866:G1868 D1869:G1893">
    <cfRule type="expression" dxfId="2464" priority="322">
      <formula>$B1866="Serviço"</formula>
    </cfRule>
  </conditionalFormatting>
  <conditionalFormatting sqref="E2310:G2310 H2310:H2312 D2311:G2312">
    <cfRule type="expression" dxfId="2463" priority="393">
      <formula>$B2310="Serviço"</formula>
    </cfRule>
  </conditionalFormatting>
  <conditionalFormatting sqref="E330:H335">
    <cfRule type="expression" dxfId="2462" priority="129">
      <formula>$B330="Serviço"</formula>
    </cfRule>
    <cfRule type="expression" dxfId="2461" priority="130">
      <formula>$B330="Subetapa"</formula>
    </cfRule>
  </conditionalFormatting>
  <conditionalFormatting sqref="E672:H673">
    <cfRule type="expression" dxfId="2460" priority="142">
      <formula>$B672="Serviço"</formula>
    </cfRule>
    <cfRule type="expression" dxfId="2459" priority="143">
      <formula>$B672="Subetapa"</formula>
    </cfRule>
  </conditionalFormatting>
  <conditionalFormatting sqref="E713:H720">
    <cfRule type="expression" dxfId="2458" priority="149">
      <formula>$B713="Serviço"</formula>
    </cfRule>
  </conditionalFormatting>
  <conditionalFormatting sqref="E722:H723 E725:H726">
    <cfRule type="expression" dxfId="2457" priority="176">
      <formula>$B722="Serviço"</formula>
    </cfRule>
    <cfRule type="expression" dxfId="2456" priority="177">
      <formula>$B722="Subetapa"</formula>
    </cfRule>
  </conditionalFormatting>
  <conditionalFormatting sqref="E724:H724">
    <cfRule type="expression" dxfId="2455" priority="554">
      <formula>$B724="Subetapa"</formula>
    </cfRule>
  </conditionalFormatting>
  <conditionalFormatting sqref="E1135:H1135">
    <cfRule type="expression" dxfId="2454" priority="653">
      <formula>$B1135="Subetapa"</formula>
    </cfRule>
  </conditionalFormatting>
  <conditionalFormatting sqref="E1761:H1763">
    <cfRule type="expression" dxfId="2453" priority="44">
      <formula>$B1761="Subetapa"</formula>
    </cfRule>
  </conditionalFormatting>
  <conditionalFormatting sqref="E1864:H1867">
    <cfRule type="expression" dxfId="2452" priority="40">
      <formula>$B1864="Subetapa"</formula>
    </cfRule>
  </conditionalFormatting>
  <conditionalFormatting sqref="E2238:H2245">
    <cfRule type="expression" dxfId="2451" priority="137">
      <formula>$B2238="Serviço"</formula>
    </cfRule>
    <cfRule type="expression" dxfId="2450" priority="138">
      <formula>$B2238="Subetapa"</formula>
    </cfRule>
  </conditionalFormatting>
  <conditionalFormatting sqref="E2450:H2450">
    <cfRule type="expression" dxfId="2449" priority="979">
      <formula>$B2450="Serviço"</formula>
    </cfRule>
    <cfRule type="expression" dxfId="2448" priority="980">
      <formula>$B2450="Subetapa"</formula>
    </cfRule>
  </conditionalFormatting>
  <conditionalFormatting sqref="E2452:H2456">
    <cfRule type="expression" dxfId="2447" priority="170">
      <formula>$B2452="Serviço"</formula>
    </cfRule>
    <cfRule type="expression" dxfId="2446" priority="171">
      <formula>$B2452="Subetapa"</formula>
    </cfRule>
  </conditionalFormatting>
  <conditionalFormatting sqref="E2458:H2461">
    <cfRule type="expression" dxfId="2445" priority="168">
      <formula>$B2458="Serviço"</formula>
    </cfRule>
    <cfRule type="expression" dxfId="2444" priority="169">
      <formula>$B2458="Subetapa"</formula>
    </cfRule>
  </conditionalFormatting>
  <conditionalFormatting sqref="E2463:H2463">
    <cfRule type="expression" dxfId="2443" priority="963">
      <formula>$B2463="Serviço"</formula>
    </cfRule>
    <cfRule type="expression" dxfId="2442" priority="964">
      <formula>$B2463="Subetapa"</formula>
    </cfRule>
  </conditionalFormatting>
  <conditionalFormatting sqref="E721:I721">
    <cfRule type="expression" dxfId="2441" priority="923">
      <formula>$B721="Subetapa"</formula>
    </cfRule>
  </conditionalFormatting>
  <conditionalFormatting sqref="F609:F614">
    <cfRule type="expression" dxfId="2440" priority="636">
      <formula>$B609="Serviço"</formula>
    </cfRule>
    <cfRule type="expression" dxfId="2439" priority="637">
      <formula>$B609="Subetapa"</formula>
    </cfRule>
  </conditionalFormatting>
  <conditionalFormatting sqref="F928">
    <cfRule type="expression" dxfId="2438" priority="723">
      <formula>$B928="Serviço"</formula>
    </cfRule>
    <cfRule type="expression" dxfId="2437" priority="724">
      <formula>$B928="Subetapa"</formula>
    </cfRule>
  </conditionalFormatting>
  <conditionalFormatting sqref="F931">
    <cfRule type="expression" dxfId="2436" priority="1049">
      <formula>$B931="Serviço"</formula>
    </cfRule>
    <cfRule type="expression" dxfId="2435" priority="1050">
      <formula>$B931="Subetapa"</formula>
    </cfRule>
  </conditionalFormatting>
  <conditionalFormatting sqref="F934">
    <cfRule type="expression" dxfId="2434" priority="1059">
      <formula>$B934="Serviço"</formula>
    </cfRule>
    <cfRule type="expression" dxfId="2433" priority="1060">
      <formula>$B934="Subetapa"</formula>
    </cfRule>
  </conditionalFormatting>
  <conditionalFormatting sqref="F938">
    <cfRule type="expression" dxfId="2432" priority="303">
      <formula>$B938="Serviço"</formula>
    </cfRule>
    <cfRule type="expression" dxfId="2431" priority="304">
      <formula>$B938="Subetapa"</formula>
    </cfRule>
  </conditionalFormatting>
  <conditionalFormatting sqref="F941">
    <cfRule type="expression" dxfId="2430" priority="1043">
      <formula>$B941="Serviço"</formula>
    </cfRule>
    <cfRule type="expression" dxfId="2429" priority="1044">
      <formula>$B941="Subetapa"</formula>
    </cfRule>
  </conditionalFormatting>
  <conditionalFormatting sqref="F1020:F1023 F1351:F1353 F1355:F1357 F1359:F1361 F1363:F1365">
    <cfRule type="expression" dxfId="2428" priority="551">
      <formula>$A1020="Serviço"</formula>
    </cfRule>
    <cfRule type="expression" dxfId="2427" priority="552">
      <formula>$A1020="Subetapa"</formula>
    </cfRule>
  </conditionalFormatting>
  <conditionalFormatting sqref="F1025:F1028">
    <cfRule type="expression" dxfId="2426" priority="547">
      <formula>$A1025="Serviço"</formula>
    </cfRule>
    <cfRule type="expression" dxfId="2425" priority="548">
      <formula>$A1025="Subetapa"</formula>
    </cfRule>
  </conditionalFormatting>
  <conditionalFormatting sqref="F1040:F1043">
    <cfRule type="expression" dxfId="2424" priority="486">
      <formula>$A1040="Serviço"</formula>
    </cfRule>
    <cfRule type="expression" dxfId="2423" priority="487">
      <formula>$A1040="Subetapa"</formula>
    </cfRule>
  </conditionalFormatting>
  <conditionalFormatting sqref="F1045:F1048">
    <cfRule type="expression" dxfId="2422" priority="482">
      <formula>$A1045="Serviço"</formula>
    </cfRule>
    <cfRule type="expression" dxfId="2421" priority="483">
      <formula>$A1045="Subetapa"</formula>
    </cfRule>
  </conditionalFormatting>
  <conditionalFormatting sqref="F1050:F1053">
    <cfRule type="expression" dxfId="2420" priority="549">
      <formula>$A1050="Serviço"</formula>
    </cfRule>
    <cfRule type="expression" dxfId="2419" priority="550">
      <formula>$A1050="Subetapa"</formula>
    </cfRule>
  </conditionalFormatting>
  <conditionalFormatting sqref="F1055:F1058">
    <cfRule type="expression" dxfId="2418" priority="311">
      <formula>$A1055="Serviço"</formula>
    </cfRule>
    <cfRule type="expression" dxfId="2417" priority="312">
      <formula>$A1055="Subetapa"</formula>
    </cfRule>
  </conditionalFormatting>
  <conditionalFormatting sqref="F1060:F1063">
    <cfRule type="expression" dxfId="2416" priority="545">
      <formula>$A1060="Serviço"</formula>
    </cfRule>
    <cfRule type="expression" dxfId="2415" priority="546">
      <formula>$A1060="Subetapa"</formula>
    </cfRule>
  </conditionalFormatting>
  <conditionalFormatting sqref="F1065:F1068">
    <cfRule type="expression" dxfId="2414" priority="543">
      <formula>$A1065="Serviço"</formula>
    </cfRule>
    <cfRule type="expression" dxfId="2413" priority="544">
      <formula>$A1065="Subetapa"</formula>
    </cfRule>
  </conditionalFormatting>
  <conditionalFormatting sqref="F1367:F1370">
    <cfRule type="expression" dxfId="2412" priority="333">
      <formula>$A1367="Serviço"</formula>
    </cfRule>
    <cfRule type="expression" dxfId="2411" priority="334">
      <formula>$A1367="Subetapa"</formula>
    </cfRule>
  </conditionalFormatting>
  <conditionalFormatting sqref="F1372:F1375 F1377:F1380">
    <cfRule type="expression" dxfId="2410" priority="403">
      <formula>$A1372="Serviço"</formula>
    </cfRule>
    <cfRule type="expression" dxfId="2409" priority="404">
      <formula>$A1372="Subetapa"</formula>
    </cfRule>
  </conditionalFormatting>
  <conditionalFormatting sqref="F1382:F1385 F1387:F1390">
    <cfRule type="expression" dxfId="2408" priority="398">
      <formula>$A1382="Serviço"</formula>
    </cfRule>
    <cfRule type="expression" dxfId="2407" priority="399">
      <formula>$A1382="Subetapa"</formula>
    </cfRule>
  </conditionalFormatting>
  <conditionalFormatting sqref="F1392:F1395">
    <cfRule type="expression" dxfId="2406" priority="533">
      <formula>$A1392="Serviço"</formula>
    </cfRule>
    <cfRule type="expression" dxfId="2405" priority="534">
      <formula>$A1392="Subetapa"</formula>
    </cfRule>
  </conditionalFormatting>
  <conditionalFormatting sqref="F1397:F1400">
    <cfRule type="expression" dxfId="2404" priority="539">
      <formula>$A1397="Serviço"</formula>
    </cfRule>
    <cfRule type="expression" dxfId="2403" priority="540">
      <formula>$A1397="Subetapa"</formula>
    </cfRule>
  </conditionalFormatting>
  <conditionalFormatting sqref="F1402:F1405">
    <cfRule type="expression" dxfId="2402" priority="541">
      <formula>$A1402="Serviço"</formula>
    </cfRule>
    <cfRule type="expression" dxfId="2401" priority="542">
      <formula>$A1402="Subetapa"</formula>
    </cfRule>
  </conditionalFormatting>
  <conditionalFormatting sqref="F1412:F1415">
    <cfRule type="expression" dxfId="2400" priority="525">
      <formula>$A1412="Serviço"</formula>
    </cfRule>
    <cfRule type="expression" dxfId="2399" priority="526">
      <formula>$A1412="Subetapa"</formula>
    </cfRule>
  </conditionalFormatting>
  <conditionalFormatting sqref="F1417:F1420">
    <cfRule type="expression" dxfId="2398" priority="527">
      <formula>$A1417="Serviço"</formula>
    </cfRule>
    <cfRule type="expression" dxfId="2397" priority="528">
      <formula>$A1417="Subetapa"</formula>
    </cfRule>
  </conditionalFormatting>
  <conditionalFormatting sqref="F1422:F1425">
    <cfRule type="expression" dxfId="2396" priority="529">
      <formula>$A1422="Serviço"</formula>
    </cfRule>
    <cfRule type="expression" dxfId="2395" priority="530">
      <formula>$A1422="Subetapa"</formula>
    </cfRule>
  </conditionalFormatting>
  <conditionalFormatting sqref="F1432:F1435">
    <cfRule type="expression" dxfId="2394" priority="521">
      <formula>$A1432="Serviço"</formula>
    </cfRule>
    <cfRule type="expression" dxfId="2393" priority="522">
      <formula>$A1432="Subetapa"</formula>
    </cfRule>
  </conditionalFormatting>
  <conditionalFormatting sqref="F1437:F1440">
    <cfRule type="expression" dxfId="2392" priority="523">
      <formula>$A1437="Serviço"</formula>
    </cfRule>
    <cfRule type="expression" dxfId="2391" priority="524">
      <formula>$A1437="Subetapa"</formula>
    </cfRule>
  </conditionalFormatting>
  <conditionalFormatting sqref="F1442:F1445">
    <cfRule type="expression" dxfId="2390" priority="531">
      <formula>$A1442="Serviço"</formula>
    </cfRule>
    <cfRule type="expression" dxfId="2389" priority="532">
      <formula>$A1442="Subetapa"</formula>
    </cfRule>
  </conditionalFormatting>
  <conditionalFormatting sqref="F1447:F1450 F1452:F1455">
    <cfRule type="expression" dxfId="2388" priority="478">
      <formula>$A1447="Serviço"</formula>
    </cfRule>
    <cfRule type="expression" dxfId="2387" priority="479">
      <formula>$A1447="Subetapa"</formula>
    </cfRule>
  </conditionalFormatting>
  <conditionalFormatting sqref="F1457:F1460">
    <cfRule type="expression" dxfId="2386" priority="462">
      <formula>$A1457="Serviço"</formula>
    </cfRule>
    <cfRule type="expression" dxfId="2385" priority="463">
      <formula>$A1457="Subetapa"</formula>
    </cfRule>
  </conditionalFormatting>
  <conditionalFormatting sqref="F1462:F1465">
    <cfRule type="expression" dxfId="2384" priority="466">
      <formula>$A1462="Serviço"</formula>
    </cfRule>
    <cfRule type="expression" dxfId="2383" priority="467">
      <formula>$A1462="Subetapa"</formula>
    </cfRule>
  </conditionalFormatting>
  <conditionalFormatting sqref="F1467:F1470">
    <cfRule type="expression" dxfId="2382" priority="452">
      <formula>$A1467="Serviço"</formula>
    </cfRule>
    <cfRule type="expression" dxfId="2381" priority="453">
      <formula>$A1467="Subetapa"</formula>
    </cfRule>
  </conditionalFormatting>
  <conditionalFormatting sqref="F1472:F1475">
    <cfRule type="expression" dxfId="2380" priority="458">
      <formula>$A1472="Serviço"</formula>
    </cfRule>
    <cfRule type="expression" dxfId="2379" priority="459">
      <formula>$A1472="Subetapa"</formula>
    </cfRule>
  </conditionalFormatting>
  <conditionalFormatting sqref="F1477:F1480">
    <cfRule type="expression" dxfId="2378" priority="474">
      <formula>$A1477="Serviço"</formula>
    </cfRule>
    <cfRule type="expression" dxfId="2377" priority="475">
      <formula>$A1477="Subetapa"</formula>
    </cfRule>
  </conditionalFormatting>
  <conditionalFormatting sqref="F1482:F1485 F1487:F1490">
    <cfRule type="expression" dxfId="2376" priority="470">
      <formula>$A1482="Serviço"</formula>
    </cfRule>
    <cfRule type="expression" dxfId="2375" priority="471">
      <formula>$A1482="Subetapa"</formula>
    </cfRule>
  </conditionalFormatting>
  <conditionalFormatting sqref="F1528:F1530">
    <cfRule type="expression" dxfId="2374" priority="515">
      <formula>$A1528="Serviço"</formula>
    </cfRule>
    <cfRule type="expression" dxfId="2373" priority="516">
      <formula>$A1528="Subetapa"</formula>
    </cfRule>
  </conditionalFormatting>
  <conditionalFormatting sqref="F1687">
    <cfRule type="expression" dxfId="2372" priority="930">
      <formula>$B1687="Serviço"</formula>
    </cfRule>
    <cfRule type="expression" dxfId="2371" priority="931">
      <formula>$B1687="Subetapa"</formula>
    </cfRule>
  </conditionalFormatting>
  <conditionalFormatting sqref="F1701">
    <cfRule type="expression" dxfId="2370" priority="290">
      <formula>$A1701="Serviço"</formula>
    </cfRule>
    <cfRule type="expression" dxfId="2369" priority="291">
      <formula>$A1701="Subetapa"</formula>
    </cfRule>
    <cfRule type="expression" dxfId="2368" priority="292">
      <formula>$A1701="Serviço"</formula>
    </cfRule>
    <cfRule type="expression" dxfId="2367" priority="293">
      <formula>$A1701="Subetapa"</formula>
    </cfRule>
  </conditionalFormatting>
  <conditionalFormatting sqref="F1712">
    <cfRule type="expression" dxfId="2366" priority="501">
      <formula>$A1712="Serviço"</formula>
    </cfRule>
    <cfRule type="expression" dxfId="2365" priority="502">
      <formula>$A1712="Subetapa"</formula>
    </cfRule>
    <cfRule type="expression" dxfId="2364" priority="503">
      <formula>$A1712="Serviço"</formula>
    </cfRule>
    <cfRule type="expression" dxfId="2363" priority="504">
      <formula>$A1712="Subetapa"</formula>
    </cfRule>
  </conditionalFormatting>
  <conditionalFormatting sqref="F1713">
    <cfRule type="expression" dxfId="2362" priority="288">
      <formula>$B1713="Serviço"</formula>
    </cfRule>
    <cfRule type="expression" dxfId="2361" priority="289">
      <formula>$B1713="Subetapa"</formula>
    </cfRule>
  </conditionalFormatting>
  <conditionalFormatting sqref="F1715 D1392:D1395 F1949 F1951:F1952 F2060 F2067 F2069">
    <cfRule type="expression" dxfId="2360" priority="537">
      <formula>$A1392="Serviço"</formula>
    </cfRule>
  </conditionalFormatting>
  <conditionalFormatting sqref="F1715">
    <cfRule type="expression" dxfId="2359" priority="328">
      <formula>$A1715="Serviço"</formula>
    </cfRule>
    <cfRule type="expression" dxfId="2358" priority="329">
      <formula>$A1715="Subetapa"</formula>
    </cfRule>
  </conditionalFormatting>
  <conditionalFormatting sqref="F1717:F1718">
    <cfRule type="expression" dxfId="2357" priority="511">
      <formula>$A1717="Serviço"</formula>
    </cfRule>
    <cfRule type="expression" dxfId="2356" priority="512">
      <formula>$A1717="Subetapa"</formula>
    </cfRule>
  </conditionalFormatting>
  <conditionalFormatting sqref="F1718">
    <cfRule type="expression" dxfId="2355" priority="509">
      <formula>$A1718="Serviço"</formula>
    </cfRule>
    <cfRule type="expression" dxfId="2354" priority="510">
      <formula>$A1718="Subetapa"</formula>
    </cfRule>
  </conditionalFormatting>
  <conditionalFormatting sqref="F1720">
    <cfRule type="expression" dxfId="2353" priority="409">
      <formula>$A1720="Serviço"</formula>
    </cfRule>
    <cfRule type="expression" dxfId="2352" priority="410">
      <formula>$A1720="Subetapa"</formula>
    </cfRule>
  </conditionalFormatting>
  <conditionalFormatting sqref="F2040:F2043">
    <cfRule type="expression" dxfId="2351" priority="371">
      <formula>$A2040="Serviço"</formula>
    </cfRule>
    <cfRule type="expression" dxfId="2350" priority="372">
      <formula>$A2040="Subetapa"</formula>
    </cfRule>
  </conditionalFormatting>
  <conditionalFormatting sqref="F2045:F2048">
    <cfRule type="expression" dxfId="2349" priority="499">
      <formula>$A2045="Serviço"</formula>
    </cfRule>
    <cfRule type="expression" dxfId="2348" priority="500">
      <formula>$A2045="Subetapa"</formula>
    </cfRule>
  </conditionalFormatting>
  <conditionalFormatting sqref="F2050:F2053">
    <cfRule type="expression" dxfId="2347" priority="367">
      <formula>$A2050="Serviço"</formula>
    </cfRule>
    <cfRule type="expression" dxfId="2346" priority="368">
      <formula>$A2050="Subetapa"</formula>
    </cfRule>
  </conditionalFormatting>
  <conditionalFormatting sqref="F2055:F2058">
    <cfRule type="expression" dxfId="2345" priority="362">
      <formula>$A2055="Serviço"</formula>
    </cfRule>
    <cfRule type="expression" dxfId="2344" priority="363">
      <formula>$A2055="Subetapa"</formula>
    </cfRule>
  </conditionalFormatting>
  <conditionalFormatting sqref="F2062:F2065">
    <cfRule type="expression" dxfId="2343" priority="353">
      <formula>$A2062="Serviço"</formula>
    </cfRule>
    <cfRule type="expression" dxfId="2342" priority="354">
      <formula>$A2062="Subetapa"</formula>
    </cfRule>
  </conditionalFormatting>
  <conditionalFormatting sqref="F2161:F2184 I2161:I2194">
    <cfRule type="expression" dxfId="2341" priority="810">
      <formula>$B2161="Subetapa"</formula>
    </cfRule>
  </conditionalFormatting>
  <conditionalFormatting sqref="F2380:F2387">
    <cfRule type="expression" dxfId="2340" priority="985">
      <formula>$B2380="Serviço"</formula>
    </cfRule>
    <cfRule type="expression" dxfId="2339" priority="986">
      <formula>$B2380="Subetapa"</formula>
    </cfRule>
  </conditionalFormatting>
  <conditionalFormatting sqref="F2383:F2384">
    <cfRule type="expression" dxfId="2338" priority="983">
      <formula>$B2383="Serviço"</formula>
    </cfRule>
    <cfRule type="expression" dxfId="2337" priority="984">
      <formula>$B2383="Subetapa"</formula>
    </cfRule>
  </conditionalFormatting>
  <conditionalFormatting sqref="F2396:F2403">
    <cfRule type="expression" dxfId="2336" priority="999">
      <formula>$B2396="Serviço"</formula>
    </cfRule>
    <cfRule type="expression" dxfId="2335" priority="1000">
      <formula>$B2396="Subetapa"</formula>
    </cfRule>
  </conditionalFormatting>
  <conditionalFormatting sqref="F2399:F2400">
    <cfRule type="expression" dxfId="2334" priority="997">
      <formula>$B2399="Serviço"</formula>
    </cfRule>
    <cfRule type="expression" dxfId="2333" priority="998">
      <formula>$B2399="Subetapa"</formula>
    </cfRule>
  </conditionalFormatting>
  <conditionalFormatting sqref="F2407:F2408">
    <cfRule type="expression" dxfId="2332" priority="993">
      <formula>$B2407="Serviço"</formula>
    </cfRule>
    <cfRule type="expression" dxfId="2331" priority="994">
      <formula>$B2407="Subetapa"</formula>
    </cfRule>
  </conditionalFormatting>
  <conditionalFormatting sqref="F603:G607">
    <cfRule type="expression" dxfId="2330" priority="628">
      <formula>$B603="Serviço"</formula>
    </cfRule>
    <cfRule type="expression" dxfId="2329" priority="629">
      <formula>$B603="Subetapa"</formula>
    </cfRule>
  </conditionalFormatting>
  <conditionalFormatting sqref="F610:G616">
    <cfRule type="expression" dxfId="2328" priority="579">
      <formula>$B610="Serviço"</formula>
    </cfRule>
    <cfRule type="expression" dxfId="2327" priority="580">
      <formula>$B610="Subetapa"</formula>
    </cfRule>
  </conditionalFormatting>
  <conditionalFormatting sqref="F1278:G1279">
    <cfRule type="expression" dxfId="2326" priority="413">
      <formula>$B1278="Subetapa"</formula>
    </cfRule>
  </conditionalFormatting>
  <conditionalFormatting sqref="F1282:G1283">
    <cfRule type="expression" dxfId="2325" priority="415">
      <formula>$B1282="Subetapa"</formula>
    </cfRule>
  </conditionalFormatting>
  <conditionalFormatting sqref="F1286:G1287">
    <cfRule type="expression" dxfId="2324" priority="417">
      <formula>$B1286="Subetapa"</formula>
    </cfRule>
  </conditionalFormatting>
  <conditionalFormatting sqref="F1685:G1688">
    <cfRule type="expression" dxfId="2323" priority="932">
      <formula>$B1685="Serviço"</formula>
    </cfRule>
    <cfRule type="expression" dxfId="2322" priority="933">
      <formula>$B1685="Subetapa"</formula>
    </cfRule>
  </conditionalFormatting>
  <conditionalFormatting sqref="F2370:G2376 G2367:G2369">
    <cfRule type="expression" dxfId="2321" priority="496">
      <formula>$B2367="Subetapa"</formula>
    </cfRule>
  </conditionalFormatting>
  <conditionalFormatting sqref="F2370:G2376">
    <cfRule type="expression" dxfId="2320" priority="495">
      <formula>$B2370="Serviço"</formula>
    </cfRule>
  </conditionalFormatting>
  <conditionalFormatting sqref="F2388:G2395">
    <cfRule type="expression" dxfId="2319" priority="847">
      <formula>$B2388="Subetapa"</formula>
    </cfRule>
  </conditionalFormatting>
  <conditionalFormatting sqref="F2405:G2411">
    <cfRule type="expression" dxfId="2318" priority="995">
      <formula>$B2405="Serviço"</formula>
    </cfRule>
    <cfRule type="expression" dxfId="2317" priority="996">
      <formula>$B2405="Subetapa"</formula>
    </cfRule>
  </conditionalFormatting>
  <conditionalFormatting sqref="F2412:G2413 D2412:D2413 D2424">
    <cfRule type="expression" dxfId="2316" priority="987">
      <formula>$B2412="Serviço"</formula>
    </cfRule>
  </conditionalFormatting>
  <conditionalFormatting sqref="F687:H692">
    <cfRule type="expression" dxfId="2315" priority="162">
      <formula>$B687="Serviço"</formula>
    </cfRule>
    <cfRule type="expression" dxfId="2314" priority="163">
      <formula>$B687="Subetapa"</formula>
    </cfRule>
  </conditionalFormatting>
  <conditionalFormatting sqref="F694:H704">
    <cfRule type="expression" dxfId="2313" priority="157">
      <formula>$B694="Serviço"</formula>
    </cfRule>
    <cfRule type="expression" dxfId="2312" priority="158">
      <formula>$B694="Subetapa"</formula>
    </cfRule>
  </conditionalFormatting>
  <conditionalFormatting sqref="F2161:H2161">
    <cfRule type="expression" dxfId="2311" priority="1014" stopIfTrue="1">
      <formula>$B2161="complemento do insumo"</formula>
    </cfRule>
    <cfRule type="expression" dxfId="2310" priority="1015" stopIfTrue="1">
      <formula>$B2161="insumo"</formula>
    </cfRule>
  </conditionalFormatting>
  <conditionalFormatting sqref="F2169:H2169">
    <cfRule type="expression" dxfId="2309" priority="941" stopIfTrue="1">
      <formula>$B2169="complemento do insumo"</formula>
    </cfRule>
    <cfRule type="expression" dxfId="2308" priority="942" stopIfTrue="1">
      <formula>$B2169="insumo"</formula>
    </cfRule>
  </conditionalFormatting>
  <conditionalFormatting sqref="F2185:H2185 F2194:H2194 F2266:I2266 F2268:I2268 F2270:I2270 F2276:I2276">
    <cfRule type="expression" dxfId="2307" priority="1019" stopIfTrue="1">
      <formula>$B2185="insumo"</formula>
    </cfRule>
  </conditionalFormatting>
  <conditionalFormatting sqref="F2203:I2203">
    <cfRule type="expression" dxfId="2306" priority="916" stopIfTrue="1">
      <formula>$B2203="complemento do insumo"</formula>
    </cfRule>
    <cfRule type="expression" dxfId="2305" priority="917" stopIfTrue="1">
      <formula>$B2203="insumo"</formula>
    </cfRule>
  </conditionalFormatting>
  <conditionalFormatting sqref="F2216:I2216">
    <cfRule type="expression" dxfId="2304" priority="858" stopIfTrue="1">
      <formula>$B2216="complemento do insumo"</formula>
    </cfRule>
    <cfRule type="expression" dxfId="2303" priority="859" stopIfTrue="1">
      <formula>$B2216="insumo"</formula>
    </cfRule>
  </conditionalFormatting>
  <conditionalFormatting sqref="F2226:I2226">
    <cfRule type="expression" dxfId="2302" priority="666" stopIfTrue="1">
      <formula>$B2226="complemento do insumo"</formula>
    </cfRule>
    <cfRule type="expression" dxfId="2301" priority="667" stopIfTrue="1">
      <formula>$B2226="insumo"</formula>
    </cfRule>
  </conditionalFormatting>
  <conditionalFormatting sqref="F2236:I2236">
    <cfRule type="expression" dxfId="2300" priority="301" stopIfTrue="1">
      <formula>$B2236="complemento do insumo"</formula>
    </cfRule>
    <cfRule type="expression" dxfId="2299" priority="302" stopIfTrue="1">
      <formula>$B2236="insumo"</formula>
    </cfRule>
  </conditionalFormatting>
  <conditionalFormatting sqref="F2246:I2246">
    <cfRule type="expression" dxfId="2298" priority="852" stopIfTrue="1">
      <formula>$B2246="complemento do insumo"</formula>
    </cfRule>
    <cfRule type="expression" dxfId="2297" priority="853" stopIfTrue="1">
      <formula>$B2246="insumo"</formula>
    </cfRule>
  </conditionalFormatting>
  <conditionalFormatting sqref="F2256:I2256">
    <cfRule type="expression" dxfId="2296" priority="848" stopIfTrue="1">
      <formula>$B2256="complemento do insumo"</formula>
    </cfRule>
    <cfRule type="expression" dxfId="2295" priority="849" stopIfTrue="1">
      <formula>$B2256="insumo"</formula>
    </cfRule>
  </conditionalFormatting>
  <conditionalFormatting sqref="F2268:I2268 F2185:H2185 F2194:H2194 F2266:I2266 F2270:I2270 F2276:I2276">
    <cfRule type="expression" dxfId="2294" priority="1018" stopIfTrue="1">
      <formula>$B2185="complemento do insumo"</formula>
    </cfRule>
  </conditionalFormatting>
  <conditionalFormatting sqref="F2272:I2272">
    <cfRule type="expression" dxfId="2293" priority="868" stopIfTrue="1">
      <formula>$B2272="complemento do insumo"</formula>
    </cfRule>
    <cfRule type="expression" dxfId="2292" priority="869" stopIfTrue="1">
      <formula>$B2272="insumo"</formula>
    </cfRule>
  </conditionalFormatting>
  <conditionalFormatting sqref="F2272:I2273">
    <cfRule type="expression" dxfId="2291" priority="870">
      <formula>$B2272="Serviço"</formula>
    </cfRule>
    <cfRule type="expression" dxfId="2290" priority="871">
      <formula>$B2272="Subetapa"</formula>
    </cfRule>
  </conditionalFormatting>
  <conditionalFormatting sqref="F2274:I2274">
    <cfRule type="expression" dxfId="2289" priority="912" stopIfTrue="1">
      <formula>$B2274="complemento do insumo"</formula>
    </cfRule>
    <cfRule type="expression" dxfId="2288" priority="913" stopIfTrue="1">
      <formula>$B2274="insumo"</formula>
    </cfRule>
  </conditionalFormatting>
  <conditionalFormatting sqref="F2278:I2278">
    <cfRule type="expression" dxfId="2287" priority="908" stopIfTrue="1">
      <formula>$B2278="complemento do insumo"</formula>
    </cfRule>
    <cfRule type="expression" dxfId="2286" priority="909" stopIfTrue="1">
      <formula>$B2278="insumo"</formula>
    </cfRule>
  </conditionalFormatting>
  <conditionalFormatting sqref="F2280:I2280">
    <cfRule type="expression" dxfId="2285" priority="864" stopIfTrue="1">
      <formula>$B2280="complemento do insumo"</formula>
    </cfRule>
    <cfRule type="expression" dxfId="2284" priority="865" stopIfTrue="1">
      <formula>$B2280="insumo"</formula>
    </cfRule>
  </conditionalFormatting>
  <conditionalFormatting sqref="F2282:I2282">
    <cfRule type="expression" dxfId="2283" priority="904" stopIfTrue="1">
      <formula>$B2282="complemento do insumo"</formula>
    </cfRule>
    <cfRule type="expression" dxfId="2282" priority="905" stopIfTrue="1">
      <formula>$B2282="insumo"</formula>
    </cfRule>
  </conditionalFormatting>
  <conditionalFormatting sqref="F2284:I2284">
    <cfRule type="expression" dxfId="2281" priority="813" stopIfTrue="1">
      <formula>$B2284="complemento do insumo"</formula>
    </cfRule>
    <cfRule type="expression" dxfId="2280" priority="814" stopIfTrue="1">
      <formula>$B2284="insumo"</formula>
    </cfRule>
  </conditionalFormatting>
  <conditionalFormatting sqref="F2286:I2286">
    <cfRule type="expression" dxfId="2279" priority="900" stopIfTrue="1">
      <formula>$B2286="complemento do insumo"</formula>
    </cfRule>
    <cfRule type="expression" dxfId="2278" priority="901" stopIfTrue="1">
      <formula>$B2286="insumo"</formula>
    </cfRule>
  </conditionalFormatting>
  <conditionalFormatting sqref="F2288:I2288">
    <cfRule type="expression" dxfId="2277" priority="896" stopIfTrue="1">
      <formula>$B2288="complemento do insumo"</formula>
    </cfRule>
    <cfRule type="expression" dxfId="2276" priority="897" stopIfTrue="1">
      <formula>$B2288="insumo"</formula>
    </cfRule>
  </conditionalFormatting>
  <conditionalFormatting sqref="F2290:I2290">
    <cfRule type="expression" dxfId="2275" priority="892" stopIfTrue="1">
      <formula>$B2290="complemento do insumo"</formula>
    </cfRule>
    <cfRule type="expression" dxfId="2274" priority="893" stopIfTrue="1">
      <formula>$B2290="insumo"</formula>
    </cfRule>
  </conditionalFormatting>
  <conditionalFormatting sqref="F2294:I2294">
    <cfRule type="expression" dxfId="2273" priority="874" stopIfTrue="1">
      <formula>$B2294="complemento do insumo"</formula>
    </cfRule>
    <cfRule type="expression" dxfId="2272" priority="875" stopIfTrue="1">
      <formula>$B2294="insumo"</formula>
    </cfRule>
  </conditionalFormatting>
  <conditionalFormatting sqref="F2296:I2296">
    <cfRule type="expression" dxfId="2271" priority="878" stopIfTrue="1">
      <formula>$B2296="complemento do insumo"</formula>
    </cfRule>
    <cfRule type="expression" dxfId="2270" priority="879" stopIfTrue="1">
      <formula>$B2296="insumo"</formula>
    </cfRule>
  </conditionalFormatting>
  <conditionalFormatting sqref="F2298:I2298">
    <cfRule type="expression" dxfId="2269" priority="860" stopIfTrue="1">
      <formula>$B2298="complemento do insumo"</formula>
    </cfRule>
    <cfRule type="expression" dxfId="2268" priority="861" stopIfTrue="1">
      <formula>$B2298="insumo"</formula>
    </cfRule>
  </conditionalFormatting>
  <conditionalFormatting sqref="F2424:I2424">
    <cfRule type="expression" dxfId="2267" priority="842">
      <formula>$B2424="Serviço"</formula>
    </cfRule>
    <cfRule type="expression" dxfId="2266" priority="843">
      <formula>$B2424="Subetapa"</formula>
    </cfRule>
  </conditionalFormatting>
  <conditionalFormatting sqref="G311:G314 H311:H328 B315:G328 B336:H336">
    <cfRule type="expression" dxfId="2265" priority="735">
      <formula>$B311="Serviço"</formula>
    </cfRule>
  </conditionalFormatting>
  <conditionalFormatting sqref="G314 H314:I328 B315:G328 B336:H336">
    <cfRule type="expression" dxfId="2264" priority="736">
      <formula>$B314="Subetapa"</formula>
    </cfRule>
  </conditionalFormatting>
  <conditionalFormatting sqref="G633:G670">
    <cfRule type="expression" dxfId="2263" priority="684">
      <formula>$B633="Serviço"</formula>
    </cfRule>
    <cfRule type="expression" dxfId="2262" priority="685">
      <formula>$B633="Subetapa"</formula>
    </cfRule>
  </conditionalFormatting>
  <conditionalFormatting sqref="G1019:G1029">
    <cfRule type="expression" dxfId="2261" priority="491">
      <formula>$B1019="Serviço"</formula>
    </cfRule>
  </conditionalFormatting>
  <conditionalFormatting sqref="G1417:G1425">
    <cfRule type="expression" dxfId="2260" priority="573">
      <formula>$B1417="Serviço"</formula>
    </cfRule>
    <cfRule type="expression" dxfId="2259" priority="574">
      <formula>$B1417="Subetapa"</formula>
    </cfRule>
  </conditionalFormatting>
  <conditionalFormatting sqref="G2040:G2048">
    <cfRule type="expression" dxfId="2258" priority="376">
      <formula>$B2040="Subetapa"</formula>
    </cfRule>
  </conditionalFormatting>
  <conditionalFormatting sqref="G2049:G2060">
    <cfRule type="expression" dxfId="2257" priority="364">
      <formula>$B2049="Subetapa"</formula>
    </cfRule>
  </conditionalFormatting>
  <conditionalFormatting sqref="G2061:G2070">
    <cfRule type="expression" dxfId="2256" priority="357">
      <formula>$B2061="Subetapa"</formula>
    </cfRule>
  </conditionalFormatting>
  <conditionalFormatting sqref="G2367:G2369">
    <cfRule type="expression" dxfId="2255" priority="494">
      <formula>$B2367="Serviço"</formula>
    </cfRule>
  </conditionalFormatting>
  <conditionalFormatting sqref="G2380:G2387">
    <cfRule type="expression" dxfId="2254" priority="739">
      <formula>$B2380="Subetapa"</formula>
    </cfRule>
  </conditionalFormatting>
  <conditionalFormatting sqref="G2396:G2403">
    <cfRule type="expression" dxfId="2253" priority="740">
      <formula>$B2396="Subetapa"</formula>
    </cfRule>
  </conditionalFormatting>
  <conditionalFormatting sqref="G268:H268">
    <cfRule type="expression" dxfId="2252" priority="732">
      <formula>$B268="Subetapa"</formula>
    </cfRule>
  </conditionalFormatting>
  <conditionalFormatting sqref="G272:H272">
    <cfRule type="expression" dxfId="2251" priority="284">
      <formula>$B272="Subetapa"</formula>
    </cfRule>
  </conditionalFormatting>
  <conditionalFormatting sqref="G274:H274 G276:H276 G280:H280 G290:H290 G294:H294 G298:H298 G302:H302 G306:H306">
    <cfRule type="expression" dxfId="2250" priority="731">
      <formula>$B274="Subetapa"</formula>
    </cfRule>
  </conditionalFormatting>
  <conditionalFormatting sqref="G278:H278">
    <cfRule type="expression" dxfId="2249" priority="581">
      <formula>$B278="Subetapa"</formula>
    </cfRule>
  </conditionalFormatting>
  <conditionalFormatting sqref="G282:H282 G284:H284 G286:H286">
    <cfRule type="expression" dxfId="2248" priority="565">
      <formula>$B282="Subetapa"</formula>
    </cfRule>
  </conditionalFormatting>
  <conditionalFormatting sqref="G1132:H1135">
    <cfRule type="expression" dxfId="2247" priority="131">
      <formula>$B1132="Serviço"</formula>
    </cfRule>
  </conditionalFormatting>
  <conditionalFormatting sqref="G1528:H1530">
    <cfRule type="expression" dxfId="2246" priority="104">
      <formula>$B1528="Subetapa"</formula>
    </cfRule>
  </conditionalFormatting>
  <conditionalFormatting sqref="G1700:H1701">
    <cfRule type="expression" dxfId="2245" priority="66">
      <formula>$B1700="Serviço"</formula>
    </cfRule>
  </conditionalFormatting>
  <conditionalFormatting sqref="G1755:H1755 G1757:H1757 G1760:H1760 G1769:H1769 G1773:H1773 G1775:H1775 G1777:H1777 G1779:H1779 G1781:H1781">
    <cfRule type="expression" dxfId="2244" priority="747">
      <formula>$B1755="Subetapa"</formula>
    </cfRule>
  </conditionalFormatting>
  <conditionalFormatting sqref="G1766:H1766">
    <cfRule type="expression" dxfId="2243" priority="281">
      <formula>$B1766="Subetapa"</formula>
    </cfRule>
  </conditionalFormatting>
  <conditionalFormatting sqref="G1771:H1771">
    <cfRule type="expression" dxfId="2242" priority="382">
      <formula>$B1771="Subetapa"</formula>
    </cfRule>
  </conditionalFormatting>
  <conditionalFormatting sqref="G1862:H1862">
    <cfRule type="expression" dxfId="2241" priority="325">
      <formula>$B1862="Subetapa"</formula>
    </cfRule>
  </conditionalFormatting>
  <conditionalFormatting sqref="G1868:H1868">
    <cfRule type="expression" dxfId="2240" priority="321">
      <formula>$B1868="Subetapa"</formula>
    </cfRule>
  </conditionalFormatting>
  <conditionalFormatting sqref="G2039:H2039">
    <cfRule type="expression" dxfId="2239" priority="373">
      <formula>$B2039="Subetapa"</formula>
    </cfRule>
  </conditionalFormatting>
  <conditionalFormatting sqref="G2161:H2184">
    <cfRule type="expression" dxfId="2238" priority="146">
      <formula>$B2161="Serviço"</formula>
    </cfRule>
    <cfRule type="expression" dxfId="2237" priority="147">
      <formula>$B2161="Subetapa"</formula>
    </cfRule>
  </conditionalFormatting>
  <conditionalFormatting sqref="G2282:H2282 G2284:H2284">
    <cfRule type="expression" dxfId="2236" priority="729">
      <formula>$B2282="Serviço"</formula>
    </cfRule>
    <cfRule type="expression" dxfId="2235" priority="730">
      <formula>$B2282="Subetapa"</formula>
    </cfRule>
  </conditionalFormatting>
  <conditionalFormatting sqref="G2290:H2290 G2294:H2294">
    <cfRule type="expression" dxfId="2234" priority="743">
      <formula>$B2290="Serviço"</formula>
    </cfRule>
    <cfRule type="expression" dxfId="2233" priority="744">
      <formula>$B2290="Subetapa"</formula>
    </cfRule>
  </conditionalFormatting>
  <conditionalFormatting sqref="G2296:H2296 G2298:H2298">
    <cfRule type="expression" dxfId="2232" priority="741">
      <formula>$B2296="Serviço"</formula>
    </cfRule>
    <cfRule type="expression" dxfId="2231" priority="742">
      <formula>$B2296="Subetapa"</formula>
    </cfRule>
  </conditionalFormatting>
  <conditionalFormatting sqref="G2380:H2403">
    <cfRule type="expression" dxfId="2230" priority="148">
      <formula>$B2380="Serviço"</formula>
    </cfRule>
  </conditionalFormatting>
  <conditionalFormatting sqref="G609:I609">
    <cfRule type="expression" dxfId="2229" priority="634">
      <formula>$B609="Serviço"</formula>
    </cfRule>
    <cfRule type="expression" dxfId="2228" priority="635">
      <formula>$B609="Subetapa"</formula>
    </cfRule>
  </conditionalFormatting>
  <conditionalFormatting sqref="H277:H279">
    <cfRule type="expression" dxfId="2227" priority="115">
      <formula>$B277="Serviço"</formula>
    </cfRule>
  </conditionalFormatting>
  <conditionalFormatting sqref="H419:H450">
    <cfRule type="expression" dxfId="2226" priority="153">
      <formula>$B419="Subetapa"</formula>
    </cfRule>
  </conditionalFormatting>
  <conditionalFormatting sqref="H508:H511">
    <cfRule type="expression" dxfId="2225" priority="63">
      <formula>$B508="Subetapa"</formula>
    </cfRule>
  </conditionalFormatting>
  <conditionalFormatting sqref="H512:H594">
    <cfRule type="expression" dxfId="2224" priority="61">
      <formula>$B512="Subetapa"</formula>
    </cfRule>
  </conditionalFormatting>
  <conditionalFormatting sqref="H596:H607">
    <cfRule type="expression" dxfId="2223" priority="127">
      <formula>$B596="Serviço"</formula>
    </cfRule>
    <cfRule type="expression" dxfId="2222" priority="128">
      <formula>$B596="Subetapa"</formula>
    </cfRule>
  </conditionalFormatting>
  <conditionalFormatting sqref="H610:H671">
    <cfRule type="expression" dxfId="2221" priority="113">
      <formula>$B610="Serviço"</formula>
    </cfRule>
    <cfRule type="expression" dxfId="2220" priority="114">
      <formula>$B610="Subetapa"</formula>
    </cfRule>
  </conditionalFormatting>
  <conditionalFormatting sqref="H709:H712">
    <cfRule type="expression" dxfId="2219" priority="106">
      <formula>$B709="Subetapa"</formula>
    </cfRule>
  </conditionalFormatting>
  <conditionalFormatting sqref="H713:H720">
    <cfRule type="expression" dxfId="2218" priority="150">
      <formula>$B713="Subetapa"</formula>
    </cfRule>
  </conditionalFormatting>
  <conditionalFormatting sqref="H922:H932">
    <cfRule type="expression" dxfId="2217" priority="116">
      <formula>$B922="Serviço"</formula>
    </cfRule>
    <cfRule type="expression" dxfId="2216" priority="117">
      <formula>$B922="Subetapa"</formula>
    </cfRule>
  </conditionalFormatting>
  <conditionalFormatting sqref="H934:H1015">
    <cfRule type="expression" dxfId="2215" priority="68">
      <formula>$B934="Subetapa"</formula>
    </cfRule>
  </conditionalFormatting>
  <conditionalFormatting sqref="H934:H1038">
    <cfRule type="expression" dxfId="2214" priority="67">
      <formula>$B934="Serviço"</formula>
    </cfRule>
  </conditionalFormatting>
  <conditionalFormatting sqref="H1020:H1038">
    <cfRule type="expression" dxfId="2213" priority="98">
      <formula>$B1020="Subetapa"</formula>
    </cfRule>
  </conditionalFormatting>
  <conditionalFormatting sqref="H1039:H1086">
    <cfRule type="expression" dxfId="2212" priority="145">
      <formula>$B1039="Serviço"</formula>
    </cfRule>
  </conditionalFormatting>
  <conditionalFormatting sqref="H1072:H1074">
    <cfRule type="expression" dxfId="2211" priority="112">
      <formula>$B1072="Subetapa"</formula>
    </cfRule>
  </conditionalFormatting>
  <conditionalFormatting sqref="H1078:H1080">
    <cfRule type="expression" dxfId="2210" priority="121">
      <formula>$B1078="Subetapa"</formula>
    </cfRule>
  </conditionalFormatting>
  <conditionalFormatting sqref="H1280:H1287">
    <cfRule type="expression" dxfId="2209" priority="126">
      <formula>$B1280="Subetapa"</formula>
    </cfRule>
  </conditionalFormatting>
  <conditionalFormatting sqref="H1296:H1350">
    <cfRule type="expression" dxfId="2208" priority="81">
      <formula>$B1296="Serviço"</formula>
    </cfRule>
  </conditionalFormatting>
  <conditionalFormatting sqref="H1309:H1315">
    <cfRule type="expression" dxfId="2207" priority="111">
      <formula>$B1309="Subetapa"</formula>
    </cfRule>
  </conditionalFormatting>
  <conditionalFormatting sqref="H1317:H1350">
    <cfRule type="expression" dxfId="2206" priority="82">
      <formula>$B1317="Subetapa"</formula>
    </cfRule>
  </conditionalFormatting>
  <conditionalFormatting sqref="H1381:H1416 D1381:G1381 D1382:E1385 G1382:G1385 D1386:G1386 D1387:E1390 G1387:G1405">
    <cfRule type="expression" dxfId="2205" priority="401">
      <formula>$B1381="Serviço"</formula>
    </cfRule>
  </conditionalFormatting>
  <conditionalFormatting sqref="H1406:H1415">
    <cfRule type="expression" dxfId="2204" priority="124">
      <formula>$B1406="Subetapa"</formula>
    </cfRule>
  </conditionalFormatting>
  <conditionalFormatting sqref="H1417:H1527">
    <cfRule type="expression" dxfId="2203" priority="96">
      <formula>$B1417="Serviço"</formula>
    </cfRule>
    <cfRule type="expression" dxfId="2202" priority="97">
      <formula>$B1417="Subetapa"</formula>
    </cfRule>
  </conditionalFormatting>
  <conditionalFormatting sqref="H1528:H1604">
    <cfRule type="expression" dxfId="2201" priority="122">
      <formula>$B1528="Serviço"</formula>
    </cfRule>
  </conditionalFormatting>
  <conditionalFormatting sqref="H1542:H1604">
    <cfRule type="expression" dxfId="2200" priority="123">
      <formula>$B1542="Subetapa"</formula>
    </cfRule>
  </conditionalFormatting>
  <conditionalFormatting sqref="H1685:H1688">
    <cfRule type="expression" dxfId="2199" priority="164">
      <formula>$B1685="Serviço"</formula>
    </cfRule>
    <cfRule type="expression" dxfId="2198" priority="165">
      <formula>$B1685="Subetapa"</formula>
    </cfRule>
  </conditionalFormatting>
  <conditionalFormatting sqref="H1696:H1700">
    <cfRule type="expression" dxfId="2197" priority="144">
      <formula>$B1696="Subetapa"</formula>
    </cfRule>
  </conditionalFormatting>
  <conditionalFormatting sqref="H1716:H1753">
    <cfRule type="expression" dxfId="2196" priority="102">
      <formula>$B1716="Serviço"</formula>
    </cfRule>
  </conditionalFormatting>
  <conditionalFormatting sqref="H1721:H1725">
    <cfRule type="expression" dxfId="2195" priority="103">
      <formula>$B1721="Subetapa"</formula>
    </cfRule>
  </conditionalFormatting>
  <conditionalFormatting sqref="H1734:H1753">
    <cfRule type="expression" dxfId="2194" priority="120">
      <formula>$B1734="Subetapa"</formula>
    </cfRule>
  </conditionalFormatting>
  <conditionalFormatting sqref="H1771:H1772">
    <cfRule type="expression" dxfId="2193" priority="80">
      <formula>$B1771="Serviço"</formula>
    </cfRule>
  </conditionalFormatting>
  <conditionalFormatting sqref="H1782:H1861">
    <cfRule type="expression" dxfId="2192" priority="72">
      <formula>$B1782="Subetapa"</formula>
    </cfRule>
  </conditionalFormatting>
  <conditionalFormatting sqref="H1782:H1893">
    <cfRule type="expression" dxfId="2191" priority="71">
      <formula>$B1782="Serviço"</formula>
    </cfRule>
  </conditionalFormatting>
  <conditionalFormatting sqref="H1870:H1896">
    <cfRule type="expression" dxfId="2190" priority="77">
      <formula>$B1870="Subetapa"</formula>
    </cfRule>
  </conditionalFormatting>
  <conditionalFormatting sqref="H1897:H1898">
    <cfRule type="expression" dxfId="2189" priority="16">
      <formula>$B1897="Subetapa"</formula>
    </cfRule>
  </conditionalFormatting>
  <conditionalFormatting sqref="H1899:H1952">
    <cfRule type="expression" dxfId="2188" priority="79">
      <formula>$B1899="Subetapa"</formula>
    </cfRule>
  </conditionalFormatting>
  <conditionalFormatting sqref="H1925:H1942">
    <cfRule type="expression" dxfId="2187" priority="78">
      <formula>$B1925="Serviço"</formula>
    </cfRule>
  </conditionalFormatting>
  <conditionalFormatting sqref="H1953:H2043">
    <cfRule type="expression" dxfId="2186" priority="70">
      <formula>$B1953="Serviço"</formula>
    </cfRule>
  </conditionalFormatting>
  <conditionalFormatting sqref="H2040:H2079">
    <cfRule type="expression" dxfId="2185" priority="76">
      <formula>$B2040="Subetapa"</formula>
    </cfRule>
  </conditionalFormatting>
  <conditionalFormatting sqref="H2117:H2123">
    <cfRule type="expression" dxfId="2184" priority="75">
      <formula>$B2117="Subetapa"</formula>
    </cfRule>
  </conditionalFormatting>
  <conditionalFormatting sqref="H2131:H2135">
    <cfRule type="expression" dxfId="2183" priority="92">
      <formula>$B2131="Subetapa"</formula>
    </cfRule>
  </conditionalFormatting>
  <conditionalFormatting sqref="H2134:H2138 H2117:H2132">
    <cfRule type="expression" dxfId="2182" priority="94">
      <formula>$B2117="Serviço"</formula>
    </cfRule>
  </conditionalFormatting>
  <conditionalFormatting sqref="H2137:H2141">
    <cfRule type="expression" dxfId="2181" priority="93">
      <formula>$B2137="Subetapa"</formula>
    </cfRule>
  </conditionalFormatting>
  <conditionalFormatting sqref="H2140:H2160">
    <cfRule type="expression" dxfId="2180" priority="95">
      <formula>$B2140="Serviço"</formula>
    </cfRule>
  </conditionalFormatting>
  <conditionalFormatting sqref="H2155:H2158">
    <cfRule type="expression" dxfId="2179" priority="141">
      <formula>$B2155="Subetapa"</formula>
    </cfRule>
  </conditionalFormatting>
  <conditionalFormatting sqref="H2227:H2237">
    <cfRule type="expression" dxfId="2178" priority="135">
      <formula>$B2227="Serviço"</formula>
    </cfRule>
    <cfRule type="expression" dxfId="2177" priority="136">
      <formula>$B2227="Subetapa"</formula>
    </cfRule>
  </conditionalFormatting>
  <conditionalFormatting sqref="H2311:H2312">
    <cfRule type="expression" dxfId="2176" priority="86">
      <formula>$B2311="Subetapa"</formula>
    </cfRule>
  </conditionalFormatting>
  <conditionalFormatting sqref="H2380:H2403">
    <cfRule type="expression" dxfId="2175" priority="154">
      <formula>$B2380="Subetapa"</formula>
    </cfRule>
  </conditionalFormatting>
  <conditionalFormatting sqref="H2405:H2413">
    <cfRule type="expression" dxfId="2174" priority="172">
      <formula>$B2405="Subetapa"</formula>
    </cfRule>
  </conditionalFormatting>
  <conditionalFormatting sqref="H2405:H2430">
    <cfRule type="expression" dxfId="2173" priority="73">
      <formula>$B2405="Serviço"</formula>
    </cfRule>
  </conditionalFormatting>
  <conditionalFormatting sqref="H2424:H2430">
    <cfRule type="expression" dxfId="2172" priority="173">
      <formula>$B2424="Subetapa"</formula>
    </cfRule>
  </conditionalFormatting>
  <conditionalFormatting sqref="H2464:H2465">
    <cfRule type="expression" dxfId="2171" priority="166">
      <formula>$B2464="Serviço"</formula>
    </cfRule>
    <cfRule type="expression" dxfId="2170" priority="167">
      <formula>$B2464="Subetapa"</formula>
    </cfRule>
  </conditionalFormatting>
  <conditionalFormatting sqref="H1605:I1621">
    <cfRule type="expression" dxfId="2169" priority="85">
      <formula>$B1605="Subetapa"</formula>
    </cfRule>
  </conditionalFormatting>
  <conditionalFormatting sqref="H2414:I2423">
    <cfRule type="expression" dxfId="2168" priority="74">
      <formula>$B2414="Subetapa"</formula>
    </cfRule>
  </conditionalFormatting>
  <conditionalFormatting sqref="I151:I207">
    <cfRule type="expression" dxfId="2167" priority="658">
      <formula>$B151="Subetapa"</formula>
    </cfRule>
  </conditionalFormatting>
  <conditionalFormatting sqref="I314:I607">
    <cfRule type="expression" dxfId="2166" priority="277">
      <formula>$B314="Serviço"</formula>
    </cfRule>
  </conditionalFormatting>
  <conditionalFormatting sqref="I329:I607">
    <cfRule type="expression" dxfId="2165" priority="278">
      <formula>$B329="Subetapa"</formula>
    </cfRule>
  </conditionalFormatting>
  <conditionalFormatting sqref="I610:I704">
    <cfRule type="expression" dxfId="2164" priority="420">
      <formula>$B610="Serviço"</formula>
    </cfRule>
    <cfRule type="expression" dxfId="2163" priority="421">
      <formula>$B610="Subetapa"</formula>
    </cfRule>
  </conditionalFormatting>
  <conditionalFormatting sqref="I708:I720 E709:G720">
    <cfRule type="expression" dxfId="2162" priority="558">
      <formula>$B708="Subetapa"</formula>
    </cfRule>
  </conditionalFormatting>
  <conditionalFormatting sqref="I708:I720">
    <cfRule type="expression" dxfId="2161" priority="557">
      <formula>$B708="Serviço"</formula>
    </cfRule>
  </conditionalFormatting>
  <conditionalFormatting sqref="I722:I748">
    <cfRule type="expression" dxfId="2160" priority="434">
      <formula>$B722="Serviço"</formula>
    </cfRule>
  </conditionalFormatting>
  <conditionalFormatting sqref="I891:I914">
    <cfRule type="expression" dxfId="2159" priority="286">
      <formula>$B891="Serviço"</formula>
    </cfRule>
    <cfRule type="expression" dxfId="2158" priority="287">
      <formula>$B891="Subetapa"</formula>
    </cfRule>
  </conditionalFormatting>
  <conditionalFormatting sqref="I916:I1410 I1431:I1604 D1292:H1301 D1016:H1019 A1190:B1213 B1214:B1255 A1214:A1279 A1506:A1604 D1715:E1715 G1715:H1715 E1758:H1759 D1767:H1768 D1943:G1948 D1949:E1949 G1949 D1950:G1950 D1951:E1952 G1951:G1952 D2060:E2060 D2067:E2067 D2069:E2069 E2096:G2097 H2096:H2115 F2098:G2115 A2102:A2119">
    <cfRule type="expression" dxfId="2157" priority="657">
      <formula>$B916="Subetapa"</formula>
    </cfRule>
  </conditionalFormatting>
  <conditionalFormatting sqref="I938">
    <cfRule type="expression" dxfId="2156" priority="307">
      <formula>$B938="Serviço"</formula>
    </cfRule>
    <cfRule type="expression" dxfId="2155" priority="308">
      <formula>$B938="Subetapa"</formula>
    </cfRule>
  </conditionalFormatting>
  <conditionalFormatting sqref="I1391:I1420 H1712:H1714 D1714:G1714 D1351:E1353 G1351:H1353 D1355:E1357 G1355:H1357 D1359:E1361 G1359:H1380 D1363:E1365 I1446:I1505 E1712:E1713 G1712:G1713 D1716:G1716 D1717:E1718 G1717:G1718 D1719:G1719 D1720:E1720 G1720">
    <cfRule type="expression" dxfId="2154" priority="656">
      <formula>$B1351="Serviço"</formula>
    </cfRule>
  </conditionalFormatting>
  <conditionalFormatting sqref="I1411:I1430">
    <cfRule type="expression" dxfId="2153" priority="572">
      <formula>$B1411="Subetapa"</formula>
    </cfRule>
  </conditionalFormatting>
  <conditionalFormatting sqref="I1643:I1918">
    <cfRule type="expression" dxfId="2152" priority="339">
      <formula>$B1643="Subetapa"</formula>
    </cfRule>
  </conditionalFormatting>
  <conditionalFormatting sqref="I1685:I1687">
    <cfRule type="expression" dxfId="2151" priority="924">
      <formula>$B1685="Subetapa"</formula>
    </cfRule>
  </conditionalFormatting>
  <conditionalFormatting sqref="I1857:I1893">
    <cfRule type="expression" dxfId="2150" priority="319">
      <formula>$B1857="Serviço"</formula>
    </cfRule>
  </conditionalFormatting>
  <conditionalFormatting sqref="I1897:I1937 A1919:B1928">
    <cfRule type="expression" dxfId="2149" priority="5">
      <formula>$B1897="Serviço"</formula>
    </cfRule>
  </conditionalFormatting>
  <conditionalFormatting sqref="I1938:I1941">
    <cfRule type="expression" dxfId="2148" priority="918">
      <formula>$B1938="Serviço"</formula>
    </cfRule>
    <cfRule type="expression" dxfId="2147" priority="919">
      <formula>$B1938="Subetapa"</formula>
    </cfRule>
  </conditionalFormatting>
  <conditionalFormatting sqref="I1944:I1946">
    <cfRule type="expression" dxfId="2146" priority="709">
      <formula>$B1944="Serviço"</formula>
    </cfRule>
    <cfRule type="expression" dxfId="2145" priority="710">
      <formula>$B1944="Subetapa"</formula>
    </cfRule>
  </conditionalFormatting>
  <conditionalFormatting sqref="I2019:I2079 A1920:B2094 A1870:B1918">
    <cfRule type="expression" dxfId="2144" priority="356">
      <formula>$B1870="Subetapa"</formula>
    </cfRule>
  </conditionalFormatting>
  <conditionalFormatting sqref="I2024:I2079">
    <cfRule type="expression" dxfId="2143" priority="355">
      <formula>$B2024="Serviço"</formula>
    </cfRule>
  </conditionalFormatting>
  <conditionalFormatting sqref="I2080:I2095">
    <cfRule type="expression" dxfId="2142" priority="408">
      <formula>$B2080="Subetapa"</formula>
    </cfRule>
  </conditionalFormatting>
  <conditionalFormatting sqref="I2096:I2097">
    <cfRule type="expression" dxfId="2141" priority="921">
      <formula>$B2096="Subetapa"</formula>
    </cfRule>
  </conditionalFormatting>
  <conditionalFormatting sqref="I2097:I2127">
    <cfRule type="expression" dxfId="2140" priority="348">
      <formula>$B2097="Subetapa"</formula>
    </cfRule>
  </conditionalFormatting>
  <conditionalFormatting sqref="I2100">
    <cfRule type="expression" dxfId="2139" priority="920">
      <formula>$B2100="Subetapa"</formula>
    </cfRule>
  </conditionalFormatting>
  <conditionalFormatting sqref="I2103:I2127">
    <cfRule type="expression" dxfId="2138" priority="347">
      <formula>$B2103="Serviço"</formula>
    </cfRule>
  </conditionalFormatting>
  <conditionalFormatting sqref="I2128:I2158 A2128:B2159">
    <cfRule type="expression" dxfId="2137" priority="444">
      <formula>$B2128="Subetapa"</formula>
    </cfRule>
  </conditionalFormatting>
  <conditionalFormatting sqref="I2129">
    <cfRule type="expression" dxfId="2136" priority="440">
      <formula>$B2129="Subetapa"</formula>
    </cfRule>
  </conditionalFormatting>
  <conditionalFormatting sqref="I2226:I2245">
    <cfRule type="expression" dxfId="2135" priority="668">
      <formula>$B2226="Serviço"</formula>
    </cfRule>
    <cfRule type="expression" dxfId="2134" priority="669">
      <formula>$B2226="Subetapa"</formula>
    </cfRule>
  </conditionalFormatting>
  <conditionalFormatting sqref="I2246:I2255">
    <cfRule type="expression" dxfId="2133" priority="854">
      <formula>$B2246="Serviço"</formula>
    </cfRule>
    <cfRule type="expression" dxfId="2132" priority="855">
      <formula>$B2246="Subetapa"</formula>
    </cfRule>
  </conditionalFormatting>
  <conditionalFormatting sqref="I2256:I2265">
    <cfRule type="expression" dxfId="2131" priority="850">
      <formula>$B2256="Serviço"</formula>
    </cfRule>
    <cfRule type="expression" dxfId="2130" priority="851">
      <formula>$B2256="Subetapa"</formula>
    </cfRule>
  </conditionalFormatting>
  <conditionalFormatting sqref="I2267:I2269">
    <cfRule type="expression" dxfId="2129" priority="890">
      <formula>$B2267="Serviço"</formula>
    </cfRule>
    <cfRule type="expression" dxfId="2128" priority="891">
      <formula>$B2267="Subetapa"</formula>
    </cfRule>
  </conditionalFormatting>
  <conditionalFormatting sqref="I2274">
    <cfRule type="expression" dxfId="2127" priority="914">
      <formula>$B2274="Serviço"</formula>
    </cfRule>
    <cfRule type="expression" dxfId="2126" priority="915">
      <formula>$B2274="Subetapa"</formula>
    </cfRule>
  </conditionalFormatting>
  <conditionalFormatting sqref="I2278">
    <cfRule type="expression" dxfId="2125" priority="910">
      <formula>$B2278="Serviço"</formula>
    </cfRule>
    <cfRule type="expression" dxfId="2124" priority="911">
      <formula>$B2278="Subetapa"</formula>
    </cfRule>
  </conditionalFormatting>
  <conditionalFormatting sqref="I2279:I2280">
    <cfRule type="expression" dxfId="2123" priority="866">
      <formula>$B2279="Serviço"</formula>
    </cfRule>
    <cfRule type="expression" dxfId="2122" priority="867">
      <formula>$B2279="Subetapa"</formula>
    </cfRule>
  </conditionalFormatting>
  <conditionalFormatting sqref="I2282">
    <cfRule type="expression" dxfId="2121" priority="906">
      <formula>$B2282="Serviço"</formula>
    </cfRule>
    <cfRule type="expression" dxfId="2120" priority="907">
      <formula>$B2282="Subetapa"</formula>
    </cfRule>
  </conditionalFormatting>
  <conditionalFormatting sqref="I2283:I2284">
    <cfRule type="expression" dxfId="2119" priority="815">
      <formula>$B2283="Serviço"</formula>
    </cfRule>
    <cfRule type="expression" dxfId="2118" priority="816">
      <formula>$B2283="Subetapa"</formula>
    </cfRule>
  </conditionalFormatting>
  <conditionalFormatting sqref="I2290">
    <cfRule type="expression" dxfId="2117" priority="894">
      <formula>$B2290="Serviço"</formula>
    </cfRule>
    <cfRule type="expression" dxfId="2116" priority="895">
      <formula>$B2290="Subetapa"</formula>
    </cfRule>
  </conditionalFormatting>
  <conditionalFormatting sqref="I2291:I2294">
    <cfRule type="expression" dxfId="2115" priority="876">
      <formula>$B2291="Serviço"</formula>
    </cfRule>
    <cfRule type="expression" dxfId="2114" priority="877">
      <formula>$B2291="Subetapa"</formula>
    </cfRule>
  </conditionalFormatting>
  <conditionalFormatting sqref="I2296:I2297">
    <cfRule type="expression" dxfId="2113" priority="880">
      <formula>$B2296="Serviço"</formula>
    </cfRule>
    <cfRule type="expression" dxfId="2112" priority="881">
      <formula>$B2296="Subetapa"</formula>
    </cfRule>
  </conditionalFormatting>
  <conditionalFormatting sqref="I2388:I2404">
    <cfRule type="expression" dxfId="2111" priority="845">
      <formula>$B2388="Subetapa"</formula>
    </cfRule>
  </conditionalFormatting>
  <conditionalFormatting sqref="I2396:I2404">
    <cfRule type="expression" dxfId="2110" priority="844">
      <formula>$B2396="Serviço"</formula>
    </cfRule>
  </conditionalFormatting>
  <conditionalFormatting sqref="I2404:I2412 F2412:H2412">
    <cfRule type="expression" dxfId="2109" priority="838">
      <formula>$B2404="Serviço"</formula>
    </cfRule>
    <cfRule type="expression" dxfId="2108" priority="839">
      <formula>$B2404="Subetapa"</formula>
    </cfRule>
  </conditionalFormatting>
  <conditionalFormatting sqref="I2412:I2413">
    <cfRule type="expression" dxfId="2107" priority="837">
      <formula>$B2412="Subetapa"</formula>
    </cfRule>
  </conditionalFormatting>
  <conditionalFormatting sqref="I2424:I2431">
    <cfRule type="expression" dxfId="2106" priority="835">
      <formula>$B2424="Serviço"</formula>
    </cfRule>
    <cfRule type="expression" dxfId="2105" priority="836">
      <formula>$B2424="Subetapa"</formula>
    </cfRule>
  </conditionalFormatting>
  <conditionalFormatting sqref="I2431:I2441 I2445">
    <cfRule type="expression" dxfId="2104" priority="833">
      <formula>$B2431="Serviço"</formula>
    </cfRule>
    <cfRule type="expression" dxfId="2103" priority="834">
      <formula>$B2431="Subetapa"</formula>
    </cfRule>
  </conditionalFormatting>
  <conditionalFormatting sqref="I2433">
    <cfRule type="expression" dxfId="2102" priority="840">
      <formula>$B2433="Serviço"</formula>
    </cfRule>
    <cfRule type="expression" dxfId="2101" priority="841">
      <formula>$B2433="Subetapa"</formula>
    </cfRule>
  </conditionalFormatting>
  <conditionalFormatting sqref="I2441:I2451">
    <cfRule type="expression" dxfId="2100" priority="831">
      <formula>$B2441="Serviço"</formula>
    </cfRule>
    <cfRule type="expression" dxfId="2099" priority="832">
      <formula>$B2441="Subetapa"</formula>
    </cfRule>
  </conditionalFormatting>
  <conditionalFormatting sqref="I2451:I2457">
    <cfRule type="expression" dxfId="2098" priority="829">
      <formula>$B2451="Serviço"</formula>
    </cfRule>
    <cfRule type="expression" dxfId="2097" priority="830">
      <formula>$B2451="Subetapa"</formula>
    </cfRule>
  </conditionalFormatting>
  <conditionalFormatting sqref="I2457:I2462">
    <cfRule type="expression" dxfId="2096" priority="827">
      <formula>$B2457="Serviço"</formula>
    </cfRule>
    <cfRule type="expression" dxfId="2095" priority="828">
      <formula>$B2457="Subetapa"</formula>
    </cfRule>
  </conditionalFormatting>
  <conditionalFormatting sqref="I2462:I2465">
    <cfRule type="expression" dxfId="2094" priority="823">
      <formula>$B2462="Serviço"</formula>
    </cfRule>
    <cfRule type="expression" dxfId="2093" priority="824">
      <formula>$B2462="Subetapa"</formula>
    </cfRule>
  </conditionalFormatting>
  <conditionalFormatting sqref="I2464">
    <cfRule type="expression" dxfId="2092" priority="825">
      <formula>$B2464="Serviço"</formula>
    </cfRule>
    <cfRule type="expression" dxfId="2091" priority="826">
      <formula>$B2464="Subetapa"</formula>
    </cfRule>
  </conditionalFormatting>
  <dataValidations count="1">
    <dataValidation type="list" allowBlank="1" showInputMessage="1" showErrorMessage="1" sqref="C2 B2:B2465" xr:uid="{F8445E5B-06F5-42B6-ADEC-728E39967A05}">
      <formula1>"Unidade Construtiva,Célula Construtiva,Etapa,Subetapa,Serviço,Insumo,Complemento do Insumo"</formula1>
    </dataValidation>
  </dataValidations>
  <hyperlinks>
    <hyperlink ref="D1437" r:id="rId1" display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xr:uid="{5902DC48-3BA3-4470-A336-AE51F92D7E66}"/>
    <hyperlink ref="D1010" r:id="rId2" display="https://www.google.com/shopping/product/816597366598251235?client=opera-gx&amp;sca_esv=0c30d914e1d01d18&amp;q=Placa%C2%A060,5%C2%A0x%C2%A060,5cm+ceramico+parede&amp;fbs=ABzOT_BYhiZpMrUAF0c9tORwPGlsjfkTCQbVbkeDjnTQtijddBq82CQX-xUBR9s0VVH0Uz4YZWXmkEwVISjw0MO8OaXMUOqsQuww0bKTeQ607n8oTdLAw3M8YuINd_u-RUAwx28dcsTnLjriLIo6vJpmIfMKufFGiWm3BDOt1TN2aSktoHih0KKvBZ3KR4MQRS54riOwJnfwdRUjA_6bbNITZaWAh0rEqA&amp;ictx=111&amp;prds=eto:12204749333006783484_0,pid:3688055815818705133&amp;sa=X&amp;ved=0ahUKEwiL3Pu1o7yLAxXMH7kGHRv-EmMQ8wIInAg" xr:uid="{F02CE37E-6DC2-4D89-8CA7-55ACC9D2B850}"/>
    <hyperlink ref="D1392" r:id="rId3" display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xr:uid="{1BAAD0D2-2E04-44C7-98D3-55D50E78BB5B}"/>
    <hyperlink ref="D1015" r:id="rId4" display="https://www.google.com/shopping/product/816597366598251235?client=opera-gx&amp;sca_esv=0c30d914e1d01d18&amp;q=Placa%C2%A060,5%C2%A0x%C2%A060,5cm+ceramico+parede&amp;fbs=ABzOT_BYhiZpMrUAF0c9tORwPGlsjfkTCQbVbkeDjnTQtijddBq82CQX-xUBR9s0VVH0Uz4YZWXmkEwVISjw0MO8OaXMUOqsQuww0bKTeQ607n8oTdLAw3M8YuINd_u-RUAwx28dcsTnLjriLIo6vJpmIfMKufFGiWm3BDOt1TN2aSktoHih0KKvBZ3KR4MQRS54riOwJnfwdRUjA_6bbNITZaWAh0rEqA&amp;ictx=111&amp;prds=eto:12204749333006783484_0,pid:3688055815818705133&amp;sa=X&amp;ved=0ahUKEwiL3Pu1o7yLAxXMH7kGHRv-EmMQ8wIInAg" xr:uid="{D0A2C9E6-C6AF-4DA0-9651-F138E6DF2AF4}"/>
  </hyperlinks>
  <pageMargins left="0.511811024" right="0.511811024" top="0.78740157499999996" bottom="0.78740157499999996" header="0.31496062000000002" footer="0.31496062000000002"/>
  <pageSetup paperSize="9" orientation="portrait" r:id="rId5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B3F6-FA97-47B2-8BE8-2C737254BDE9}">
  <sheetPr>
    <tabColor rgb="FFFFFF00"/>
    <outlinePr summaryBelow="0"/>
  </sheetPr>
  <dimension ref="A1:I670"/>
  <sheetViews>
    <sheetView showGridLines="0" zoomScale="115" zoomScaleNormal="115" workbookViewId="0">
      <pane ySplit="1" topLeftCell="A2" activePane="bottomLeft" state="frozen"/>
      <selection activeCell="D1862" sqref="D1862"/>
      <selection pane="bottomLeft" activeCell="E626" sqref="E626"/>
    </sheetView>
  </sheetViews>
  <sheetFormatPr defaultRowHeight="15" x14ac:dyDescent="0.25"/>
  <cols>
    <col min="1" max="1" width="9.85546875" style="1107" bestFit="1" customWidth="1"/>
    <col min="2" max="2" width="78.7109375" style="1107" customWidth="1"/>
    <col min="3" max="3" width="9.140625" style="1073" bestFit="1" customWidth="1"/>
    <col min="4" max="4" width="17.7109375" style="1108" customWidth="1"/>
    <col min="5" max="5" width="15.140625" style="1108" bestFit="1" customWidth="1"/>
    <col min="6" max="7" width="12.42578125" style="1108" customWidth="1"/>
    <col min="8" max="8" width="31.42578125" style="1108" bestFit="1" customWidth="1"/>
    <col min="9" max="16384" width="9.140625" style="1072"/>
  </cols>
  <sheetData>
    <row r="1" spans="1:9" x14ac:dyDescent="0.25">
      <c r="A1" s="1073" t="s">
        <v>1357</v>
      </c>
      <c r="B1" s="1073" t="s">
        <v>0</v>
      </c>
      <c r="C1" s="1073" t="s">
        <v>1358</v>
      </c>
      <c r="D1" s="1109">
        <v>1</v>
      </c>
      <c r="E1" s="1075" t="s">
        <v>832</v>
      </c>
      <c r="F1" s="1075" t="s">
        <v>2416</v>
      </c>
      <c r="G1" s="1075" t="s">
        <v>2417</v>
      </c>
      <c r="H1" s="1075" t="s">
        <v>465</v>
      </c>
      <c r="I1" s="1072" t="s">
        <v>2418</v>
      </c>
    </row>
    <row r="2" spans="1:9" x14ac:dyDescent="0.25">
      <c r="A2" s="1079">
        <f t="shared" ref="A2:A68" si="0">COUNTIFS($B$2:$B$670,B2)</f>
        <v>1</v>
      </c>
      <c r="B2" s="1079" t="s">
        <v>1483</v>
      </c>
      <c r="C2" s="1080" t="s">
        <v>1481</v>
      </c>
      <c r="D2" s="1082">
        <f>E2*$D$1</f>
        <v>13.69</v>
      </c>
      <c r="E2" s="1082">
        <v>13.69</v>
      </c>
      <c r="F2" s="1082" t="s">
        <v>508</v>
      </c>
      <c r="G2" s="1082" t="s">
        <v>2419</v>
      </c>
      <c r="H2" s="1082"/>
      <c r="I2" s="1072" t="s">
        <v>372</v>
      </c>
    </row>
    <row r="3" spans="1:9" x14ac:dyDescent="0.25">
      <c r="A3" s="1079">
        <f t="shared" si="0"/>
        <v>1</v>
      </c>
      <c r="B3" s="1079" t="s">
        <v>1564</v>
      </c>
      <c r="C3" s="1080" t="s">
        <v>1481</v>
      </c>
      <c r="D3" s="1082">
        <f t="shared" ref="D3:D69" si="1">E3*$D$1</f>
        <v>16.71</v>
      </c>
      <c r="E3" s="1082">
        <v>16.71</v>
      </c>
      <c r="F3" s="1082" t="s">
        <v>508</v>
      </c>
      <c r="G3" s="1082" t="s">
        <v>2419</v>
      </c>
      <c r="H3" s="1082"/>
      <c r="I3" s="1072" t="s">
        <v>372</v>
      </c>
    </row>
    <row r="4" spans="1:9" x14ac:dyDescent="0.25">
      <c r="A4" s="1079">
        <f t="shared" si="0"/>
        <v>1</v>
      </c>
      <c r="B4" s="1079" t="s">
        <v>1560</v>
      </c>
      <c r="C4" s="1080" t="s">
        <v>2420</v>
      </c>
      <c r="D4" s="1082">
        <f t="shared" si="1"/>
        <v>3.82</v>
      </c>
      <c r="E4" s="1082">
        <v>3.82</v>
      </c>
      <c r="F4" s="1082" t="s">
        <v>508</v>
      </c>
      <c r="G4" s="1082" t="s">
        <v>2421</v>
      </c>
      <c r="H4" s="1082"/>
      <c r="I4" s="1072" t="s">
        <v>372</v>
      </c>
    </row>
    <row r="5" spans="1:9" x14ac:dyDescent="0.25">
      <c r="A5" s="1079">
        <f t="shared" ref="A5" si="2">COUNTIFS($B$2:$B$670,B5)</f>
        <v>1</v>
      </c>
      <c r="B5" s="1079" t="s">
        <v>2562</v>
      </c>
      <c r="C5" s="1080" t="s">
        <v>17</v>
      </c>
      <c r="D5" s="1082">
        <f t="shared" ref="D5" si="3">E5*$D$1</f>
        <v>34</v>
      </c>
      <c r="E5" s="1082">
        <v>34</v>
      </c>
      <c r="F5" s="1082" t="s">
        <v>508</v>
      </c>
      <c r="G5" s="1082" t="s">
        <v>2421</v>
      </c>
      <c r="H5" s="1082"/>
      <c r="I5" s="1072" t="s">
        <v>372</v>
      </c>
    </row>
    <row r="6" spans="1:9" x14ac:dyDescent="0.25">
      <c r="A6" s="1079">
        <f t="shared" si="0"/>
        <v>1</v>
      </c>
      <c r="B6" s="1079" t="s">
        <v>2422</v>
      </c>
      <c r="C6" s="1080" t="s">
        <v>1481</v>
      </c>
      <c r="D6" s="1082">
        <f t="shared" si="1"/>
        <v>7.6873385012919897</v>
      </c>
      <c r="E6" s="1082">
        <v>7.6873385012919897</v>
      </c>
      <c r="F6" s="1082" t="s">
        <v>508</v>
      </c>
      <c r="G6" s="1082" t="s">
        <v>2421</v>
      </c>
      <c r="H6" s="1082"/>
      <c r="I6" s="1072" t="s">
        <v>372</v>
      </c>
    </row>
    <row r="7" spans="1:9" x14ac:dyDescent="0.25">
      <c r="A7" s="1079">
        <f t="shared" si="0"/>
        <v>1</v>
      </c>
      <c r="B7" s="1079" t="s">
        <v>2423</v>
      </c>
      <c r="C7" s="1080" t="s">
        <v>1481</v>
      </c>
      <c r="D7" s="1082">
        <f t="shared" si="1"/>
        <v>8.2873385012919893</v>
      </c>
      <c r="E7" s="1082">
        <v>8.2873385012919893</v>
      </c>
      <c r="F7" s="1082" t="s">
        <v>508</v>
      </c>
      <c r="G7" s="1082" t="s">
        <v>2421</v>
      </c>
      <c r="H7" s="1082"/>
      <c r="I7" s="1072" t="s">
        <v>372</v>
      </c>
    </row>
    <row r="8" spans="1:9" x14ac:dyDescent="0.25">
      <c r="A8" s="1079">
        <f t="shared" si="0"/>
        <v>1</v>
      </c>
      <c r="B8" s="1079" t="s">
        <v>1473</v>
      </c>
      <c r="C8" s="1080" t="s">
        <v>1481</v>
      </c>
      <c r="D8" s="1082">
        <f t="shared" si="1"/>
        <v>302.92200000000003</v>
      </c>
      <c r="E8" s="1082">
        <v>302.92200000000003</v>
      </c>
      <c r="F8" s="1082" t="s">
        <v>508</v>
      </c>
      <c r="G8" s="1082" t="s">
        <v>2421</v>
      </c>
      <c r="H8" s="1082"/>
      <c r="I8" s="1072" t="s">
        <v>372</v>
      </c>
    </row>
    <row r="9" spans="1:9" x14ac:dyDescent="0.25">
      <c r="A9" s="1079">
        <f t="shared" si="0"/>
        <v>1</v>
      </c>
      <c r="B9" s="1079" t="s">
        <v>1475</v>
      </c>
      <c r="C9" s="1080" t="s">
        <v>1481</v>
      </c>
      <c r="D9" s="1082">
        <f t="shared" si="1"/>
        <v>466.33699999999999</v>
      </c>
      <c r="E9" s="1082">
        <v>466.33699999999999</v>
      </c>
      <c r="F9" s="1082" t="s">
        <v>508</v>
      </c>
      <c r="G9" s="1082" t="s">
        <v>2421</v>
      </c>
      <c r="H9" s="1082"/>
      <c r="I9" s="1072" t="s">
        <v>372</v>
      </c>
    </row>
    <row r="10" spans="1:9" x14ac:dyDescent="0.25">
      <c r="A10" s="1079">
        <f t="shared" si="0"/>
        <v>1</v>
      </c>
      <c r="B10" s="1079" t="s">
        <v>1477</v>
      </c>
      <c r="C10" s="1080" t="s">
        <v>1481</v>
      </c>
      <c r="D10" s="1082">
        <f t="shared" si="1"/>
        <v>937.63900000000001</v>
      </c>
      <c r="E10" s="1082">
        <v>937.63900000000001</v>
      </c>
      <c r="F10" s="1082" t="s">
        <v>508</v>
      </c>
      <c r="G10" s="1082" t="s">
        <v>2421</v>
      </c>
      <c r="H10" s="1082"/>
      <c r="I10" s="1072" t="s">
        <v>372</v>
      </c>
    </row>
    <row r="11" spans="1:9" x14ac:dyDescent="0.25">
      <c r="A11" s="1079">
        <f t="shared" si="0"/>
        <v>1</v>
      </c>
      <c r="B11" s="1079" t="s">
        <v>1479</v>
      </c>
      <c r="C11" s="1080" t="s">
        <v>1481</v>
      </c>
      <c r="D11" s="1082">
        <f t="shared" si="1"/>
        <v>1609.6659999999999</v>
      </c>
      <c r="E11" s="1082">
        <v>1609.6659999999999</v>
      </c>
      <c r="F11" s="1082" t="s">
        <v>508</v>
      </c>
      <c r="G11" s="1082" t="s">
        <v>2421</v>
      </c>
      <c r="H11" s="1082"/>
      <c r="I11" s="1072" t="s">
        <v>372</v>
      </c>
    </row>
    <row r="12" spans="1:9" x14ac:dyDescent="0.25">
      <c r="A12" s="1079">
        <f t="shared" si="0"/>
        <v>1</v>
      </c>
      <c r="B12" s="1079" t="s">
        <v>1488</v>
      </c>
      <c r="C12" s="1080" t="s">
        <v>1481</v>
      </c>
      <c r="D12" s="1082">
        <f t="shared" si="1"/>
        <v>5.76</v>
      </c>
      <c r="E12" s="1082">
        <v>5.76</v>
      </c>
      <c r="F12" s="1082" t="s">
        <v>508</v>
      </c>
      <c r="G12" s="1082" t="s">
        <v>2421</v>
      </c>
      <c r="H12" s="1082"/>
      <c r="I12" s="1072" t="s">
        <v>372</v>
      </c>
    </row>
    <row r="13" spans="1:9" x14ac:dyDescent="0.25">
      <c r="A13" s="1079">
        <f t="shared" si="0"/>
        <v>1</v>
      </c>
      <c r="B13" s="1079" t="s">
        <v>1510</v>
      </c>
      <c r="C13" s="1080" t="s">
        <v>1481</v>
      </c>
      <c r="D13" s="1082">
        <f t="shared" si="1"/>
        <v>5.59</v>
      </c>
      <c r="E13" s="1082">
        <v>5.59</v>
      </c>
      <c r="F13" s="1082" t="s">
        <v>508</v>
      </c>
      <c r="G13" s="1082" t="s">
        <v>2421</v>
      </c>
      <c r="H13" s="1082"/>
      <c r="I13" s="1072" t="s">
        <v>372</v>
      </c>
    </row>
    <row r="14" spans="1:9" x14ac:dyDescent="0.25">
      <c r="A14" s="1079">
        <f t="shared" si="0"/>
        <v>1</v>
      </c>
      <c r="B14" s="1079" t="s">
        <v>1490</v>
      </c>
      <c r="C14" s="1080" t="s">
        <v>1481</v>
      </c>
      <c r="D14" s="1082">
        <f t="shared" si="1"/>
        <v>5.59</v>
      </c>
      <c r="E14" s="1082">
        <v>5.59</v>
      </c>
      <c r="F14" s="1082" t="s">
        <v>508</v>
      </c>
      <c r="G14" s="1082" t="s">
        <v>2421</v>
      </c>
      <c r="H14" s="1082"/>
      <c r="I14" s="1072" t="s">
        <v>372</v>
      </c>
    </row>
    <row r="15" spans="1:9" x14ac:dyDescent="0.25">
      <c r="A15" s="1079">
        <f t="shared" si="0"/>
        <v>1</v>
      </c>
      <c r="B15" s="1079" t="s">
        <v>1492</v>
      </c>
      <c r="C15" s="1080" t="s">
        <v>1481</v>
      </c>
      <c r="D15" s="1082">
        <f t="shared" si="1"/>
        <v>5.59</v>
      </c>
      <c r="E15" s="1082">
        <v>5.59</v>
      </c>
      <c r="F15" s="1082" t="s">
        <v>508</v>
      </c>
      <c r="G15" s="1082" t="s">
        <v>2421</v>
      </c>
      <c r="H15" s="1082"/>
      <c r="I15" s="1072" t="s">
        <v>372</v>
      </c>
    </row>
    <row r="16" spans="1:9" x14ac:dyDescent="0.25">
      <c r="A16" s="1079">
        <f t="shared" si="0"/>
        <v>1</v>
      </c>
      <c r="B16" s="1079" t="s">
        <v>1511</v>
      </c>
      <c r="C16" s="1080" t="s">
        <v>1481</v>
      </c>
      <c r="D16" s="1082">
        <f t="shared" si="1"/>
        <v>5.83</v>
      </c>
      <c r="E16" s="1082">
        <v>5.83</v>
      </c>
      <c r="F16" s="1082" t="s">
        <v>508</v>
      </c>
      <c r="G16" s="1082" t="s">
        <v>2421</v>
      </c>
      <c r="H16" s="1082"/>
      <c r="I16" s="1072" t="s">
        <v>372</v>
      </c>
    </row>
    <row r="17" spans="1:9" x14ac:dyDescent="0.25">
      <c r="A17" s="1079">
        <f t="shared" si="0"/>
        <v>1</v>
      </c>
      <c r="B17" s="1079" t="s">
        <v>1482</v>
      </c>
      <c r="C17" s="1080" t="s">
        <v>1481</v>
      </c>
      <c r="D17" s="1082">
        <f t="shared" si="1"/>
        <v>6.04</v>
      </c>
      <c r="E17" s="1082">
        <v>6.04</v>
      </c>
      <c r="F17" s="1082" t="s">
        <v>508</v>
      </c>
      <c r="G17" s="1082" t="s">
        <v>2421</v>
      </c>
      <c r="H17" s="1082"/>
      <c r="I17" s="1072" t="s">
        <v>372</v>
      </c>
    </row>
    <row r="18" spans="1:9" x14ac:dyDescent="0.25">
      <c r="A18" s="1079">
        <f t="shared" si="0"/>
        <v>1</v>
      </c>
      <c r="B18" s="1079" t="s">
        <v>1486</v>
      </c>
      <c r="C18" s="1080" t="s">
        <v>1481</v>
      </c>
      <c r="D18" s="1082">
        <f t="shared" si="1"/>
        <v>6.04</v>
      </c>
      <c r="E18" s="1082">
        <v>6.04</v>
      </c>
      <c r="F18" s="1082" t="s">
        <v>508</v>
      </c>
      <c r="G18" s="1082" t="s">
        <v>2421</v>
      </c>
      <c r="H18" s="1082"/>
      <c r="I18" s="1072" t="s">
        <v>372</v>
      </c>
    </row>
    <row r="19" spans="1:9" x14ac:dyDescent="0.25">
      <c r="A19" s="1079">
        <f t="shared" si="0"/>
        <v>1</v>
      </c>
      <c r="B19" s="1079" t="s">
        <v>1494</v>
      </c>
      <c r="C19" s="1080" t="s">
        <v>1481</v>
      </c>
      <c r="D19" s="1082">
        <f t="shared" si="1"/>
        <v>6.54</v>
      </c>
      <c r="E19" s="1082">
        <v>6.54</v>
      </c>
      <c r="F19" s="1082" t="s">
        <v>508</v>
      </c>
      <c r="G19" s="1082" t="s">
        <v>2421</v>
      </c>
      <c r="H19" s="1082"/>
      <c r="I19" s="1072" t="s">
        <v>372</v>
      </c>
    </row>
    <row r="20" spans="1:9" x14ac:dyDescent="0.25">
      <c r="A20" s="1079">
        <f t="shared" si="0"/>
        <v>1</v>
      </c>
      <c r="B20" s="1079" t="s">
        <v>1513</v>
      </c>
      <c r="C20" s="1080" t="s">
        <v>1481</v>
      </c>
      <c r="D20" s="1082">
        <f t="shared" si="1"/>
        <v>7.4623999999999997</v>
      </c>
      <c r="E20" s="1082">
        <v>7.4623999999999997</v>
      </c>
      <c r="F20" s="1082" t="s">
        <v>508</v>
      </c>
      <c r="G20" s="1082" t="s">
        <v>2421</v>
      </c>
      <c r="H20" s="1082"/>
      <c r="I20" s="1072" t="s">
        <v>372</v>
      </c>
    </row>
    <row r="21" spans="1:9" x14ac:dyDescent="0.25">
      <c r="A21" s="1079">
        <f t="shared" si="0"/>
        <v>1</v>
      </c>
      <c r="B21" s="1079" t="s">
        <v>2229</v>
      </c>
      <c r="C21" s="1080" t="s">
        <v>491</v>
      </c>
      <c r="D21" s="1082">
        <f t="shared" si="1"/>
        <v>702.08</v>
      </c>
      <c r="E21" s="1082">
        <v>702.08</v>
      </c>
      <c r="F21" s="1082" t="s">
        <v>508</v>
      </c>
      <c r="G21" s="1082" t="s">
        <v>2424</v>
      </c>
      <c r="H21" s="1082"/>
      <c r="I21" s="1072" t="s">
        <v>372</v>
      </c>
    </row>
    <row r="22" spans="1:9" x14ac:dyDescent="0.25">
      <c r="A22" s="1079">
        <f t="shared" si="0"/>
        <v>1</v>
      </c>
      <c r="B22" s="1079" t="s">
        <v>1674</v>
      </c>
      <c r="C22" s="1080" t="s">
        <v>17</v>
      </c>
      <c r="D22" s="1082">
        <f t="shared" si="1"/>
        <v>0.43</v>
      </c>
      <c r="E22" s="1082">
        <v>0.43</v>
      </c>
      <c r="F22" s="1082" t="s">
        <v>508</v>
      </c>
      <c r="G22" s="1082" t="s">
        <v>2424</v>
      </c>
      <c r="H22" s="1082"/>
      <c r="I22" s="1072" t="s">
        <v>372</v>
      </c>
    </row>
    <row r="23" spans="1:9" x14ac:dyDescent="0.25">
      <c r="A23" s="1079">
        <f t="shared" si="0"/>
        <v>1</v>
      </c>
      <c r="B23" s="1079" t="s">
        <v>1379</v>
      </c>
      <c r="C23" s="1080" t="s">
        <v>1481</v>
      </c>
      <c r="D23" s="1082">
        <f t="shared" si="1"/>
        <v>6.1</v>
      </c>
      <c r="E23" s="1082">
        <v>6.1</v>
      </c>
      <c r="F23" s="1082" t="s">
        <v>508</v>
      </c>
      <c r="G23" s="1082" t="s">
        <v>2425</v>
      </c>
      <c r="H23" s="1082"/>
      <c r="I23" s="1072" t="s">
        <v>372</v>
      </c>
    </row>
    <row r="24" spans="1:9" x14ac:dyDescent="0.25">
      <c r="A24" s="1079">
        <f t="shared" si="0"/>
        <v>1</v>
      </c>
      <c r="B24" s="1079" t="s">
        <v>1570</v>
      </c>
      <c r="C24" s="1080" t="s">
        <v>1481</v>
      </c>
      <c r="D24" s="1082">
        <f t="shared" si="1"/>
        <v>4.88</v>
      </c>
      <c r="E24" s="1082">
        <v>4.88</v>
      </c>
      <c r="F24" s="1082" t="s">
        <v>508</v>
      </c>
      <c r="G24" s="1082" t="s">
        <v>2425</v>
      </c>
      <c r="H24" s="1082"/>
      <c r="I24" s="1072" t="s">
        <v>372</v>
      </c>
    </row>
    <row r="25" spans="1:9" x14ac:dyDescent="0.25">
      <c r="A25" s="1079">
        <f t="shared" si="0"/>
        <v>1</v>
      </c>
      <c r="B25" s="1079" t="s">
        <v>1561</v>
      </c>
      <c r="C25" s="1080" t="s">
        <v>1481</v>
      </c>
      <c r="D25" s="1082">
        <f t="shared" si="1"/>
        <v>9.1447124304267149</v>
      </c>
      <c r="E25" s="1082">
        <v>9.1447124304267149</v>
      </c>
      <c r="F25" s="1082" t="s">
        <v>508</v>
      </c>
      <c r="G25" s="1082" t="s">
        <v>2425</v>
      </c>
      <c r="H25" s="1082"/>
      <c r="I25" s="1072" t="s">
        <v>372</v>
      </c>
    </row>
    <row r="26" spans="1:9" x14ac:dyDescent="0.25">
      <c r="A26" s="1079">
        <f t="shared" si="0"/>
        <v>1</v>
      </c>
      <c r="B26" s="1079" t="s">
        <v>1672</v>
      </c>
      <c r="C26" s="1080" t="s">
        <v>491</v>
      </c>
      <c r="D26" s="1082">
        <f t="shared" si="1"/>
        <v>2.5</v>
      </c>
      <c r="E26" s="1082">
        <v>2.5</v>
      </c>
      <c r="F26" s="1082" t="s">
        <v>508</v>
      </c>
      <c r="G26" s="1082" t="s">
        <v>2426</v>
      </c>
      <c r="H26" s="1082"/>
      <c r="I26" s="1072" t="s">
        <v>372</v>
      </c>
    </row>
    <row r="27" spans="1:9" x14ac:dyDescent="0.25">
      <c r="A27" s="1079">
        <f t="shared" si="0"/>
        <v>1</v>
      </c>
      <c r="B27" s="1079" t="s">
        <v>1728</v>
      </c>
      <c r="C27" s="1080" t="s">
        <v>17</v>
      </c>
      <c r="D27" s="1082">
        <f t="shared" si="1"/>
        <v>14.27</v>
      </c>
      <c r="E27" s="1082">
        <v>14.27</v>
      </c>
      <c r="F27" s="1082" t="s">
        <v>508</v>
      </c>
      <c r="G27" s="1082" t="s">
        <v>2426</v>
      </c>
      <c r="H27" s="1082"/>
      <c r="I27" s="1072" t="s">
        <v>372</v>
      </c>
    </row>
    <row r="28" spans="1:9" x14ac:dyDescent="0.25">
      <c r="A28" s="1079">
        <f t="shared" si="0"/>
        <v>1</v>
      </c>
      <c r="B28" s="1079" t="s">
        <v>1663</v>
      </c>
      <c r="C28" s="1080" t="s">
        <v>491</v>
      </c>
      <c r="D28" s="1082">
        <f t="shared" si="1"/>
        <v>7</v>
      </c>
      <c r="E28" s="1082">
        <v>7</v>
      </c>
      <c r="F28" s="1082" t="s">
        <v>2427</v>
      </c>
      <c r="G28" s="1082" t="s">
        <v>2428</v>
      </c>
      <c r="H28" s="1082"/>
      <c r="I28" s="1072" t="s">
        <v>2429</v>
      </c>
    </row>
    <row r="29" spans="1:9" x14ac:dyDescent="0.25">
      <c r="A29" s="1079">
        <f t="shared" si="0"/>
        <v>1</v>
      </c>
      <c r="B29" s="1079" t="s">
        <v>1665</v>
      </c>
      <c r="C29" s="1080" t="s">
        <v>491</v>
      </c>
      <c r="D29" s="1082">
        <f t="shared" si="1"/>
        <v>5.95</v>
      </c>
      <c r="E29" s="1082">
        <v>5.95</v>
      </c>
      <c r="F29" s="1082" t="s">
        <v>2427</v>
      </c>
      <c r="G29" s="1082" t="s">
        <v>2428</v>
      </c>
      <c r="H29" s="1082"/>
      <c r="I29" s="1072" t="s">
        <v>2429</v>
      </c>
    </row>
    <row r="30" spans="1:9" x14ac:dyDescent="0.25">
      <c r="A30" s="1079">
        <f t="shared" si="0"/>
        <v>1</v>
      </c>
      <c r="B30" s="1079" t="s">
        <v>1367</v>
      </c>
      <c r="C30" s="1080" t="s">
        <v>491</v>
      </c>
      <c r="D30" s="1082">
        <f t="shared" si="1"/>
        <v>2.95</v>
      </c>
      <c r="E30" s="1082">
        <v>2.95</v>
      </c>
      <c r="F30" s="1082" t="s">
        <v>2427</v>
      </c>
      <c r="G30" s="1082" t="s">
        <v>2430</v>
      </c>
      <c r="H30" s="1082"/>
      <c r="I30" s="1072" t="s">
        <v>2431</v>
      </c>
    </row>
    <row r="31" spans="1:9" x14ac:dyDescent="0.25">
      <c r="A31" s="1079">
        <f t="shared" si="0"/>
        <v>1</v>
      </c>
      <c r="B31" s="1079" t="s">
        <v>1645</v>
      </c>
      <c r="C31" s="1080" t="s">
        <v>491</v>
      </c>
      <c r="D31" s="1082">
        <f t="shared" si="1"/>
        <v>4.1861538461538466</v>
      </c>
      <c r="E31" s="1082">
        <v>4.1861538461538466</v>
      </c>
      <c r="F31" s="1082" t="s">
        <v>2427</v>
      </c>
      <c r="G31" s="1082" t="s">
        <v>2430</v>
      </c>
      <c r="H31" s="1082"/>
      <c r="I31" s="1072" t="s">
        <v>2431</v>
      </c>
    </row>
    <row r="32" spans="1:9" x14ac:dyDescent="0.25">
      <c r="A32" s="1079">
        <f t="shared" si="0"/>
        <v>1</v>
      </c>
      <c r="B32" s="1079" t="s">
        <v>1644</v>
      </c>
      <c r="C32" s="1080" t="s">
        <v>491</v>
      </c>
      <c r="D32" s="1082">
        <f t="shared" si="1"/>
        <v>3.9889743589743589</v>
      </c>
      <c r="E32" s="1082">
        <v>3.9889743589743589</v>
      </c>
      <c r="F32" s="1082" t="s">
        <v>2427</v>
      </c>
      <c r="G32" s="1082" t="s">
        <v>2430</v>
      </c>
      <c r="H32" s="1082"/>
      <c r="I32" s="1072" t="s">
        <v>2431</v>
      </c>
    </row>
    <row r="33" spans="1:9" x14ac:dyDescent="0.25">
      <c r="A33" s="1079">
        <f t="shared" si="0"/>
        <v>1</v>
      </c>
      <c r="B33" s="1079" t="s">
        <v>1643</v>
      </c>
      <c r="C33" s="1080" t="s">
        <v>491</v>
      </c>
      <c r="D33" s="1082">
        <f t="shared" si="1"/>
        <v>1.3760000000000001</v>
      </c>
      <c r="E33" s="1082">
        <v>1.3760000000000001</v>
      </c>
      <c r="F33" s="1082" t="s">
        <v>2427</v>
      </c>
      <c r="G33" s="1082" t="s">
        <v>2430</v>
      </c>
      <c r="H33" s="1082"/>
      <c r="I33" s="1072" t="s">
        <v>2431</v>
      </c>
    </row>
    <row r="34" spans="1:9" x14ac:dyDescent="0.25">
      <c r="A34" s="1079">
        <f t="shared" si="0"/>
        <v>1</v>
      </c>
      <c r="B34" s="1079" t="s">
        <v>2432</v>
      </c>
      <c r="C34" s="1080" t="s">
        <v>491</v>
      </c>
      <c r="D34" s="1082">
        <f t="shared" si="1"/>
        <v>1.998</v>
      </c>
      <c r="E34" s="1082">
        <v>1.998</v>
      </c>
      <c r="F34" s="1082" t="s">
        <v>2427</v>
      </c>
      <c r="G34" s="1082" t="s">
        <v>2430</v>
      </c>
      <c r="H34" s="1082"/>
      <c r="I34" s="1072" t="s">
        <v>2431</v>
      </c>
    </row>
    <row r="35" spans="1:9" x14ac:dyDescent="0.25">
      <c r="A35" s="1079">
        <f t="shared" si="0"/>
        <v>1</v>
      </c>
      <c r="B35" s="1079" t="s">
        <v>1642</v>
      </c>
      <c r="C35" s="1080" t="s">
        <v>491</v>
      </c>
      <c r="D35" s="1082">
        <f t="shared" si="1"/>
        <v>1.998</v>
      </c>
      <c r="E35" s="1082">
        <v>1.998</v>
      </c>
      <c r="F35" s="1082" t="s">
        <v>2427</v>
      </c>
      <c r="G35" s="1082" t="s">
        <v>2430</v>
      </c>
      <c r="H35" s="1082"/>
      <c r="I35" s="1072" t="s">
        <v>2431</v>
      </c>
    </row>
    <row r="36" spans="1:9" x14ac:dyDescent="0.25">
      <c r="A36" s="1079">
        <f t="shared" si="0"/>
        <v>1</v>
      </c>
      <c r="B36" s="1079" t="s">
        <v>1641</v>
      </c>
      <c r="C36" s="1080" t="s">
        <v>491</v>
      </c>
      <c r="D36" s="1082">
        <f t="shared" si="1"/>
        <v>4.0199999999999996</v>
      </c>
      <c r="E36" s="1082">
        <v>4.0199999999999996</v>
      </c>
      <c r="F36" s="1082" t="s">
        <v>2427</v>
      </c>
      <c r="G36" s="1082" t="s">
        <v>2430</v>
      </c>
      <c r="H36" s="1082"/>
      <c r="I36" s="1072" t="s">
        <v>2431</v>
      </c>
    </row>
    <row r="37" spans="1:9" x14ac:dyDescent="0.25">
      <c r="A37" s="1079">
        <f t="shared" si="0"/>
        <v>1</v>
      </c>
      <c r="B37" s="1079" t="s">
        <v>1651</v>
      </c>
      <c r="C37" s="1080" t="s">
        <v>491</v>
      </c>
      <c r="D37" s="1082">
        <f t="shared" si="1"/>
        <v>4.1861538461538466</v>
      </c>
      <c r="E37" s="1082">
        <v>4.1861538461538466</v>
      </c>
      <c r="F37" s="1082" t="s">
        <v>2427</v>
      </c>
      <c r="G37" s="1082" t="s">
        <v>2430</v>
      </c>
      <c r="H37" s="1082"/>
      <c r="I37" s="1072" t="s">
        <v>2431</v>
      </c>
    </row>
    <row r="38" spans="1:9" x14ac:dyDescent="0.25">
      <c r="A38" s="1079">
        <f t="shared" si="0"/>
        <v>1</v>
      </c>
      <c r="B38" s="1079" t="s">
        <v>1650</v>
      </c>
      <c r="C38" s="1080" t="s">
        <v>491</v>
      </c>
      <c r="D38" s="1082">
        <f t="shared" si="1"/>
        <v>3.9889743589743589</v>
      </c>
      <c r="E38" s="1082">
        <v>3.9889743589743589</v>
      </c>
      <c r="F38" s="1082" t="s">
        <v>2427</v>
      </c>
      <c r="G38" s="1082" t="s">
        <v>2430</v>
      </c>
      <c r="H38" s="1082"/>
      <c r="I38" s="1072" t="s">
        <v>2431</v>
      </c>
    </row>
    <row r="39" spans="1:9" x14ac:dyDescent="0.25">
      <c r="A39" s="1079">
        <f t="shared" si="0"/>
        <v>1</v>
      </c>
      <c r="B39" s="1079" t="s">
        <v>1649</v>
      </c>
      <c r="C39" s="1080" t="s">
        <v>491</v>
      </c>
      <c r="D39" s="1082">
        <f t="shared" si="1"/>
        <v>1.4359999999999999</v>
      </c>
      <c r="E39" s="1082">
        <v>1.4359999999999999</v>
      </c>
      <c r="F39" s="1082" t="s">
        <v>2427</v>
      </c>
      <c r="G39" s="1082" t="s">
        <v>2430</v>
      </c>
      <c r="H39" s="1082"/>
      <c r="I39" s="1072" t="s">
        <v>2431</v>
      </c>
    </row>
    <row r="40" spans="1:9" x14ac:dyDescent="0.25">
      <c r="A40" s="1079">
        <f t="shared" si="0"/>
        <v>1</v>
      </c>
      <c r="B40" s="1079" t="s">
        <v>1648</v>
      </c>
      <c r="C40" s="1080" t="s">
        <v>491</v>
      </c>
      <c r="D40" s="1082">
        <f t="shared" si="1"/>
        <v>2.0979999999999999</v>
      </c>
      <c r="E40" s="1082">
        <v>2.0979999999999999</v>
      </c>
      <c r="F40" s="1082" t="s">
        <v>2427</v>
      </c>
      <c r="G40" s="1082" t="s">
        <v>2430</v>
      </c>
      <c r="H40" s="1082"/>
      <c r="I40" s="1072" t="s">
        <v>2431</v>
      </c>
    </row>
    <row r="41" spans="1:9" x14ac:dyDescent="0.25">
      <c r="A41" s="1079">
        <f t="shared" si="0"/>
        <v>1</v>
      </c>
      <c r="B41" s="1079" t="s">
        <v>1647</v>
      </c>
      <c r="C41" s="1080" t="s">
        <v>491</v>
      </c>
      <c r="D41" s="1082">
        <f t="shared" si="1"/>
        <v>4.1890000000000001</v>
      </c>
      <c r="E41" s="1082">
        <v>4.1890000000000001</v>
      </c>
      <c r="F41" s="1082" t="s">
        <v>2427</v>
      </c>
      <c r="G41" s="1082" t="s">
        <v>2430</v>
      </c>
      <c r="H41" s="1082"/>
      <c r="I41" s="1072" t="s">
        <v>2431</v>
      </c>
    </row>
    <row r="42" spans="1:9" x14ac:dyDescent="0.25">
      <c r="A42" s="1079">
        <f t="shared" si="0"/>
        <v>1</v>
      </c>
      <c r="B42" s="1079" t="s">
        <v>1654</v>
      </c>
      <c r="C42" s="1080" t="s">
        <v>491</v>
      </c>
      <c r="D42" s="1082">
        <f t="shared" si="1"/>
        <v>3.22</v>
      </c>
      <c r="E42" s="1082">
        <v>3.22</v>
      </c>
      <c r="F42" s="1082" t="s">
        <v>2427</v>
      </c>
      <c r="G42" s="1082" t="s">
        <v>2430</v>
      </c>
      <c r="H42" s="1082"/>
      <c r="I42" s="1072" t="s">
        <v>2431</v>
      </c>
    </row>
    <row r="43" spans="1:9" x14ac:dyDescent="0.25">
      <c r="A43" s="1079">
        <f t="shared" si="0"/>
        <v>1</v>
      </c>
      <c r="B43" s="1079" t="s">
        <v>1652</v>
      </c>
      <c r="C43" s="1080" t="s">
        <v>491</v>
      </c>
      <c r="D43" s="1082">
        <f t="shared" si="1"/>
        <v>3.3050000000000002</v>
      </c>
      <c r="E43" s="1082">
        <v>3.3050000000000002</v>
      </c>
      <c r="F43" s="1082" t="s">
        <v>2427</v>
      </c>
      <c r="G43" s="1082" t="s">
        <v>2430</v>
      </c>
      <c r="H43" s="1082"/>
      <c r="I43" s="1072" t="s">
        <v>2431</v>
      </c>
    </row>
    <row r="44" spans="1:9" x14ac:dyDescent="0.25">
      <c r="A44" s="1079">
        <f t="shared" si="0"/>
        <v>1</v>
      </c>
      <c r="B44" s="1079" t="s">
        <v>1655</v>
      </c>
      <c r="C44" s="1080" t="s">
        <v>491</v>
      </c>
      <c r="D44" s="1082">
        <f t="shared" si="1"/>
        <v>4.09</v>
      </c>
      <c r="E44" s="1082">
        <v>4.09</v>
      </c>
      <c r="F44" s="1082" t="s">
        <v>2427</v>
      </c>
      <c r="G44" s="1082" t="s">
        <v>2430</v>
      </c>
      <c r="H44" s="1082"/>
      <c r="I44" s="1072" t="s">
        <v>2431</v>
      </c>
    </row>
    <row r="45" spans="1:9" x14ac:dyDescent="0.25">
      <c r="A45" s="1079">
        <f t="shared" si="0"/>
        <v>1</v>
      </c>
      <c r="B45" s="1079" t="s">
        <v>1631</v>
      </c>
      <c r="C45" s="1080" t="s">
        <v>491</v>
      </c>
      <c r="D45" s="1082">
        <f t="shared" si="1"/>
        <v>1.69</v>
      </c>
      <c r="E45" s="1082">
        <v>1.69</v>
      </c>
      <c r="F45" s="1082" t="s">
        <v>2427</v>
      </c>
      <c r="G45" s="1082" t="s">
        <v>2430</v>
      </c>
      <c r="H45" s="1082"/>
      <c r="I45" s="1072" t="s">
        <v>2431</v>
      </c>
    </row>
    <row r="46" spans="1:9" x14ac:dyDescent="0.25">
      <c r="A46" s="1079">
        <f t="shared" si="0"/>
        <v>1</v>
      </c>
      <c r="B46" s="1079" t="s">
        <v>1634</v>
      </c>
      <c r="C46" s="1080" t="s">
        <v>491</v>
      </c>
      <c r="D46" s="1082">
        <f t="shared" si="1"/>
        <v>2.76</v>
      </c>
      <c r="E46" s="1082">
        <v>2.76</v>
      </c>
      <c r="F46" s="1082" t="s">
        <v>2427</v>
      </c>
      <c r="G46" s="1082" t="s">
        <v>2430</v>
      </c>
      <c r="H46" s="1082"/>
      <c r="I46" s="1072" t="s">
        <v>2431</v>
      </c>
    </row>
    <row r="47" spans="1:9" x14ac:dyDescent="0.25">
      <c r="A47" s="1079">
        <f t="shared" si="0"/>
        <v>1</v>
      </c>
      <c r="B47" s="1079" t="s">
        <v>1620</v>
      </c>
      <c r="C47" s="1080" t="s">
        <v>491</v>
      </c>
      <c r="D47" s="1082">
        <f t="shared" si="1"/>
        <v>1.4</v>
      </c>
      <c r="E47" s="1082">
        <v>1.4</v>
      </c>
      <c r="F47" s="1082" t="s">
        <v>2427</v>
      </c>
      <c r="G47" s="1082" t="s">
        <v>2433</v>
      </c>
      <c r="H47" s="1082"/>
      <c r="I47" s="1072" t="s">
        <v>2431</v>
      </c>
    </row>
    <row r="48" spans="1:9" x14ac:dyDescent="0.25">
      <c r="A48" s="1079">
        <f t="shared" si="0"/>
        <v>1</v>
      </c>
      <c r="B48" s="1079" t="s">
        <v>2434</v>
      </c>
      <c r="C48" s="1080" t="s">
        <v>491</v>
      </c>
      <c r="D48" s="1082">
        <f t="shared" si="1"/>
        <v>0.99</v>
      </c>
      <c r="E48" s="1082">
        <v>0.99</v>
      </c>
      <c r="F48" s="1082" t="s">
        <v>2427</v>
      </c>
      <c r="G48" s="1082" t="s">
        <v>2433</v>
      </c>
      <c r="H48" s="1082"/>
      <c r="I48" s="1072" t="s">
        <v>2431</v>
      </c>
    </row>
    <row r="49" spans="1:9" x14ac:dyDescent="0.25">
      <c r="A49" s="1079">
        <f t="shared" si="0"/>
        <v>1</v>
      </c>
      <c r="B49" s="1079" t="s">
        <v>1611</v>
      </c>
      <c r="C49" s="1080" t="s">
        <v>491</v>
      </c>
      <c r="D49" s="1082">
        <f t="shared" si="1"/>
        <v>0.99</v>
      </c>
      <c r="E49" s="1082">
        <v>0.99</v>
      </c>
      <c r="F49" s="1082" t="s">
        <v>2427</v>
      </c>
      <c r="G49" s="1082" t="s">
        <v>2433</v>
      </c>
      <c r="H49" s="1082"/>
      <c r="I49" s="1072" t="s">
        <v>2431</v>
      </c>
    </row>
    <row r="50" spans="1:9" x14ac:dyDescent="0.25">
      <c r="A50" s="1079">
        <f t="shared" si="0"/>
        <v>1</v>
      </c>
      <c r="B50" s="1079" t="s">
        <v>1614</v>
      </c>
      <c r="C50" s="1080" t="s">
        <v>491</v>
      </c>
      <c r="D50" s="1082">
        <f t="shared" si="1"/>
        <v>1.24</v>
      </c>
      <c r="E50" s="1082">
        <v>1.24</v>
      </c>
      <c r="F50" s="1082" t="s">
        <v>2427</v>
      </c>
      <c r="G50" s="1082" t="s">
        <v>2433</v>
      </c>
      <c r="H50" s="1082"/>
      <c r="I50" s="1072" t="s">
        <v>2431</v>
      </c>
    </row>
    <row r="51" spans="1:9" x14ac:dyDescent="0.25">
      <c r="A51" s="1079">
        <f t="shared" si="0"/>
        <v>1</v>
      </c>
      <c r="B51" s="1079" t="s">
        <v>1618</v>
      </c>
      <c r="C51" s="1080" t="s">
        <v>491</v>
      </c>
      <c r="D51" s="1082">
        <f t="shared" si="1"/>
        <v>2.6</v>
      </c>
      <c r="E51" s="1082">
        <v>2.6</v>
      </c>
      <c r="F51" s="1082" t="s">
        <v>2427</v>
      </c>
      <c r="G51" s="1082" t="s">
        <v>2433</v>
      </c>
      <c r="H51" s="1082"/>
      <c r="I51" s="1072" t="s">
        <v>2431</v>
      </c>
    </row>
    <row r="52" spans="1:9" x14ac:dyDescent="0.25">
      <c r="A52" s="1079">
        <f t="shared" si="0"/>
        <v>1</v>
      </c>
      <c r="B52" s="1079" t="s">
        <v>1622</v>
      </c>
      <c r="C52" s="1080" t="s">
        <v>491</v>
      </c>
      <c r="D52" s="1082">
        <f t="shared" si="1"/>
        <v>2.7</v>
      </c>
      <c r="E52" s="1082">
        <v>2.7</v>
      </c>
      <c r="F52" s="1082" t="s">
        <v>2427</v>
      </c>
      <c r="G52" s="1082" t="s">
        <v>2433</v>
      </c>
      <c r="H52" s="1082"/>
      <c r="I52" s="1072" t="s">
        <v>2431</v>
      </c>
    </row>
    <row r="53" spans="1:9" x14ac:dyDescent="0.25">
      <c r="A53" s="1079">
        <f t="shared" si="0"/>
        <v>1</v>
      </c>
      <c r="B53" s="1079" t="s">
        <v>1661</v>
      </c>
      <c r="C53" s="1080" t="s">
        <v>491</v>
      </c>
      <c r="D53" s="1082">
        <f t="shared" si="1"/>
        <v>15</v>
      </c>
      <c r="E53" s="1082">
        <v>15</v>
      </c>
      <c r="F53" s="1082" t="s">
        <v>2427</v>
      </c>
      <c r="G53" s="1082" t="s">
        <v>2433</v>
      </c>
      <c r="H53" s="1072"/>
      <c r="I53" s="1072" t="s">
        <v>2431</v>
      </c>
    </row>
    <row r="54" spans="1:9" x14ac:dyDescent="0.25">
      <c r="A54" s="1079">
        <f t="shared" si="0"/>
        <v>1</v>
      </c>
      <c r="B54" s="1079" t="s">
        <v>1659</v>
      </c>
      <c r="C54" s="1080" t="s">
        <v>491</v>
      </c>
      <c r="D54" s="1082">
        <f t="shared" si="1"/>
        <v>11.99</v>
      </c>
      <c r="E54" s="1082">
        <v>11.99</v>
      </c>
      <c r="F54" s="1082" t="s">
        <v>2427</v>
      </c>
      <c r="G54" s="1082" t="s">
        <v>2433</v>
      </c>
      <c r="H54" s="1082"/>
      <c r="I54" s="1072" t="s">
        <v>2431</v>
      </c>
    </row>
    <row r="55" spans="1:9" x14ac:dyDescent="0.25">
      <c r="A55" s="1079">
        <f t="shared" si="0"/>
        <v>1</v>
      </c>
      <c r="B55" s="1079" t="s">
        <v>1624</v>
      </c>
      <c r="C55" s="1080" t="s">
        <v>491</v>
      </c>
      <c r="D55" s="1082">
        <f t="shared" si="1"/>
        <v>1.05</v>
      </c>
      <c r="E55" s="1082">
        <v>1.05</v>
      </c>
      <c r="F55" s="1082" t="s">
        <v>2427</v>
      </c>
      <c r="G55" s="1082" t="s">
        <v>2433</v>
      </c>
      <c r="H55" s="1082"/>
      <c r="I55" s="1072" t="s">
        <v>2431</v>
      </c>
    </row>
    <row r="56" spans="1:9" x14ac:dyDescent="0.25">
      <c r="A56" s="1079">
        <f t="shared" si="0"/>
        <v>1</v>
      </c>
      <c r="B56" s="1079" t="s">
        <v>1625</v>
      </c>
      <c r="C56" s="1080" t="s">
        <v>491</v>
      </c>
      <c r="D56" s="1082">
        <f t="shared" si="1"/>
        <v>1.18</v>
      </c>
      <c r="E56" s="1082">
        <v>1.18</v>
      </c>
      <c r="F56" s="1082" t="s">
        <v>2427</v>
      </c>
      <c r="G56" s="1082" t="s">
        <v>2433</v>
      </c>
      <c r="H56" s="1082"/>
      <c r="I56" s="1072" t="s">
        <v>2431</v>
      </c>
    </row>
    <row r="57" spans="1:9" x14ac:dyDescent="0.25">
      <c r="A57" s="1079">
        <f t="shared" si="0"/>
        <v>1</v>
      </c>
      <c r="B57" s="1079" t="s">
        <v>1626</v>
      </c>
      <c r="C57" s="1080" t="s">
        <v>491</v>
      </c>
      <c r="D57" s="1082">
        <f t="shared" si="1"/>
        <v>1.53</v>
      </c>
      <c r="E57" s="1082">
        <v>1.53</v>
      </c>
      <c r="F57" s="1082" t="s">
        <v>2427</v>
      </c>
      <c r="G57" s="1082" t="s">
        <v>2433</v>
      </c>
      <c r="H57" s="1082"/>
      <c r="I57" s="1072" t="s">
        <v>2431</v>
      </c>
    </row>
    <row r="58" spans="1:9" x14ac:dyDescent="0.25">
      <c r="A58" s="1079">
        <f t="shared" si="0"/>
        <v>1</v>
      </c>
      <c r="B58" s="1079" t="s">
        <v>1628</v>
      </c>
      <c r="C58" s="1080" t="s">
        <v>491</v>
      </c>
      <c r="D58" s="1082">
        <f t="shared" si="1"/>
        <v>2.75</v>
      </c>
      <c r="E58" s="1082">
        <v>2.75</v>
      </c>
      <c r="F58" s="1082" t="s">
        <v>2427</v>
      </c>
      <c r="G58" s="1082" t="s">
        <v>2433</v>
      </c>
      <c r="H58" s="1082"/>
      <c r="I58" s="1072" t="s">
        <v>2431</v>
      </c>
    </row>
    <row r="59" spans="1:9" x14ac:dyDescent="0.25">
      <c r="A59" s="1079">
        <f t="shared" si="0"/>
        <v>1</v>
      </c>
      <c r="B59" s="1079" t="s">
        <v>1629</v>
      </c>
      <c r="C59" s="1080" t="s">
        <v>491</v>
      </c>
      <c r="D59" s="1082">
        <f t="shared" si="1"/>
        <v>2.69</v>
      </c>
      <c r="E59" s="1082">
        <v>2.69</v>
      </c>
      <c r="F59" s="1082" t="s">
        <v>2427</v>
      </c>
      <c r="G59" s="1082" t="s">
        <v>2433</v>
      </c>
      <c r="H59" s="1082"/>
      <c r="I59" s="1072" t="s">
        <v>2431</v>
      </c>
    </row>
    <row r="60" spans="1:9" x14ac:dyDescent="0.25">
      <c r="A60" s="1079">
        <f t="shared" si="0"/>
        <v>1</v>
      </c>
      <c r="B60" s="1094" t="s">
        <v>1640</v>
      </c>
      <c r="C60" s="1080" t="s">
        <v>1426</v>
      </c>
      <c r="D60" s="1082">
        <f t="shared" si="1"/>
        <v>10.71</v>
      </c>
      <c r="E60" s="1082">
        <v>10.71</v>
      </c>
      <c r="F60" s="1082" t="s">
        <v>2435</v>
      </c>
      <c r="G60" s="1082" t="s">
        <v>2436</v>
      </c>
      <c r="H60" s="1082"/>
      <c r="I60" s="1072" t="s">
        <v>2435</v>
      </c>
    </row>
    <row r="61" spans="1:9" x14ac:dyDescent="0.25">
      <c r="A61" s="1079">
        <f t="shared" si="0"/>
        <v>1</v>
      </c>
      <c r="B61" s="1094" t="s">
        <v>1638</v>
      </c>
      <c r="C61" s="1080" t="s">
        <v>1426</v>
      </c>
      <c r="D61" s="1082">
        <f t="shared" si="1"/>
        <v>12.9</v>
      </c>
      <c r="E61" s="1082">
        <v>12.9</v>
      </c>
      <c r="F61" s="1082" t="s">
        <v>2435</v>
      </c>
      <c r="G61" s="1082" t="s">
        <v>2436</v>
      </c>
      <c r="H61" s="1082"/>
      <c r="I61" s="1072" t="s">
        <v>2435</v>
      </c>
    </row>
    <row r="62" spans="1:9" x14ac:dyDescent="0.25">
      <c r="A62" s="1079">
        <f t="shared" si="0"/>
        <v>1</v>
      </c>
      <c r="B62" s="1094" t="s">
        <v>1636</v>
      </c>
      <c r="C62" s="1080" t="s">
        <v>1426</v>
      </c>
      <c r="D62" s="1082">
        <f t="shared" si="1"/>
        <v>17.91</v>
      </c>
      <c r="E62" s="1082">
        <v>17.91</v>
      </c>
      <c r="F62" s="1082" t="s">
        <v>2435</v>
      </c>
      <c r="G62" s="1082" t="s">
        <v>2436</v>
      </c>
      <c r="H62" s="1082"/>
      <c r="I62" s="1072" t="s">
        <v>2435</v>
      </c>
    </row>
    <row r="63" spans="1:9" ht="18" x14ac:dyDescent="0.25">
      <c r="A63" s="1079">
        <f t="shared" si="0"/>
        <v>1</v>
      </c>
      <c r="B63" s="1094" t="s">
        <v>1773</v>
      </c>
      <c r="C63" s="1080" t="s">
        <v>1426</v>
      </c>
      <c r="D63" s="1082">
        <f t="shared" si="1"/>
        <v>657.89</v>
      </c>
      <c r="E63" s="1082">
        <v>657.89</v>
      </c>
      <c r="F63" s="1082" t="s">
        <v>2435</v>
      </c>
      <c r="G63" s="1082" t="s">
        <v>2437</v>
      </c>
      <c r="H63" s="1082"/>
      <c r="I63" s="1072" t="s">
        <v>2435</v>
      </c>
    </row>
    <row r="64" spans="1:9" ht="18" x14ac:dyDescent="0.25">
      <c r="A64" s="1079">
        <f t="shared" si="0"/>
        <v>1</v>
      </c>
      <c r="B64" s="1094" t="s">
        <v>1766</v>
      </c>
      <c r="C64" s="1080" t="s">
        <v>1426</v>
      </c>
      <c r="D64" s="1082">
        <f t="shared" si="1"/>
        <v>633.27</v>
      </c>
      <c r="E64" s="1082">
        <v>633.27</v>
      </c>
      <c r="F64" s="1082" t="s">
        <v>2435</v>
      </c>
      <c r="G64" s="1082" t="s">
        <v>2437</v>
      </c>
      <c r="H64" s="1082"/>
      <c r="I64" s="1072" t="s">
        <v>2435</v>
      </c>
    </row>
    <row r="65" spans="1:9" x14ac:dyDescent="0.25">
      <c r="A65" s="1079">
        <f t="shared" si="0"/>
        <v>1</v>
      </c>
      <c r="B65" s="1079" t="s">
        <v>1368</v>
      </c>
      <c r="C65" s="1080" t="s">
        <v>1481</v>
      </c>
      <c r="D65" s="1082">
        <f t="shared" si="1"/>
        <v>0.46</v>
      </c>
      <c r="E65" s="1082">
        <v>0.46</v>
      </c>
      <c r="F65" s="1082" t="s">
        <v>2435</v>
      </c>
      <c r="G65" s="1082" t="s">
        <v>2438</v>
      </c>
      <c r="H65" s="1082"/>
      <c r="I65" s="1072" t="s">
        <v>2435</v>
      </c>
    </row>
    <row r="66" spans="1:9" x14ac:dyDescent="0.25">
      <c r="A66" s="1079">
        <f t="shared" si="0"/>
        <v>1</v>
      </c>
      <c r="B66" s="1079" t="s">
        <v>1669</v>
      </c>
      <c r="C66" s="1080" t="s">
        <v>5</v>
      </c>
      <c r="D66" s="1082">
        <f t="shared" si="1"/>
        <v>2.5619999999999998</v>
      </c>
      <c r="E66" s="1082">
        <v>2.5619999999999998</v>
      </c>
      <c r="F66" s="1082" t="s">
        <v>2435</v>
      </c>
      <c r="G66" s="1082" t="s">
        <v>2439</v>
      </c>
      <c r="H66" s="1082"/>
      <c r="I66" s="1072" t="s">
        <v>2435</v>
      </c>
    </row>
    <row r="67" spans="1:9" x14ac:dyDescent="0.25">
      <c r="A67" s="1079">
        <f t="shared" si="0"/>
        <v>1</v>
      </c>
      <c r="B67" s="1079" t="s">
        <v>1946</v>
      </c>
      <c r="C67" s="1080" t="s">
        <v>1481</v>
      </c>
      <c r="D67" s="1082">
        <f t="shared" si="1"/>
        <v>0.97750000000000004</v>
      </c>
      <c r="E67" s="1082">
        <v>0.97750000000000004</v>
      </c>
      <c r="F67" s="1082" t="s">
        <v>2435</v>
      </c>
      <c r="G67" s="1082" t="s">
        <v>2437</v>
      </c>
      <c r="H67" s="1082"/>
      <c r="I67" s="1072" t="s">
        <v>2435</v>
      </c>
    </row>
    <row r="68" spans="1:9" x14ac:dyDescent="0.25">
      <c r="A68" s="1079">
        <f t="shared" si="0"/>
        <v>1</v>
      </c>
      <c r="B68" s="1079" t="s">
        <v>2440</v>
      </c>
      <c r="C68" s="1080" t="s">
        <v>1481</v>
      </c>
      <c r="D68" s="1082">
        <f t="shared" si="1"/>
        <v>4</v>
      </c>
      <c r="E68" s="1082">
        <v>4</v>
      </c>
      <c r="F68" s="1082" t="s">
        <v>2435</v>
      </c>
      <c r="G68" s="1082" t="s">
        <v>2437</v>
      </c>
      <c r="H68" s="1082"/>
      <c r="I68" s="1072" t="s">
        <v>2435</v>
      </c>
    </row>
    <row r="69" spans="1:9" x14ac:dyDescent="0.25">
      <c r="A69" s="1079">
        <f t="shared" ref="A69:A136" si="4">COUNTIFS($B$2:$B$670,B69)</f>
        <v>1</v>
      </c>
      <c r="B69" s="1079" t="s">
        <v>1762</v>
      </c>
      <c r="C69" s="1080" t="s">
        <v>1481</v>
      </c>
      <c r="D69" s="1082">
        <f t="shared" si="1"/>
        <v>2.5499999999999998</v>
      </c>
      <c r="E69" s="1082">
        <v>2.5499999999999998</v>
      </c>
      <c r="F69" s="1082" t="s">
        <v>2435</v>
      </c>
      <c r="G69" s="1082" t="s">
        <v>2437</v>
      </c>
      <c r="H69" s="1082"/>
      <c r="I69" s="1072" t="s">
        <v>2435</v>
      </c>
    </row>
    <row r="70" spans="1:9" x14ac:dyDescent="0.25">
      <c r="A70" s="1079">
        <f t="shared" si="4"/>
        <v>1</v>
      </c>
      <c r="B70" s="1079" t="s">
        <v>2441</v>
      </c>
      <c r="C70" s="1080" t="s">
        <v>1481</v>
      </c>
      <c r="D70" s="1082">
        <f t="shared" ref="D70:D137" si="5">E70*$D$1</f>
        <v>1.36</v>
      </c>
      <c r="E70" s="1082">
        <v>1.36</v>
      </c>
      <c r="F70" s="1082" t="s">
        <v>2435</v>
      </c>
      <c r="G70" s="1082" t="s">
        <v>2437</v>
      </c>
      <c r="H70" s="1082"/>
      <c r="I70" s="1072" t="s">
        <v>2435</v>
      </c>
    </row>
    <row r="71" spans="1:9" x14ac:dyDescent="0.25">
      <c r="A71" s="1079">
        <f t="shared" si="4"/>
        <v>1</v>
      </c>
      <c r="B71" s="1079" t="s">
        <v>1769</v>
      </c>
      <c r="C71" s="1080" t="s">
        <v>1481</v>
      </c>
      <c r="D71" s="1082">
        <f t="shared" si="5"/>
        <v>2.2949999999999999</v>
      </c>
      <c r="E71" s="1082">
        <v>2.2949999999999999</v>
      </c>
      <c r="F71" s="1082" t="s">
        <v>2435</v>
      </c>
      <c r="G71" s="1082" t="s">
        <v>2439</v>
      </c>
      <c r="H71" s="1082"/>
      <c r="I71" s="1072" t="s">
        <v>2435</v>
      </c>
    </row>
    <row r="72" spans="1:9" x14ac:dyDescent="0.25">
      <c r="A72" s="1079">
        <f t="shared" si="4"/>
        <v>1</v>
      </c>
      <c r="B72" s="1079" t="s">
        <v>1615</v>
      </c>
      <c r="C72" s="1080" t="s">
        <v>1481</v>
      </c>
      <c r="D72" s="1082">
        <f t="shared" si="5"/>
        <v>19.116</v>
      </c>
      <c r="E72" s="1082">
        <v>19.116</v>
      </c>
      <c r="F72" s="1082" t="s">
        <v>2435</v>
      </c>
      <c r="G72" s="1082" t="s">
        <v>2439</v>
      </c>
      <c r="H72" s="1082"/>
      <c r="I72" s="1072" t="s">
        <v>2435</v>
      </c>
    </row>
    <row r="73" spans="1:9" x14ac:dyDescent="0.25">
      <c r="A73" s="1079">
        <f t="shared" si="4"/>
        <v>1</v>
      </c>
      <c r="B73" s="1079" t="s">
        <v>1664</v>
      </c>
      <c r="C73" s="1080" t="s">
        <v>1426</v>
      </c>
      <c r="D73" s="1082">
        <f t="shared" si="5"/>
        <v>1.75</v>
      </c>
      <c r="E73" s="1082">
        <v>1.75</v>
      </c>
      <c r="F73" s="1082" t="s">
        <v>2435</v>
      </c>
      <c r="G73" s="1082" t="s">
        <v>2439</v>
      </c>
      <c r="H73" s="1082"/>
      <c r="I73" s="1072" t="s">
        <v>2435</v>
      </c>
    </row>
    <row r="74" spans="1:9" x14ac:dyDescent="0.25">
      <c r="A74" s="1079">
        <f t="shared" si="4"/>
        <v>1</v>
      </c>
      <c r="B74" s="1079" t="s">
        <v>1776</v>
      </c>
      <c r="C74" s="1080" t="s">
        <v>1426</v>
      </c>
      <c r="D74" s="1082">
        <f t="shared" si="5"/>
        <v>605.66</v>
      </c>
      <c r="E74" s="1082">
        <v>605.66</v>
      </c>
      <c r="F74" s="1082" t="s">
        <v>2435</v>
      </c>
      <c r="G74" s="1082" t="s">
        <v>2439</v>
      </c>
      <c r="H74" s="1082"/>
      <c r="I74" s="1072" t="s">
        <v>2435</v>
      </c>
    </row>
    <row r="75" spans="1:9" x14ac:dyDescent="0.25">
      <c r="A75" s="1079">
        <f t="shared" si="4"/>
        <v>1</v>
      </c>
      <c r="B75" s="1079" t="s">
        <v>1727</v>
      </c>
      <c r="C75" s="1080" t="s">
        <v>1426</v>
      </c>
      <c r="D75" s="1082">
        <f t="shared" si="5"/>
        <v>550</v>
      </c>
      <c r="E75" s="1082">
        <v>550</v>
      </c>
      <c r="F75" s="1082" t="s">
        <v>2435</v>
      </c>
      <c r="G75" s="1082" t="s">
        <v>2439</v>
      </c>
      <c r="H75" s="1082"/>
      <c r="I75" s="1072" t="s">
        <v>2435</v>
      </c>
    </row>
    <row r="76" spans="1:9" x14ac:dyDescent="0.25">
      <c r="A76" s="1079">
        <f t="shared" si="4"/>
        <v>1</v>
      </c>
      <c r="B76" s="1079" t="s">
        <v>1896</v>
      </c>
      <c r="C76" s="1080" t="s">
        <v>1481</v>
      </c>
      <c r="D76" s="1082">
        <f t="shared" si="5"/>
        <v>2.9449999999999998</v>
      </c>
      <c r="E76" s="1082">
        <v>2.9449999999999998</v>
      </c>
      <c r="F76" s="1082" t="s">
        <v>2435</v>
      </c>
      <c r="G76" s="1082" t="s">
        <v>2439</v>
      </c>
      <c r="H76" s="1082"/>
      <c r="I76" s="1072" t="s">
        <v>2435</v>
      </c>
    </row>
    <row r="77" spans="1:9" x14ac:dyDescent="0.25">
      <c r="A77" s="1079">
        <f t="shared" si="4"/>
        <v>1</v>
      </c>
      <c r="B77" s="1079" t="s">
        <v>1632</v>
      </c>
      <c r="C77" s="1080" t="s">
        <v>1426</v>
      </c>
      <c r="D77" s="1082">
        <f t="shared" si="5"/>
        <v>425</v>
      </c>
      <c r="E77" s="1082">
        <v>425</v>
      </c>
      <c r="F77" s="1082" t="s">
        <v>2435</v>
      </c>
      <c r="G77" s="1082" t="s">
        <v>2442</v>
      </c>
      <c r="H77" s="1082"/>
      <c r="I77" s="1072" t="s">
        <v>2435</v>
      </c>
    </row>
    <row r="78" spans="1:9" x14ac:dyDescent="0.25">
      <c r="A78" s="1079">
        <f t="shared" si="4"/>
        <v>1</v>
      </c>
      <c r="B78" s="1079" t="s">
        <v>1767</v>
      </c>
      <c r="C78" s="1080" t="s">
        <v>1426</v>
      </c>
      <c r="D78" s="1082">
        <f t="shared" si="5"/>
        <v>480</v>
      </c>
      <c r="E78" s="1082">
        <v>480</v>
      </c>
      <c r="F78" s="1082" t="s">
        <v>2435</v>
      </c>
      <c r="G78" s="1082" t="s">
        <v>2442</v>
      </c>
      <c r="H78" s="1082"/>
      <c r="I78" s="1072" t="s">
        <v>2435</v>
      </c>
    </row>
    <row r="79" spans="1:9" x14ac:dyDescent="0.25">
      <c r="A79" s="1079">
        <f t="shared" si="4"/>
        <v>1</v>
      </c>
      <c r="B79" s="1079" t="s">
        <v>1612</v>
      </c>
      <c r="C79" s="1080" t="s">
        <v>1426</v>
      </c>
      <c r="D79" s="1082">
        <f t="shared" si="5"/>
        <v>425</v>
      </c>
      <c r="E79" s="1082">
        <v>425</v>
      </c>
      <c r="F79" s="1082" t="s">
        <v>2435</v>
      </c>
      <c r="G79" s="1082" t="s">
        <v>2442</v>
      </c>
      <c r="H79" s="1082"/>
      <c r="I79" s="1072" t="s">
        <v>2435</v>
      </c>
    </row>
    <row r="80" spans="1:9" x14ac:dyDescent="0.25">
      <c r="A80" s="1079">
        <f t="shared" ref="A80" si="6">COUNTIFS($B$2:$B$670,B80)</f>
        <v>1</v>
      </c>
      <c r="B80" s="1079" t="s">
        <v>2578</v>
      </c>
      <c r="C80" s="1080" t="s">
        <v>17</v>
      </c>
      <c r="D80" s="1082">
        <f t="shared" ref="D80" si="7">E80*$D$1</f>
        <v>88.37</v>
      </c>
      <c r="E80" s="1082">
        <v>88.37</v>
      </c>
      <c r="F80" s="1082" t="s">
        <v>2443</v>
      </c>
      <c r="G80" s="1082" t="s">
        <v>2443</v>
      </c>
      <c r="H80" s="1082"/>
      <c r="I80" s="1072" t="s">
        <v>2444</v>
      </c>
    </row>
    <row r="81" spans="1:9" x14ac:dyDescent="0.25">
      <c r="A81" s="1079">
        <f t="shared" si="4"/>
        <v>1</v>
      </c>
      <c r="B81" s="1079" t="s">
        <v>2404</v>
      </c>
      <c r="C81" s="1080" t="s">
        <v>17</v>
      </c>
      <c r="D81" s="1082">
        <f t="shared" si="5"/>
        <v>75.900000000000006</v>
      </c>
      <c r="E81" s="1082">
        <v>75.900000000000006</v>
      </c>
      <c r="F81" s="1082" t="s">
        <v>2443</v>
      </c>
      <c r="G81" s="1082" t="s">
        <v>2443</v>
      </c>
      <c r="H81" s="1082"/>
      <c r="I81" s="1072" t="s">
        <v>2444</v>
      </c>
    </row>
    <row r="82" spans="1:9" x14ac:dyDescent="0.25">
      <c r="A82" s="1079">
        <f t="shared" si="4"/>
        <v>1</v>
      </c>
      <c r="B82" s="1079" t="s">
        <v>2024</v>
      </c>
      <c r="C82" s="1080" t="s">
        <v>17</v>
      </c>
      <c r="D82" s="1082">
        <f t="shared" si="5"/>
        <v>65.900000000000006</v>
      </c>
      <c r="E82" s="1082">
        <v>65.900000000000006</v>
      </c>
      <c r="F82" s="1082" t="s">
        <v>2443</v>
      </c>
      <c r="G82" s="1082" t="s">
        <v>2443</v>
      </c>
      <c r="H82" s="1082"/>
      <c r="I82" s="1072" t="s">
        <v>2444</v>
      </c>
    </row>
    <row r="83" spans="1:9" x14ac:dyDescent="0.25">
      <c r="A83" s="1079">
        <f t="shared" si="4"/>
        <v>1</v>
      </c>
      <c r="B83" s="1079" t="s">
        <v>2078</v>
      </c>
      <c r="C83" s="1080" t="s">
        <v>17</v>
      </c>
      <c r="D83" s="1082">
        <f t="shared" si="5"/>
        <v>102.9</v>
      </c>
      <c r="E83" s="1082">
        <v>102.9</v>
      </c>
      <c r="F83" s="1082" t="s">
        <v>2443</v>
      </c>
      <c r="G83" s="1082" t="s">
        <v>2443</v>
      </c>
      <c r="H83" s="1082"/>
      <c r="I83" s="1072" t="s">
        <v>2444</v>
      </c>
    </row>
    <row r="84" spans="1:9" x14ac:dyDescent="0.25">
      <c r="A84" s="1079">
        <f t="shared" si="4"/>
        <v>1</v>
      </c>
      <c r="B84" s="1079" t="s">
        <v>2332</v>
      </c>
      <c r="C84" s="1080" t="s">
        <v>861</v>
      </c>
      <c r="D84" s="1082">
        <f t="shared" si="5"/>
        <v>750</v>
      </c>
      <c r="E84" s="1082">
        <v>750</v>
      </c>
      <c r="F84" s="1082" t="s">
        <v>2445</v>
      </c>
      <c r="G84" s="1082" t="s">
        <v>2445</v>
      </c>
      <c r="H84" s="1082"/>
      <c r="I84" s="1072" t="s">
        <v>2446</v>
      </c>
    </row>
    <row r="85" spans="1:9" x14ac:dyDescent="0.25">
      <c r="A85" s="1079">
        <f t="shared" si="4"/>
        <v>1</v>
      </c>
      <c r="B85" s="1079" t="s">
        <v>2334</v>
      </c>
      <c r="C85" s="1080" t="s">
        <v>861</v>
      </c>
      <c r="D85" s="1082">
        <f t="shared" si="5"/>
        <v>750</v>
      </c>
      <c r="E85" s="1082">
        <v>750</v>
      </c>
      <c r="F85" s="1082" t="s">
        <v>2445</v>
      </c>
      <c r="G85" s="1082" t="s">
        <v>2445</v>
      </c>
      <c r="H85" s="1082"/>
      <c r="I85" s="1072" t="s">
        <v>2446</v>
      </c>
    </row>
    <row r="86" spans="1:9" x14ac:dyDescent="0.25">
      <c r="A86" s="1079">
        <f t="shared" si="4"/>
        <v>1</v>
      </c>
      <c r="B86" s="1079" t="s">
        <v>2336</v>
      </c>
      <c r="C86" s="1080" t="s">
        <v>861</v>
      </c>
      <c r="D86" s="1082">
        <f t="shared" si="5"/>
        <v>750</v>
      </c>
      <c r="E86" s="1082">
        <v>750</v>
      </c>
      <c r="F86" s="1082" t="s">
        <v>2445</v>
      </c>
      <c r="G86" s="1082" t="s">
        <v>2445</v>
      </c>
      <c r="H86" s="1082"/>
      <c r="I86" s="1072" t="s">
        <v>2446</v>
      </c>
    </row>
    <row r="87" spans="1:9" x14ac:dyDescent="0.25">
      <c r="A87" s="1079">
        <f t="shared" si="4"/>
        <v>1</v>
      </c>
      <c r="B87" s="1079" t="s">
        <v>2353</v>
      </c>
      <c r="C87" s="1080" t="s">
        <v>281</v>
      </c>
      <c r="D87" s="1082">
        <f t="shared" si="5"/>
        <v>18.7148</v>
      </c>
      <c r="E87" s="1082">
        <v>18.7148</v>
      </c>
      <c r="F87" s="1082" t="s">
        <v>831</v>
      </c>
      <c r="G87" s="1082" t="s">
        <v>2447</v>
      </c>
      <c r="H87" s="1082"/>
      <c r="I87" s="1072" t="s">
        <v>2448</v>
      </c>
    </row>
    <row r="88" spans="1:9" x14ac:dyDescent="0.25">
      <c r="A88" s="1079">
        <f t="shared" si="4"/>
        <v>1</v>
      </c>
      <c r="B88" s="1079" t="s">
        <v>2357</v>
      </c>
      <c r="C88" s="1080" t="s">
        <v>281</v>
      </c>
      <c r="D88" s="1082">
        <f t="shared" si="5"/>
        <v>23.0336</v>
      </c>
      <c r="E88" s="1082">
        <v>23.0336</v>
      </c>
      <c r="F88" s="1082" t="s">
        <v>831</v>
      </c>
      <c r="G88" s="1082" t="s">
        <v>2447</v>
      </c>
      <c r="H88" s="1082"/>
      <c r="I88" s="1072" t="s">
        <v>2448</v>
      </c>
    </row>
    <row r="89" spans="1:9" x14ac:dyDescent="0.25">
      <c r="A89" s="1079">
        <f t="shared" si="4"/>
        <v>1</v>
      </c>
      <c r="B89" s="1079" t="s">
        <v>2359</v>
      </c>
      <c r="C89" s="1080" t="s">
        <v>281</v>
      </c>
      <c r="D89" s="1082">
        <f t="shared" si="5"/>
        <v>35.99</v>
      </c>
      <c r="E89" s="1082">
        <v>35.99</v>
      </c>
      <c r="F89" s="1082" t="s">
        <v>831</v>
      </c>
      <c r="G89" s="1082" t="s">
        <v>2447</v>
      </c>
      <c r="H89" s="1082"/>
      <c r="I89" s="1072" t="s">
        <v>2448</v>
      </c>
    </row>
    <row r="90" spans="1:9" x14ac:dyDescent="0.25">
      <c r="A90" s="1079">
        <f t="shared" si="4"/>
        <v>1</v>
      </c>
      <c r="B90" s="1079" t="s">
        <v>2361</v>
      </c>
      <c r="C90" s="1080" t="s">
        <v>281</v>
      </c>
      <c r="D90" s="1082">
        <f t="shared" si="5"/>
        <v>46.666666666666664</v>
      </c>
      <c r="E90" s="1082">
        <v>46.666666666666664</v>
      </c>
      <c r="F90" s="1082" t="s">
        <v>831</v>
      </c>
      <c r="G90" s="1082" t="s">
        <v>2447</v>
      </c>
      <c r="H90" s="1082"/>
      <c r="I90" s="1072" t="s">
        <v>2448</v>
      </c>
    </row>
    <row r="91" spans="1:9" x14ac:dyDescent="0.25">
      <c r="A91" s="1079">
        <f t="shared" si="4"/>
        <v>1</v>
      </c>
      <c r="B91" s="1079" t="s">
        <v>2363</v>
      </c>
      <c r="C91" s="1080" t="s">
        <v>281</v>
      </c>
      <c r="D91" s="1082">
        <f t="shared" si="5"/>
        <v>78.599999999999994</v>
      </c>
      <c r="E91" s="1082">
        <v>78.599999999999994</v>
      </c>
      <c r="F91" s="1082" t="s">
        <v>831</v>
      </c>
      <c r="G91" s="1082" t="s">
        <v>2447</v>
      </c>
      <c r="H91" s="1082"/>
      <c r="I91" s="1072" t="s">
        <v>2448</v>
      </c>
    </row>
    <row r="92" spans="1:9" x14ac:dyDescent="0.25">
      <c r="A92" s="1079">
        <f t="shared" si="4"/>
        <v>1</v>
      </c>
      <c r="B92" s="1079" t="s">
        <v>2364</v>
      </c>
      <c r="C92" s="1080" t="s">
        <v>281</v>
      </c>
      <c r="D92" s="1082">
        <f t="shared" si="5"/>
        <v>59.966666666666669</v>
      </c>
      <c r="E92" s="1082">
        <v>59.966666666666669</v>
      </c>
      <c r="F92" s="1082" t="s">
        <v>831</v>
      </c>
      <c r="G92" s="1082" t="s">
        <v>2447</v>
      </c>
      <c r="H92" s="1082"/>
      <c r="I92" s="1072" t="s">
        <v>2448</v>
      </c>
    </row>
    <row r="93" spans="1:9" x14ac:dyDescent="0.25">
      <c r="A93" s="1079">
        <f t="shared" si="4"/>
        <v>1</v>
      </c>
      <c r="B93" s="1079" t="s">
        <v>2449</v>
      </c>
      <c r="C93" s="1080" t="s">
        <v>281</v>
      </c>
      <c r="D93" s="1082">
        <f t="shared" si="5"/>
        <v>25</v>
      </c>
      <c r="E93" s="1082">
        <v>25</v>
      </c>
      <c r="F93" s="1082" t="s">
        <v>831</v>
      </c>
      <c r="G93" s="1082" t="s">
        <v>2450</v>
      </c>
      <c r="H93" s="1082"/>
      <c r="I93" s="1072" t="s">
        <v>2448</v>
      </c>
    </row>
    <row r="94" spans="1:9" x14ac:dyDescent="0.25">
      <c r="A94" s="1079">
        <f t="shared" si="4"/>
        <v>1</v>
      </c>
      <c r="B94" s="1079" t="s">
        <v>2366</v>
      </c>
      <c r="C94" s="1080" t="s">
        <v>281</v>
      </c>
      <c r="D94" s="1082">
        <f t="shared" si="5"/>
        <v>28</v>
      </c>
      <c r="E94" s="1082">
        <v>28</v>
      </c>
      <c r="F94" s="1082" t="s">
        <v>831</v>
      </c>
      <c r="G94" s="1082" t="s">
        <v>2450</v>
      </c>
      <c r="H94" s="1082"/>
      <c r="I94" s="1072" t="s">
        <v>2448</v>
      </c>
    </row>
    <row r="95" spans="1:9" x14ac:dyDescent="0.25">
      <c r="A95" s="1079">
        <f t="shared" si="4"/>
        <v>1</v>
      </c>
      <c r="B95" s="1079" t="s">
        <v>2351</v>
      </c>
      <c r="C95" s="1080" t="s">
        <v>17</v>
      </c>
      <c r="D95" s="1082">
        <f t="shared" si="5"/>
        <v>198.19</v>
      </c>
      <c r="E95" s="1082">
        <v>198.19</v>
      </c>
      <c r="F95" s="1082" t="s">
        <v>831</v>
      </c>
      <c r="G95" s="1082" t="s">
        <v>2451</v>
      </c>
      <c r="H95" s="1082"/>
      <c r="I95" s="1072" t="s">
        <v>2448</v>
      </c>
    </row>
    <row r="96" spans="1:9" x14ac:dyDescent="0.25">
      <c r="A96" s="1079">
        <f t="shared" si="4"/>
        <v>1</v>
      </c>
      <c r="B96" s="1079" t="s">
        <v>2338</v>
      </c>
      <c r="C96" s="1080" t="s">
        <v>491</v>
      </c>
      <c r="D96" s="1082">
        <f t="shared" si="5"/>
        <v>30657</v>
      </c>
      <c r="E96" s="1082">
        <v>30657</v>
      </c>
      <c r="F96" s="1082" t="s">
        <v>831</v>
      </c>
      <c r="G96" s="1082" t="s">
        <v>2451</v>
      </c>
      <c r="H96" s="1082"/>
      <c r="I96" s="1072" t="s">
        <v>2448</v>
      </c>
    </row>
    <row r="97" spans="1:9" x14ac:dyDescent="0.25">
      <c r="A97" s="1079">
        <f t="shared" si="4"/>
        <v>1</v>
      </c>
      <c r="B97" s="1079" t="s">
        <v>2349</v>
      </c>
      <c r="C97" s="1080" t="s">
        <v>17</v>
      </c>
      <c r="D97" s="1082">
        <f t="shared" si="5"/>
        <v>66.05</v>
      </c>
      <c r="E97" s="1082">
        <v>66.05</v>
      </c>
      <c r="F97" s="1082" t="s">
        <v>831</v>
      </c>
      <c r="G97" s="1082" t="s">
        <v>2451</v>
      </c>
      <c r="H97" s="1082"/>
      <c r="I97" s="1072" t="s">
        <v>2448</v>
      </c>
    </row>
    <row r="98" spans="1:9" x14ac:dyDescent="0.25">
      <c r="A98" s="1079">
        <f t="shared" si="4"/>
        <v>1</v>
      </c>
      <c r="B98" s="1079" t="s">
        <v>1380</v>
      </c>
      <c r="C98" s="1080" t="s">
        <v>17</v>
      </c>
      <c r="D98" s="1082">
        <f t="shared" si="5"/>
        <v>21.31</v>
      </c>
      <c r="E98" s="1082">
        <v>21.31</v>
      </c>
      <c r="F98" s="1082" t="s">
        <v>831</v>
      </c>
      <c r="G98" s="1082" t="s">
        <v>2451</v>
      </c>
      <c r="H98" s="1082"/>
      <c r="I98" s="1072" t="s">
        <v>2448</v>
      </c>
    </row>
    <row r="99" spans="1:9" x14ac:dyDescent="0.25">
      <c r="A99" s="1079">
        <f t="shared" si="4"/>
        <v>1</v>
      </c>
      <c r="B99" s="1079" t="s">
        <v>1364</v>
      </c>
      <c r="C99" s="1080" t="s">
        <v>17</v>
      </c>
      <c r="D99" s="1082">
        <f t="shared" si="5"/>
        <v>31</v>
      </c>
      <c r="E99" s="1082">
        <v>31</v>
      </c>
      <c r="F99" s="1082" t="s">
        <v>831</v>
      </c>
      <c r="G99" s="1082" t="s">
        <v>2451</v>
      </c>
      <c r="H99" s="1082"/>
      <c r="I99" s="1072" t="s">
        <v>2448</v>
      </c>
    </row>
    <row r="100" spans="1:9" x14ac:dyDescent="0.25">
      <c r="A100" s="1079">
        <f t="shared" si="4"/>
        <v>1</v>
      </c>
      <c r="B100" s="1079" t="s">
        <v>1410</v>
      </c>
      <c r="C100" s="1080" t="s">
        <v>17</v>
      </c>
      <c r="D100" s="1082">
        <f t="shared" si="5"/>
        <v>97</v>
      </c>
      <c r="E100" s="1082">
        <v>97</v>
      </c>
      <c r="F100" s="1082" t="s">
        <v>831</v>
      </c>
      <c r="G100" s="1082" t="s">
        <v>2451</v>
      </c>
      <c r="H100" s="1082"/>
      <c r="I100" s="1072" t="s">
        <v>2448</v>
      </c>
    </row>
    <row r="101" spans="1:9" x14ac:dyDescent="0.25">
      <c r="A101" s="1079">
        <f t="shared" si="4"/>
        <v>1</v>
      </c>
      <c r="B101" s="1079" t="s">
        <v>1432</v>
      </c>
      <c r="C101" s="1080" t="s">
        <v>1426</v>
      </c>
      <c r="D101" s="1082">
        <f t="shared" si="5"/>
        <v>430.94</v>
      </c>
      <c r="E101" s="1082">
        <v>430.94</v>
      </c>
      <c r="F101" s="1082" t="s">
        <v>347</v>
      </c>
      <c r="G101" s="1082" t="s">
        <v>347</v>
      </c>
      <c r="H101" s="1082"/>
      <c r="I101" s="1072" t="s">
        <v>2444</v>
      </c>
    </row>
    <row r="102" spans="1:9" x14ac:dyDescent="0.25">
      <c r="A102" s="1079">
        <f t="shared" si="4"/>
        <v>1</v>
      </c>
      <c r="B102" s="1079" t="s">
        <v>1411</v>
      </c>
      <c r="C102" s="1080" t="s">
        <v>1426</v>
      </c>
      <c r="D102" s="1082">
        <f t="shared" si="5"/>
        <v>352</v>
      </c>
      <c r="E102" s="1082">
        <v>352</v>
      </c>
      <c r="F102" s="1082" t="s">
        <v>347</v>
      </c>
      <c r="G102" s="1082" t="s">
        <v>347</v>
      </c>
      <c r="H102" s="1082"/>
      <c r="I102" s="1072" t="s">
        <v>2444</v>
      </c>
    </row>
    <row r="103" spans="1:9" x14ac:dyDescent="0.25">
      <c r="A103" s="1079">
        <f t="shared" si="4"/>
        <v>1</v>
      </c>
      <c r="B103" s="1079" t="s">
        <v>2452</v>
      </c>
      <c r="C103" s="1080" t="s">
        <v>1426</v>
      </c>
      <c r="D103" s="1082">
        <f t="shared" si="5"/>
        <v>502</v>
      </c>
      <c r="E103" s="1082">
        <v>502</v>
      </c>
      <c r="F103" s="1082" t="s">
        <v>347</v>
      </c>
      <c r="G103" s="1082" t="s">
        <v>347</v>
      </c>
      <c r="H103" s="1082"/>
      <c r="I103" s="1072" t="s">
        <v>2444</v>
      </c>
    </row>
    <row r="104" spans="1:9" x14ac:dyDescent="0.25">
      <c r="A104" s="1079">
        <f t="shared" si="4"/>
        <v>1</v>
      </c>
      <c r="B104" s="1079" t="s">
        <v>1365</v>
      </c>
      <c r="C104" s="1080" t="s">
        <v>1426</v>
      </c>
      <c r="D104" s="1082">
        <f t="shared" si="5"/>
        <v>490</v>
      </c>
      <c r="E104" s="1082">
        <v>490</v>
      </c>
      <c r="F104" s="1082" t="s">
        <v>347</v>
      </c>
      <c r="G104" s="1082" t="s">
        <v>347</v>
      </c>
      <c r="H104" s="1082"/>
      <c r="I104" s="1072" t="s">
        <v>2444</v>
      </c>
    </row>
    <row r="105" spans="1:9" x14ac:dyDescent="0.25">
      <c r="A105" s="1079">
        <f t="shared" si="4"/>
        <v>1</v>
      </c>
      <c r="B105" s="1079" t="s">
        <v>1496</v>
      </c>
      <c r="C105" s="1080" t="s">
        <v>1426</v>
      </c>
      <c r="D105" s="1082">
        <f t="shared" si="5"/>
        <v>492.99999999999994</v>
      </c>
      <c r="E105" s="1082">
        <v>492.99999999999994</v>
      </c>
      <c r="F105" s="1082" t="s">
        <v>347</v>
      </c>
      <c r="G105" s="1082" t="s">
        <v>347</v>
      </c>
      <c r="H105" s="1082"/>
      <c r="I105" s="1072" t="s">
        <v>2444</v>
      </c>
    </row>
    <row r="106" spans="1:9" x14ac:dyDescent="0.25">
      <c r="A106" s="1079">
        <f t="shared" si="4"/>
        <v>1</v>
      </c>
      <c r="B106" s="1079" t="s">
        <v>1514</v>
      </c>
      <c r="C106" s="1080" t="s">
        <v>1426</v>
      </c>
      <c r="D106" s="1082">
        <f t="shared" si="5"/>
        <v>510</v>
      </c>
      <c r="E106" s="1082">
        <v>510</v>
      </c>
      <c r="F106" s="1082" t="s">
        <v>347</v>
      </c>
      <c r="G106" s="1082" t="s">
        <v>347</v>
      </c>
      <c r="H106" s="1082"/>
      <c r="I106" s="1072" t="s">
        <v>2444</v>
      </c>
    </row>
    <row r="107" spans="1:9" x14ac:dyDescent="0.25">
      <c r="A107" s="1079">
        <f t="shared" si="4"/>
        <v>1</v>
      </c>
      <c r="B107" s="1079" t="s">
        <v>1498</v>
      </c>
      <c r="C107" s="1080" t="s">
        <v>1426</v>
      </c>
      <c r="D107" s="1082">
        <f t="shared" si="5"/>
        <v>517.65</v>
      </c>
      <c r="E107" s="1082">
        <v>517.65</v>
      </c>
      <c r="F107" s="1082" t="s">
        <v>347</v>
      </c>
      <c r="G107" s="1082" t="s">
        <v>347</v>
      </c>
      <c r="H107" s="1082"/>
      <c r="I107" s="1072" t="s">
        <v>2444</v>
      </c>
    </row>
    <row r="108" spans="1:9" x14ac:dyDescent="0.25">
      <c r="A108" s="1079">
        <f t="shared" si="4"/>
        <v>1</v>
      </c>
      <c r="B108" s="1079" t="s">
        <v>1516</v>
      </c>
      <c r="C108" s="1080" t="s">
        <v>1426</v>
      </c>
      <c r="D108" s="1082">
        <f t="shared" si="5"/>
        <v>510</v>
      </c>
      <c r="E108" s="1082">
        <v>510</v>
      </c>
      <c r="F108" s="1082" t="s">
        <v>347</v>
      </c>
      <c r="G108" s="1082" t="s">
        <v>347</v>
      </c>
      <c r="H108" s="1082"/>
      <c r="I108" s="1072" t="s">
        <v>2444</v>
      </c>
    </row>
    <row r="109" spans="1:9" x14ac:dyDescent="0.25">
      <c r="A109" s="1079">
        <f t="shared" si="4"/>
        <v>1</v>
      </c>
      <c r="B109" s="1079" t="s">
        <v>1500</v>
      </c>
      <c r="C109" s="1080" t="s">
        <v>1426</v>
      </c>
      <c r="D109" s="1082">
        <f t="shared" si="5"/>
        <v>565</v>
      </c>
      <c r="E109" s="1082">
        <v>565</v>
      </c>
      <c r="F109" s="1082" t="s">
        <v>347</v>
      </c>
      <c r="G109" s="1082" t="s">
        <v>347</v>
      </c>
      <c r="H109" s="1082"/>
      <c r="I109" s="1072" t="s">
        <v>2444</v>
      </c>
    </row>
    <row r="110" spans="1:9" x14ac:dyDescent="0.25">
      <c r="A110" s="1079">
        <f t="shared" si="4"/>
        <v>1</v>
      </c>
      <c r="B110" s="1079" t="s">
        <v>1502</v>
      </c>
      <c r="C110" s="1080" t="s">
        <v>1426</v>
      </c>
      <c r="D110" s="1082">
        <f t="shared" si="5"/>
        <v>590</v>
      </c>
      <c r="E110" s="1082">
        <v>590</v>
      </c>
      <c r="F110" s="1082" t="s">
        <v>347</v>
      </c>
      <c r="G110" s="1082" t="s">
        <v>347</v>
      </c>
      <c r="H110" s="1082"/>
      <c r="I110" s="1072" t="s">
        <v>2444</v>
      </c>
    </row>
    <row r="111" spans="1:9" x14ac:dyDescent="0.25">
      <c r="A111" s="1079">
        <f t="shared" si="4"/>
        <v>1</v>
      </c>
      <c r="B111" s="1079" t="s">
        <v>1518</v>
      </c>
      <c r="C111" s="1080" t="s">
        <v>1426</v>
      </c>
      <c r="D111" s="1082">
        <f t="shared" si="5"/>
        <v>580</v>
      </c>
      <c r="E111" s="1082">
        <v>580</v>
      </c>
      <c r="F111" s="1082" t="s">
        <v>347</v>
      </c>
      <c r="G111" s="1082" t="s">
        <v>347</v>
      </c>
      <c r="H111" s="1082"/>
      <c r="I111" s="1072" t="s">
        <v>2444</v>
      </c>
    </row>
    <row r="112" spans="1:9" x14ac:dyDescent="0.25">
      <c r="A112" s="1079">
        <f t="shared" si="4"/>
        <v>1</v>
      </c>
      <c r="B112" s="1079" t="s">
        <v>1520</v>
      </c>
      <c r="C112" s="1080" t="s">
        <v>1426</v>
      </c>
      <c r="D112" s="1082">
        <f t="shared" si="5"/>
        <v>589.78500000000008</v>
      </c>
      <c r="E112" s="1082">
        <v>589.78500000000008</v>
      </c>
      <c r="F112" s="1082" t="s">
        <v>347</v>
      </c>
      <c r="G112" s="1082" t="s">
        <v>347</v>
      </c>
      <c r="H112" s="1082"/>
      <c r="I112" s="1072" t="s">
        <v>2444</v>
      </c>
    </row>
    <row r="113" spans="1:9" x14ac:dyDescent="0.25">
      <c r="A113" s="1079">
        <f t="shared" si="4"/>
        <v>1</v>
      </c>
      <c r="B113" s="1079" t="s">
        <v>1522</v>
      </c>
      <c r="C113" s="1080" t="s">
        <v>1426</v>
      </c>
      <c r="D113" s="1082">
        <f t="shared" si="5"/>
        <v>610</v>
      </c>
      <c r="E113" s="1082">
        <v>610</v>
      </c>
      <c r="F113" s="1082" t="s">
        <v>347</v>
      </c>
      <c r="G113" s="1082" t="s">
        <v>347</v>
      </c>
      <c r="H113" s="1082"/>
      <c r="I113" s="1072" t="s">
        <v>2444</v>
      </c>
    </row>
    <row r="114" spans="1:9" x14ac:dyDescent="0.25">
      <c r="A114" s="1079">
        <f t="shared" si="4"/>
        <v>1</v>
      </c>
      <c r="B114" s="1079" t="s">
        <v>1524</v>
      </c>
      <c r="C114" s="1080" t="s">
        <v>1426</v>
      </c>
      <c r="D114" s="1082">
        <f t="shared" si="5"/>
        <v>0</v>
      </c>
      <c r="E114" s="1082">
        <v>0</v>
      </c>
      <c r="F114" s="1082" t="s">
        <v>347</v>
      </c>
      <c r="G114" s="1082" t="s">
        <v>347</v>
      </c>
      <c r="H114" s="1082"/>
      <c r="I114" s="1072" t="s">
        <v>2444</v>
      </c>
    </row>
    <row r="115" spans="1:9" x14ac:dyDescent="0.25">
      <c r="A115" s="1079">
        <f t="shared" si="4"/>
        <v>1</v>
      </c>
      <c r="B115" s="1079" t="s">
        <v>1656</v>
      </c>
      <c r="C115" s="1080" t="s">
        <v>1426</v>
      </c>
      <c r="D115" s="1082">
        <f t="shared" si="5"/>
        <v>468.86</v>
      </c>
      <c r="E115" s="1082">
        <v>468.86</v>
      </c>
      <c r="F115" s="1082" t="s">
        <v>347</v>
      </c>
      <c r="G115" s="1082" t="s">
        <v>347</v>
      </c>
      <c r="H115" s="1082"/>
      <c r="I115" s="1072" t="s">
        <v>2444</v>
      </c>
    </row>
    <row r="116" spans="1:9" x14ac:dyDescent="0.25">
      <c r="A116" s="1079">
        <f t="shared" si="4"/>
        <v>1</v>
      </c>
      <c r="B116" s="1079" t="s">
        <v>1657</v>
      </c>
      <c r="C116" s="1080" t="s">
        <v>1426</v>
      </c>
      <c r="D116" s="1082">
        <f t="shared" si="5"/>
        <v>493.5</v>
      </c>
      <c r="E116" s="1082">
        <v>493.5</v>
      </c>
      <c r="F116" s="1082" t="s">
        <v>347</v>
      </c>
      <c r="G116" s="1082" t="s">
        <v>347</v>
      </c>
      <c r="H116" s="1082"/>
      <c r="I116" s="1072" t="s">
        <v>2444</v>
      </c>
    </row>
    <row r="117" spans="1:9" x14ac:dyDescent="0.25">
      <c r="A117" s="1079">
        <f t="shared" si="4"/>
        <v>1</v>
      </c>
      <c r="B117" s="1079" t="s">
        <v>1583</v>
      </c>
      <c r="C117" s="1080" t="s">
        <v>1481</v>
      </c>
      <c r="D117" s="1082">
        <f t="shared" si="5"/>
        <v>4.4400000000000004</v>
      </c>
      <c r="E117" s="1082">
        <v>4.4400000000000004</v>
      </c>
      <c r="F117" s="1082" t="s">
        <v>347</v>
      </c>
      <c r="G117" s="1082" t="s">
        <v>2453</v>
      </c>
      <c r="H117" s="1082"/>
      <c r="I117" s="1072" t="s">
        <v>2444</v>
      </c>
    </row>
    <row r="118" spans="1:9" x14ac:dyDescent="0.25">
      <c r="A118" s="1079">
        <f t="shared" si="4"/>
        <v>1</v>
      </c>
      <c r="B118" s="1079" t="s">
        <v>1584</v>
      </c>
      <c r="C118" s="1080" t="s">
        <v>1481</v>
      </c>
      <c r="D118" s="1082">
        <f t="shared" si="5"/>
        <v>0.4</v>
      </c>
      <c r="E118" s="1082">
        <v>0.4</v>
      </c>
      <c r="F118" s="1082" t="s">
        <v>347</v>
      </c>
      <c r="G118" s="1082" t="s">
        <v>2453</v>
      </c>
      <c r="H118" s="1082"/>
      <c r="I118" s="1072" t="s">
        <v>2444</v>
      </c>
    </row>
    <row r="119" spans="1:9" x14ac:dyDescent="0.25">
      <c r="A119" s="1079">
        <f t="shared" si="4"/>
        <v>1</v>
      </c>
      <c r="B119" s="1079" t="s">
        <v>1585</v>
      </c>
      <c r="C119" s="1080" t="s">
        <v>1481</v>
      </c>
      <c r="D119" s="1082">
        <f t="shared" si="5"/>
        <v>0.4</v>
      </c>
      <c r="E119" s="1082">
        <v>0.4</v>
      </c>
      <c r="F119" s="1082" t="s">
        <v>347</v>
      </c>
      <c r="G119" s="1082" t="s">
        <v>2453</v>
      </c>
      <c r="H119" s="1082"/>
      <c r="I119" s="1072" t="s">
        <v>2444</v>
      </c>
    </row>
    <row r="120" spans="1:9" x14ac:dyDescent="0.25">
      <c r="A120" s="1079">
        <f t="shared" si="4"/>
        <v>1</v>
      </c>
      <c r="B120" s="1079" t="s">
        <v>1586</v>
      </c>
      <c r="C120" s="1080" t="s">
        <v>1481</v>
      </c>
      <c r="D120" s="1082">
        <f t="shared" si="5"/>
        <v>0.2</v>
      </c>
      <c r="E120" s="1082">
        <v>0.2</v>
      </c>
      <c r="F120" s="1082" t="s">
        <v>347</v>
      </c>
      <c r="G120" s="1082" t="s">
        <v>2453</v>
      </c>
      <c r="H120" s="1082"/>
      <c r="I120" s="1072" t="s">
        <v>2444</v>
      </c>
    </row>
    <row r="121" spans="1:9" x14ac:dyDescent="0.25">
      <c r="A121" s="1079">
        <f t="shared" si="4"/>
        <v>1</v>
      </c>
      <c r="B121" s="1079" t="s">
        <v>1587</v>
      </c>
      <c r="C121" s="1080" t="s">
        <v>491</v>
      </c>
      <c r="D121" s="1082">
        <f t="shared" si="5"/>
        <v>0.5</v>
      </c>
      <c r="E121" s="1082">
        <v>0.5</v>
      </c>
      <c r="F121" s="1082" t="s">
        <v>347</v>
      </c>
      <c r="G121" s="1082" t="s">
        <v>2453</v>
      </c>
      <c r="H121" s="1082"/>
      <c r="I121" s="1072" t="s">
        <v>2444</v>
      </c>
    </row>
    <row r="122" spans="1:9" x14ac:dyDescent="0.25">
      <c r="A122" s="1079">
        <f t="shared" si="4"/>
        <v>1</v>
      </c>
      <c r="B122" s="1079" t="s">
        <v>1589</v>
      </c>
      <c r="C122" s="1080" t="s">
        <v>491</v>
      </c>
      <c r="D122" s="1082">
        <f t="shared" si="5"/>
        <v>12.5</v>
      </c>
      <c r="E122" s="1082">
        <v>12.5</v>
      </c>
      <c r="F122" s="1082" t="s">
        <v>347</v>
      </c>
      <c r="G122" s="1082" t="s">
        <v>2453</v>
      </c>
      <c r="H122" s="1082"/>
      <c r="I122" s="1072" t="s">
        <v>2444</v>
      </c>
    </row>
    <row r="123" spans="1:9" x14ac:dyDescent="0.25">
      <c r="A123" s="1079">
        <f t="shared" si="4"/>
        <v>1</v>
      </c>
      <c r="B123" s="1079" t="s">
        <v>1590</v>
      </c>
      <c r="C123" s="1080" t="s">
        <v>2454</v>
      </c>
      <c r="D123" s="1082">
        <f t="shared" si="5"/>
        <v>9.1300000000000008</v>
      </c>
      <c r="E123" s="1082">
        <v>9.1300000000000008</v>
      </c>
      <c r="F123" s="1082" t="s">
        <v>347</v>
      </c>
      <c r="G123" s="1082" t="s">
        <v>2453</v>
      </c>
      <c r="H123" s="1082"/>
      <c r="I123" s="1072" t="s">
        <v>2444</v>
      </c>
    </row>
    <row r="124" spans="1:9" x14ac:dyDescent="0.25">
      <c r="A124" s="1079">
        <f t="shared" si="4"/>
        <v>1</v>
      </c>
      <c r="B124" s="1079" t="s">
        <v>1591</v>
      </c>
      <c r="C124" s="1080" t="s">
        <v>491</v>
      </c>
      <c r="D124" s="1082">
        <f t="shared" si="5"/>
        <v>2.85</v>
      </c>
      <c r="E124" s="1082">
        <v>2.85</v>
      </c>
      <c r="F124" s="1082" t="s">
        <v>347</v>
      </c>
      <c r="G124" s="1082" t="s">
        <v>2453</v>
      </c>
      <c r="H124" s="1082"/>
      <c r="I124" s="1072" t="s">
        <v>2444</v>
      </c>
    </row>
    <row r="125" spans="1:9" x14ac:dyDescent="0.25">
      <c r="A125" s="1079">
        <f t="shared" si="4"/>
        <v>1</v>
      </c>
      <c r="B125" s="1079" t="s">
        <v>1592</v>
      </c>
      <c r="C125" s="1080" t="s">
        <v>491</v>
      </c>
      <c r="D125" s="1082">
        <f t="shared" si="5"/>
        <v>1.42</v>
      </c>
      <c r="E125" s="1082">
        <v>1.42</v>
      </c>
      <c r="F125" s="1082" t="s">
        <v>347</v>
      </c>
      <c r="G125" s="1082" t="s">
        <v>2453</v>
      </c>
      <c r="H125" s="1082"/>
      <c r="I125" s="1072" t="s">
        <v>2444</v>
      </c>
    </row>
    <row r="126" spans="1:9" x14ac:dyDescent="0.25">
      <c r="A126" s="1079">
        <f t="shared" si="4"/>
        <v>1</v>
      </c>
      <c r="B126" s="1079" t="s">
        <v>1593</v>
      </c>
      <c r="C126" s="1080" t="s">
        <v>491</v>
      </c>
      <c r="D126" s="1082">
        <f t="shared" si="5"/>
        <v>5.68</v>
      </c>
      <c r="E126" s="1082">
        <v>5.68</v>
      </c>
      <c r="F126" s="1082" t="s">
        <v>347</v>
      </c>
      <c r="G126" s="1082" t="s">
        <v>2453</v>
      </c>
      <c r="H126" s="1082"/>
      <c r="I126" s="1072" t="s">
        <v>2444</v>
      </c>
    </row>
    <row r="127" spans="1:9" x14ac:dyDescent="0.25">
      <c r="A127" s="1079">
        <f t="shared" si="4"/>
        <v>1</v>
      </c>
      <c r="B127" s="1079" t="s">
        <v>1594</v>
      </c>
      <c r="C127" s="1080" t="s">
        <v>2454</v>
      </c>
      <c r="D127" s="1082">
        <f t="shared" si="5"/>
        <v>2.2999999999999998</v>
      </c>
      <c r="E127" s="1082">
        <v>2.2999999999999998</v>
      </c>
      <c r="F127" s="1082" t="s">
        <v>347</v>
      </c>
      <c r="G127" s="1082" t="s">
        <v>2453</v>
      </c>
      <c r="H127" s="1082"/>
      <c r="I127" s="1072" t="s">
        <v>2444</v>
      </c>
    </row>
    <row r="128" spans="1:9" x14ac:dyDescent="0.25">
      <c r="A128" s="1079">
        <f t="shared" si="4"/>
        <v>1</v>
      </c>
      <c r="B128" s="1079" t="s">
        <v>1595</v>
      </c>
      <c r="C128" s="1080" t="s">
        <v>2454</v>
      </c>
      <c r="D128" s="1082">
        <f t="shared" si="5"/>
        <v>3.4</v>
      </c>
      <c r="E128" s="1082">
        <v>3.4</v>
      </c>
      <c r="F128" s="1082" t="s">
        <v>347</v>
      </c>
      <c r="G128" s="1082" t="s">
        <v>2453</v>
      </c>
      <c r="H128" s="1082"/>
      <c r="I128" s="1072" t="s">
        <v>2444</v>
      </c>
    </row>
    <row r="129" spans="1:9" x14ac:dyDescent="0.25">
      <c r="A129" s="1079">
        <f t="shared" si="4"/>
        <v>1</v>
      </c>
      <c r="B129" s="1079" t="s">
        <v>1596</v>
      </c>
      <c r="C129" s="1080" t="s">
        <v>2454</v>
      </c>
      <c r="D129" s="1082">
        <f t="shared" si="5"/>
        <v>1.1000000000000001</v>
      </c>
      <c r="E129" s="1082">
        <v>1.1000000000000001</v>
      </c>
      <c r="F129" s="1082" t="s">
        <v>347</v>
      </c>
      <c r="G129" s="1082" t="s">
        <v>2453</v>
      </c>
      <c r="H129" s="1082"/>
      <c r="I129" s="1072" t="s">
        <v>2444</v>
      </c>
    </row>
    <row r="130" spans="1:9" x14ac:dyDescent="0.25">
      <c r="A130" s="1079">
        <f t="shared" si="4"/>
        <v>1</v>
      </c>
      <c r="B130" s="1079" t="s">
        <v>1687</v>
      </c>
      <c r="C130" s="1080" t="s">
        <v>281</v>
      </c>
      <c r="D130" s="1082">
        <f t="shared" si="5"/>
        <v>0.31</v>
      </c>
      <c r="E130" s="1082">
        <v>0.31</v>
      </c>
      <c r="F130" s="1082" t="s">
        <v>2455</v>
      </c>
      <c r="G130" s="1082" t="s">
        <v>2424</v>
      </c>
      <c r="H130" s="1082"/>
      <c r="I130" s="1072" t="s">
        <v>2424</v>
      </c>
    </row>
    <row r="131" spans="1:9" x14ac:dyDescent="0.25">
      <c r="A131" s="1079">
        <f t="shared" si="4"/>
        <v>1</v>
      </c>
      <c r="B131" s="1079" t="s">
        <v>1688</v>
      </c>
      <c r="C131" s="1080" t="s">
        <v>281</v>
      </c>
      <c r="D131" s="1082">
        <f t="shared" si="5"/>
        <v>2.74</v>
      </c>
      <c r="E131" s="1082">
        <v>2.74</v>
      </c>
      <c r="F131" s="1082" t="s">
        <v>2455</v>
      </c>
      <c r="G131" s="1082" t="s">
        <v>2424</v>
      </c>
      <c r="H131" s="1082"/>
      <c r="I131" s="1072" t="s">
        <v>2424</v>
      </c>
    </row>
    <row r="132" spans="1:9" x14ac:dyDescent="0.25">
      <c r="A132" s="1079">
        <f t="shared" si="4"/>
        <v>1</v>
      </c>
      <c r="B132" s="1079" t="s">
        <v>1680</v>
      </c>
      <c r="C132" s="1080" t="s">
        <v>1481</v>
      </c>
      <c r="D132" s="1082">
        <f t="shared" si="5"/>
        <v>3.43</v>
      </c>
      <c r="E132" s="1082">
        <v>3.43</v>
      </c>
      <c r="F132" s="1082" t="s">
        <v>2455</v>
      </c>
      <c r="G132" s="1082" t="s">
        <v>2424</v>
      </c>
      <c r="H132" s="1082"/>
      <c r="I132" s="1072" t="s">
        <v>2424</v>
      </c>
    </row>
    <row r="133" spans="1:9" x14ac:dyDescent="0.25">
      <c r="A133" s="1079">
        <f t="shared" si="4"/>
        <v>1</v>
      </c>
      <c r="B133" s="1079" t="s">
        <v>1715</v>
      </c>
      <c r="C133" s="1080" t="s">
        <v>17</v>
      </c>
      <c r="D133" s="1082">
        <f t="shared" si="5"/>
        <v>23.35</v>
      </c>
      <c r="E133" s="1082">
        <v>23.35</v>
      </c>
      <c r="F133" s="1082" t="s">
        <v>2455</v>
      </c>
      <c r="G133" s="1082" t="s">
        <v>2424</v>
      </c>
      <c r="H133" s="1082"/>
      <c r="I133" s="1072" t="s">
        <v>2424</v>
      </c>
    </row>
    <row r="134" spans="1:9" x14ac:dyDescent="0.25">
      <c r="A134" s="1079">
        <f t="shared" si="4"/>
        <v>1</v>
      </c>
      <c r="B134" s="1079" t="s">
        <v>2456</v>
      </c>
      <c r="C134" s="1080" t="s">
        <v>17</v>
      </c>
      <c r="D134" s="1082">
        <f t="shared" si="5"/>
        <v>14.73</v>
      </c>
      <c r="E134" s="1082">
        <v>14.73</v>
      </c>
      <c r="F134" s="1082" t="s">
        <v>2455</v>
      </c>
      <c r="G134" s="1082" t="s">
        <v>2424</v>
      </c>
      <c r="H134" s="1082"/>
      <c r="I134" s="1072" t="s">
        <v>2424</v>
      </c>
    </row>
    <row r="135" spans="1:9" x14ac:dyDescent="0.25">
      <c r="A135" s="1079">
        <f t="shared" si="4"/>
        <v>1</v>
      </c>
      <c r="B135" s="1079" t="s">
        <v>1693</v>
      </c>
      <c r="C135" s="1080" t="s">
        <v>17</v>
      </c>
      <c r="D135" s="1082">
        <f t="shared" si="5"/>
        <v>29.194444444444446</v>
      </c>
      <c r="E135" s="1082">
        <f>84.08/2.88</f>
        <v>29.194444444444446</v>
      </c>
      <c r="F135" s="1082" t="s">
        <v>2455</v>
      </c>
      <c r="G135" s="1082" t="s">
        <v>2424</v>
      </c>
      <c r="H135" s="1082"/>
      <c r="I135" s="1072" t="s">
        <v>2424</v>
      </c>
    </row>
    <row r="136" spans="1:9" x14ac:dyDescent="0.25">
      <c r="A136" s="1079">
        <f t="shared" si="4"/>
        <v>1</v>
      </c>
      <c r="B136" s="1079" t="s">
        <v>1683</v>
      </c>
      <c r="C136" s="1080" t="s">
        <v>17</v>
      </c>
      <c r="D136" s="1082">
        <f t="shared" si="5"/>
        <v>18.40625</v>
      </c>
      <c r="E136" s="1082">
        <f>53.01/2.88</f>
        <v>18.40625</v>
      </c>
      <c r="F136" s="1082" t="s">
        <v>2455</v>
      </c>
      <c r="G136" s="1082" t="s">
        <v>2424</v>
      </c>
      <c r="H136" s="1082"/>
      <c r="I136" s="1072" t="s">
        <v>2424</v>
      </c>
    </row>
    <row r="137" spans="1:9" x14ac:dyDescent="0.25">
      <c r="A137" s="1079">
        <f t="shared" ref="A137:A204" si="8">COUNTIFS($B$2:$B$670,B137)</f>
        <v>1</v>
      </c>
      <c r="B137" s="1079" t="s">
        <v>1691</v>
      </c>
      <c r="C137" s="1080" t="s">
        <v>17</v>
      </c>
      <c r="D137" s="1082">
        <f t="shared" si="5"/>
        <v>12.828666666666667</v>
      </c>
      <c r="E137" s="1082">
        <v>12.828666666666667</v>
      </c>
      <c r="F137" s="1082" t="s">
        <v>2455</v>
      </c>
      <c r="G137" s="1082" t="s">
        <v>2455</v>
      </c>
      <c r="H137" s="1082"/>
      <c r="I137" s="1072" t="s">
        <v>2424</v>
      </c>
    </row>
    <row r="138" spans="1:9" x14ac:dyDescent="0.25">
      <c r="A138" s="1079">
        <f t="shared" si="8"/>
        <v>1</v>
      </c>
      <c r="B138" s="1079" t="s">
        <v>1689</v>
      </c>
      <c r="C138" s="1080" t="s">
        <v>491</v>
      </c>
      <c r="D138" s="1082">
        <f t="shared" ref="D138:D208" si="9">E138*$D$1</f>
        <v>0.09</v>
      </c>
      <c r="E138" s="1082">
        <v>0.09</v>
      </c>
      <c r="F138" s="1082" t="s">
        <v>2455</v>
      </c>
      <c r="G138" s="1082" t="s">
        <v>2455</v>
      </c>
      <c r="H138" s="1082"/>
      <c r="I138" s="1072" t="s">
        <v>2424</v>
      </c>
    </row>
    <row r="139" spans="1:9" x14ac:dyDescent="0.25">
      <c r="A139" s="1079">
        <f t="shared" si="8"/>
        <v>1</v>
      </c>
      <c r="B139" s="1079" t="s">
        <v>1690</v>
      </c>
      <c r="C139" s="1080" t="s">
        <v>491</v>
      </c>
      <c r="D139" s="1082">
        <f t="shared" si="9"/>
        <v>0.2</v>
      </c>
      <c r="E139" s="1082">
        <v>0.2</v>
      </c>
      <c r="F139" s="1082" t="s">
        <v>2455</v>
      </c>
      <c r="G139" s="1082" t="s">
        <v>2455</v>
      </c>
      <c r="H139" s="1082"/>
      <c r="I139" s="1072" t="s">
        <v>2424</v>
      </c>
    </row>
    <row r="140" spans="1:9" x14ac:dyDescent="0.25">
      <c r="A140" s="1079">
        <f t="shared" si="8"/>
        <v>1</v>
      </c>
      <c r="B140" s="1079" t="s">
        <v>1685</v>
      </c>
      <c r="C140" s="1080" t="s">
        <v>281</v>
      </c>
      <c r="D140" s="1082">
        <f t="shared" si="9"/>
        <v>7.03</v>
      </c>
      <c r="E140" s="1082">
        <v>7.03</v>
      </c>
      <c r="F140" s="1082" t="s">
        <v>2455</v>
      </c>
      <c r="G140" s="1082" t="s">
        <v>2455</v>
      </c>
      <c r="H140" s="1082"/>
      <c r="I140" s="1072" t="s">
        <v>2424</v>
      </c>
    </row>
    <row r="141" spans="1:9" x14ac:dyDescent="0.25">
      <c r="A141" s="1079">
        <f t="shared" si="8"/>
        <v>1</v>
      </c>
      <c r="B141" s="1079" t="s">
        <v>1704</v>
      </c>
      <c r="C141" s="1080" t="s">
        <v>281</v>
      </c>
      <c r="D141" s="1082">
        <f t="shared" si="9"/>
        <v>7.03</v>
      </c>
      <c r="E141" s="1082">
        <v>7.03</v>
      </c>
      <c r="F141" s="1082" t="s">
        <v>2455</v>
      </c>
      <c r="G141" s="1082" t="s">
        <v>2455</v>
      </c>
      <c r="H141" s="1082"/>
      <c r="I141" s="1072" t="s">
        <v>2424</v>
      </c>
    </row>
    <row r="142" spans="1:9" x14ac:dyDescent="0.25">
      <c r="A142" s="1079">
        <f t="shared" si="8"/>
        <v>1</v>
      </c>
      <c r="B142" s="1079" t="s">
        <v>1697</v>
      </c>
      <c r="C142" s="1080" t="s">
        <v>281</v>
      </c>
      <c r="D142" s="1082">
        <f t="shared" si="9"/>
        <v>16.8</v>
      </c>
      <c r="E142" s="1082">
        <v>16.8</v>
      </c>
      <c r="F142" s="1082" t="s">
        <v>2455</v>
      </c>
      <c r="G142" s="1082" t="s">
        <v>2455</v>
      </c>
      <c r="H142" s="1082"/>
      <c r="I142" s="1072" t="s">
        <v>2424</v>
      </c>
    </row>
    <row r="143" spans="1:9" x14ac:dyDescent="0.25">
      <c r="A143" s="1079">
        <f t="shared" si="8"/>
        <v>1</v>
      </c>
      <c r="B143" s="1079" t="s">
        <v>1686</v>
      </c>
      <c r="C143" s="1080" t="s">
        <v>281</v>
      </c>
      <c r="D143" s="1082">
        <f t="shared" si="9"/>
        <v>7.98</v>
      </c>
      <c r="E143" s="1082">
        <v>7.98</v>
      </c>
      <c r="F143" s="1082" t="s">
        <v>2455</v>
      </c>
      <c r="G143" s="1082" t="s">
        <v>2455</v>
      </c>
      <c r="H143" s="1082"/>
      <c r="I143" s="1072" t="s">
        <v>2424</v>
      </c>
    </row>
    <row r="144" spans="1:9" x14ac:dyDescent="0.25">
      <c r="A144" s="1079">
        <f t="shared" si="8"/>
        <v>1</v>
      </c>
      <c r="B144" s="1079" t="s">
        <v>1705</v>
      </c>
      <c r="C144" s="1080" t="s">
        <v>281</v>
      </c>
      <c r="D144" s="1082">
        <f t="shared" si="9"/>
        <v>7.98</v>
      </c>
      <c r="E144" s="1082">
        <v>7.98</v>
      </c>
      <c r="F144" s="1082" t="s">
        <v>2455</v>
      </c>
      <c r="G144" s="1082" t="s">
        <v>2455</v>
      </c>
      <c r="H144" s="1082"/>
      <c r="I144" s="1072" t="s">
        <v>2424</v>
      </c>
    </row>
    <row r="145" spans="1:9" x14ac:dyDescent="0.25">
      <c r="A145" s="1079">
        <f t="shared" si="8"/>
        <v>1</v>
      </c>
      <c r="B145" s="1079" t="s">
        <v>1698</v>
      </c>
      <c r="C145" s="1080" t="s">
        <v>281</v>
      </c>
      <c r="D145" s="1082">
        <f t="shared" si="9"/>
        <v>18.09</v>
      </c>
      <c r="E145" s="1082">
        <v>18.09</v>
      </c>
      <c r="F145" s="1082" t="s">
        <v>2455</v>
      </c>
      <c r="G145" s="1082" t="s">
        <v>2455</v>
      </c>
      <c r="H145" s="1082"/>
      <c r="I145" s="1072" t="s">
        <v>2424</v>
      </c>
    </row>
    <row r="146" spans="1:9" x14ac:dyDescent="0.25">
      <c r="A146" s="1079">
        <f t="shared" si="8"/>
        <v>1</v>
      </c>
      <c r="B146" s="1079" t="s">
        <v>1684</v>
      </c>
      <c r="C146" s="1080" t="s">
        <v>491</v>
      </c>
      <c r="D146" s="1082">
        <f t="shared" si="9"/>
        <v>0.504</v>
      </c>
      <c r="E146" s="1082">
        <v>0.504</v>
      </c>
      <c r="F146" s="1082" t="s">
        <v>2455</v>
      </c>
      <c r="G146" s="1082" t="s">
        <v>2455</v>
      </c>
      <c r="H146" s="1082"/>
      <c r="I146" s="1072" t="s">
        <v>2424</v>
      </c>
    </row>
    <row r="147" spans="1:9" x14ac:dyDescent="0.25">
      <c r="A147" s="1079">
        <f t="shared" si="8"/>
        <v>1</v>
      </c>
      <c r="B147" s="1079" t="s">
        <v>1671</v>
      </c>
      <c r="C147" s="1080" t="s">
        <v>491</v>
      </c>
      <c r="D147" s="1082">
        <f t="shared" si="9"/>
        <v>0.43359999999999999</v>
      </c>
      <c r="E147" s="1082">
        <v>0.43359999999999999</v>
      </c>
      <c r="F147" s="1082" t="s">
        <v>2455</v>
      </c>
      <c r="G147" s="1082" t="s">
        <v>2455</v>
      </c>
      <c r="H147" s="1082"/>
      <c r="I147" s="1072" t="s">
        <v>2424</v>
      </c>
    </row>
    <row r="148" spans="1:9" x14ac:dyDescent="0.25">
      <c r="A148" s="1079">
        <f t="shared" si="8"/>
        <v>1</v>
      </c>
      <c r="B148" s="1079" t="s">
        <v>1676</v>
      </c>
      <c r="C148" s="1080" t="s">
        <v>491</v>
      </c>
      <c r="D148" s="1082">
        <f t="shared" si="9"/>
        <v>377.8363900815155</v>
      </c>
      <c r="E148" s="1082">
        <v>377.8363900815155</v>
      </c>
      <c r="F148" s="1082" t="s">
        <v>2455</v>
      </c>
      <c r="G148" s="1082" t="s">
        <v>2455</v>
      </c>
      <c r="H148" s="1082"/>
      <c r="I148" s="1072" t="s">
        <v>2424</v>
      </c>
    </row>
    <row r="149" spans="1:9" x14ac:dyDescent="0.25">
      <c r="A149" s="1079">
        <f t="shared" si="8"/>
        <v>1</v>
      </c>
      <c r="B149" s="1079" t="s">
        <v>1678</v>
      </c>
      <c r="C149" s="1080" t="s">
        <v>491</v>
      </c>
      <c r="D149" s="1082">
        <f t="shared" si="9"/>
        <v>58.988734923708691</v>
      </c>
      <c r="E149" s="1082">
        <v>58.988734923708691</v>
      </c>
      <c r="F149" s="1082" t="s">
        <v>2455</v>
      </c>
      <c r="G149" s="1082" t="s">
        <v>2455</v>
      </c>
      <c r="H149" s="1082"/>
      <c r="I149" s="1072" t="s">
        <v>2424</v>
      </c>
    </row>
    <row r="150" spans="1:9" x14ac:dyDescent="0.25">
      <c r="A150" s="1079">
        <f t="shared" si="8"/>
        <v>1</v>
      </c>
      <c r="B150" s="1079" t="s">
        <v>2169</v>
      </c>
      <c r="C150" s="1080" t="s">
        <v>491</v>
      </c>
      <c r="D150" s="1082">
        <f t="shared" si="9"/>
        <v>5.17</v>
      </c>
      <c r="E150" s="1082">
        <v>5.17</v>
      </c>
      <c r="F150" s="1082" t="s">
        <v>2455</v>
      </c>
      <c r="G150" s="1082" t="s">
        <v>2455</v>
      </c>
      <c r="H150" s="1082"/>
      <c r="I150" s="1072" t="s">
        <v>2424</v>
      </c>
    </row>
    <row r="151" spans="1:9" x14ac:dyDescent="0.25">
      <c r="A151" s="1079">
        <f t="shared" si="8"/>
        <v>1</v>
      </c>
      <c r="B151" s="1079" t="s">
        <v>1417</v>
      </c>
      <c r="C151" s="1080" t="s">
        <v>3</v>
      </c>
      <c r="D151" s="1082">
        <f t="shared" si="9"/>
        <v>400</v>
      </c>
      <c r="E151" s="1082">
        <v>400</v>
      </c>
      <c r="F151" s="1082" t="s">
        <v>2457</v>
      </c>
      <c r="G151" s="1082" t="s">
        <v>2457</v>
      </c>
      <c r="H151" s="1082"/>
      <c r="I151" s="1072" t="s">
        <v>2458</v>
      </c>
    </row>
    <row r="152" spans="1:9" x14ac:dyDescent="0.25">
      <c r="A152" s="1079">
        <f t="shared" si="8"/>
        <v>1</v>
      </c>
      <c r="B152" s="1079" t="s">
        <v>1407</v>
      </c>
      <c r="C152" s="1080" t="s">
        <v>1</v>
      </c>
      <c r="D152" s="1082">
        <f t="shared" si="9"/>
        <v>880</v>
      </c>
      <c r="E152" s="1082">
        <v>880</v>
      </c>
      <c r="F152" s="1082" t="s">
        <v>2457</v>
      </c>
      <c r="G152" s="1082" t="s">
        <v>2457</v>
      </c>
      <c r="H152" s="1082"/>
      <c r="I152" s="1072" t="s">
        <v>2458</v>
      </c>
    </row>
    <row r="153" spans="1:9" x14ac:dyDescent="0.25">
      <c r="A153" s="1079">
        <f t="shared" si="8"/>
        <v>1</v>
      </c>
      <c r="B153" s="1079" t="s">
        <v>1394</v>
      </c>
      <c r="C153" s="1080" t="s">
        <v>491</v>
      </c>
      <c r="D153" s="1082">
        <f t="shared" si="9"/>
        <v>19</v>
      </c>
      <c r="E153" s="1082">
        <v>19</v>
      </c>
      <c r="F153" s="1082" t="s">
        <v>2457</v>
      </c>
      <c r="G153" s="1082" t="s">
        <v>2457</v>
      </c>
      <c r="H153" s="1082"/>
      <c r="I153" s="1072" t="s">
        <v>2458</v>
      </c>
    </row>
    <row r="154" spans="1:9" x14ac:dyDescent="0.25">
      <c r="A154" s="1079">
        <f t="shared" si="8"/>
        <v>1</v>
      </c>
      <c r="B154" s="1079" t="s">
        <v>1396</v>
      </c>
      <c r="C154" s="1080" t="s">
        <v>491</v>
      </c>
      <c r="D154" s="1082">
        <f t="shared" si="9"/>
        <v>16</v>
      </c>
      <c r="E154" s="1082">
        <v>16</v>
      </c>
      <c r="F154" s="1082" t="s">
        <v>2457</v>
      </c>
      <c r="G154" s="1082" t="s">
        <v>2457</v>
      </c>
      <c r="H154" s="1082"/>
      <c r="I154" s="1072" t="s">
        <v>2458</v>
      </c>
    </row>
    <row r="155" spans="1:9" x14ac:dyDescent="0.25">
      <c r="A155" s="1079">
        <f t="shared" si="8"/>
        <v>1</v>
      </c>
      <c r="B155" s="1079" t="s">
        <v>1386</v>
      </c>
      <c r="C155" s="1080" t="s">
        <v>491</v>
      </c>
      <c r="D155" s="1082">
        <f t="shared" si="9"/>
        <v>536.53</v>
      </c>
      <c r="E155" s="1082">
        <v>536.53</v>
      </c>
      <c r="F155" s="1082" t="s">
        <v>2457</v>
      </c>
      <c r="G155" s="1082" t="s">
        <v>2457</v>
      </c>
      <c r="H155" s="1082"/>
      <c r="I155" s="1072" t="s">
        <v>2458</v>
      </c>
    </row>
    <row r="156" spans="1:9" x14ac:dyDescent="0.25">
      <c r="A156" s="1079">
        <f t="shared" si="8"/>
        <v>1</v>
      </c>
      <c r="B156" s="1079" t="s">
        <v>1387</v>
      </c>
      <c r="C156" s="1080" t="s">
        <v>491</v>
      </c>
      <c r="D156" s="1082">
        <f t="shared" si="9"/>
        <v>520.85</v>
      </c>
      <c r="E156" s="1082">
        <v>520.85</v>
      </c>
      <c r="F156" s="1082" t="s">
        <v>2457</v>
      </c>
      <c r="G156" s="1082" t="s">
        <v>2457</v>
      </c>
      <c r="H156" s="1082"/>
      <c r="I156" s="1072" t="s">
        <v>2458</v>
      </c>
    </row>
    <row r="157" spans="1:9" x14ac:dyDescent="0.25">
      <c r="A157" s="1079">
        <f t="shared" si="8"/>
        <v>1</v>
      </c>
      <c r="B157" s="1079" t="s">
        <v>1415</v>
      </c>
      <c r="C157" s="1080" t="s">
        <v>491</v>
      </c>
      <c r="D157" s="1082">
        <f t="shared" si="9"/>
        <v>33.81</v>
      </c>
      <c r="E157" s="1082">
        <v>33.81</v>
      </c>
      <c r="F157" s="1082" t="s">
        <v>2457</v>
      </c>
      <c r="G157" s="1082" t="s">
        <v>2457</v>
      </c>
      <c r="H157" s="1082" t="s">
        <v>2459</v>
      </c>
      <c r="I157" s="1072" t="s">
        <v>2458</v>
      </c>
    </row>
    <row r="158" spans="1:9" x14ac:dyDescent="0.25">
      <c r="A158" s="1079">
        <f t="shared" si="8"/>
        <v>1</v>
      </c>
      <c r="B158" s="1079" t="s">
        <v>1413</v>
      </c>
      <c r="C158" s="1080" t="s">
        <v>281</v>
      </c>
      <c r="D158" s="1082">
        <f t="shared" si="9"/>
        <v>5.2</v>
      </c>
      <c r="E158" s="1082">
        <v>5.2</v>
      </c>
      <c r="F158" s="1082" t="s">
        <v>2457</v>
      </c>
      <c r="G158" s="1082" t="s">
        <v>2457</v>
      </c>
      <c r="H158" s="1082"/>
      <c r="I158" s="1072" t="s">
        <v>2458</v>
      </c>
    </row>
    <row r="159" spans="1:9" x14ac:dyDescent="0.25">
      <c r="A159" s="1079">
        <f t="shared" si="8"/>
        <v>1</v>
      </c>
      <c r="B159" s="1079" t="s">
        <v>1404</v>
      </c>
      <c r="C159" s="1080" t="s">
        <v>17</v>
      </c>
      <c r="D159" s="1082">
        <f t="shared" si="9"/>
        <v>5.7629999999999999</v>
      </c>
      <c r="E159" s="1082">
        <f>1728.9/300</f>
        <v>5.7629999999999999</v>
      </c>
      <c r="F159" s="1082" t="s">
        <v>2457</v>
      </c>
      <c r="G159" s="1082" t="s">
        <v>2457</v>
      </c>
      <c r="H159" s="1086" t="s">
        <v>2460</v>
      </c>
      <c r="I159" s="1072" t="s">
        <v>2458</v>
      </c>
    </row>
    <row r="160" spans="1:9" x14ac:dyDescent="0.25">
      <c r="A160" s="1079">
        <f t="shared" si="8"/>
        <v>1</v>
      </c>
      <c r="B160" s="1079" t="s">
        <v>1401</v>
      </c>
      <c r="C160" s="1080" t="s">
        <v>17</v>
      </c>
      <c r="D160" s="1082">
        <f t="shared" si="9"/>
        <v>3.5</v>
      </c>
      <c r="E160" s="1082">
        <v>3.5</v>
      </c>
      <c r="F160" s="1082" t="s">
        <v>2457</v>
      </c>
      <c r="G160" s="1082" t="s">
        <v>2457</v>
      </c>
      <c r="H160" s="1082"/>
      <c r="I160" s="1072" t="s">
        <v>2458</v>
      </c>
    </row>
    <row r="161" spans="1:9" x14ac:dyDescent="0.25">
      <c r="A161" s="1079">
        <f t="shared" si="8"/>
        <v>1</v>
      </c>
      <c r="B161" s="1079" t="s">
        <v>1398</v>
      </c>
      <c r="C161" s="1080" t="s">
        <v>281</v>
      </c>
      <c r="D161" s="1082">
        <f t="shared" si="9"/>
        <v>2.73</v>
      </c>
      <c r="E161" s="1082">
        <v>2.73</v>
      </c>
      <c r="F161" s="1082" t="s">
        <v>2457</v>
      </c>
      <c r="G161" s="1082" t="s">
        <v>2457</v>
      </c>
      <c r="H161" s="1082"/>
      <c r="I161" s="1072" t="s">
        <v>2458</v>
      </c>
    </row>
    <row r="162" spans="1:9" x14ac:dyDescent="0.25">
      <c r="A162" s="1079">
        <f t="shared" si="8"/>
        <v>1</v>
      </c>
      <c r="B162" s="1079" t="s">
        <v>1419</v>
      </c>
      <c r="C162" s="1080" t="s">
        <v>485</v>
      </c>
      <c r="D162" s="1082">
        <f t="shared" si="9"/>
        <v>6500</v>
      </c>
      <c r="E162" s="1082">
        <v>6500</v>
      </c>
      <c r="F162" s="1082" t="s">
        <v>2461</v>
      </c>
      <c r="G162" s="1082" t="s">
        <v>2461</v>
      </c>
      <c r="H162" s="1082"/>
      <c r="I162" s="1072" t="s">
        <v>2462</v>
      </c>
    </row>
    <row r="163" spans="1:9" x14ac:dyDescent="0.25">
      <c r="A163" s="1079">
        <f t="shared" si="8"/>
        <v>1</v>
      </c>
      <c r="B163" s="1079" t="s">
        <v>1420</v>
      </c>
      <c r="C163" s="1080" t="s">
        <v>485</v>
      </c>
      <c r="D163" s="1082">
        <f t="shared" si="9"/>
        <v>900</v>
      </c>
      <c r="E163" s="1082">
        <v>900</v>
      </c>
      <c r="F163" s="1082" t="s">
        <v>2461</v>
      </c>
      <c r="G163" s="1082" t="s">
        <v>2461</v>
      </c>
      <c r="H163" s="1082"/>
      <c r="I163" s="1072" t="s">
        <v>2462</v>
      </c>
    </row>
    <row r="164" spans="1:9" x14ac:dyDescent="0.25">
      <c r="A164" s="1079">
        <f t="shared" si="8"/>
        <v>1</v>
      </c>
      <c r="B164" s="1079" t="s">
        <v>1423</v>
      </c>
      <c r="C164" s="1080" t="s">
        <v>355</v>
      </c>
      <c r="D164" s="1082">
        <f t="shared" si="9"/>
        <v>1200</v>
      </c>
      <c r="E164" s="1082">
        <v>1200</v>
      </c>
      <c r="F164" s="1082" t="s">
        <v>2461</v>
      </c>
      <c r="G164" s="1082" t="s">
        <v>2461</v>
      </c>
      <c r="H164" s="1082"/>
      <c r="I164" s="1072" t="s">
        <v>2462</v>
      </c>
    </row>
    <row r="165" spans="1:9" x14ac:dyDescent="0.25">
      <c r="A165" s="1079">
        <f t="shared" si="8"/>
        <v>1</v>
      </c>
      <c r="B165" s="1079" t="s">
        <v>1471</v>
      </c>
      <c r="C165" s="1080" t="s">
        <v>355</v>
      </c>
      <c r="D165" s="1082">
        <f t="shared" si="9"/>
        <v>26000</v>
      </c>
      <c r="E165" s="1082">
        <v>26000</v>
      </c>
      <c r="F165" s="1082" t="s">
        <v>2461</v>
      </c>
      <c r="G165" s="1082" t="s">
        <v>2461</v>
      </c>
      <c r="H165" s="1082"/>
      <c r="I165" s="1072" t="s">
        <v>2462</v>
      </c>
    </row>
    <row r="166" spans="1:9" x14ac:dyDescent="0.25">
      <c r="A166" s="1079">
        <f t="shared" si="8"/>
        <v>1</v>
      </c>
      <c r="B166" s="1079" t="s">
        <v>1469</v>
      </c>
      <c r="C166" s="1080" t="s">
        <v>355</v>
      </c>
      <c r="D166" s="1082">
        <f t="shared" si="9"/>
        <v>32000</v>
      </c>
      <c r="E166" s="1082">
        <v>32000</v>
      </c>
      <c r="F166" s="1082" t="s">
        <v>2461</v>
      </c>
      <c r="G166" s="1082" t="s">
        <v>2461</v>
      </c>
      <c r="H166" s="1082"/>
      <c r="I166" s="1072" t="s">
        <v>2462</v>
      </c>
    </row>
    <row r="167" spans="1:9" x14ac:dyDescent="0.25">
      <c r="A167" s="1079">
        <f t="shared" si="8"/>
        <v>1</v>
      </c>
      <c r="B167" s="1079" t="s">
        <v>1470</v>
      </c>
      <c r="C167" s="1080" t="s">
        <v>355</v>
      </c>
      <c r="D167" s="1082">
        <f t="shared" si="9"/>
        <v>18500</v>
      </c>
      <c r="E167" s="1082">
        <v>18500</v>
      </c>
      <c r="F167" s="1082" t="s">
        <v>2461</v>
      </c>
      <c r="G167" s="1082" t="s">
        <v>2461</v>
      </c>
      <c r="H167" s="1082"/>
      <c r="I167" s="1072" t="s">
        <v>2462</v>
      </c>
    </row>
    <row r="168" spans="1:9" x14ac:dyDescent="0.25">
      <c r="A168" s="1079">
        <f t="shared" si="8"/>
        <v>1</v>
      </c>
      <c r="B168" s="1079" t="s">
        <v>2398</v>
      </c>
      <c r="C168" s="1080" t="s">
        <v>485</v>
      </c>
      <c r="D168" s="1082">
        <f t="shared" si="9"/>
        <v>1500</v>
      </c>
      <c r="E168" s="1082">
        <v>1500</v>
      </c>
      <c r="F168" s="1082" t="s">
        <v>2461</v>
      </c>
      <c r="G168" s="1082" t="s">
        <v>2461</v>
      </c>
      <c r="H168" s="1082"/>
      <c r="I168" s="1072" t="s">
        <v>2462</v>
      </c>
    </row>
    <row r="169" spans="1:9" x14ac:dyDescent="0.25">
      <c r="A169" s="1079">
        <f t="shared" si="8"/>
        <v>1</v>
      </c>
      <c r="B169" s="1079" t="s">
        <v>2376</v>
      </c>
      <c r="C169" s="1080" t="s">
        <v>485</v>
      </c>
      <c r="D169" s="1082">
        <f t="shared" si="9"/>
        <v>3200</v>
      </c>
      <c r="E169" s="1082">
        <v>3200</v>
      </c>
      <c r="F169" s="1082" t="s">
        <v>2461</v>
      </c>
      <c r="G169" s="1082" t="s">
        <v>2461</v>
      </c>
      <c r="H169" s="1082"/>
      <c r="I169" s="1072" t="s">
        <v>2462</v>
      </c>
    </row>
    <row r="170" spans="1:9" x14ac:dyDescent="0.25">
      <c r="A170" s="1079">
        <f t="shared" si="8"/>
        <v>1</v>
      </c>
      <c r="B170" s="1079" t="s">
        <v>1445</v>
      </c>
      <c r="C170" s="1080" t="s">
        <v>485</v>
      </c>
      <c r="D170" s="1082">
        <f t="shared" si="9"/>
        <v>33660</v>
      </c>
      <c r="E170" s="1082">
        <v>33660</v>
      </c>
      <c r="F170" s="1082" t="s">
        <v>2461</v>
      </c>
      <c r="G170" s="1082" t="s">
        <v>2461</v>
      </c>
      <c r="H170" s="1082"/>
      <c r="I170" s="1072" t="s">
        <v>2462</v>
      </c>
    </row>
    <row r="171" spans="1:9" x14ac:dyDescent="0.25">
      <c r="A171" s="1079">
        <f t="shared" si="8"/>
        <v>1</v>
      </c>
      <c r="B171" s="1079" t="s">
        <v>1447</v>
      </c>
      <c r="C171" s="1080" t="s">
        <v>485</v>
      </c>
      <c r="D171" s="1082">
        <f t="shared" si="9"/>
        <v>15000</v>
      </c>
      <c r="E171" s="1082">
        <v>15000</v>
      </c>
      <c r="F171" s="1082" t="s">
        <v>2461</v>
      </c>
      <c r="G171" s="1082" t="s">
        <v>2461</v>
      </c>
      <c r="H171" s="1082"/>
      <c r="I171" s="1072" t="s">
        <v>2462</v>
      </c>
    </row>
    <row r="172" spans="1:9" x14ac:dyDescent="0.25">
      <c r="A172" s="1079">
        <f t="shared" si="8"/>
        <v>1</v>
      </c>
      <c r="B172" s="1079" t="s">
        <v>1606</v>
      </c>
      <c r="C172" s="1080" t="s">
        <v>419</v>
      </c>
      <c r="D172" s="1082">
        <f t="shared" si="9"/>
        <v>15000</v>
      </c>
      <c r="E172" s="1082">
        <v>15000</v>
      </c>
      <c r="F172" s="1082" t="s">
        <v>2461</v>
      </c>
      <c r="G172" s="1082" t="s">
        <v>2461</v>
      </c>
      <c r="H172" s="1082"/>
      <c r="I172" s="1072" t="s">
        <v>2462</v>
      </c>
    </row>
    <row r="173" spans="1:9" x14ac:dyDescent="0.25">
      <c r="A173" s="1079">
        <f t="shared" si="8"/>
        <v>1</v>
      </c>
      <c r="B173" s="1079" t="s">
        <v>1400</v>
      </c>
      <c r="C173" s="1080" t="s">
        <v>491</v>
      </c>
      <c r="D173" s="1082">
        <f t="shared" si="9"/>
        <v>39</v>
      </c>
      <c r="E173" s="1082">
        <v>39</v>
      </c>
      <c r="F173" s="1082" t="s">
        <v>2461</v>
      </c>
      <c r="G173" s="1082" t="s">
        <v>2461</v>
      </c>
      <c r="H173" s="1082"/>
      <c r="I173" s="1072" t="s">
        <v>2462</v>
      </c>
    </row>
    <row r="174" spans="1:9" x14ac:dyDescent="0.25">
      <c r="A174" s="1079">
        <f t="shared" si="8"/>
        <v>1</v>
      </c>
      <c r="B174" s="1079" t="s">
        <v>1602</v>
      </c>
      <c r="C174" s="1080" t="s">
        <v>491</v>
      </c>
      <c r="D174" s="1082">
        <f t="shared" si="9"/>
        <v>39</v>
      </c>
      <c r="E174" s="1082">
        <v>39</v>
      </c>
      <c r="F174" s="1082" t="s">
        <v>2461</v>
      </c>
      <c r="G174" s="1082" t="s">
        <v>2461</v>
      </c>
      <c r="H174" s="1082"/>
      <c r="I174" s="1072" t="s">
        <v>2462</v>
      </c>
    </row>
    <row r="175" spans="1:9" x14ac:dyDescent="0.25">
      <c r="A175" s="1079">
        <f t="shared" si="8"/>
        <v>1</v>
      </c>
      <c r="B175" s="1079" t="s">
        <v>1599</v>
      </c>
      <c r="C175" s="1080" t="s">
        <v>2463</v>
      </c>
      <c r="D175" s="1082">
        <f t="shared" si="9"/>
        <v>5.3064</v>
      </c>
      <c r="E175" s="1082">
        <v>5.3064</v>
      </c>
      <c r="F175" s="1082" t="s">
        <v>2461</v>
      </c>
      <c r="G175" s="1082" t="s">
        <v>2461</v>
      </c>
      <c r="H175" s="1082"/>
      <c r="I175" s="1072" t="s">
        <v>2462</v>
      </c>
    </row>
    <row r="176" spans="1:9" x14ac:dyDescent="0.25">
      <c r="A176" s="1079">
        <f t="shared" si="8"/>
        <v>1</v>
      </c>
      <c r="B176" s="1079" t="s">
        <v>1600</v>
      </c>
      <c r="C176" s="1080" t="s">
        <v>355</v>
      </c>
      <c r="D176" s="1082">
        <f t="shared" si="9"/>
        <v>39432.81</v>
      </c>
      <c r="E176" s="1082">
        <v>39432.81</v>
      </c>
      <c r="F176" s="1082" t="s">
        <v>2461</v>
      </c>
      <c r="G176" s="1082" t="s">
        <v>2461</v>
      </c>
      <c r="H176" s="1082"/>
      <c r="I176" s="1072" t="s">
        <v>2462</v>
      </c>
    </row>
    <row r="177" spans="1:9" x14ac:dyDescent="0.25">
      <c r="A177" s="1079">
        <f t="shared" si="8"/>
        <v>1</v>
      </c>
      <c r="B177" s="1079" t="s">
        <v>2390</v>
      </c>
      <c r="C177" s="1080" t="s">
        <v>485</v>
      </c>
      <c r="D177" s="1082">
        <f t="shared" si="9"/>
        <v>1000</v>
      </c>
      <c r="E177" s="1082">
        <v>1000</v>
      </c>
      <c r="F177" s="1082" t="s">
        <v>2461</v>
      </c>
      <c r="G177" s="1082" t="s">
        <v>2461</v>
      </c>
      <c r="H177" s="1082"/>
      <c r="I177" s="1072" t="s">
        <v>2462</v>
      </c>
    </row>
    <row r="178" spans="1:9" x14ac:dyDescent="0.25">
      <c r="A178" s="1079">
        <f t="shared" si="8"/>
        <v>1</v>
      </c>
      <c r="B178" s="1079" t="s">
        <v>2397</v>
      </c>
      <c r="C178" s="1080" t="s">
        <v>485</v>
      </c>
      <c r="D178" s="1082">
        <f t="shared" si="9"/>
        <v>4000</v>
      </c>
      <c r="E178" s="1082">
        <v>4000</v>
      </c>
      <c r="F178" s="1082" t="s">
        <v>2461</v>
      </c>
      <c r="G178" s="1082" t="s">
        <v>2461</v>
      </c>
      <c r="H178" s="1082"/>
      <c r="I178" s="1072" t="s">
        <v>2462</v>
      </c>
    </row>
    <row r="179" spans="1:9" x14ac:dyDescent="0.25">
      <c r="A179" s="1079">
        <f t="shared" si="8"/>
        <v>1</v>
      </c>
      <c r="B179" s="1079" t="s">
        <v>2375</v>
      </c>
      <c r="C179" s="1080" t="s">
        <v>485</v>
      </c>
      <c r="D179" s="1082">
        <f t="shared" si="9"/>
        <v>1500</v>
      </c>
      <c r="E179" s="1082">
        <v>1500</v>
      </c>
      <c r="F179" s="1082" t="s">
        <v>2461</v>
      </c>
      <c r="G179" s="1082" t="s">
        <v>2461</v>
      </c>
      <c r="H179" s="1082"/>
      <c r="I179" s="1072" t="s">
        <v>2462</v>
      </c>
    </row>
    <row r="180" spans="1:9" x14ac:dyDescent="0.25">
      <c r="A180" s="1079">
        <f t="shared" si="8"/>
        <v>1</v>
      </c>
      <c r="B180" s="1079" t="s">
        <v>2391</v>
      </c>
      <c r="C180" s="1080" t="s">
        <v>485</v>
      </c>
      <c r="D180" s="1082">
        <f t="shared" si="9"/>
        <v>1500</v>
      </c>
      <c r="E180" s="1082">
        <v>1500</v>
      </c>
      <c r="F180" s="1082" t="s">
        <v>2461</v>
      </c>
      <c r="G180" s="1082" t="s">
        <v>2461</v>
      </c>
      <c r="H180" s="1082"/>
      <c r="I180" s="1072" t="s">
        <v>2462</v>
      </c>
    </row>
    <row r="181" spans="1:9" x14ac:dyDescent="0.25">
      <c r="A181" s="1079">
        <f t="shared" si="8"/>
        <v>1</v>
      </c>
      <c r="B181" s="1079" t="s">
        <v>2399</v>
      </c>
      <c r="C181" s="1080" t="s">
        <v>485</v>
      </c>
      <c r="D181" s="1082">
        <f t="shared" si="9"/>
        <v>2000</v>
      </c>
      <c r="E181" s="1082">
        <v>2000</v>
      </c>
      <c r="F181" s="1082" t="s">
        <v>2461</v>
      </c>
      <c r="G181" s="1082" t="s">
        <v>2461</v>
      </c>
      <c r="H181" s="1082"/>
      <c r="I181" s="1072" t="s">
        <v>2462</v>
      </c>
    </row>
    <row r="182" spans="1:9" x14ac:dyDescent="0.25">
      <c r="A182" s="1079">
        <f t="shared" si="8"/>
        <v>1</v>
      </c>
      <c r="B182" s="1079" t="s">
        <v>1448</v>
      </c>
      <c r="C182" s="1080" t="s">
        <v>485</v>
      </c>
      <c r="D182" s="1082">
        <f t="shared" si="9"/>
        <v>7000</v>
      </c>
      <c r="E182" s="1082">
        <v>7000</v>
      </c>
      <c r="F182" s="1082" t="s">
        <v>2461</v>
      </c>
      <c r="G182" s="1082" t="s">
        <v>2461</v>
      </c>
      <c r="H182" s="1082"/>
      <c r="I182" s="1072" t="s">
        <v>2462</v>
      </c>
    </row>
    <row r="183" spans="1:9" x14ac:dyDescent="0.25">
      <c r="A183" s="1079">
        <f t="shared" si="8"/>
        <v>1</v>
      </c>
      <c r="B183" s="1079" t="s">
        <v>1446</v>
      </c>
      <c r="C183" s="1080" t="s">
        <v>485</v>
      </c>
      <c r="D183" s="1082">
        <f t="shared" si="9"/>
        <v>32270</v>
      </c>
      <c r="E183" s="1082">
        <v>32270</v>
      </c>
      <c r="F183" s="1082" t="s">
        <v>2461</v>
      </c>
      <c r="G183" s="1082" t="s">
        <v>2461</v>
      </c>
      <c r="H183" s="1082"/>
      <c r="I183" s="1072" t="s">
        <v>2462</v>
      </c>
    </row>
    <row r="184" spans="1:9" x14ac:dyDescent="0.25">
      <c r="A184" s="1079">
        <f t="shared" si="8"/>
        <v>1</v>
      </c>
      <c r="B184" s="1079" t="s">
        <v>1323</v>
      </c>
      <c r="C184" s="1080" t="s">
        <v>17</v>
      </c>
      <c r="D184" s="1082">
        <f t="shared" si="9"/>
        <v>1350</v>
      </c>
      <c r="E184" s="1082">
        <v>1350</v>
      </c>
      <c r="F184" s="1082" t="s">
        <v>2464</v>
      </c>
      <c r="G184" s="1082" t="s">
        <v>2465</v>
      </c>
      <c r="H184" s="1082"/>
      <c r="I184" s="1072" t="s">
        <v>2466</v>
      </c>
    </row>
    <row r="185" spans="1:9" x14ac:dyDescent="0.25">
      <c r="A185" s="1079">
        <f t="shared" si="8"/>
        <v>1</v>
      </c>
      <c r="B185" s="1079" t="s">
        <v>2097</v>
      </c>
      <c r="C185" s="1080" t="s">
        <v>17</v>
      </c>
      <c r="D185" s="1082">
        <f t="shared" si="9"/>
        <v>599.91</v>
      </c>
      <c r="E185" s="1082">
        <v>599.91</v>
      </c>
      <c r="F185" s="1082" t="s">
        <v>2464</v>
      </c>
      <c r="G185" s="1082" t="s">
        <v>2465</v>
      </c>
      <c r="H185" s="1082"/>
      <c r="I185" s="1072" t="s">
        <v>2466</v>
      </c>
    </row>
    <row r="186" spans="1:9" x14ac:dyDescent="0.25">
      <c r="A186" s="1079">
        <f t="shared" si="8"/>
        <v>1</v>
      </c>
      <c r="B186" s="1079" t="s">
        <v>1324</v>
      </c>
      <c r="C186" s="1080" t="s">
        <v>17</v>
      </c>
      <c r="D186" s="1082">
        <f t="shared" si="9"/>
        <v>935.99</v>
      </c>
      <c r="E186" s="1082">
        <v>935.99</v>
      </c>
      <c r="F186" s="1082" t="s">
        <v>2464</v>
      </c>
      <c r="G186" s="1082" t="s">
        <v>2465</v>
      </c>
      <c r="H186" s="1082"/>
      <c r="I186" s="1072" t="s">
        <v>2466</v>
      </c>
    </row>
    <row r="187" spans="1:9" x14ac:dyDescent="0.25">
      <c r="A187" s="1079">
        <f t="shared" si="8"/>
        <v>1</v>
      </c>
      <c r="B187" s="1079" t="s">
        <v>2101</v>
      </c>
      <c r="C187" s="1080" t="s">
        <v>281</v>
      </c>
      <c r="D187" s="1082">
        <f t="shared" si="9"/>
        <v>530</v>
      </c>
      <c r="E187" s="1082">
        <v>530</v>
      </c>
      <c r="F187" s="1082" t="s">
        <v>2464</v>
      </c>
      <c r="G187" s="1082" t="s">
        <v>2465</v>
      </c>
      <c r="H187" s="1082"/>
      <c r="I187" s="1072" t="s">
        <v>2466</v>
      </c>
    </row>
    <row r="188" spans="1:9" x14ac:dyDescent="0.25">
      <c r="A188" s="1079">
        <f t="shared" si="8"/>
        <v>1</v>
      </c>
      <c r="B188" s="1079" t="s">
        <v>2099</v>
      </c>
      <c r="C188" s="1080" t="s">
        <v>2</v>
      </c>
      <c r="D188" s="1082">
        <f t="shared" si="9"/>
        <v>1014</v>
      </c>
      <c r="E188" s="1082">
        <v>1014</v>
      </c>
      <c r="F188" s="1082" t="s">
        <v>2464</v>
      </c>
      <c r="G188" s="1082" t="s">
        <v>2465</v>
      </c>
      <c r="H188" s="1082"/>
      <c r="I188" s="1072" t="s">
        <v>2467</v>
      </c>
    </row>
    <row r="189" spans="1:9" x14ac:dyDescent="0.25">
      <c r="A189" s="1079">
        <f t="shared" si="8"/>
        <v>1</v>
      </c>
      <c r="B189" s="1079" t="s">
        <v>2095</v>
      </c>
      <c r="C189" s="1080" t="s">
        <v>17</v>
      </c>
      <c r="D189" s="1082">
        <f t="shared" si="9"/>
        <v>1415.0275930380642</v>
      </c>
      <c r="E189" s="1082">
        <v>1415.0275930380642</v>
      </c>
      <c r="F189" s="1082" t="s">
        <v>2464</v>
      </c>
      <c r="G189" s="1082" t="s">
        <v>2465</v>
      </c>
      <c r="H189" s="1082"/>
      <c r="I189" s="1072" t="s">
        <v>2466</v>
      </c>
    </row>
    <row r="190" spans="1:9" x14ac:dyDescent="0.25">
      <c r="A190" s="1079">
        <f t="shared" si="8"/>
        <v>1</v>
      </c>
      <c r="B190" s="1079" t="s">
        <v>2104</v>
      </c>
      <c r="C190" s="1080" t="s">
        <v>281</v>
      </c>
      <c r="D190" s="1082">
        <f t="shared" si="9"/>
        <v>650</v>
      </c>
      <c r="E190" s="1082">
        <v>650</v>
      </c>
      <c r="F190" s="1082" t="s">
        <v>2464</v>
      </c>
      <c r="G190" s="1082" t="s">
        <v>2468</v>
      </c>
      <c r="H190" s="1082"/>
      <c r="I190" s="1072" t="s">
        <v>2466</v>
      </c>
    </row>
    <row r="191" spans="1:9" x14ac:dyDescent="0.25">
      <c r="A191" s="1079">
        <f t="shared" si="8"/>
        <v>1</v>
      </c>
      <c r="B191" s="1079" t="s">
        <v>2103</v>
      </c>
      <c r="C191" s="1080" t="s">
        <v>281</v>
      </c>
      <c r="D191" s="1082">
        <f t="shared" si="9"/>
        <v>80</v>
      </c>
      <c r="E191" s="1082">
        <v>80</v>
      </c>
      <c r="F191" s="1082" t="s">
        <v>2464</v>
      </c>
      <c r="G191" s="1082" t="s">
        <v>2469</v>
      </c>
      <c r="H191" s="1082"/>
      <c r="I191" s="1072" t="s">
        <v>2470</v>
      </c>
    </row>
    <row r="192" spans="1:9" x14ac:dyDescent="0.25">
      <c r="A192" s="1079">
        <f t="shared" si="8"/>
        <v>1</v>
      </c>
      <c r="B192" s="1079" t="s">
        <v>2096</v>
      </c>
      <c r="C192" s="1080" t="s">
        <v>17</v>
      </c>
      <c r="D192" s="1082">
        <f t="shared" si="9"/>
        <v>1031.7460317460318</v>
      </c>
      <c r="E192" s="1082">
        <v>1031.7460317460318</v>
      </c>
      <c r="F192" s="1082" t="s">
        <v>2464</v>
      </c>
      <c r="G192" s="1082" t="s">
        <v>2469</v>
      </c>
      <c r="H192" s="1082"/>
      <c r="I192" s="1072" t="s">
        <v>2470</v>
      </c>
    </row>
    <row r="193" spans="1:9" x14ac:dyDescent="0.25">
      <c r="A193" s="1079">
        <f t="shared" si="8"/>
        <v>1</v>
      </c>
      <c r="B193" s="1079" t="s">
        <v>2127</v>
      </c>
      <c r="C193" s="1080" t="s">
        <v>17</v>
      </c>
      <c r="D193" s="1082">
        <f t="shared" si="9"/>
        <v>1300</v>
      </c>
      <c r="E193" s="1082">
        <v>1300</v>
      </c>
      <c r="F193" s="1082" t="s">
        <v>2464</v>
      </c>
      <c r="G193" s="1082" t="s">
        <v>2469</v>
      </c>
      <c r="H193" s="1082"/>
      <c r="I193" s="1072" t="s">
        <v>2470</v>
      </c>
    </row>
    <row r="194" spans="1:9" x14ac:dyDescent="0.25">
      <c r="A194" s="1079">
        <f t="shared" si="8"/>
        <v>1</v>
      </c>
      <c r="B194" s="1079" t="s">
        <v>2125</v>
      </c>
      <c r="C194" s="1080" t="s">
        <v>17</v>
      </c>
      <c r="D194" s="1082">
        <f t="shared" si="9"/>
        <v>1300</v>
      </c>
      <c r="E194" s="1082">
        <v>1300</v>
      </c>
      <c r="F194" s="1082" t="s">
        <v>2464</v>
      </c>
      <c r="G194" s="1082" t="s">
        <v>2469</v>
      </c>
      <c r="H194" s="1082"/>
      <c r="I194" s="1072" t="s">
        <v>2470</v>
      </c>
    </row>
    <row r="195" spans="1:9" x14ac:dyDescent="0.25">
      <c r="A195" s="1079">
        <f t="shared" si="8"/>
        <v>1</v>
      </c>
      <c r="B195" s="1079" t="s">
        <v>2123</v>
      </c>
      <c r="C195" s="1080" t="s">
        <v>17</v>
      </c>
      <c r="D195" s="1082">
        <f t="shared" si="9"/>
        <v>1300</v>
      </c>
      <c r="E195" s="1082">
        <v>1300</v>
      </c>
      <c r="F195" s="1082" t="s">
        <v>2464</v>
      </c>
      <c r="G195" s="1082" t="s">
        <v>2469</v>
      </c>
      <c r="H195" s="1082"/>
      <c r="I195" s="1072" t="s">
        <v>2470</v>
      </c>
    </row>
    <row r="196" spans="1:9" x14ac:dyDescent="0.25">
      <c r="A196" s="1079">
        <f t="shared" si="8"/>
        <v>1</v>
      </c>
      <c r="B196" s="1079" t="s">
        <v>2129</v>
      </c>
      <c r="C196" s="1080" t="s">
        <v>17</v>
      </c>
      <c r="D196" s="1082">
        <f t="shared" si="9"/>
        <v>1358.5</v>
      </c>
      <c r="E196" s="1082">
        <v>1358.5</v>
      </c>
      <c r="F196" s="1082" t="s">
        <v>2464</v>
      </c>
      <c r="G196" s="1082" t="s">
        <v>2469</v>
      </c>
      <c r="H196" s="1082"/>
      <c r="I196" s="1072" t="s">
        <v>2470</v>
      </c>
    </row>
    <row r="197" spans="1:9" x14ac:dyDescent="0.25">
      <c r="A197" s="1079">
        <f t="shared" si="8"/>
        <v>1</v>
      </c>
      <c r="B197" s="1079" t="s">
        <v>2106</v>
      </c>
      <c r="C197" s="1080" t="s">
        <v>17</v>
      </c>
      <c r="D197" s="1082">
        <f t="shared" si="9"/>
        <v>1000</v>
      </c>
      <c r="E197" s="1082">
        <v>1000</v>
      </c>
      <c r="F197" s="1082" t="s">
        <v>2464</v>
      </c>
      <c r="G197" s="1082" t="s">
        <v>2469</v>
      </c>
      <c r="H197" s="1082"/>
      <c r="I197" s="1072" t="s">
        <v>2470</v>
      </c>
    </row>
    <row r="198" spans="1:9" x14ac:dyDescent="0.25">
      <c r="A198" s="1079">
        <f t="shared" si="8"/>
        <v>1</v>
      </c>
      <c r="B198" s="1079" t="s">
        <v>2117</v>
      </c>
      <c r="C198" s="1080" t="s">
        <v>17</v>
      </c>
      <c r="D198" s="1082">
        <f t="shared" si="9"/>
        <v>1300</v>
      </c>
      <c r="E198" s="1082">
        <v>1300</v>
      </c>
      <c r="F198" s="1082" t="s">
        <v>2464</v>
      </c>
      <c r="G198" s="1082" t="s">
        <v>2469</v>
      </c>
      <c r="H198" s="1082"/>
      <c r="I198" s="1072" t="s">
        <v>2470</v>
      </c>
    </row>
    <row r="199" spans="1:9" x14ac:dyDescent="0.25">
      <c r="A199" s="1079">
        <f t="shared" si="8"/>
        <v>1</v>
      </c>
      <c r="B199" s="1079" t="s">
        <v>2109</v>
      </c>
      <c r="C199" s="1080" t="s">
        <v>17</v>
      </c>
      <c r="D199" s="1082">
        <f t="shared" si="9"/>
        <v>1300</v>
      </c>
      <c r="E199" s="1082">
        <v>1300</v>
      </c>
      <c r="F199" s="1082" t="s">
        <v>2464</v>
      </c>
      <c r="G199" s="1082" t="s">
        <v>2469</v>
      </c>
      <c r="H199" s="1082"/>
      <c r="I199" s="1072" t="s">
        <v>2470</v>
      </c>
    </row>
    <row r="200" spans="1:9" x14ac:dyDescent="0.25">
      <c r="A200" s="1079">
        <f t="shared" si="8"/>
        <v>1</v>
      </c>
      <c r="B200" s="1079" t="s">
        <v>2111</v>
      </c>
      <c r="C200" s="1080" t="s">
        <v>17</v>
      </c>
      <c r="D200" s="1082">
        <f t="shared" si="9"/>
        <v>1300</v>
      </c>
      <c r="E200" s="1082">
        <v>1300</v>
      </c>
      <c r="F200" s="1082" t="s">
        <v>2464</v>
      </c>
      <c r="G200" s="1082" t="s">
        <v>2469</v>
      </c>
      <c r="H200" s="1082"/>
      <c r="I200" s="1072" t="s">
        <v>2470</v>
      </c>
    </row>
    <row r="201" spans="1:9" x14ac:dyDescent="0.25">
      <c r="A201" s="1079">
        <f t="shared" si="8"/>
        <v>1</v>
      </c>
      <c r="B201" s="1079" t="s">
        <v>2119</v>
      </c>
      <c r="C201" s="1080" t="s">
        <v>17</v>
      </c>
      <c r="D201" s="1082">
        <f t="shared" si="9"/>
        <v>1300</v>
      </c>
      <c r="E201" s="1082">
        <v>1300</v>
      </c>
      <c r="F201" s="1082" t="s">
        <v>2464</v>
      </c>
      <c r="G201" s="1082" t="s">
        <v>2469</v>
      </c>
      <c r="H201" s="1082"/>
      <c r="I201" s="1072" t="s">
        <v>2470</v>
      </c>
    </row>
    <row r="202" spans="1:9" x14ac:dyDescent="0.25">
      <c r="A202" s="1079">
        <f t="shared" si="8"/>
        <v>1</v>
      </c>
      <c r="B202" s="1079" t="s">
        <v>2113</v>
      </c>
      <c r="C202" s="1080" t="s">
        <v>17</v>
      </c>
      <c r="D202" s="1082">
        <f t="shared" si="9"/>
        <v>1300</v>
      </c>
      <c r="E202" s="1082">
        <v>1300</v>
      </c>
      <c r="F202" s="1082" t="s">
        <v>2464</v>
      </c>
      <c r="G202" s="1082" t="s">
        <v>2469</v>
      </c>
      <c r="H202" s="1082"/>
      <c r="I202" s="1072" t="s">
        <v>2470</v>
      </c>
    </row>
    <row r="203" spans="1:9" x14ac:dyDescent="0.25">
      <c r="A203" s="1079">
        <f t="shared" si="8"/>
        <v>1</v>
      </c>
      <c r="B203" s="1079" t="s">
        <v>2118</v>
      </c>
      <c r="C203" s="1080" t="s">
        <v>17</v>
      </c>
      <c r="D203" s="1082">
        <f t="shared" si="9"/>
        <v>1300</v>
      </c>
      <c r="E203" s="1082">
        <v>1300</v>
      </c>
      <c r="F203" s="1082" t="s">
        <v>2464</v>
      </c>
      <c r="G203" s="1082" t="s">
        <v>2469</v>
      </c>
      <c r="H203" s="1082"/>
      <c r="I203" s="1072" t="s">
        <v>2470</v>
      </c>
    </row>
    <row r="204" spans="1:9" x14ac:dyDescent="0.25">
      <c r="A204" s="1079">
        <f t="shared" si="8"/>
        <v>1</v>
      </c>
      <c r="B204" s="1079" t="s">
        <v>2115</v>
      </c>
      <c r="C204" s="1080" t="s">
        <v>17</v>
      </c>
      <c r="D204" s="1082">
        <f t="shared" si="9"/>
        <v>1300</v>
      </c>
      <c r="E204" s="1082">
        <v>1300</v>
      </c>
      <c r="F204" s="1082" t="s">
        <v>2464</v>
      </c>
      <c r="G204" s="1082" t="s">
        <v>2469</v>
      </c>
      <c r="H204" s="1082"/>
      <c r="I204" s="1072" t="s">
        <v>2470</v>
      </c>
    </row>
    <row r="205" spans="1:9" x14ac:dyDescent="0.25">
      <c r="A205" s="1079">
        <f t="shared" ref="A205:A268" si="10">COUNTIFS($B$2:$B$670,B205)</f>
        <v>1</v>
      </c>
      <c r="B205" s="1079" t="s">
        <v>2131</v>
      </c>
      <c r="C205" s="1080" t="s">
        <v>17</v>
      </c>
      <c r="D205" s="1082">
        <f t="shared" si="9"/>
        <v>1358.5</v>
      </c>
      <c r="E205" s="1082">
        <v>1358.5</v>
      </c>
      <c r="F205" s="1082" t="s">
        <v>2464</v>
      </c>
      <c r="G205" s="1082" t="s">
        <v>2469</v>
      </c>
      <c r="H205" s="1082"/>
      <c r="I205" s="1072" t="s">
        <v>2470</v>
      </c>
    </row>
    <row r="206" spans="1:9" x14ac:dyDescent="0.25">
      <c r="A206" s="1079">
        <f t="shared" si="10"/>
        <v>1</v>
      </c>
      <c r="B206" s="1079" t="s">
        <v>2121</v>
      </c>
      <c r="C206" s="1080" t="s">
        <v>17</v>
      </c>
      <c r="D206" s="1082">
        <f t="shared" si="9"/>
        <v>1300</v>
      </c>
      <c r="E206" s="1082">
        <v>1300</v>
      </c>
      <c r="F206" s="1082" t="s">
        <v>2464</v>
      </c>
      <c r="G206" s="1082" t="s">
        <v>2469</v>
      </c>
      <c r="H206" s="1082"/>
      <c r="I206" s="1072" t="s">
        <v>2470</v>
      </c>
    </row>
    <row r="207" spans="1:9" x14ac:dyDescent="0.25">
      <c r="A207" s="1079">
        <f t="shared" si="10"/>
        <v>1</v>
      </c>
      <c r="B207" s="1079" t="s">
        <v>2343</v>
      </c>
      <c r="C207" s="1080" t="s">
        <v>17</v>
      </c>
      <c r="D207" s="1082">
        <f t="shared" si="9"/>
        <v>1014</v>
      </c>
      <c r="E207" s="1082">
        <v>1014</v>
      </c>
      <c r="F207" s="1082" t="s">
        <v>2464</v>
      </c>
      <c r="G207" s="1082" t="s">
        <v>2471</v>
      </c>
      <c r="H207" s="1082"/>
      <c r="I207" s="1072" t="s">
        <v>2472</v>
      </c>
    </row>
    <row r="208" spans="1:9" x14ac:dyDescent="0.25">
      <c r="A208" s="1079">
        <f t="shared" si="10"/>
        <v>1</v>
      </c>
      <c r="B208" s="1079" t="s">
        <v>2098</v>
      </c>
      <c r="C208" s="1080" t="s">
        <v>17</v>
      </c>
      <c r="D208" s="1082">
        <f t="shared" si="9"/>
        <v>1533.99</v>
      </c>
      <c r="E208" s="1082">
        <v>1533.99</v>
      </c>
      <c r="F208" s="1082" t="s">
        <v>2464</v>
      </c>
      <c r="G208" s="1082" t="s">
        <v>2471</v>
      </c>
      <c r="H208" s="1082"/>
      <c r="I208" s="1072" t="s">
        <v>2472</v>
      </c>
    </row>
    <row r="209" spans="1:9" x14ac:dyDescent="0.25">
      <c r="A209" s="1079">
        <f t="shared" si="10"/>
        <v>1</v>
      </c>
      <c r="B209" s="1079" t="s">
        <v>2100</v>
      </c>
      <c r="C209" s="1080" t="s">
        <v>17</v>
      </c>
      <c r="D209" s="1082">
        <f t="shared" ref="D209:D278" si="11">E209*$D$1</f>
        <v>3893.2833333333333</v>
      </c>
      <c r="E209" s="1082">
        <v>3893.2833333333333</v>
      </c>
      <c r="F209" s="1082" t="s">
        <v>2464</v>
      </c>
      <c r="G209" s="1082" t="s">
        <v>2471</v>
      </c>
      <c r="H209" s="1082"/>
      <c r="I209" s="1072" t="s">
        <v>2472</v>
      </c>
    </row>
    <row r="210" spans="1:9" x14ac:dyDescent="0.25">
      <c r="A210" s="1079">
        <f t="shared" si="10"/>
        <v>1</v>
      </c>
      <c r="B210" s="1079" t="s">
        <v>1924</v>
      </c>
      <c r="C210" s="1080" t="s">
        <v>17</v>
      </c>
      <c r="D210" s="1082">
        <f t="shared" si="11"/>
        <v>568.92672413793116</v>
      </c>
      <c r="E210" s="1082">
        <v>568.92672413793116</v>
      </c>
      <c r="F210" s="1082" t="s">
        <v>2464</v>
      </c>
      <c r="G210" s="1082" t="s">
        <v>2473</v>
      </c>
      <c r="H210" s="1082"/>
      <c r="I210" s="1072" t="s">
        <v>2467</v>
      </c>
    </row>
    <row r="211" spans="1:9" x14ac:dyDescent="0.25">
      <c r="A211" s="1079">
        <f t="shared" si="10"/>
        <v>1</v>
      </c>
      <c r="B211" s="1079" t="s">
        <v>2136</v>
      </c>
      <c r="C211" s="1080" t="s">
        <v>2</v>
      </c>
      <c r="D211" s="1082">
        <f t="shared" si="11"/>
        <v>1100</v>
      </c>
      <c r="E211" s="1082">
        <v>1100</v>
      </c>
      <c r="F211" s="1082" t="s">
        <v>2464</v>
      </c>
      <c r="G211" s="1082" t="s">
        <v>2473</v>
      </c>
      <c r="H211" s="1082"/>
      <c r="I211" s="1072" t="s">
        <v>2467</v>
      </c>
    </row>
    <row r="212" spans="1:9" x14ac:dyDescent="0.25">
      <c r="A212" s="1079">
        <f t="shared" si="10"/>
        <v>1</v>
      </c>
      <c r="B212" s="1079" t="s">
        <v>2137</v>
      </c>
      <c r="C212" s="1080" t="s">
        <v>2</v>
      </c>
      <c r="D212" s="1082">
        <f t="shared" si="11"/>
        <v>2530</v>
      </c>
      <c r="E212" s="1082">
        <v>2530</v>
      </c>
      <c r="F212" s="1082" t="s">
        <v>2464</v>
      </c>
      <c r="G212" s="1082" t="s">
        <v>2473</v>
      </c>
      <c r="H212" s="1082"/>
      <c r="I212" s="1072" t="s">
        <v>2467</v>
      </c>
    </row>
    <row r="213" spans="1:9" x14ac:dyDescent="0.25">
      <c r="A213" s="1079">
        <f t="shared" si="10"/>
        <v>1</v>
      </c>
      <c r="B213" s="1079" t="s">
        <v>2138</v>
      </c>
      <c r="C213" s="1080" t="s">
        <v>2</v>
      </c>
      <c r="D213" s="1082">
        <f t="shared" si="11"/>
        <v>13011.726190476189</v>
      </c>
      <c r="E213" s="1082">
        <v>13011.726190476189</v>
      </c>
      <c r="F213" s="1082" t="s">
        <v>2464</v>
      </c>
      <c r="G213" s="1082" t="s">
        <v>2473</v>
      </c>
      <c r="H213" s="1082"/>
      <c r="I213" s="1072" t="s">
        <v>2467</v>
      </c>
    </row>
    <row r="214" spans="1:9" x14ac:dyDescent="0.25">
      <c r="A214" s="1079">
        <f t="shared" si="10"/>
        <v>1</v>
      </c>
      <c r="B214" s="1079" t="s">
        <v>2139</v>
      </c>
      <c r="C214" s="1080" t="s">
        <v>2</v>
      </c>
      <c r="D214" s="1082">
        <f t="shared" si="11"/>
        <v>10453.67619047619</v>
      </c>
      <c r="E214" s="1082">
        <f>9302*(3.2*2.95)/(3.5*2.4)</f>
        <v>10453.67619047619</v>
      </c>
      <c r="F214" s="1082" t="s">
        <v>2464</v>
      </c>
      <c r="G214" s="1082" t="s">
        <v>2473</v>
      </c>
      <c r="H214" s="1082"/>
      <c r="I214" s="1072" t="s">
        <v>2467</v>
      </c>
    </row>
    <row r="215" spans="1:9" x14ac:dyDescent="0.25">
      <c r="A215" s="1079">
        <f t="shared" si="10"/>
        <v>1</v>
      </c>
      <c r="B215" s="1079" t="s">
        <v>2140</v>
      </c>
      <c r="C215" s="1080" t="s">
        <v>2</v>
      </c>
      <c r="D215" s="1082">
        <f t="shared" si="11"/>
        <v>9302</v>
      </c>
      <c r="E215" s="1082">
        <v>9302</v>
      </c>
      <c r="F215" s="1082" t="s">
        <v>2464</v>
      </c>
      <c r="G215" s="1082" t="s">
        <v>2473</v>
      </c>
      <c r="H215" s="1082"/>
      <c r="I215" s="1072" t="s">
        <v>2467</v>
      </c>
    </row>
    <row r="216" spans="1:9" x14ac:dyDescent="0.25">
      <c r="A216" s="1079">
        <f t="shared" si="10"/>
        <v>1</v>
      </c>
      <c r="B216" s="1079" t="s">
        <v>2143</v>
      </c>
      <c r="C216" s="1080" t="s">
        <v>2</v>
      </c>
      <c r="D216" s="1082">
        <f t="shared" si="11"/>
        <v>1089.6084620689658</v>
      </c>
      <c r="E216" s="1082">
        <v>1089.6084620689658</v>
      </c>
      <c r="F216" s="1082" t="s">
        <v>2464</v>
      </c>
      <c r="G216" s="1082" t="s">
        <v>2473</v>
      </c>
      <c r="H216" s="1082"/>
      <c r="I216" s="1072" t="s">
        <v>2467</v>
      </c>
    </row>
    <row r="217" spans="1:9" x14ac:dyDescent="0.25">
      <c r="A217" s="1079">
        <f t="shared" si="10"/>
        <v>1</v>
      </c>
      <c r="B217" s="1079" t="s">
        <v>2145</v>
      </c>
      <c r="C217" s="1080" t="s">
        <v>2</v>
      </c>
      <c r="D217" s="1082">
        <f t="shared" si="11"/>
        <v>6500</v>
      </c>
      <c r="E217" s="1082">
        <v>6500</v>
      </c>
      <c r="F217" s="1082" t="s">
        <v>2464</v>
      </c>
      <c r="G217" s="1082" t="s">
        <v>2473</v>
      </c>
      <c r="H217" s="1082"/>
      <c r="I217" s="1072" t="s">
        <v>2467</v>
      </c>
    </row>
    <row r="218" spans="1:9" x14ac:dyDescent="0.25">
      <c r="A218" s="1079">
        <f t="shared" si="10"/>
        <v>1</v>
      </c>
      <c r="B218" s="1079" t="s">
        <v>2144</v>
      </c>
      <c r="C218" s="1080" t="s">
        <v>2</v>
      </c>
      <c r="D218" s="1082">
        <f t="shared" si="11"/>
        <v>2405</v>
      </c>
      <c r="E218" s="1082">
        <v>2405</v>
      </c>
      <c r="F218" s="1082" t="s">
        <v>2464</v>
      </c>
      <c r="G218" s="1082" t="s">
        <v>2473</v>
      </c>
      <c r="H218" s="1082"/>
      <c r="I218" s="1072" t="s">
        <v>2467</v>
      </c>
    </row>
    <row r="219" spans="1:9" x14ac:dyDescent="0.25">
      <c r="A219" s="1079">
        <f t="shared" si="10"/>
        <v>1</v>
      </c>
      <c r="B219" s="1079" t="s">
        <v>2141</v>
      </c>
      <c r="C219" s="1080" t="s">
        <v>2</v>
      </c>
      <c r="D219" s="1082">
        <f t="shared" si="11"/>
        <v>975</v>
      </c>
      <c r="E219" s="1082">
        <v>975</v>
      </c>
      <c r="F219" s="1082" t="s">
        <v>2464</v>
      </c>
      <c r="G219" s="1082" t="s">
        <v>2473</v>
      </c>
      <c r="H219" s="1082"/>
      <c r="I219" s="1072" t="s">
        <v>2467</v>
      </c>
    </row>
    <row r="220" spans="1:9" x14ac:dyDescent="0.25">
      <c r="A220" s="1079">
        <f t="shared" si="10"/>
        <v>1</v>
      </c>
      <c r="B220" s="1079" t="s">
        <v>2142</v>
      </c>
      <c r="C220" s="1080" t="s">
        <v>2</v>
      </c>
      <c r="D220" s="1082">
        <f t="shared" si="11"/>
        <v>2968</v>
      </c>
      <c r="E220" s="1082">
        <v>2968</v>
      </c>
      <c r="F220" s="1082" t="s">
        <v>2464</v>
      </c>
      <c r="G220" s="1082" t="s">
        <v>2473</v>
      </c>
      <c r="H220" s="1082"/>
      <c r="I220" s="1072" t="s">
        <v>2467</v>
      </c>
    </row>
    <row r="221" spans="1:9" x14ac:dyDescent="0.25">
      <c r="A221" s="1079">
        <f t="shared" si="10"/>
        <v>1</v>
      </c>
      <c r="B221" s="1079" t="s">
        <v>1713</v>
      </c>
      <c r="C221" s="1080" t="s">
        <v>17</v>
      </c>
      <c r="D221" s="1082">
        <f t="shared" si="11"/>
        <v>135.35555555555555</v>
      </c>
      <c r="E221" s="1082">
        <v>135.35555555555555</v>
      </c>
      <c r="F221" s="1082" t="s">
        <v>2464</v>
      </c>
      <c r="G221" s="1082" t="s">
        <v>2473</v>
      </c>
      <c r="H221" s="1082"/>
      <c r="I221" s="1072" t="s">
        <v>2467</v>
      </c>
    </row>
    <row r="222" spans="1:9" x14ac:dyDescent="0.25">
      <c r="A222" s="1079">
        <f t="shared" si="10"/>
        <v>1</v>
      </c>
      <c r="B222" s="1079" t="s">
        <v>2135</v>
      </c>
      <c r="C222" s="1080" t="s">
        <v>2</v>
      </c>
      <c r="D222" s="1082">
        <f t="shared" si="11"/>
        <v>232.46</v>
      </c>
      <c r="E222" s="1082">
        <v>232.46</v>
      </c>
      <c r="F222" s="1082" t="s">
        <v>2464</v>
      </c>
      <c r="G222" s="1082" t="s">
        <v>2474</v>
      </c>
      <c r="H222" s="1082"/>
      <c r="I222" s="1072" t="s">
        <v>2472</v>
      </c>
    </row>
    <row r="223" spans="1:9" x14ac:dyDescent="0.25">
      <c r="A223" s="1079">
        <f t="shared" si="10"/>
        <v>1</v>
      </c>
      <c r="B223" s="1079" t="s">
        <v>2133</v>
      </c>
      <c r="C223" s="1080" t="s">
        <v>2</v>
      </c>
      <c r="D223" s="1082">
        <f t="shared" si="11"/>
        <v>1386</v>
      </c>
      <c r="E223" s="1082">
        <v>1386</v>
      </c>
      <c r="F223" s="1082" t="s">
        <v>2464</v>
      </c>
      <c r="G223" s="1082" t="s">
        <v>2474</v>
      </c>
      <c r="H223" s="1082"/>
      <c r="I223" s="1072" t="s">
        <v>2472</v>
      </c>
    </row>
    <row r="224" spans="1:9" x14ac:dyDescent="0.25">
      <c r="A224" s="1079">
        <f t="shared" si="10"/>
        <v>1</v>
      </c>
      <c r="B224" s="1079" t="s">
        <v>1746</v>
      </c>
      <c r="C224" s="1080" t="s">
        <v>1481</v>
      </c>
      <c r="D224" s="1082">
        <f t="shared" si="11"/>
        <v>11.33</v>
      </c>
      <c r="E224" s="1082">
        <v>11.33</v>
      </c>
      <c r="F224" s="1082" t="s">
        <v>2475</v>
      </c>
      <c r="G224" s="1082" t="s">
        <v>2475</v>
      </c>
      <c r="H224" s="1082"/>
      <c r="I224" s="1072" t="s">
        <v>2476</v>
      </c>
    </row>
    <row r="225" spans="1:9" x14ac:dyDescent="0.25">
      <c r="A225" s="1079">
        <f t="shared" si="10"/>
        <v>1</v>
      </c>
      <c r="B225" s="1079" t="s">
        <v>2477</v>
      </c>
      <c r="C225" s="1080" t="s">
        <v>17</v>
      </c>
      <c r="D225" s="1082">
        <f t="shared" si="11"/>
        <v>4.5999999999999996</v>
      </c>
      <c r="E225" s="1082">
        <v>4.5999999999999996</v>
      </c>
      <c r="F225" s="1082" t="s">
        <v>2475</v>
      </c>
      <c r="G225" s="1082" t="s">
        <v>2475</v>
      </c>
      <c r="H225" s="1082"/>
      <c r="I225" s="1072" t="s">
        <v>2476</v>
      </c>
    </row>
    <row r="226" spans="1:9" x14ac:dyDescent="0.25">
      <c r="A226" s="1079">
        <f t="shared" si="10"/>
        <v>1</v>
      </c>
      <c r="B226" s="1079" t="s">
        <v>1744</v>
      </c>
      <c r="C226" s="1080" t="s">
        <v>1481</v>
      </c>
      <c r="D226" s="1082">
        <f t="shared" si="11"/>
        <v>11.055555555555555</v>
      </c>
      <c r="E226" s="1082">
        <v>11.055555555555555</v>
      </c>
      <c r="F226" s="1082" t="s">
        <v>2475</v>
      </c>
      <c r="G226" s="1082" t="s">
        <v>2475</v>
      </c>
      <c r="H226" s="1082"/>
      <c r="I226" s="1072" t="s">
        <v>2476</v>
      </c>
    </row>
    <row r="227" spans="1:9" x14ac:dyDescent="0.25">
      <c r="A227" s="1079">
        <f t="shared" si="10"/>
        <v>1</v>
      </c>
      <c r="B227" s="1079" t="s">
        <v>1729</v>
      </c>
      <c r="C227" s="1080" t="s">
        <v>2478</v>
      </c>
      <c r="D227" s="1082">
        <f t="shared" si="11"/>
        <v>19.440000000000001</v>
      </c>
      <c r="E227" s="1082">
        <v>19.440000000000001</v>
      </c>
      <c r="F227" s="1082" t="s">
        <v>2475</v>
      </c>
      <c r="G227" s="1082" t="s">
        <v>2475</v>
      </c>
      <c r="H227" s="1082"/>
      <c r="I227" s="1072" t="s">
        <v>2476</v>
      </c>
    </row>
    <row r="228" spans="1:9" x14ac:dyDescent="0.25">
      <c r="A228" s="1079">
        <f t="shared" si="10"/>
        <v>1</v>
      </c>
      <c r="B228" s="1079" t="s">
        <v>1749</v>
      </c>
      <c r="C228" s="1080" t="s">
        <v>1481</v>
      </c>
      <c r="D228" s="1082">
        <f t="shared" si="11"/>
        <v>29.277777777777779</v>
      </c>
      <c r="E228" s="1082">
        <v>29.277777777777779</v>
      </c>
      <c r="F228" s="1082" t="s">
        <v>2475</v>
      </c>
      <c r="G228" s="1082" t="s">
        <v>2475</v>
      </c>
      <c r="H228" s="1082"/>
      <c r="I228" s="1072" t="s">
        <v>2476</v>
      </c>
    </row>
    <row r="229" spans="1:9" x14ac:dyDescent="0.25">
      <c r="A229" s="1079">
        <f t="shared" si="10"/>
        <v>1</v>
      </c>
      <c r="B229" s="1079" t="s">
        <v>1751</v>
      </c>
      <c r="C229" s="1080" t="s">
        <v>1481</v>
      </c>
      <c r="D229" s="1082">
        <f t="shared" si="11"/>
        <v>25.75</v>
      </c>
      <c r="E229" s="1082">
        <v>25.75</v>
      </c>
      <c r="F229" s="1082" t="s">
        <v>2475</v>
      </c>
      <c r="G229" s="1082" t="s">
        <v>2475</v>
      </c>
      <c r="H229" s="1082"/>
      <c r="I229" s="1072" t="s">
        <v>2476</v>
      </c>
    </row>
    <row r="230" spans="1:9" x14ac:dyDescent="0.25">
      <c r="A230" s="1079">
        <f t="shared" si="10"/>
        <v>1</v>
      </c>
      <c r="B230" s="1079" t="s">
        <v>1741</v>
      </c>
      <c r="C230" s="1080" t="s">
        <v>17</v>
      </c>
      <c r="D230" s="1082">
        <f t="shared" si="11"/>
        <v>37.99</v>
      </c>
      <c r="E230" s="1082">
        <v>37.99</v>
      </c>
      <c r="F230" s="1082" t="s">
        <v>2475</v>
      </c>
      <c r="G230" s="1082" t="s">
        <v>2475</v>
      </c>
      <c r="H230" s="1082"/>
      <c r="I230" s="1072" t="s">
        <v>2476</v>
      </c>
    </row>
    <row r="231" spans="1:9" x14ac:dyDescent="0.25">
      <c r="A231" s="1079">
        <f t="shared" si="10"/>
        <v>1</v>
      </c>
      <c r="B231" s="1079" t="s">
        <v>1735</v>
      </c>
      <c r="C231" s="1080" t="s">
        <v>17</v>
      </c>
      <c r="D231" s="1082">
        <f t="shared" si="11"/>
        <v>11.090769230769231</v>
      </c>
      <c r="E231" s="1082">
        <v>11.090769230769231</v>
      </c>
      <c r="F231" s="1082" t="s">
        <v>2475</v>
      </c>
      <c r="G231" s="1082" t="s">
        <v>2475</v>
      </c>
      <c r="H231" s="1082"/>
      <c r="I231" s="1072" t="s">
        <v>2476</v>
      </c>
    </row>
    <row r="232" spans="1:9" x14ac:dyDescent="0.25">
      <c r="A232" s="1079">
        <f t="shared" si="10"/>
        <v>1</v>
      </c>
      <c r="B232" s="1079" t="s">
        <v>1739</v>
      </c>
      <c r="C232" s="1080" t="s">
        <v>17</v>
      </c>
      <c r="D232" s="1082">
        <f t="shared" si="11"/>
        <v>57.02</v>
      </c>
      <c r="E232" s="1082">
        <v>57.02</v>
      </c>
      <c r="F232" s="1082" t="s">
        <v>2475</v>
      </c>
      <c r="G232" s="1082" t="s">
        <v>2475</v>
      </c>
      <c r="H232" s="1082"/>
      <c r="I232" s="1072" t="s">
        <v>2476</v>
      </c>
    </row>
    <row r="233" spans="1:9" x14ac:dyDescent="0.25">
      <c r="A233" s="1079">
        <f t="shared" si="10"/>
        <v>1</v>
      </c>
      <c r="B233" s="1079" t="s">
        <v>1737</v>
      </c>
      <c r="C233" s="1080" t="s">
        <v>17</v>
      </c>
      <c r="D233" s="1082">
        <f t="shared" si="11"/>
        <v>70.02</v>
      </c>
      <c r="E233" s="1082">
        <v>70.02</v>
      </c>
      <c r="F233" s="1082" t="s">
        <v>2475</v>
      </c>
      <c r="G233" s="1082" t="s">
        <v>2475</v>
      </c>
      <c r="H233" s="1082"/>
      <c r="I233" s="1072" t="s">
        <v>2476</v>
      </c>
    </row>
    <row r="234" spans="1:9" x14ac:dyDescent="0.25">
      <c r="A234" s="1079">
        <f t="shared" si="10"/>
        <v>1</v>
      </c>
      <c r="B234" s="1079" t="s">
        <v>1884</v>
      </c>
      <c r="C234" s="1080" t="s">
        <v>17</v>
      </c>
      <c r="D234" s="1082">
        <f t="shared" si="11"/>
        <v>30.555555555555557</v>
      </c>
      <c r="E234" s="1082">
        <f>1100/(1.2*30)</f>
        <v>30.555555555555557</v>
      </c>
      <c r="F234" s="1082" t="s">
        <v>2475</v>
      </c>
      <c r="G234" s="1082" t="s">
        <v>2475</v>
      </c>
      <c r="H234" s="1082"/>
      <c r="I234" s="1072" t="s">
        <v>2476</v>
      </c>
    </row>
    <row r="235" spans="1:9" x14ac:dyDescent="0.25">
      <c r="A235" s="1079">
        <f t="shared" si="10"/>
        <v>1</v>
      </c>
      <c r="B235" s="1079" t="s">
        <v>1882</v>
      </c>
      <c r="C235" s="1080" t="s">
        <v>2478</v>
      </c>
      <c r="D235" s="1082">
        <f t="shared" si="11"/>
        <v>7.16</v>
      </c>
      <c r="E235" s="1082">
        <v>7.16</v>
      </c>
      <c r="F235" s="1082" t="s">
        <v>2475</v>
      </c>
      <c r="G235" s="1082" t="s">
        <v>2475</v>
      </c>
      <c r="H235" s="1082"/>
      <c r="I235" s="1072" t="s">
        <v>2476</v>
      </c>
    </row>
    <row r="236" spans="1:9" x14ac:dyDescent="0.25">
      <c r="A236" s="1079">
        <f t="shared" si="10"/>
        <v>1</v>
      </c>
      <c r="B236" s="1079" t="s">
        <v>1886</v>
      </c>
      <c r="C236" s="1080" t="s">
        <v>2478</v>
      </c>
      <c r="D236" s="1082">
        <f t="shared" si="11"/>
        <v>26.563333333333333</v>
      </c>
      <c r="E236" s="1082">
        <v>26.563333333333333</v>
      </c>
      <c r="F236" s="1082" t="s">
        <v>2475</v>
      </c>
      <c r="G236" s="1082" t="s">
        <v>2475</v>
      </c>
      <c r="H236" s="1082"/>
      <c r="I236" s="1072" t="s">
        <v>2476</v>
      </c>
    </row>
    <row r="237" spans="1:9" x14ac:dyDescent="0.25">
      <c r="A237" s="1079">
        <f t="shared" si="10"/>
        <v>1</v>
      </c>
      <c r="B237" s="1079" t="s">
        <v>1734</v>
      </c>
      <c r="C237" s="1080" t="s">
        <v>2478</v>
      </c>
      <c r="D237" s="1082">
        <f t="shared" si="11"/>
        <v>23.52</v>
      </c>
      <c r="E237" s="1082">
        <v>23.52</v>
      </c>
      <c r="F237" s="1082" t="s">
        <v>2475</v>
      </c>
      <c r="G237" s="1082" t="s">
        <v>2475</v>
      </c>
      <c r="H237" s="1082"/>
      <c r="I237" s="1072" t="s">
        <v>2476</v>
      </c>
    </row>
    <row r="238" spans="1:9" x14ac:dyDescent="0.25">
      <c r="A238" s="1079">
        <f t="shared" si="10"/>
        <v>1</v>
      </c>
      <c r="B238" s="1079" t="s">
        <v>1753</v>
      </c>
      <c r="C238" s="1080" t="s">
        <v>17</v>
      </c>
      <c r="D238" s="1082">
        <f t="shared" si="11"/>
        <v>1.1000000000000001</v>
      </c>
      <c r="E238" s="1082">
        <v>1.1000000000000001</v>
      </c>
      <c r="F238" s="1082" t="s">
        <v>2475</v>
      </c>
      <c r="G238" s="1082" t="s">
        <v>2475</v>
      </c>
      <c r="H238" s="1082"/>
      <c r="I238" s="1072" t="s">
        <v>2476</v>
      </c>
    </row>
    <row r="239" spans="1:9" x14ac:dyDescent="0.25">
      <c r="A239" s="1079">
        <f t="shared" si="10"/>
        <v>1</v>
      </c>
      <c r="B239" s="1079" t="s">
        <v>2275</v>
      </c>
      <c r="C239" s="1080" t="s">
        <v>491</v>
      </c>
      <c r="D239" s="1082">
        <f t="shared" si="11"/>
        <v>5</v>
      </c>
      <c r="E239" s="1082">
        <v>5</v>
      </c>
      <c r="F239" s="1082" t="s">
        <v>2479</v>
      </c>
      <c r="G239" s="1082" t="s">
        <v>2479</v>
      </c>
      <c r="H239" s="1082"/>
      <c r="I239" s="1072" t="s">
        <v>2480</v>
      </c>
    </row>
    <row r="240" spans="1:9" x14ac:dyDescent="0.25">
      <c r="A240" s="1079">
        <f t="shared" si="10"/>
        <v>1</v>
      </c>
      <c r="B240" s="1079" t="s">
        <v>2274</v>
      </c>
      <c r="C240" s="1080" t="s">
        <v>281</v>
      </c>
      <c r="D240" s="1082">
        <f t="shared" si="11"/>
        <v>0.24</v>
      </c>
      <c r="E240" s="1082">
        <v>0.24</v>
      </c>
      <c r="F240" s="1082" t="s">
        <v>2479</v>
      </c>
      <c r="G240" s="1082" t="s">
        <v>2479</v>
      </c>
      <c r="H240" s="1082"/>
      <c r="I240" s="1072" t="s">
        <v>2480</v>
      </c>
    </row>
    <row r="241" spans="1:9" x14ac:dyDescent="0.25">
      <c r="A241" s="1079">
        <f t="shared" si="10"/>
        <v>1</v>
      </c>
      <c r="B241" s="1079" t="s">
        <v>1376</v>
      </c>
      <c r="C241" s="1080" t="s">
        <v>491</v>
      </c>
      <c r="D241" s="1082">
        <f t="shared" si="11"/>
        <v>185.37</v>
      </c>
      <c r="E241" s="1082">
        <v>185.37</v>
      </c>
      <c r="F241" s="1082" t="s">
        <v>2481</v>
      </c>
      <c r="G241" s="1082" t="s">
        <v>2481</v>
      </c>
      <c r="H241" s="1082"/>
      <c r="I241" s="1072" t="s">
        <v>2480</v>
      </c>
    </row>
    <row r="242" spans="1:9" x14ac:dyDescent="0.25">
      <c r="A242" s="1079">
        <f t="shared" si="10"/>
        <v>1</v>
      </c>
      <c r="B242" s="1079" t="s">
        <v>2324</v>
      </c>
      <c r="C242" s="1080" t="s">
        <v>491</v>
      </c>
      <c r="D242" s="1082">
        <f t="shared" si="11"/>
        <v>970</v>
      </c>
      <c r="E242" s="1082">
        <v>970</v>
      </c>
      <c r="F242" s="1082" t="s">
        <v>2482</v>
      </c>
      <c r="G242" s="1082" t="s">
        <v>2483</v>
      </c>
      <c r="H242" s="1082"/>
      <c r="I242" s="1072" t="s">
        <v>2446</v>
      </c>
    </row>
    <row r="243" spans="1:9" x14ac:dyDescent="0.25">
      <c r="A243" s="1079">
        <f t="shared" si="10"/>
        <v>1</v>
      </c>
      <c r="B243" s="1079" t="s">
        <v>2294</v>
      </c>
      <c r="C243" s="1080" t="s">
        <v>491</v>
      </c>
      <c r="D243" s="1082">
        <f t="shared" si="11"/>
        <v>225.38</v>
      </c>
      <c r="E243" s="1082">
        <v>225.38</v>
      </c>
      <c r="F243" s="1082" t="s">
        <v>2482</v>
      </c>
      <c r="G243" s="1082" t="s">
        <v>2483</v>
      </c>
      <c r="H243" s="1082"/>
      <c r="I243" s="1072" t="s">
        <v>2446</v>
      </c>
    </row>
    <row r="244" spans="1:9" x14ac:dyDescent="0.25">
      <c r="A244" s="1079">
        <f t="shared" si="10"/>
        <v>1</v>
      </c>
      <c r="B244" s="1079" t="s">
        <v>2323</v>
      </c>
      <c r="C244" s="1080" t="s">
        <v>491</v>
      </c>
      <c r="D244" s="1082">
        <f t="shared" si="11"/>
        <v>660</v>
      </c>
      <c r="E244" s="1082">
        <v>660</v>
      </c>
      <c r="F244" s="1082" t="s">
        <v>2482</v>
      </c>
      <c r="G244" s="1082" t="s">
        <v>2484</v>
      </c>
      <c r="H244" s="1082"/>
      <c r="I244" s="1072" t="s">
        <v>2484</v>
      </c>
    </row>
    <row r="245" spans="1:9" x14ac:dyDescent="0.25">
      <c r="A245" s="1079">
        <f t="shared" si="10"/>
        <v>1</v>
      </c>
      <c r="B245" s="1079" t="s">
        <v>2326</v>
      </c>
      <c r="C245" s="1080" t="s">
        <v>491</v>
      </c>
      <c r="D245" s="1082">
        <f t="shared" si="11"/>
        <v>1196.32</v>
      </c>
      <c r="E245" s="1082">
        <v>1196.32</v>
      </c>
      <c r="F245" s="1082" t="s">
        <v>2482</v>
      </c>
      <c r="G245" s="1082" t="s">
        <v>2484</v>
      </c>
      <c r="H245" s="1082"/>
      <c r="I245" s="1072" t="s">
        <v>2484</v>
      </c>
    </row>
    <row r="246" spans="1:9" x14ac:dyDescent="0.25">
      <c r="A246" s="1079">
        <f t="shared" si="10"/>
        <v>1</v>
      </c>
      <c r="B246" s="1079" t="s">
        <v>2315</v>
      </c>
      <c r="C246" s="1080" t="s">
        <v>491</v>
      </c>
      <c r="D246" s="1082">
        <f t="shared" si="11"/>
        <v>688.68</v>
      </c>
      <c r="E246" s="1082">
        <v>688.68</v>
      </c>
      <c r="F246" s="1082" t="s">
        <v>2482</v>
      </c>
      <c r="G246" s="1082" t="s">
        <v>2484</v>
      </c>
      <c r="H246" s="1082"/>
      <c r="I246" s="1072" t="s">
        <v>2484</v>
      </c>
    </row>
    <row r="247" spans="1:9" x14ac:dyDescent="0.25">
      <c r="A247" s="1079">
        <f t="shared" si="10"/>
        <v>1</v>
      </c>
      <c r="B247" s="1079" t="s">
        <v>2277</v>
      </c>
      <c r="C247" s="1080" t="s">
        <v>491</v>
      </c>
      <c r="D247" s="1082">
        <f t="shared" si="11"/>
        <v>26.9</v>
      </c>
      <c r="E247" s="1082">
        <v>26.9</v>
      </c>
      <c r="F247" s="1082" t="s">
        <v>2482</v>
      </c>
      <c r="G247" s="1082" t="s">
        <v>2483</v>
      </c>
      <c r="H247" s="1082"/>
      <c r="I247" s="1072" t="s">
        <v>2446</v>
      </c>
    </row>
    <row r="248" spans="1:9" x14ac:dyDescent="0.25">
      <c r="A248" s="1079">
        <f t="shared" si="10"/>
        <v>1</v>
      </c>
      <c r="B248" s="1079" t="s">
        <v>2296</v>
      </c>
      <c r="C248" s="1080" t="s">
        <v>491</v>
      </c>
      <c r="D248" s="1082">
        <f t="shared" si="11"/>
        <v>196.76</v>
      </c>
      <c r="E248" s="1082">
        <v>196.76</v>
      </c>
      <c r="F248" s="1082" t="s">
        <v>2482</v>
      </c>
      <c r="G248" s="1082" t="s">
        <v>2483</v>
      </c>
      <c r="H248" s="1082"/>
      <c r="I248" s="1072" t="s">
        <v>2446</v>
      </c>
    </row>
    <row r="249" spans="1:9" x14ac:dyDescent="0.25">
      <c r="A249" s="1079">
        <f t="shared" si="10"/>
        <v>1</v>
      </c>
      <c r="B249" s="1079" t="s">
        <v>2285</v>
      </c>
      <c r="C249" s="1080" t="s">
        <v>491</v>
      </c>
      <c r="D249" s="1082">
        <f t="shared" si="11"/>
        <v>65</v>
      </c>
      <c r="E249" s="1082">
        <v>65</v>
      </c>
      <c r="F249" s="1082" t="s">
        <v>2482</v>
      </c>
      <c r="G249" s="1082" t="s">
        <v>2483</v>
      </c>
      <c r="H249" s="1082"/>
      <c r="I249" s="1072" t="s">
        <v>2446</v>
      </c>
    </row>
    <row r="250" spans="1:9" x14ac:dyDescent="0.25">
      <c r="A250" s="1079">
        <f t="shared" si="10"/>
        <v>1</v>
      </c>
      <c r="B250" s="1079" t="s">
        <v>2302</v>
      </c>
      <c r="C250" s="1080" t="s">
        <v>491</v>
      </c>
      <c r="D250" s="1082">
        <f t="shared" si="11"/>
        <v>35.9</v>
      </c>
      <c r="E250" s="1082">
        <v>35.9</v>
      </c>
      <c r="F250" s="1082" t="s">
        <v>2482</v>
      </c>
      <c r="G250" s="1082" t="s">
        <v>2483</v>
      </c>
      <c r="H250" s="1082"/>
      <c r="I250" s="1072" t="s">
        <v>2446</v>
      </c>
    </row>
    <row r="251" spans="1:9" x14ac:dyDescent="0.25">
      <c r="A251" s="1079">
        <f t="shared" si="10"/>
        <v>1</v>
      </c>
      <c r="B251" s="1079" t="s">
        <v>2319</v>
      </c>
      <c r="C251" s="1080" t="s">
        <v>491</v>
      </c>
      <c r="D251" s="1082">
        <f t="shared" si="11"/>
        <v>900</v>
      </c>
      <c r="E251" s="1082">
        <v>900</v>
      </c>
      <c r="F251" s="1082" t="s">
        <v>2482</v>
      </c>
      <c r="G251" s="1082" t="s">
        <v>2485</v>
      </c>
      <c r="H251" s="1082"/>
      <c r="I251" s="1072" t="s">
        <v>2446</v>
      </c>
    </row>
    <row r="252" spans="1:9" x14ac:dyDescent="0.25">
      <c r="A252" s="1079">
        <f t="shared" si="10"/>
        <v>1</v>
      </c>
      <c r="B252" s="1079" t="s">
        <v>2486</v>
      </c>
      <c r="C252" s="1080" t="s">
        <v>491</v>
      </c>
      <c r="D252" s="1082">
        <f t="shared" si="11"/>
        <v>736.50120000000004</v>
      </c>
      <c r="E252" s="1082">
        <v>736.50120000000004</v>
      </c>
      <c r="F252" s="1082" t="s">
        <v>2482</v>
      </c>
      <c r="G252" s="1082" t="s">
        <v>2487</v>
      </c>
      <c r="H252" s="1082"/>
      <c r="I252" s="1072" t="s">
        <v>2446</v>
      </c>
    </row>
    <row r="253" spans="1:9" x14ac:dyDescent="0.25">
      <c r="A253" s="1079">
        <f t="shared" si="10"/>
        <v>1</v>
      </c>
      <c r="B253" s="1079" t="s">
        <v>2488</v>
      </c>
      <c r="C253" s="1080" t="s">
        <v>491</v>
      </c>
      <c r="D253" s="1082">
        <f t="shared" si="11"/>
        <v>722.53</v>
      </c>
      <c r="E253" s="1082">
        <v>722.53</v>
      </c>
      <c r="F253" s="1082" t="s">
        <v>2482</v>
      </c>
      <c r="G253" s="1082" t="s">
        <v>2487</v>
      </c>
      <c r="H253" s="1082"/>
      <c r="I253" s="1072" t="s">
        <v>2446</v>
      </c>
    </row>
    <row r="254" spans="1:9" x14ac:dyDescent="0.25">
      <c r="A254" s="1079">
        <f t="shared" si="10"/>
        <v>1</v>
      </c>
      <c r="B254" s="1079" t="s">
        <v>2271</v>
      </c>
      <c r="C254" s="1080" t="s">
        <v>491</v>
      </c>
      <c r="D254" s="1082">
        <f t="shared" si="11"/>
        <v>1624.9</v>
      </c>
      <c r="E254" s="1082">
        <v>1624.9</v>
      </c>
      <c r="F254" s="1082" t="s">
        <v>2482</v>
      </c>
      <c r="G254" s="1082" t="s">
        <v>2487</v>
      </c>
      <c r="H254" s="1082"/>
      <c r="I254" s="1072" t="s">
        <v>2446</v>
      </c>
    </row>
    <row r="255" spans="1:9" x14ac:dyDescent="0.25">
      <c r="A255" s="1079">
        <f t="shared" si="10"/>
        <v>1</v>
      </c>
      <c r="B255" s="1079" t="s">
        <v>2489</v>
      </c>
      <c r="C255" s="1080" t="s">
        <v>491</v>
      </c>
      <c r="D255" s="1082">
        <f t="shared" si="11"/>
        <v>1999</v>
      </c>
      <c r="E255" s="1082">
        <v>1999</v>
      </c>
      <c r="F255" s="1082" t="s">
        <v>2482</v>
      </c>
      <c r="G255" s="1082" t="s">
        <v>2487</v>
      </c>
      <c r="H255" s="1082"/>
      <c r="I255" s="1072" t="s">
        <v>2446</v>
      </c>
    </row>
    <row r="256" spans="1:9" x14ac:dyDescent="0.25">
      <c r="A256" s="1079">
        <f t="shared" si="10"/>
        <v>1</v>
      </c>
      <c r="B256" s="1079" t="s">
        <v>2291</v>
      </c>
      <c r="C256" s="1080" t="s">
        <v>491</v>
      </c>
      <c r="D256" s="1082">
        <f t="shared" si="11"/>
        <v>2750.38</v>
      </c>
      <c r="E256" s="1082">
        <v>2750.38</v>
      </c>
      <c r="F256" s="1082" t="s">
        <v>2482</v>
      </c>
      <c r="G256" s="1082" t="s">
        <v>2487</v>
      </c>
      <c r="H256" s="1082"/>
      <c r="I256" s="1072" t="s">
        <v>2446</v>
      </c>
    </row>
    <row r="257" spans="1:9" x14ac:dyDescent="0.25">
      <c r="A257" s="1079">
        <f t="shared" si="10"/>
        <v>1</v>
      </c>
      <c r="B257" s="1079" t="s">
        <v>2284</v>
      </c>
      <c r="C257" s="1080" t="s">
        <v>491</v>
      </c>
      <c r="D257" s="1082">
        <f t="shared" si="11"/>
        <v>272.89999999999998</v>
      </c>
      <c r="E257" s="1082">
        <v>272.89999999999998</v>
      </c>
      <c r="F257" s="1082" t="s">
        <v>2482</v>
      </c>
      <c r="G257" s="1082" t="s">
        <v>2487</v>
      </c>
      <c r="H257" s="1082"/>
      <c r="I257" s="1072" t="s">
        <v>2446</v>
      </c>
    </row>
    <row r="258" spans="1:9" x14ac:dyDescent="0.25">
      <c r="A258" s="1079">
        <f t="shared" si="10"/>
        <v>1</v>
      </c>
      <c r="B258" s="1079" t="s">
        <v>2299</v>
      </c>
      <c r="C258" s="1080" t="s">
        <v>491</v>
      </c>
      <c r="D258" s="1082">
        <f t="shared" si="11"/>
        <v>460</v>
      </c>
      <c r="E258" s="1082">
        <v>460</v>
      </c>
      <c r="F258" s="1082" t="s">
        <v>2482</v>
      </c>
      <c r="G258" s="1082" t="s">
        <v>2487</v>
      </c>
      <c r="H258" s="1082"/>
      <c r="I258" s="1072" t="s">
        <v>2446</v>
      </c>
    </row>
    <row r="259" spans="1:9" x14ac:dyDescent="0.25">
      <c r="A259" s="1079">
        <f t="shared" si="10"/>
        <v>1</v>
      </c>
      <c r="B259" s="1079" t="s">
        <v>2290</v>
      </c>
      <c r="C259" s="1080" t="s">
        <v>491</v>
      </c>
      <c r="D259" s="1082">
        <f t="shared" si="11"/>
        <v>1574.1</v>
      </c>
      <c r="E259" s="1082">
        <v>1574.1</v>
      </c>
      <c r="F259" s="1082" t="s">
        <v>2482</v>
      </c>
      <c r="G259" s="1082" t="s">
        <v>2487</v>
      </c>
      <c r="H259" s="1082"/>
      <c r="I259" s="1072" t="s">
        <v>2446</v>
      </c>
    </row>
    <row r="260" spans="1:9" x14ac:dyDescent="0.25">
      <c r="A260" s="1079">
        <f t="shared" si="10"/>
        <v>1</v>
      </c>
      <c r="B260" s="1079" t="s">
        <v>2304</v>
      </c>
      <c r="C260" s="1080" t="s">
        <v>491</v>
      </c>
      <c r="D260" s="1082">
        <f t="shared" si="11"/>
        <v>215</v>
      </c>
      <c r="E260" s="1082">
        <v>215</v>
      </c>
      <c r="F260" s="1082" t="s">
        <v>2482</v>
      </c>
      <c r="G260" s="1082" t="s">
        <v>2487</v>
      </c>
      <c r="H260" s="1082"/>
      <c r="I260" s="1072" t="s">
        <v>2446</v>
      </c>
    </row>
    <row r="261" spans="1:9" x14ac:dyDescent="0.25">
      <c r="A261" s="1079">
        <f t="shared" si="10"/>
        <v>1</v>
      </c>
      <c r="B261" s="1079" t="s">
        <v>2301</v>
      </c>
      <c r="C261" s="1080" t="s">
        <v>491</v>
      </c>
      <c r="D261" s="1082">
        <f t="shared" si="11"/>
        <v>203.9</v>
      </c>
      <c r="E261" s="1082">
        <v>203.9</v>
      </c>
      <c r="F261" s="1082" t="s">
        <v>2482</v>
      </c>
      <c r="G261" s="1082" t="s">
        <v>2487</v>
      </c>
      <c r="H261" s="1082"/>
      <c r="I261" s="1072" t="s">
        <v>2446</v>
      </c>
    </row>
    <row r="262" spans="1:9" x14ac:dyDescent="0.25">
      <c r="A262" s="1079">
        <f t="shared" si="10"/>
        <v>1</v>
      </c>
      <c r="B262" s="1079" t="s">
        <v>2279</v>
      </c>
      <c r="C262" s="1080" t="s">
        <v>491</v>
      </c>
      <c r="D262" s="1082">
        <f t="shared" si="11"/>
        <v>1010.4012000000001</v>
      </c>
      <c r="E262" s="1082">
        <v>1010.4012000000001</v>
      </c>
      <c r="F262" s="1082" t="s">
        <v>2482</v>
      </c>
      <c r="G262" s="1082" t="s">
        <v>2487</v>
      </c>
      <c r="H262" s="1082"/>
      <c r="I262" s="1072" t="s">
        <v>2446</v>
      </c>
    </row>
    <row r="263" spans="1:9" x14ac:dyDescent="0.25">
      <c r="A263" s="1079">
        <f t="shared" si="10"/>
        <v>1</v>
      </c>
      <c r="B263" s="1079" t="s">
        <v>2307</v>
      </c>
      <c r="C263" s="1080" t="s">
        <v>491</v>
      </c>
      <c r="D263" s="1082">
        <f t="shared" si="11"/>
        <v>396.87</v>
      </c>
      <c r="E263" s="1082">
        <v>396.87</v>
      </c>
      <c r="F263" s="1082" t="s">
        <v>2482</v>
      </c>
      <c r="G263" s="1082" t="s">
        <v>2487</v>
      </c>
      <c r="H263" s="1082"/>
      <c r="I263" s="1072" t="s">
        <v>2446</v>
      </c>
    </row>
    <row r="264" spans="1:9" x14ac:dyDescent="0.25">
      <c r="A264" s="1079">
        <f t="shared" si="10"/>
        <v>1</v>
      </c>
      <c r="B264" s="1079" t="s">
        <v>2305</v>
      </c>
      <c r="C264" s="1080" t="s">
        <v>491</v>
      </c>
      <c r="D264" s="1082">
        <f t="shared" si="11"/>
        <v>760</v>
      </c>
      <c r="E264" s="1082">
        <v>760</v>
      </c>
      <c r="F264" s="1082" t="s">
        <v>2482</v>
      </c>
      <c r="G264" s="1082" t="s">
        <v>2487</v>
      </c>
      <c r="H264" s="1082"/>
      <c r="I264" s="1072" t="s">
        <v>2446</v>
      </c>
    </row>
    <row r="265" spans="1:9" x14ac:dyDescent="0.25">
      <c r="A265" s="1079">
        <f t="shared" si="10"/>
        <v>1</v>
      </c>
      <c r="B265" s="1079" t="s">
        <v>2317</v>
      </c>
      <c r="C265" s="1080" t="s">
        <v>491</v>
      </c>
      <c r="D265" s="1082">
        <f t="shared" si="11"/>
        <v>493.7</v>
      </c>
      <c r="E265" s="1082">
        <v>493.7</v>
      </c>
      <c r="F265" s="1082" t="s">
        <v>2482</v>
      </c>
      <c r="G265" s="1082" t="s">
        <v>2484</v>
      </c>
      <c r="H265" s="1082"/>
      <c r="I265" s="1072" t="s">
        <v>2484</v>
      </c>
    </row>
    <row r="266" spans="1:9" x14ac:dyDescent="0.25">
      <c r="A266" s="1079">
        <f t="shared" si="10"/>
        <v>1</v>
      </c>
      <c r="B266" s="1079" t="s">
        <v>2316</v>
      </c>
      <c r="C266" s="1080" t="s">
        <v>491</v>
      </c>
      <c r="D266" s="1082">
        <f t="shared" si="11"/>
        <v>240.41</v>
      </c>
      <c r="E266" s="1082">
        <v>240.41</v>
      </c>
      <c r="F266" s="1082" t="s">
        <v>2482</v>
      </c>
      <c r="G266" s="1082" t="s">
        <v>2484</v>
      </c>
      <c r="H266" s="1082"/>
      <c r="I266" s="1072" t="s">
        <v>2484</v>
      </c>
    </row>
    <row r="267" spans="1:9" x14ac:dyDescent="0.25">
      <c r="A267" s="1079">
        <f t="shared" si="10"/>
        <v>1</v>
      </c>
      <c r="B267" s="1079" t="s">
        <v>2321</v>
      </c>
      <c r="C267" s="1080" t="s">
        <v>491</v>
      </c>
      <c r="D267" s="1082">
        <f t="shared" si="11"/>
        <v>84.8</v>
      </c>
      <c r="E267" s="1082">
        <v>84.8</v>
      </c>
      <c r="F267" s="1082" t="s">
        <v>2482</v>
      </c>
      <c r="G267" s="1082" t="s">
        <v>2484</v>
      </c>
      <c r="H267" s="1082"/>
      <c r="I267" s="1072" t="s">
        <v>2484</v>
      </c>
    </row>
    <row r="268" spans="1:9" x14ac:dyDescent="0.25">
      <c r="A268" s="1079">
        <f t="shared" si="10"/>
        <v>1</v>
      </c>
      <c r="B268" s="1079" t="s">
        <v>2288</v>
      </c>
      <c r="C268" s="1080" t="s">
        <v>491</v>
      </c>
      <c r="D268" s="1082">
        <f t="shared" si="11"/>
        <v>32</v>
      </c>
      <c r="E268" s="1082">
        <v>32</v>
      </c>
      <c r="F268" s="1082" t="s">
        <v>2482</v>
      </c>
      <c r="G268" s="1082" t="s">
        <v>2484</v>
      </c>
      <c r="H268" s="1082"/>
      <c r="I268" s="1072" t="s">
        <v>2484</v>
      </c>
    </row>
    <row r="269" spans="1:9" x14ac:dyDescent="0.25">
      <c r="A269" s="1079">
        <f t="shared" ref="A269:A333" si="12">COUNTIFS($B$2:$B$670,B269)</f>
        <v>1</v>
      </c>
      <c r="B269" s="1079" t="s">
        <v>2329</v>
      </c>
      <c r="C269" s="1080" t="s">
        <v>491</v>
      </c>
      <c r="D269" s="1082">
        <f t="shared" si="11"/>
        <v>293</v>
      </c>
      <c r="E269" s="1082">
        <v>293</v>
      </c>
      <c r="F269" s="1082" t="s">
        <v>2482</v>
      </c>
      <c r="G269" s="1082" t="s">
        <v>2484</v>
      </c>
      <c r="H269" s="1082"/>
      <c r="I269" s="1072" t="s">
        <v>2484</v>
      </c>
    </row>
    <row r="270" spans="1:9" x14ac:dyDescent="0.25">
      <c r="A270" s="1079">
        <f t="shared" si="12"/>
        <v>1</v>
      </c>
      <c r="B270" s="1079" t="s">
        <v>2292</v>
      </c>
      <c r="C270" s="1080" t="s">
        <v>491</v>
      </c>
      <c r="D270" s="1082">
        <f t="shared" si="11"/>
        <v>71.55</v>
      </c>
      <c r="E270" s="1082">
        <v>71.55</v>
      </c>
      <c r="F270" s="1082" t="s">
        <v>2482</v>
      </c>
      <c r="G270" s="1082" t="s">
        <v>2484</v>
      </c>
      <c r="H270" s="1082"/>
      <c r="I270" s="1072" t="s">
        <v>2484</v>
      </c>
    </row>
    <row r="271" spans="1:9" x14ac:dyDescent="0.25">
      <c r="A271" s="1079">
        <f t="shared" si="12"/>
        <v>1</v>
      </c>
      <c r="B271" s="1079" t="s">
        <v>2293</v>
      </c>
      <c r="C271" s="1080" t="s">
        <v>491</v>
      </c>
      <c r="D271" s="1082">
        <f t="shared" si="11"/>
        <v>2117.89</v>
      </c>
      <c r="E271" s="1082">
        <v>2117.89</v>
      </c>
      <c r="F271" s="1082" t="s">
        <v>2482</v>
      </c>
      <c r="G271" s="1082" t="s">
        <v>2490</v>
      </c>
      <c r="H271" s="1082"/>
      <c r="I271" s="1072" t="s">
        <v>2484</v>
      </c>
    </row>
    <row r="272" spans="1:9" x14ac:dyDescent="0.25">
      <c r="A272" s="1079">
        <f t="shared" si="12"/>
        <v>1</v>
      </c>
      <c r="B272" s="1079" t="s">
        <v>2328</v>
      </c>
      <c r="C272" s="1080" t="s">
        <v>491</v>
      </c>
      <c r="D272" s="1082">
        <f t="shared" si="11"/>
        <v>396.67</v>
      </c>
      <c r="E272" s="1082">
        <v>396.67</v>
      </c>
      <c r="F272" s="1082" t="s">
        <v>2482</v>
      </c>
      <c r="G272" s="1082" t="s">
        <v>2490</v>
      </c>
      <c r="H272" s="1082"/>
      <c r="I272" s="1072" t="s">
        <v>2484</v>
      </c>
    </row>
    <row r="273" spans="1:9" x14ac:dyDescent="0.25">
      <c r="A273" s="1079">
        <f t="shared" si="12"/>
        <v>1</v>
      </c>
      <c r="B273" s="1079" t="s">
        <v>2295</v>
      </c>
      <c r="C273" s="1080" t="s">
        <v>491</v>
      </c>
      <c r="D273" s="1082">
        <f t="shared" si="11"/>
        <v>256.89999999999998</v>
      </c>
      <c r="E273" s="1082">
        <v>256.89999999999998</v>
      </c>
      <c r="F273" s="1082" t="s">
        <v>2482</v>
      </c>
      <c r="G273" s="1082" t="s">
        <v>2490</v>
      </c>
      <c r="H273" s="1082"/>
      <c r="I273" s="1072" t="s">
        <v>2484</v>
      </c>
    </row>
    <row r="274" spans="1:9" x14ac:dyDescent="0.25">
      <c r="A274" s="1079">
        <f t="shared" si="12"/>
        <v>1</v>
      </c>
      <c r="B274" s="1079" t="s">
        <v>2287</v>
      </c>
      <c r="C274" s="1080" t="s">
        <v>491</v>
      </c>
      <c r="D274" s="1082">
        <f t="shared" si="11"/>
        <v>8.9</v>
      </c>
      <c r="E274" s="1082">
        <v>8.9</v>
      </c>
      <c r="F274" s="1082" t="s">
        <v>2482</v>
      </c>
      <c r="G274" s="1082" t="s">
        <v>2490</v>
      </c>
      <c r="H274" s="1082"/>
      <c r="I274" s="1072" t="s">
        <v>2484</v>
      </c>
    </row>
    <row r="275" spans="1:9" x14ac:dyDescent="0.25">
      <c r="A275" s="1079">
        <f t="shared" si="12"/>
        <v>1</v>
      </c>
      <c r="B275" s="1079" t="s">
        <v>2308</v>
      </c>
      <c r="C275" s="1080" t="s">
        <v>491</v>
      </c>
      <c r="D275" s="1082">
        <f t="shared" si="11"/>
        <v>35</v>
      </c>
      <c r="E275" s="1082">
        <v>35</v>
      </c>
      <c r="F275" s="1082" t="s">
        <v>2482</v>
      </c>
      <c r="G275" s="1082" t="s">
        <v>2490</v>
      </c>
      <c r="H275" s="1082"/>
      <c r="I275" s="1072" t="s">
        <v>2484</v>
      </c>
    </row>
    <row r="276" spans="1:9" x14ac:dyDescent="0.25">
      <c r="A276" s="1079">
        <f t="shared" si="12"/>
        <v>1</v>
      </c>
      <c r="B276" s="1079" t="s">
        <v>2330</v>
      </c>
      <c r="C276" s="1080" t="s">
        <v>491</v>
      </c>
      <c r="D276" s="1082">
        <f t="shared" si="11"/>
        <v>493.84</v>
      </c>
      <c r="E276" s="1082">
        <v>493.84</v>
      </c>
      <c r="F276" s="1082" t="s">
        <v>2482</v>
      </c>
      <c r="G276" s="1082" t="s">
        <v>2490</v>
      </c>
      <c r="H276" s="1082"/>
      <c r="I276" s="1072" t="s">
        <v>2484</v>
      </c>
    </row>
    <row r="277" spans="1:9" x14ac:dyDescent="0.25">
      <c r="A277" s="1079">
        <f t="shared" si="12"/>
        <v>1</v>
      </c>
      <c r="B277" s="1079" t="s">
        <v>2310</v>
      </c>
      <c r="C277" s="1080" t="s">
        <v>491</v>
      </c>
      <c r="D277" s="1082">
        <f t="shared" si="11"/>
        <v>1054.93</v>
      </c>
      <c r="E277" s="1082">
        <v>1054.93</v>
      </c>
      <c r="F277" s="1082" t="s">
        <v>2482</v>
      </c>
      <c r="G277" s="1082" t="s">
        <v>2490</v>
      </c>
      <c r="H277" s="1082"/>
      <c r="I277" s="1072" t="s">
        <v>2484</v>
      </c>
    </row>
    <row r="278" spans="1:9" x14ac:dyDescent="0.25">
      <c r="A278" s="1079">
        <f t="shared" si="12"/>
        <v>1</v>
      </c>
      <c r="B278" s="1079" t="s">
        <v>2312</v>
      </c>
      <c r="C278" s="1080" t="s">
        <v>491</v>
      </c>
      <c r="D278" s="1082">
        <f t="shared" si="11"/>
        <v>1054.93</v>
      </c>
      <c r="E278" s="1082">
        <v>1054.93</v>
      </c>
      <c r="F278" s="1082" t="s">
        <v>2482</v>
      </c>
      <c r="G278" s="1082" t="s">
        <v>2490</v>
      </c>
      <c r="H278" s="1082"/>
      <c r="I278" s="1072" t="s">
        <v>2484</v>
      </c>
    </row>
    <row r="279" spans="1:9" x14ac:dyDescent="0.25">
      <c r="A279" s="1079">
        <f t="shared" si="12"/>
        <v>1</v>
      </c>
      <c r="B279" s="1079" t="s">
        <v>2309</v>
      </c>
      <c r="C279" s="1080" t="s">
        <v>491</v>
      </c>
      <c r="D279" s="1082">
        <f t="shared" ref="D279:D348" si="13">E279*$D$1</f>
        <v>1054.93</v>
      </c>
      <c r="E279" s="1082">
        <v>1054.93</v>
      </c>
      <c r="F279" s="1082" t="s">
        <v>2482</v>
      </c>
      <c r="G279" s="1082" t="s">
        <v>2490</v>
      </c>
      <c r="H279" s="1082"/>
      <c r="I279" s="1072" t="s">
        <v>2484</v>
      </c>
    </row>
    <row r="280" spans="1:9" x14ac:dyDescent="0.25">
      <c r="A280" s="1079">
        <f t="shared" si="12"/>
        <v>1</v>
      </c>
      <c r="B280" s="1079" t="s">
        <v>2313</v>
      </c>
      <c r="C280" s="1080" t="s">
        <v>491</v>
      </c>
      <c r="D280" s="1082">
        <f t="shared" si="13"/>
        <v>1054.93</v>
      </c>
      <c r="E280" s="1082">
        <v>1054.93</v>
      </c>
      <c r="F280" s="1082" t="s">
        <v>2482</v>
      </c>
      <c r="G280" s="1082" t="s">
        <v>2490</v>
      </c>
      <c r="H280" s="1082"/>
      <c r="I280" s="1072" t="s">
        <v>2484</v>
      </c>
    </row>
    <row r="281" spans="1:9" x14ac:dyDescent="0.25">
      <c r="A281" s="1079">
        <f t="shared" si="12"/>
        <v>1</v>
      </c>
      <c r="B281" s="1079" t="s">
        <v>1723</v>
      </c>
      <c r="C281" s="1080" t="s">
        <v>491</v>
      </c>
      <c r="D281" s="1082">
        <f t="shared" si="13"/>
        <v>6200</v>
      </c>
      <c r="E281" s="1082">
        <v>6200</v>
      </c>
      <c r="F281" s="1082" t="s">
        <v>2482</v>
      </c>
      <c r="G281" s="1082" t="s">
        <v>2490</v>
      </c>
      <c r="H281" s="1082"/>
      <c r="I281" s="1072" t="s">
        <v>2484</v>
      </c>
    </row>
    <row r="282" spans="1:9" x14ac:dyDescent="0.25">
      <c r="A282" s="1079">
        <f t="shared" si="12"/>
        <v>1</v>
      </c>
      <c r="B282" s="1079" t="s">
        <v>1725</v>
      </c>
      <c r="C282" s="1080" t="s">
        <v>491</v>
      </c>
      <c r="D282" s="1082">
        <f t="shared" si="13"/>
        <v>1400</v>
      </c>
      <c r="E282" s="1082">
        <v>1400</v>
      </c>
      <c r="F282" s="1082" t="s">
        <v>2482</v>
      </c>
      <c r="G282" s="1082" t="s">
        <v>2490</v>
      </c>
      <c r="H282" s="1082"/>
      <c r="I282" s="1072" t="s">
        <v>2484</v>
      </c>
    </row>
    <row r="283" spans="1:9" x14ac:dyDescent="0.25">
      <c r="A283" s="1079">
        <f t="shared" si="12"/>
        <v>1</v>
      </c>
      <c r="B283" s="1079" t="s">
        <v>1389</v>
      </c>
      <c r="C283" s="1080" t="s">
        <v>281</v>
      </c>
      <c r="D283" s="1082">
        <f t="shared" si="13"/>
        <v>29.5</v>
      </c>
      <c r="E283" s="1082">
        <v>29.5</v>
      </c>
      <c r="F283" s="1082" t="s">
        <v>2469</v>
      </c>
      <c r="G283" s="1082" t="s">
        <v>2469</v>
      </c>
      <c r="H283" s="1082"/>
      <c r="I283" s="1072" t="s">
        <v>2491</v>
      </c>
    </row>
    <row r="284" spans="1:9" x14ac:dyDescent="0.25">
      <c r="A284" s="1079">
        <f t="shared" si="12"/>
        <v>1</v>
      </c>
      <c r="B284" s="1079" t="s">
        <v>1392</v>
      </c>
      <c r="C284" s="1080" t="s">
        <v>17</v>
      </c>
      <c r="D284" s="1082">
        <f t="shared" si="13"/>
        <v>46.120293847566572</v>
      </c>
      <c r="E284" s="1082">
        <v>46.120293847566572</v>
      </c>
      <c r="F284" s="1082" t="s">
        <v>2469</v>
      </c>
      <c r="G284" s="1082" t="s">
        <v>2469</v>
      </c>
      <c r="H284" s="1082"/>
      <c r="I284" s="1072" t="s">
        <v>2491</v>
      </c>
    </row>
    <row r="285" spans="1:9" x14ac:dyDescent="0.25">
      <c r="A285" s="1079">
        <f t="shared" si="12"/>
        <v>1</v>
      </c>
      <c r="B285" s="1079" t="s">
        <v>1544</v>
      </c>
      <c r="C285" s="1080" t="s">
        <v>17</v>
      </c>
      <c r="D285" s="1082">
        <f t="shared" si="13"/>
        <v>59.297520661157016</v>
      </c>
      <c r="E285" s="1082">
        <v>59.297520661157016</v>
      </c>
      <c r="F285" s="1082" t="s">
        <v>2469</v>
      </c>
      <c r="G285" s="1082" t="s">
        <v>2469</v>
      </c>
      <c r="H285" s="1082"/>
      <c r="I285" s="1072" t="s">
        <v>2491</v>
      </c>
    </row>
    <row r="286" spans="1:9" x14ac:dyDescent="0.25">
      <c r="A286" s="1079">
        <f t="shared" si="12"/>
        <v>1</v>
      </c>
      <c r="B286" s="1079" t="s">
        <v>1406</v>
      </c>
      <c r="C286" s="1080" t="s">
        <v>17</v>
      </c>
      <c r="D286" s="1082">
        <f t="shared" si="13"/>
        <v>35.78</v>
      </c>
      <c r="E286" s="1082">
        <v>35.78</v>
      </c>
      <c r="F286" s="1082" t="s">
        <v>2469</v>
      </c>
      <c r="G286" s="1082" t="s">
        <v>2469</v>
      </c>
      <c r="H286" s="1082"/>
      <c r="I286" s="1072" t="s">
        <v>2491</v>
      </c>
    </row>
    <row r="287" spans="1:9" x14ac:dyDescent="0.25">
      <c r="A287" s="1079">
        <f t="shared" si="12"/>
        <v>1</v>
      </c>
      <c r="B287" s="1079" t="s">
        <v>1550</v>
      </c>
      <c r="C287" s="1080" t="s">
        <v>17</v>
      </c>
      <c r="D287" s="1082">
        <f t="shared" si="13"/>
        <v>46.002857142857138</v>
      </c>
      <c r="E287" s="1082">
        <v>46.002857142857138</v>
      </c>
      <c r="F287" s="1082" t="s">
        <v>2469</v>
      </c>
      <c r="G287" s="1082" t="s">
        <v>2469</v>
      </c>
      <c r="H287" s="1082"/>
      <c r="I287" s="1072" t="s">
        <v>2491</v>
      </c>
    </row>
    <row r="288" spans="1:9" x14ac:dyDescent="0.25">
      <c r="A288" s="1079">
        <f t="shared" si="12"/>
        <v>1</v>
      </c>
      <c r="B288" s="1079" t="s">
        <v>1371</v>
      </c>
      <c r="C288" s="1080" t="s">
        <v>491</v>
      </c>
      <c r="D288" s="1082">
        <f t="shared" si="13"/>
        <v>58.46</v>
      </c>
      <c r="E288" s="1082">
        <v>58.46</v>
      </c>
      <c r="F288" s="1082" t="s">
        <v>2469</v>
      </c>
      <c r="G288" s="1082" t="s">
        <v>2469</v>
      </c>
      <c r="H288" s="1082"/>
      <c r="I288" s="1072" t="s">
        <v>2491</v>
      </c>
    </row>
    <row r="289" spans="1:9" x14ac:dyDescent="0.25">
      <c r="A289" s="1079">
        <f t="shared" si="12"/>
        <v>1</v>
      </c>
      <c r="B289" s="1079" t="s">
        <v>1916</v>
      </c>
      <c r="C289" s="1080" t="s">
        <v>17</v>
      </c>
      <c r="D289" s="1082">
        <f t="shared" si="13"/>
        <v>557</v>
      </c>
      <c r="E289" s="1082">
        <v>557</v>
      </c>
      <c r="F289" s="1082" t="s">
        <v>2469</v>
      </c>
      <c r="G289" s="1082" t="s">
        <v>2492</v>
      </c>
      <c r="H289" s="1082"/>
      <c r="I289" s="1072" t="s">
        <v>2493</v>
      </c>
    </row>
    <row r="290" spans="1:9" x14ac:dyDescent="0.25">
      <c r="A290" s="1079">
        <f t="shared" si="12"/>
        <v>1</v>
      </c>
      <c r="B290" s="1079" t="s">
        <v>1507</v>
      </c>
      <c r="C290" s="1080" t="s">
        <v>2478</v>
      </c>
      <c r="D290" s="1082">
        <f t="shared" si="13"/>
        <v>15.55</v>
      </c>
      <c r="E290" s="1082">
        <v>15.55</v>
      </c>
      <c r="F290" s="1082" t="s">
        <v>2469</v>
      </c>
      <c r="G290" s="1082" t="s">
        <v>2424</v>
      </c>
      <c r="H290" s="1082"/>
      <c r="I290" s="1072" t="s">
        <v>2424</v>
      </c>
    </row>
    <row r="291" spans="1:9" x14ac:dyDescent="0.25">
      <c r="A291" s="1079">
        <f t="shared" si="12"/>
        <v>1</v>
      </c>
      <c r="B291" s="1079" t="s">
        <v>1908</v>
      </c>
      <c r="C291" s="1080" t="s">
        <v>1481</v>
      </c>
      <c r="D291" s="1082">
        <f t="shared" si="13"/>
        <v>21.666666666666668</v>
      </c>
      <c r="E291" s="1082">
        <f>390/18</f>
        <v>21.666666666666668</v>
      </c>
      <c r="F291" s="1082" t="s">
        <v>2469</v>
      </c>
      <c r="G291" s="1082" t="s">
        <v>2424</v>
      </c>
      <c r="H291" s="1082"/>
      <c r="I291" s="1072" t="s">
        <v>2424</v>
      </c>
    </row>
    <row r="292" spans="1:9" x14ac:dyDescent="0.25">
      <c r="A292" s="1079">
        <f t="shared" si="12"/>
        <v>1</v>
      </c>
      <c r="B292" s="1079" t="s">
        <v>1909</v>
      </c>
      <c r="C292" s="1080" t="s">
        <v>17</v>
      </c>
      <c r="D292" s="1082">
        <f t="shared" si="13"/>
        <v>650</v>
      </c>
      <c r="E292" s="1082">
        <f>130/(0.4*0.5)</f>
        <v>650</v>
      </c>
      <c r="F292" s="1082" t="s">
        <v>2469</v>
      </c>
      <c r="G292" s="1082" t="s">
        <v>2424</v>
      </c>
      <c r="H292" s="1082"/>
      <c r="I292" s="1072" t="s">
        <v>2424</v>
      </c>
    </row>
    <row r="293" spans="1:9" x14ac:dyDescent="0.25">
      <c r="A293" s="1079">
        <f t="shared" si="12"/>
        <v>1</v>
      </c>
      <c r="B293" s="1079" t="s">
        <v>1910</v>
      </c>
      <c r="C293" s="1080" t="s">
        <v>1481</v>
      </c>
      <c r="D293" s="1082">
        <f t="shared" si="13"/>
        <v>15.780000000000001</v>
      </c>
      <c r="E293" s="1082">
        <f>78.9/5</f>
        <v>15.780000000000001</v>
      </c>
      <c r="F293" s="1082" t="s">
        <v>2469</v>
      </c>
      <c r="G293" s="1082" t="s">
        <v>2424</v>
      </c>
      <c r="H293" s="1082"/>
      <c r="I293" s="1072" t="s">
        <v>2424</v>
      </c>
    </row>
    <row r="294" spans="1:9" x14ac:dyDescent="0.25">
      <c r="A294" s="1079">
        <f t="shared" si="12"/>
        <v>1</v>
      </c>
      <c r="B294" s="1079" t="s">
        <v>2345</v>
      </c>
      <c r="C294" s="1080" t="s">
        <v>17</v>
      </c>
      <c r="D294" s="1082">
        <f t="shared" si="13"/>
        <v>119.77</v>
      </c>
      <c r="E294" s="1082">
        <v>119.77</v>
      </c>
      <c r="F294" s="1082" t="s">
        <v>2469</v>
      </c>
      <c r="G294" s="1082" t="s">
        <v>2494</v>
      </c>
      <c r="H294" s="1082"/>
      <c r="I294" s="1072" t="s">
        <v>2493</v>
      </c>
    </row>
    <row r="295" spans="1:9" x14ac:dyDescent="0.25">
      <c r="A295" s="1079">
        <f t="shared" si="12"/>
        <v>1</v>
      </c>
      <c r="B295" s="1079" t="s">
        <v>1849</v>
      </c>
      <c r="C295" s="1080" t="s">
        <v>17</v>
      </c>
      <c r="D295" s="1082">
        <f t="shared" si="13"/>
        <v>90</v>
      </c>
      <c r="E295" s="1082">
        <v>90</v>
      </c>
      <c r="F295" s="1082" t="s">
        <v>2469</v>
      </c>
      <c r="G295" s="1082" t="s">
        <v>2492</v>
      </c>
      <c r="H295" s="1082"/>
      <c r="I295" s="1072" t="s">
        <v>2493</v>
      </c>
    </row>
    <row r="296" spans="1:9" x14ac:dyDescent="0.25">
      <c r="A296" s="1079">
        <f t="shared" si="12"/>
        <v>1</v>
      </c>
      <c r="B296" s="1079" t="s">
        <v>1372</v>
      </c>
      <c r="C296" s="1080" t="s">
        <v>281</v>
      </c>
      <c r="D296" s="1082">
        <f t="shared" si="13"/>
        <v>7</v>
      </c>
      <c r="E296" s="1082">
        <v>7</v>
      </c>
      <c r="F296" s="1082" t="s">
        <v>2469</v>
      </c>
      <c r="G296" s="1082" t="s">
        <v>2469</v>
      </c>
      <c r="H296" s="1082"/>
      <c r="I296" s="1072" t="s">
        <v>2491</v>
      </c>
    </row>
    <row r="297" spans="1:9" x14ac:dyDescent="0.25">
      <c r="A297" s="1079">
        <f t="shared" si="12"/>
        <v>1</v>
      </c>
      <c r="B297" s="1079" t="s">
        <v>1374</v>
      </c>
      <c r="C297" s="1080" t="s">
        <v>281</v>
      </c>
      <c r="D297" s="1082">
        <f t="shared" si="13"/>
        <v>2</v>
      </c>
      <c r="E297" s="1082">
        <v>2</v>
      </c>
      <c r="F297" s="1082" t="s">
        <v>2469</v>
      </c>
      <c r="G297" s="1082" t="s">
        <v>2469</v>
      </c>
      <c r="H297" s="1082"/>
      <c r="I297" s="1072" t="s">
        <v>2491</v>
      </c>
    </row>
    <row r="298" spans="1:9" x14ac:dyDescent="0.25">
      <c r="A298" s="1079">
        <f t="shared" si="12"/>
        <v>1</v>
      </c>
      <c r="B298" s="1079" t="s">
        <v>1373</v>
      </c>
      <c r="C298" s="1080" t="s">
        <v>17</v>
      </c>
      <c r="D298" s="1082">
        <f t="shared" si="13"/>
        <v>46.5</v>
      </c>
      <c r="E298" s="1082">
        <v>46.5</v>
      </c>
      <c r="F298" s="1082" t="s">
        <v>2469</v>
      </c>
      <c r="G298" s="1082" t="s">
        <v>2469</v>
      </c>
      <c r="H298" s="1082"/>
      <c r="I298" s="1072" t="s">
        <v>2491</v>
      </c>
    </row>
    <row r="299" spans="1:9" x14ac:dyDescent="0.25">
      <c r="A299" s="1079">
        <f t="shared" si="12"/>
        <v>1</v>
      </c>
      <c r="B299" s="1079" t="s">
        <v>1370</v>
      </c>
      <c r="C299" s="1080" t="s">
        <v>17</v>
      </c>
      <c r="D299" s="1082">
        <f t="shared" si="13"/>
        <v>46.5</v>
      </c>
      <c r="E299" s="1082">
        <v>46.5</v>
      </c>
      <c r="F299" s="1082" t="s">
        <v>2469</v>
      </c>
      <c r="G299" s="1082" t="s">
        <v>2469</v>
      </c>
      <c r="H299" s="1082"/>
      <c r="I299" s="1072" t="s">
        <v>2491</v>
      </c>
    </row>
    <row r="300" spans="1:9" x14ac:dyDescent="0.25">
      <c r="A300" s="1079">
        <f t="shared" si="12"/>
        <v>1</v>
      </c>
      <c r="B300" s="1079" t="s">
        <v>1562</v>
      </c>
      <c r="C300" s="1080" t="s">
        <v>2</v>
      </c>
      <c r="D300" s="1082">
        <f t="shared" si="13"/>
        <v>21.12</v>
      </c>
      <c r="E300" s="1082">
        <v>21.12</v>
      </c>
      <c r="F300" s="1082" t="s">
        <v>2469</v>
      </c>
      <c r="G300" s="1082" t="s">
        <v>2469</v>
      </c>
      <c r="H300" s="1082"/>
      <c r="I300" s="1072" t="s">
        <v>2491</v>
      </c>
    </row>
    <row r="301" spans="1:9" x14ac:dyDescent="0.25">
      <c r="A301" s="1079">
        <f t="shared" si="12"/>
        <v>1</v>
      </c>
      <c r="B301" s="1079" t="s">
        <v>1395</v>
      </c>
      <c r="C301" s="1080" t="s">
        <v>1426</v>
      </c>
      <c r="D301" s="1082">
        <f t="shared" si="13"/>
        <v>1100</v>
      </c>
      <c r="E301" s="1082">
        <v>1100</v>
      </c>
      <c r="F301" s="1082" t="s">
        <v>2469</v>
      </c>
      <c r="G301" s="1082" t="s">
        <v>2469</v>
      </c>
      <c r="H301" s="1082"/>
      <c r="I301" s="1072" t="s">
        <v>2491</v>
      </c>
    </row>
    <row r="302" spans="1:9" x14ac:dyDescent="0.25">
      <c r="A302" s="1079">
        <f t="shared" si="12"/>
        <v>1</v>
      </c>
      <c r="B302" s="1079" t="s">
        <v>2495</v>
      </c>
      <c r="C302" s="1080" t="s">
        <v>281</v>
      </c>
      <c r="D302" s="1082">
        <f t="shared" si="13"/>
        <v>5.62</v>
      </c>
      <c r="E302" s="1082">
        <v>5.62</v>
      </c>
      <c r="F302" s="1082" t="s">
        <v>2469</v>
      </c>
      <c r="G302" s="1082" t="s">
        <v>2469</v>
      </c>
      <c r="H302" s="1082"/>
      <c r="I302" s="1072" t="s">
        <v>2491</v>
      </c>
    </row>
    <row r="303" spans="1:9" x14ac:dyDescent="0.25">
      <c r="A303" s="1079">
        <f t="shared" si="12"/>
        <v>1</v>
      </c>
      <c r="B303" s="1079" t="s">
        <v>1402</v>
      </c>
      <c r="C303" s="1080" t="s">
        <v>1426</v>
      </c>
      <c r="D303" s="1082">
        <f t="shared" si="13"/>
        <v>1350</v>
      </c>
      <c r="E303" s="1082">
        <v>1350</v>
      </c>
      <c r="F303" s="1082" t="s">
        <v>2469</v>
      </c>
      <c r="G303" s="1082" t="s">
        <v>2469</v>
      </c>
      <c r="H303" s="1082"/>
      <c r="I303" s="1072" t="s">
        <v>2491</v>
      </c>
    </row>
    <row r="304" spans="1:9" x14ac:dyDescent="0.25">
      <c r="A304" s="1079">
        <f t="shared" si="12"/>
        <v>1</v>
      </c>
      <c r="B304" s="1079" t="s">
        <v>1906</v>
      </c>
      <c r="C304" s="1080" t="s">
        <v>1426</v>
      </c>
      <c r="D304" s="1082">
        <f t="shared" si="13"/>
        <v>1050</v>
      </c>
      <c r="E304" s="1082">
        <v>1050</v>
      </c>
      <c r="F304" s="1082" t="s">
        <v>2469</v>
      </c>
      <c r="G304" s="1082" t="s">
        <v>2469</v>
      </c>
      <c r="H304" s="1082"/>
      <c r="I304" s="1072" t="s">
        <v>2491</v>
      </c>
    </row>
    <row r="305" spans="1:9" x14ac:dyDescent="0.25">
      <c r="A305" s="1079">
        <f t="shared" si="12"/>
        <v>1</v>
      </c>
      <c r="B305" s="1079" t="s">
        <v>1397</v>
      </c>
      <c r="C305" s="1080" t="s">
        <v>281</v>
      </c>
      <c r="D305" s="1082">
        <f t="shared" si="13"/>
        <v>21.23</v>
      </c>
      <c r="E305" s="1082">
        <v>21.23</v>
      </c>
      <c r="F305" s="1082" t="s">
        <v>2469</v>
      </c>
      <c r="G305" s="1082" t="s">
        <v>2469</v>
      </c>
      <c r="H305" s="1082"/>
      <c r="I305" s="1072" t="s">
        <v>2491</v>
      </c>
    </row>
    <row r="306" spans="1:9" x14ac:dyDescent="0.25">
      <c r="A306" s="1079">
        <f t="shared" si="12"/>
        <v>1</v>
      </c>
      <c r="B306" s="1079" t="s">
        <v>1508</v>
      </c>
      <c r="C306" s="1080" t="s">
        <v>281</v>
      </c>
      <c r="D306" s="1082">
        <f t="shared" si="13"/>
        <v>42.46</v>
      </c>
      <c r="E306" s="1082">
        <v>42.46</v>
      </c>
      <c r="F306" s="1082" t="s">
        <v>2469</v>
      </c>
      <c r="G306" s="1082" t="s">
        <v>2469</v>
      </c>
      <c r="H306" s="1082"/>
      <c r="I306" s="1072" t="s">
        <v>2491</v>
      </c>
    </row>
    <row r="307" spans="1:9" x14ac:dyDescent="0.25">
      <c r="A307" s="1079">
        <f t="shared" si="12"/>
        <v>1</v>
      </c>
      <c r="B307" s="1079" t="s">
        <v>1542</v>
      </c>
      <c r="C307" s="1080" t="s">
        <v>281</v>
      </c>
      <c r="D307" s="1082">
        <f t="shared" si="13"/>
        <v>42.46</v>
      </c>
      <c r="E307" s="1082">
        <v>42.46</v>
      </c>
      <c r="F307" s="1082" t="s">
        <v>2469</v>
      </c>
      <c r="G307" s="1082" t="s">
        <v>2469</v>
      </c>
      <c r="H307" s="1082"/>
      <c r="I307" s="1072" t="s">
        <v>2491</v>
      </c>
    </row>
    <row r="308" spans="1:9" x14ac:dyDescent="0.25">
      <c r="A308" s="1079">
        <f t="shared" si="12"/>
        <v>1</v>
      </c>
      <c r="B308" s="1079" t="s">
        <v>2339</v>
      </c>
      <c r="C308" s="1080" t="s">
        <v>491</v>
      </c>
      <c r="D308" s="1082">
        <f t="shared" si="13"/>
        <v>3300</v>
      </c>
      <c r="E308" s="1082">
        <v>3300</v>
      </c>
      <c r="F308" s="1082" t="s">
        <v>2469</v>
      </c>
      <c r="G308" s="1082" t="s">
        <v>2494</v>
      </c>
      <c r="H308" s="1082"/>
      <c r="I308" s="1072" t="s">
        <v>2493</v>
      </c>
    </row>
    <row r="309" spans="1:9" x14ac:dyDescent="0.25">
      <c r="A309" s="1079">
        <f t="shared" si="12"/>
        <v>1</v>
      </c>
      <c r="B309" s="1079" t="s">
        <v>2496</v>
      </c>
      <c r="C309" s="1080" t="s">
        <v>281</v>
      </c>
      <c r="D309" s="1082">
        <f t="shared" si="13"/>
        <v>62.4</v>
      </c>
      <c r="E309" s="1082">
        <v>62.4</v>
      </c>
      <c r="F309" s="1082" t="s">
        <v>2469</v>
      </c>
      <c r="G309" s="1082" t="s">
        <v>2494</v>
      </c>
      <c r="H309" s="1082"/>
      <c r="I309" s="1072" t="s">
        <v>2493</v>
      </c>
    </row>
    <row r="310" spans="1:9" x14ac:dyDescent="0.25">
      <c r="A310" s="1079">
        <f t="shared" si="12"/>
        <v>1</v>
      </c>
      <c r="B310" s="1079" t="s">
        <v>2381</v>
      </c>
      <c r="C310" s="1080" t="s">
        <v>485</v>
      </c>
      <c r="D310" s="1082">
        <f t="shared" si="13"/>
        <v>3400</v>
      </c>
      <c r="E310" s="1082">
        <v>3400</v>
      </c>
      <c r="F310" s="1082" t="s">
        <v>2497</v>
      </c>
      <c r="G310" s="1082" t="s">
        <v>2497</v>
      </c>
      <c r="H310" s="1082"/>
      <c r="I310" s="1072" t="s">
        <v>2498</v>
      </c>
    </row>
    <row r="311" spans="1:9" x14ac:dyDescent="0.25">
      <c r="A311" s="1079">
        <f t="shared" si="12"/>
        <v>1</v>
      </c>
      <c r="B311" s="1079" t="s">
        <v>2379</v>
      </c>
      <c r="C311" s="1080" t="s">
        <v>485</v>
      </c>
      <c r="D311" s="1082">
        <f t="shared" si="13"/>
        <v>4550</v>
      </c>
      <c r="E311" s="1082">
        <v>4550</v>
      </c>
      <c r="F311" s="1082" t="s">
        <v>2497</v>
      </c>
      <c r="G311" s="1082" t="s">
        <v>2497</v>
      </c>
      <c r="H311" s="1082"/>
      <c r="I311" s="1072" t="s">
        <v>2498</v>
      </c>
    </row>
    <row r="312" spans="1:9" x14ac:dyDescent="0.25">
      <c r="A312" s="1079">
        <f t="shared" si="12"/>
        <v>1</v>
      </c>
      <c r="B312" s="1079" t="s">
        <v>2402</v>
      </c>
      <c r="C312" s="1080" t="s">
        <v>485</v>
      </c>
      <c r="D312" s="1082">
        <f t="shared" si="13"/>
        <v>6500</v>
      </c>
      <c r="E312" s="1082">
        <v>6500</v>
      </c>
      <c r="F312" s="1082" t="s">
        <v>2497</v>
      </c>
      <c r="G312" s="1082" t="s">
        <v>2497</v>
      </c>
      <c r="H312" s="1082"/>
      <c r="I312" s="1072" t="s">
        <v>2498</v>
      </c>
    </row>
    <row r="313" spans="1:9" x14ac:dyDescent="0.25">
      <c r="A313" s="1079">
        <f t="shared" si="12"/>
        <v>1</v>
      </c>
      <c r="B313" s="1079" t="s">
        <v>2380</v>
      </c>
      <c r="C313" s="1080" t="s">
        <v>485</v>
      </c>
      <c r="D313" s="1082">
        <f t="shared" si="13"/>
        <v>4200</v>
      </c>
      <c r="E313" s="1082">
        <v>4200</v>
      </c>
      <c r="F313" s="1082" t="s">
        <v>2497</v>
      </c>
      <c r="G313" s="1082" t="s">
        <v>2497</v>
      </c>
      <c r="H313" s="1082"/>
      <c r="I313" s="1072" t="s">
        <v>2498</v>
      </c>
    </row>
    <row r="314" spans="1:9" x14ac:dyDescent="0.25">
      <c r="A314" s="1079">
        <f t="shared" si="12"/>
        <v>1</v>
      </c>
      <c r="B314" s="1079" t="s">
        <v>2392</v>
      </c>
      <c r="C314" s="1080" t="s">
        <v>485</v>
      </c>
      <c r="D314" s="1082">
        <f t="shared" si="13"/>
        <v>3000</v>
      </c>
      <c r="E314" s="1082">
        <v>3000</v>
      </c>
      <c r="F314" s="1082" t="s">
        <v>2497</v>
      </c>
      <c r="G314" s="1082" t="s">
        <v>2497</v>
      </c>
      <c r="H314" s="1082"/>
      <c r="I314" s="1072" t="s">
        <v>2498</v>
      </c>
    </row>
    <row r="315" spans="1:9" x14ac:dyDescent="0.25">
      <c r="A315" s="1079">
        <f t="shared" si="12"/>
        <v>1</v>
      </c>
      <c r="B315" s="1079" t="s">
        <v>1449</v>
      </c>
      <c r="C315" s="1080" t="s">
        <v>485</v>
      </c>
      <c r="D315" s="1082">
        <f t="shared" si="13"/>
        <v>4000</v>
      </c>
      <c r="E315" s="1082">
        <v>4000</v>
      </c>
      <c r="F315" s="1082" t="s">
        <v>2497</v>
      </c>
      <c r="G315" s="1082" t="s">
        <v>2497</v>
      </c>
      <c r="H315" s="1082"/>
      <c r="I315" s="1072" t="s">
        <v>2498</v>
      </c>
    </row>
    <row r="316" spans="1:9" x14ac:dyDescent="0.25">
      <c r="A316" s="1079">
        <f t="shared" si="12"/>
        <v>1</v>
      </c>
      <c r="B316" s="1079" t="s">
        <v>2377</v>
      </c>
      <c r="C316" s="1080" t="s">
        <v>485</v>
      </c>
      <c r="D316" s="1082">
        <f t="shared" si="13"/>
        <v>3450</v>
      </c>
      <c r="E316" s="1082">
        <v>3450</v>
      </c>
      <c r="F316" s="1082" t="s">
        <v>2497</v>
      </c>
      <c r="G316" s="1082" t="s">
        <v>2497</v>
      </c>
      <c r="H316" s="1082"/>
      <c r="I316" s="1072" t="s">
        <v>2498</v>
      </c>
    </row>
    <row r="317" spans="1:9" x14ac:dyDescent="0.25">
      <c r="A317" s="1079">
        <f t="shared" si="12"/>
        <v>1</v>
      </c>
      <c r="B317" s="1079" t="s">
        <v>2378</v>
      </c>
      <c r="C317" s="1080" t="s">
        <v>485</v>
      </c>
      <c r="D317" s="1082">
        <f t="shared" si="13"/>
        <v>5000</v>
      </c>
      <c r="E317" s="1082">
        <v>5000</v>
      </c>
      <c r="F317" s="1082" t="s">
        <v>2497</v>
      </c>
      <c r="G317" s="1082" t="s">
        <v>2497</v>
      </c>
      <c r="H317" s="1082"/>
      <c r="I317" s="1072" t="s">
        <v>2498</v>
      </c>
    </row>
    <row r="318" spans="1:9" x14ac:dyDescent="0.25">
      <c r="A318" s="1079">
        <f t="shared" si="12"/>
        <v>1</v>
      </c>
      <c r="B318" s="1079" t="s">
        <v>2400</v>
      </c>
      <c r="C318" s="1080" t="s">
        <v>485</v>
      </c>
      <c r="D318" s="1082">
        <f t="shared" si="13"/>
        <v>3000</v>
      </c>
      <c r="E318" s="1082">
        <v>3000</v>
      </c>
      <c r="F318" s="1082" t="s">
        <v>2497</v>
      </c>
      <c r="G318" s="1082" t="s">
        <v>2497</v>
      </c>
      <c r="H318" s="1082"/>
      <c r="I318" s="1072" t="s">
        <v>2498</v>
      </c>
    </row>
    <row r="319" spans="1:9" x14ac:dyDescent="0.25">
      <c r="A319" s="1079">
        <f t="shared" si="12"/>
        <v>1</v>
      </c>
      <c r="B319" s="1079" t="s">
        <v>2401</v>
      </c>
      <c r="C319" s="1080" t="s">
        <v>485</v>
      </c>
      <c r="D319" s="1082">
        <f t="shared" si="13"/>
        <v>2400</v>
      </c>
      <c r="E319" s="1082">
        <v>2400</v>
      </c>
      <c r="F319" s="1082" t="s">
        <v>2497</v>
      </c>
      <c r="G319" s="1082" t="s">
        <v>2497</v>
      </c>
      <c r="H319" s="1082"/>
      <c r="I319" s="1072" t="s">
        <v>2498</v>
      </c>
    </row>
    <row r="320" spans="1:9" x14ac:dyDescent="0.25">
      <c r="A320" s="1079">
        <f t="shared" si="12"/>
        <v>1</v>
      </c>
      <c r="B320" s="1079" t="s">
        <v>2393</v>
      </c>
      <c r="C320" s="1080" t="s">
        <v>485</v>
      </c>
      <c r="D320" s="1082">
        <f t="shared" si="13"/>
        <v>2400</v>
      </c>
      <c r="E320" s="1082">
        <v>2400</v>
      </c>
      <c r="F320" s="1082" t="s">
        <v>2497</v>
      </c>
      <c r="G320" s="1082" t="s">
        <v>2499</v>
      </c>
      <c r="H320" s="1082"/>
      <c r="I320" s="1072" t="s">
        <v>2498</v>
      </c>
    </row>
    <row r="321" spans="1:9" x14ac:dyDescent="0.25">
      <c r="A321" s="1079">
        <f t="shared" si="12"/>
        <v>1</v>
      </c>
      <c r="B321" s="1079" t="s">
        <v>1991</v>
      </c>
      <c r="C321" s="1080" t="s">
        <v>1481</v>
      </c>
      <c r="D321" s="1082">
        <f t="shared" si="13"/>
        <v>25.11</v>
      </c>
      <c r="E321" s="1082">
        <v>25.11</v>
      </c>
      <c r="F321" s="1082" t="s">
        <v>2500</v>
      </c>
      <c r="G321" s="1082" t="s">
        <v>2424</v>
      </c>
      <c r="H321" s="1082"/>
      <c r="I321" s="1072" t="s">
        <v>2501</v>
      </c>
    </row>
    <row r="322" spans="1:9" x14ac:dyDescent="0.25">
      <c r="A322" s="1079">
        <f t="shared" si="12"/>
        <v>1</v>
      </c>
      <c r="B322" s="1079" t="s">
        <v>1781</v>
      </c>
      <c r="C322" s="1080" t="s">
        <v>1481</v>
      </c>
      <c r="D322" s="1082">
        <f t="shared" si="13"/>
        <v>22.95611111111111</v>
      </c>
      <c r="E322" s="1082">
        <v>22.95611111111111</v>
      </c>
      <c r="F322" s="1082" t="s">
        <v>2500</v>
      </c>
      <c r="G322" s="1082" t="s">
        <v>2424</v>
      </c>
      <c r="H322" s="1082"/>
      <c r="I322" s="1072" t="s">
        <v>2501</v>
      </c>
    </row>
    <row r="323" spans="1:9" x14ac:dyDescent="0.25">
      <c r="A323" s="1079">
        <f t="shared" si="12"/>
        <v>1</v>
      </c>
      <c r="B323" s="1079" t="s">
        <v>1732</v>
      </c>
      <c r="C323" s="1080" t="s">
        <v>2478</v>
      </c>
      <c r="D323" s="1082">
        <f t="shared" si="13"/>
        <v>66.666666666666671</v>
      </c>
      <c r="E323" s="1082">
        <v>66.666666666666671</v>
      </c>
      <c r="F323" s="1082" t="s">
        <v>2500</v>
      </c>
      <c r="G323" s="1082" t="s">
        <v>2424</v>
      </c>
      <c r="H323" s="1082"/>
      <c r="I323" s="1072" t="s">
        <v>2501</v>
      </c>
    </row>
    <row r="324" spans="1:9" x14ac:dyDescent="0.25">
      <c r="A324" s="1079">
        <f t="shared" si="12"/>
        <v>1</v>
      </c>
      <c r="B324" s="1079" t="s">
        <v>1783</v>
      </c>
      <c r="C324" s="1080" t="s">
        <v>2478</v>
      </c>
      <c r="D324" s="1082">
        <f t="shared" si="13"/>
        <v>19.34</v>
      </c>
      <c r="E324" s="1082">
        <v>19.34</v>
      </c>
      <c r="F324" s="1082" t="s">
        <v>2500</v>
      </c>
      <c r="G324" s="1082" t="s">
        <v>2424</v>
      </c>
      <c r="H324" s="1082"/>
      <c r="I324" s="1072" t="s">
        <v>2501</v>
      </c>
    </row>
    <row r="325" spans="1:9" x14ac:dyDescent="0.25">
      <c r="A325" s="1079">
        <f t="shared" si="12"/>
        <v>1</v>
      </c>
      <c r="B325" s="1079" t="s">
        <v>1764</v>
      </c>
      <c r="C325" s="1080" t="s">
        <v>1481</v>
      </c>
      <c r="D325" s="1082">
        <f t="shared" si="13"/>
        <v>11.2295</v>
      </c>
      <c r="E325" s="1082">
        <v>11.2295</v>
      </c>
      <c r="F325" s="1082" t="s">
        <v>2500</v>
      </c>
      <c r="G325" s="1082" t="s">
        <v>2424</v>
      </c>
      <c r="H325" s="1082"/>
      <c r="I325" s="1072" t="s">
        <v>2501</v>
      </c>
    </row>
    <row r="326" spans="1:9" x14ac:dyDescent="0.25">
      <c r="A326" s="1079">
        <f t="shared" si="12"/>
        <v>1</v>
      </c>
      <c r="B326" s="1079" t="s">
        <v>1667</v>
      </c>
      <c r="C326" s="1080" t="s">
        <v>1481</v>
      </c>
      <c r="D326" s="1082">
        <f t="shared" si="13"/>
        <v>190</v>
      </c>
      <c r="E326" s="1082">
        <v>190</v>
      </c>
      <c r="F326" s="1082" t="s">
        <v>2500</v>
      </c>
      <c r="G326" s="1082" t="s">
        <v>2424</v>
      </c>
      <c r="H326" s="1082"/>
      <c r="I326" s="1072" t="s">
        <v>2501</v>
      </c>
    </row>
    <row r="327" spans="1:9" x14ac:dyDescent="0.25">
      <c r="A327" s="1079">
        <f t="shared" si="12"/>
        <v>1</v>
      </c>
      <c r="B327" s="1079" t="s">
        <v>1385</v>
      </c>
      <c r="C327" s="1080" t="s">
        <v>491</v>
      </c>
      <c r="D327" s="1082">
        <f t="shared" si="13"/>
        <v>1052.1099999999999</v>
      </c>
      <c r="E327" s="1082">
        <v>1052.1099999999999</v>
      </c>
      <c r="F327" s="1082" t="s">
        <v>2500</v>
      </c>
      <c r="G327" s="1082" t="s">
        <v>2424</v>
      </c>
      <c r="H327" s="1082"/>
      <c r="I327" s="1072" t="s">
        <v>2424</v>
      </c>
    </row>
    <row r="328" spans="1:9" x14ac:dyDescent="0.25">
      <c r="A328" s="1079">
        <f t="shared" si="12"/>
        <v>1</v>
      </c>
      <c r="B328" s="1079" t="s">
        <v>1673</v>
      </c>
      <c r="C328" s="1080" t="s">
        <v>491</v>
      </c>
      <c r="D328" s="1082">
        <f t="shared" si="13"/>
        <v>0.37</v>
      </c>
      <c r="E328" s="1082">
        <v>0.37</v>
      </c>
      <c r="F328" s="1082" t="s">
        <v>2500</v>
      </c>
      <c r="G328" s="1082" t="s">
        <v>2424</v>
      </c>
      <c r="H328" s="1082"/>
      <c r="I328" s="1072" t="s">
        <v>2424</v>
      </c>
    </row>
    <row r="329" spans="1:9" x14ac:dyDescent="0.25">
      <c r="A329" s="1079">
        <f t="shared" si="12"/>
        <v>1</v>
      </c>
      <c r="B329" s="1079" t="s">
        <v>1393</v>
      </c>
      <c r="C329" s="1080" t="s">
        <v>491</v>
      </c>
      <c r="D329" s="1082">
        <f t="shared" si="13"/>
        <v>5.3</v>
      </c>
      <c r="E329" s="1082">
        <v>5.3</v>
      </c>
      <c r="F329" s="1082" t="s">
        <v>2500</v>
      </c>
      <c r="G329" s="1082" t="s">
        <v>2424</v>
      </c>
      <c r="H329" s="1082"/>
      <c r="I329" s="1072" t="s">
        <v>2424</v>
      </c>
    </row>
    <row r="330" spans="1:9" x14ac:dyDescent="0.25">
      <c r="A330" s="1079">
        <f t="shared" si="12"/>
        <v>1</v>
      </c>
      <c r="B330" s="1079" t="s">
        <v>1414</v>
      </c>
      <c r="C330" s="1080" t="s">
        <v>491</v>
      </c>
      <c r="D330" s="1082">
        <f t="shared" si="13"/>
        <v>1.7</v>
      </c>
      <c r="E330" s="1082">
        <v>1.7</v>
      </c>
      <c r="F330" s="1082" t="s">
        <v>2500</v>
      </c>
      <c r="G330" s="1082" t="s">
        <v>2424</v>
      </c>
      <c r="H330" s="1082"/>
      <c r="I330" s="1072" t="s">
        <v>2424</v>
      </c>
    </row>
    <row r="331" spans="1:9" x14ac:dyDescent="0.25">
      <c r="A331" s="1079">
        <f t="shared" si="12"/>
        <v>1</v>
      </c>
      <c r="B331" s="1079" t="s">
        <v>1999</v>
      </c>
      <c r="C331" s="1080" t="s">
        <v>1481</v>
      </c>
      <c r="D331" s="1082">
        <f t="shared" si="13"/>
        <v>29.13</v>
      </c>
      <c r="E331" s="1082">
        <v>29.13</v>
      </c>
      <c r="F331" s="1082" t="s">
        <v>2500</v>
      </c>
      <c r="G331" s="1082" t="s">
        <v>2424</v>
      </c>
      <c r="H331" s="1082"/>
      <c r="I331" s="1072" t="s">
        <v>2424</v>
      </c>
    </row>
    <row r="332" spans="1:9" x14ac:dyDescent="0.25">
      <c r="A332" s="1079">
        <f t="shared" si="12"/>
        <v>1</v>
      </c>
      <c r="B332" s="1079" t="s">
        <v>2502</v>
      </c>
      <c r="C332" s="1080" t="s">
        <v>491</v>
      </c>
      <c r="D332" s="1082">
        <f t="shared" si="13"/>
        <v>19.899999999999999</v>
      </c>
      <c r="E332" s="1082">
        <v>19.899999999999999</v>
      </c>
      <c r="F332" s="1082" t="s">
        <v>2500</v>
      </c>
      <c r="G332" s="1082" t="s">
        <v>2424</v>
      </c>
      <c r="H332" s="1082"/>
      <c r="I332" s="1072" t="s">
        <v>2424</v>
      </c>
    </row>
    <row r="333" spans="1:9" x14ac:dyDescent="0.25">
      <c r="A333" s="1079">
        <f t="shared" si="12"/>
        <v>1</v>
      </c>
      <c r="B333" s="1079" t="s">
        <v>2276</v>
      </c>
      <c r="C333" s="1080" t="s">
        <v>491</v>
      </c>
      <c r="D333" s="1082">
        <f t="shared" si="13"/>
        <v>75</v>
      </c>
      <c r="E333" s="1082">
        <v>75</v>
      </c>
      <c r="F333" s="1082" t="s">
        <v>2500</v>
      </c>
      <c r="G333" s="1082" t="s">
        <v>2424</v>
      </c>
      <c r="H333" s="1082"/>
      <c r="I333" s="1072" t="s">
        <v>2501</v>
      </c>
    </row>
    <row r="334" spans="1:9" x14ac:dyDescent="0.25">
      <c r="A334" s="1079">
        <f t="shared" ref="A334:A401" si="14">COUNTIFS($B$2:$B$670,B334)</f>
        <v>1</v>
      </c>
      <c r="B334" s="1079" t="s">
        <v>2107</v>
      </c>
      <c r="C334" s="1080" t="s">
        <v>2</v>
      </c>
      <c r="D334" s="1082">
        <f t="shared" si="13"/>
        <v>55</v>
      </c>
      <c r="E334" s="1082">
        <v>55</v>
      </c>
      <c r="F334" s="1082" t="s">
        <v>2500</v>
      </c>
      <c r="G334" s="1082" t="s">
        <v>2424</v>
      </c>
      <c r="H334" s="1082"/>
      <c r="I334" s="1072" t="s">
        <v>2424</v>
      </c>
    </row>
    <row r="335" spans="1:9" x14ac:dyDescent="0.25">
      <c r="A335" s="1079">
        <f t="shared" si="14"/>
        <v>1</v>
      </c>
      <c r="B335" s="1079" t="s">
        <v>2040</v>
      </c>
      <c r="C335" s="1080" t="s">
        <v>491</v>
      </c>
      <c r="D335" s="1082">
        <f t="shared" si="13"/>
        <v>11.26</v>
      </c>
      <c r="E335" s="1082">
        <v>11.26</v>
      </c>
      <c r="F335" s="1082" t="s">
        <v>2500</v>
      </c>
      <c r="G335" s="1082" t="s">
        <v>2424</v>
      </c>
      <c r="H335" s="1082"/>
      <c r="I335" s="1072" t="s">
        <v>2424</v>
      </c>
    </row>
    <row r="336" spans="1:9" x14ac:dyDescent="0.25">
      <c r="A336" s="1079">
        <f t="shared" si="14"/>
        <v>1</v>
      </c>
      <c r="B336" s="1079" t="s">
        <v>1384</v>
      </c>
      <c r="C336" s="1080" t="s">
        <v>491</v>
      </c>
      <c r="D336" s="1082">
        <f t="shared" si="13"/>
        <v>1.89</v>
      </c>
      <c r="E336" s="1082">
        <v>1.89</v>
      </c>
      <c r="F336" s="1082" t="s">
        <v>2500</v>
      </c>
      <c r="G336" s="1082" t="s">
        <v>2424</v>
      </c>
      <c r="H336" s="1082"/>
      <c r="I336" s="1072" t="s">
        <v>2424</v>
      </c>
    </row>
    <row r="337" spans="1:9" x14ac:dyDescent="0.25">
      <c r="A337" s="1079">
        <f t="shared" si="14"/>
        <v>1</v>
      </c>
      <c r="B337" s="1079" t="s">
        <v>1779</v>
      </c>
      <c r="C337" s="1080" t="s">
        <v>491</v>
      </c>
      <c r="D337" s="1082">
        <f t="shared" si="13"/>
        <v>3.13</v>
      </c>
      <c r="E337" s="1082">
        <v>3.13</v>
      </c>
      <c r="F337" s="1082" t="s">
        <v>2500</v>
      </c>
      <c r="G337" s="1082" t="s">
        <v>2424</v>
      </c>
      <c r="H337" s="1082"/>
      <c r="I337" s="1072" t="s">
        <v>2424</v>
      </c>
    </row>
    <row r="338" spans="1:9" x14ac:dyDescent="0.25">
      <c r="A338" s="1079">
        <f t="shared" si="14"/>
        <v>1</v>
      </c>
      <c r="B338" s="1079" t="s">
        <v>1363</v>
      </c>
      <c r="C338" s="1080" t="s">
        <v>17</v>
      </c>
      <c r="D338" s="1082">
        <f t="shared" si="13"/>
        <v>1.25</v>
      </c>
      <c r="E338" s="1082">
        <v>1.25</v>
      </c>
      <c r="F338" s="1082" t="s">
        <v>2500</v>
      </c>
      <c r="G338" s="1082" t="s">
        <v>2424</v>
      </c>
      <c r="H338" s="1082"/>
      <c r="I338" s="1072" t="s">
        <v>2424</v>
      </c>
    </row>
    <row r="339" spans="1:9" x14ac:dyDescent="0.25">
      <c r="A339" s="1079">
        <f t="shared" si="14"/>
        <v>1</v>
      </c>
      <c r="B339" s="1079" t="s">
        <v>1559</v>
      </c>
      <c r="C339" s="1080" t="s">
        <v>17</v>
      </c>
      <c r="D339" s="1082">
        <f t="shared" si="13"/>
        <v>2.3025000000000002</v>
      </c>
      <c r="E339" s="1082">
        <v>2.3025000000000002</v>
      </c>
      <c r="F339" s="1082" t="s">
        <v>2500</v>
      </c>
      <c r="G339" s="1082" t="s">
        <v>2424</v>
      </c>
      <c r="H339" s="1082"/>
      <c r="I339" s="1072" t="s">
        <v>2424</v>
      </c>
    </row>
    <row r="340" spans="1:9" x14ac:dyDescent="0.25">
      <c r="A340" s="1079">
        <f t="shared" si="14"/>
        <v>1</v>
      </c>
      <c r="B340" s="1079" t="s">
        <v>2168</v>
      </c>
      <c r="C340" s="1080" t="s">
        <v>1426</v>
      </c>
      <c r="D340" s="1082">
        <f t="shared" si="13"/>
        <v>1377.4104683195592</v>
      </c>
      <c r="E340" s="1082">
        <f>50/(1*0.33*0.11)</f>
        <v>1377.4104683195592</v>
      </c>
      <c r="F340" s="1082" t="s">
        <v>2500</v>
      </c>
      <c r="G340" s="1082" t="s">
        <v>2424</v>
      </c>
      <c r="H340" s="1082"/>
      <c r="I340" s="1072" t="s">
        <v>2424</v>
      </c>
    </row>
    <row r="341" spans="1:9" x14ac:dyDescent="0.25">
      <c r="A341" s="1079">
        <f t="shared" si="14"/>
        <v>1</v>
      </c>
      <c r="B341" s="1079" t="s">
        <v>1821</v>
      </c>
      <c r="C341" s="1080" t="s">
        <v>17</v>
      </c>
      <c r="D341" s="1082">
        <f t="shared" si="13"/>
        <v>151.5151515151515</v>
      </c>
      <c r="E341" s="1082">
        <f>50/(1*0.33)</f>
        <v>151.5151515151515</v>
      </c>
      <c r="F341" s="1082" t="s">
        <v>2500</v>
      </c>
      <c r="G341" s="1082" t="s">
        <v>2424</v>
      </c>
      <c r="H341" s="1082"/>
      <c r="I341" s="1072" t="s">
        <v>2424</v>
      </c>
    </row>
    <row r="342" spans="1:9" x14ac:dyDescent="0.25">
      <c r="A342" s="1079">
        <f t="shared" si="14"/>
        <v>1</v>
      </c>
      <c r="B342" s="1079" t="s">
        <v>2282</v>
      </c>
      <c r="C342" s="1080" t="s">
        <v>491</v>
      </c>
      <c r="D342" s="1082">
        <f t="shared" si="13"/>
        <v>35.6</v>
      </c>
      <c r="E342" s="1082">
        <v>35.6</v>
      </c>
      <c r="F342" s="1082" t="s">
        <v>2500</v>
      </c>
      <c r="G342" s="1082" t="s">
        <v>2424</v>
      </c>
      <c r="H342" s="1082"/>
      <c r="I342" s="1072" t="s">
        <v>2424</v>
      </c>
    </row>
    <row r="343" spans="1:9" x14ac:dyDescent="0.25">
      <c r="A343" s="1079">
        <f t="shared" si="14"/>
        <v>1</v>
      </c>
      <c r="B343" s="1079" t="s">
        <v>2355</v>
      </c>
      <c r="C343" s="1080" t="s">
        <v>1481</v>
      </c>
      <c r="D343" s="1082">
        <f t="shared" si="13"/>
        <v>163.07</v>
      </c>
      <c r="E343" s="1082">
        <v>163.07</v>
      </c>
      <c r="F343" s="1082" t="s">
        <v>2500</v>
      </c>
      <c r="G343" s="1082" t="s">
        <v>2424</v>
      </c>
      <c r="H343" s="1082"/>
      <c r="I343" s="1072" t="s">
        <v>2424</v>
      </c>
    </row>
    <row r="344" spans="1:9" x14ac:dyDescent="0.25">
      <c r="A344" s="1079">
        <f t="shared" si="14"/>
        <v>1</v>
      </c>
      <c r="B344" s="1079" t="s">
        <v>1377</v>
      </c>
      <c r="C344" s="1080" t="s">
        <v>355</v>
      </c>
      <c r="D344" s="1082">
        <f t="shared" si="13"/>
        <v>215</v>
      </c>
      <c r="E344" s="1082">
        <v>215</v>
      </c>
      <c r="F344" s="1082" t="s">
        <v>2500</v>
      </c>
      <c r="G344" s="1082" t="s">
        <v>2424</v>
      </c>
      <c r="H344" s="1082"/>
      <c r="I344" s="1072" t="s">
        <v>2424</v>
      </c>
    </row>
    <row r="345" spans="1:9" x14ac:dyDescent="0.25">
      <c r="A345" s="1079">
        <f t="shared" si="14"/>
        <v>1</v>
      </c>
      <c r="B345" s="1079" t="s">
        <v>2155</v>
      </c>
      <c r="C345" s="1080" t="s">
        <v>3</v>
      </c>
      <c r="D345" s="1082">
        <f t="shared" si="13"/>
        <v>1.72</v>
      </c>
      <c r="E345" s="1082">
        <f>86/50</f>
        <v>1.72</v>
      </c>
      <c r="F345" s="1082" t="s">
        <v>2500</v>
      </c>
      <c r="G345" s="1082" t="s">
        <v>2424</v>
      </c>
      <c r="H345" s="1082"/>
      <c r="I345" s="1072" t="s">
        <v>2424</v>
      </c>
    </row>
    <row r="346" spans="1:9" x14ac:dyDescent="0.25">
      <c r="A346" s="1079">
        <f t="shared" si="14"/>
        <v>1</v>
      </c>
      <c r="B346" s="1079" t="s">
        <v>2406</v>
      </c>
      <c r="C346" s="1080" t="s">
        <v>1426</v>
      </c>
      <c r="D346" s="1082">
        <f t="shared" si="13"/>
        <v>134</v>
      </c>
      <c r="E346" s="1082">
        <v>134</v>
      </c>
      <c r="F346" s="1082" t="s">
        <v>2503</v>
      </c>
      <c r="G346" s="1082" t="s">
        <v>2504</v>
      </c>
      <c r="H346" s="1082"/>
      <c r="I346" s="1072" t="s">
        <v>2503</v>
      </c>
    </row>
    <row r="347" spans="1:9" x14ac:dyDescent="0.25">
      <c r="A347" s="1079">
        <f t="shared" si="14"/>
        <v>1</v>
      </c>
      <c r="B347" s="1079" t="s">
        <v>1726</v>
      </c>
      <c r="C347" s="1080" t="s">
        <v>1426</v>
      </c>
      <c r="D347" s="1082">
        <f t="shared" si="13"/>
        <v>145</v>
      </c>
      <c r="E347" s="1082">
        <v>145</v>
      </c>
      <c r="F347" s="1082" t="s">
        <v>2503</v>
      </c>
      <c r="G347" s="1082" t="s">
        <v>2504</v>
      </c>
      <c r="H347" s="1082"/>
      <c r="I347" s="1072" t="s">
        <v>2503</v>
      </c>
    </row>
    <row r="348" spans="1:9" x14ac:dyDescent="0.25">
      <c r="A348" s="1079">
        <f t="shared" si="14"/>
        <v>1</v>
      </c>
      <c r="B348" s="1079" t="s">
        <v>2395</v>
      </c>
      <c r="C348" s="1080" t="s">
        <v>1426</v>
      </c>
      <c r="D348" s="1082">
        <f t="shared" si="13"/>
        <v>143</v>
      </c>
      <c r="E348" s="1082">
        <v>143</v>
      </c>
      <c r="F348" s="1082" t="s">
        <v>2503</v>
      </c>
      <c r="G348" s="1082" t="s">
        <v>2505</v>
      </c>
      <c r="H348" s="1082"/>
      <c r="I348" s="1072" t="s">
        <v>2503</v>
      </c>
    </row>
    <row r="349" spans="1:9" x14ac:dyDescent="0.25">
      <c r="A349" s="1079">
        <f t="shared" si="14"/>
        <v>1</v>
      </c>
      <c r="B349" s="1079" t="s">
        <v>1436</v>
      </c>
      <c r="C349" s="1080" t="s">
        <v>1426</v>
      </c>
      <c r="D349" s="1082">
        <f t="shared" ref="D349:D421" si="15">E349*$D$1</f>
        <v>151.20000000000002</v>
      </c>
      <c r="E349" s="1082">
        <v>151.20000000000002</v>
      </c>
      <c r="F349" s="1082" t="s">
        <v>2503</v>
      </c>
      <c r="G349" s="1082" t="s">
        <v>2505</v>
      </c>
      <c r="H349" s="1082"/>
      <c r="I349" s="1072" t="s">
        <v>2503</v>
      </c>
    </row>
    <row r="350" spans="1:9" x14ac:dyDescent="0.25">
      <c r="A350" s="1079">
        <f t="shared" si="14"/>
        <v>1</v>
      </c>
      <c r="B350" s="1079" t="s">
        <v>2020</v>
      </c>
      <c r="C350" s="1080" t="s">
        <v>1426</v>
      </c>
      <c r="D350" s="1082">
        <f t="shared" si="15"/>
        <v>105.71</v>
      </c>
      <c r="E350" s="1082">
        <v>105.71</v>
      </c>
      <c r="F350" s="1082" t="s">
        <v>2503</v>
      </c>
      <c r="G350" s="1082" t="s">
        <v>2505</v>
      </c>
      <c r="H350" s="1082"/>
      <c r="I350" s="1072" t="s">
        <v>2503</v>
      </c>
    </row>
    <row r="351" spans="1:9" x14ac:dyDescent="0.25">
      <c r="A351" s="1079">
        <f t="shared" si="14"/>
        <v>1</v>
      </c>
      <c r="B351" s="1079" t="s">
        <v>2405</v>
      </c>
      <c r="C351" s="1080" t="s">
        <v>1426</v>
      </c>
      <c r="D351" s="1082">
        <f t="shared" si="15"/>
        <v>300</v>
      </c>
      <c r="E351" s="1082">
        <v>300</v>
      </c>
      <c r="F351" s="1082" t="s">
        <v>2503</v>
      </c>
      <c r="G351" s="1082" t="s">
        <v>2505</v>
      </c>
      <c r="H351" s="1082"/>
      <c r="I351" s="1072" t="s">
        <v>2503</v>
      </c>
    </row>
    <row r="352" spans="1:9" x14ac:dyDescent="0.25">
      <c r="A352" s="1079">
        <f t="shared" si="14"/>
        <v>1</v>
      </c>
      <c r="B352" s="1079" t="s">
        <v>1857</v>
      </c>
      <c r="C352" s="1080" t="s">
        <v>1481</v>
      </c>
      <c r="D352" s="1082">
        <f t="shared" si="15"/>
        <v>4.25</v>
      </c>
      <c r="E352" s="1082">
        <v>4.25</v>
      </c>
      <c r="F352" s="1082" t="s">
        <v>2503</v>
      </c>
      <c r="G352" s="1082" t="s">
        <v>2506</v>
      </c>
      <c r="H352" s="1082"/>
      <c r="I352" s="1072" t="s">
        <v>2503</v>
      </c>
    </row>
    <row r="353" spans="1:9" x14ac:dyDescent="0.25">
      <c r="A353" s="1079">
        <f t="shared" si="14"/>
        <v>1</v>
      </c>
      <c r="B353" s="1079" t="s">
        <v>1780</v>
      </c>
      <c r="C353" s="1080" t="s">
        <v>1481</v>
      </c>
      <c r="D353" s="1082">
        <f t="shared" si="15"/>
        <v>3.49</v>
      </c>
      <c r="E353" s="1082">
        <v>3.49</v>
      </c>
      <c r="F353" s="1082" t="s">
        <v>2503</v>
      </c>
      <c r="G353" s="1082" t="s">
        <v>2506</v>
      </c>
      <c r="H353" s="1082"/>
      <c r="I353" s="1072" t="s">
        <v>2503</v>
      </c>
    </row>
    <row r="354" spans="1:9" x14ac:dyDescent="0.25">
      <c r="A354" s="1079">
        <f t="shared" si="14"/>
        <v>1</v>
      </c>
      <c r="B354" s="1079" t="s">
        <v>1434</v>
      </c>
      <c r="C354" s="1080" t="s">
        <v>1481</v>
      </c>
      <c r="D354" s="1082">
        <f t="shared" si="15"/>
        <v>0.76</v>
      </c>
      <c r="E354" s="1082">
        <v>0.76</v>
      </c>
      <c r="F354" s="1082" t="s">
        <v>2503</v>
      </c>
      <c r="G354" s="1082" t="s">
        <v>2506</v>
      </c>
      <c r="H354" s="1082"/>
      <c r="I354" s="1072" t="s">
        <v>2503</v>
      </c>
    </row>
    <row r="355" spans="1:9" x14ac:dyDescent="0.25">
      <c r="A355" s="1079">
        <f t="shared" si="14"/>
        <v>1</v>
      </c>
      <c r="B355" s="1079" t="s">
        <v>2236</v>
      </c>
      <c r="C355" s="1080" t="s">
        <v>1481</v>
      </c>
      <c r="D355" s="1082">
        <f t="shared" si="15"/>
        <v>33</v>
      </c>
      <c r="E355" s="1082">
        <v>33</v>
      </c>
      <c r="F355" s="1082" t="s">
        <v>2503</v>
      </c>
      <c r="G355" s="1082" t="s">
        <v>2506</v>
      </c>
      <c r="H355" s="1082"/>
      <c r="I355" s="1072" t="s">
        <v>2503</v>
      </c>
    </row>
    <row r="356" spans="1:9" x14ac:dyDescent="0.25">
      <c r="A356" s="1079">
        <f t="shared" si="14"/>
        <v>1</v>
      </c>
      <c r="B356" s="1079" t="s">
        <v>1912</v>
      </c>
      <c r="C356" s="1080" t="s">
        <v>17</v>
      </c>
      <c r="D356" s="1082">
        <f t="shared" si="15"/>
        <v>75</v>
      </c>
      <c r="E356" s="1082">
        <v>75</v>
      </c>
      <c r="F356" s="1082" t="s">
        <v>2503</v>
      </c>
      <c r="G356" s="1082" t="s">
        <v>2506</v>
      </c>
      <c r="H356" s="1082"/>
      <c r="I356" s="1072" t="s">
        <v>2503</v>
      </c>
    </row>
    <row r="357" spans="1:9" x14ac:dyDescent="0.25">
      <c r="A357" s="1079">
        <f t="shared" si="14"/>
        <v>1</v>
      </c>
      <c r="B357" s="1079" t="s">
        <v>1901</v>
      </c>
      <c r="C357" s="1080" t="s">
        <v>1481</v>
      </c>
      <c r="D357" s="1082">
        <f t="shared" si="15"/>
        <v>9.35</v>
      </c>
      <c r="E357" s="1082">
        <v>9.35</v>
      </c>
      <c r="F357" s="1082" t="s">
        <v>2503</v>
      </c>
      <c r="G357" s="1082" t="s">
        <v>2506</v>
      </c>
      <c r="H357" s="1082"/>
      <c r="I357" s="1072" t="s">
        <v>2503</v>
      </c>
    </row>
    <row r="358" spans="1:9" x14ac:dyDescent="0.25">
      <c r="A358" s="1079">
        <f t="shared" si="14"/>
        <v>1</v>
      </c>
      <c r="B358" s="1079" t="s">
        <v>1839</v>
      </c>
      <c r="C358" s="1080" t="s">
        <v>17</v>
      </c>
      <c r="D358" s="1082">
        <f t="shared" si="15"/>
        <v>75.598399999999998</v>
      </c>
      <c r="E358" s="1082">
        <v>75.598399999999998</v>
      </c>
      <c r="F358" s="1082" t="s">
        <v>2503</v>
      </c>
      <c r="G358" s="1082" t="s">
        <v>2507</v>
      </c>
      <c r="H358" s="1082"/>
      <c r="I358" s="1072" t="s">
        <v>2508</v>
      </c>
    </row>
    <row r="359" spans="1:9" x14ac:dyDescent="0.25">
      <c r="A359" s="1079">
        <f t="shared" si="14"/>
        <v>1</v>
      </c>
      <c r="B359" s="1079" t="s">
        <v>1837</v>
      </c>
      <c r="C359" s="1080" t="s">
        <v>3</v>
      </c>
      <c r="D359" s="1082">
        <f t="shared" si="15"/>
        <v>29.99</v>
      </c>
      <c r="E359" s="1082">
        <v>29.99</v>
      </c>
      <c r="F359" s="1082" t="s">
        <v>2503</v>
      </c>
      <c r="G359" s="1082" t="s">
        <v>2507</v>
      </c>
      <c r="H359" s="1082"/>
      <c r="I359" s="1072" t="s">
        <v>2508</v>
      </c>
    </row>
    <row r="360" spans="1:9" x14ac:dyDescent="0.25">
      <c r="A360" s="1079">
        <f t="shared" si="14"/>
        <v>1</v>
      </c>
      <c r="B360" s="1079" t="s">
        <v>2089</v>
      </c>
      <c r="C360" s="1080" t="s">
        <v>281</v>
      </c>
      <c r="D360" s="1082">
        <f t="shared" si="15"/>
        <v>36</v>
      </c>
      <c r="E360" s="1082">
        <v>36</v>
      </c>
      <c r="F360" s="1082" t="s">
        <v>2508</v>
      </c>
      <c r="G360" s="1082" t="s">
        <v>2508</v>
      </c>
      <c r="H360" s="1082"/>
      <c r="I360" s="1072" t="s">
        <v>2508</v>
      </c>
    </row>
    <row r="361" spans="1:9" x14ac:dyDescent="0.25">
      <c r="A361" s="1079">
        <f t="shared" si="14"/>
        <v>1</v>
      </c>
      <c r="B361" s="1079" t="s">
        <v>2092</v>
      </c>
      <c r="C361" s="1080" t="s">
        <v>838</v>
      </c>
      <c r="D361" s="1082">
        <f t="shared" si="15"/>
        <v>65</v>
      </c>
      <c r="E361" s="1082">
        <f>AVERAGE(45,85)</f>
        <v>65</v>
      </c>
      <c r="F361" s="1082" t="s">
        <v>2508</v>
      </c>
      <c r="G361" s="1082" t="s">
        <v>2508</v>
      </c>
      <c r="H361" s="1082"/>
      <c r="I361" s="1072" t="s">
        <v>2508</v>
      </c>
    </row>
    <row r="362" spans="1:9" x14ac:dyDescent="0.25">
      <c r="A362" s="1079">
        <f t="shared" si="14"/>
        <v>1</v>
      </c>
      <c r="B362" s="1079" t="s">
        <v>2094</v>
      </c>
      <c r="C362" s="1080" t="s">
        <v>838</v>
      </c>
      <c r="D362" s="1082">
        <f t="shared" si="15"/>
        <v>155</v>
      </c>
      <c r="E362" s="1082">
        <f>AVERAGE(120,190)</f>
        <v>155</v>
      </c>
      <c r="F362" s="1082" t="s">
        <v>2508</v>
      </c>
      <c r="G362" s="1082" t="s">
        <v>2508</v>
      </c>
      <c r="H362" s="1082"/>
      <c r="I362" s="1072" t="s">
        <v>2508</v>
      </c>
    </row>
    <row r="363" spans="1:9" x14ac:dyDescent="0.25">
      <c r="A363" s="1079">
        <f t="shared" si="14"/>
        <v>1</v>
      </c>
      <c r="B363" s="1079" t="s">
        <v>2090</v>
      </c>
      <c r="C363" s="1080" t="s">
        <v>281</v>
      </c>
      <c r="D363" s="1082">
        <f t="shared" si="15"/>
        <v>7.39</v>
      </c>
      <c r="E363" s="1082">
        <v>7.39</v>
      </c>
      <c r="F363" s="1082" t="s">
        <v>2508</v>
      </c>
      <c r="G363" s="1082" t="s">
        <v>2508</v>
      </c>
      <c r="H363" s="1082"/>
      <c r="I363" s="1072" t="s">
        <v>2508</v>
      </c>
    </row>
    <row r="364" spans="1:9" x14ac:dyDescent="0.25">
      <c r="A364" s="1079">
        <f t="shared" si="14"/>
        <v>1</v>
      </c>
      <c r="B364" s="1079" t="s">
        <v>1775</v>
      </c>
      <c r="C364" s="1080" t="s">
        <v>1481</v>
      </c>
      <c r="D364" s="1082">
        <f t="shared" si="15"/>
        <v>5.9180000000000001</v>
      </c>
      <c r="E364" s="1082">
        <v>5.9180000000000001</v>
      </c>
      <c r="F364" s="1082" t="s">
        <v>2503</v>
      </c>
      <c r="G364" s="1082" t="s">
        <v>2507</v>
      </c>
      <c r="H364" s="1082"/>
      <c r="I364" s="1072" t="s">
        <v>2503</v>
      </c>
    </row>
    <row r="365" spans="1:9" x14ac:dyDescent="0.25">
      <c r="A365" s="1079">
        <f t="shared" si="14"/>
        <v>1</v>
      </c>
      <c r="B365" s="1079" t="s">
        <v>1771</v>
      </c>
      <c r="C365" s="1080" t="s">
        <v>1481</v>
      </c>
      <c r="D365" s="1082">
        <f t="shared" si="15"/>
        <v>0.45</v>
      </c>
      <c r="E365" s="1082">
        <v>0.45</v>
      </c>
      <c r="F365" s="1082" t="s">
        <v>2503</v>
      </c>
      <c r="G365" s="1082" t="s">
        <v>2507</v>
      </c>
      <c r="H365" s="1082"/>
      <c r="I365" s="1072" t="s">
        <v>2503</v>
      </c>
    </row>
    <row r="366" spans="1:9" x14ac:dyDescent="0.25">
      <c r="A366" s="1079">
        <f t="shared" si="14"/>
        <v>1</v>
      </c>
      <c r="B366" s="1079" t="s">
        <v>2340</v>
      </c>
      <c r="C366" s="1080" t="s">
        <v>491</v>
      </c>
      <c r="D366" s="1082">
        <f t="shared" si="15"/>
        <v>382</v>
      </c>
      <c r="E366" s="1082">
        <v>382</v>
      </c>
      <c r="F366" s="1082" t="s">
        <v>2469</v>
      </c>
      <c r="G366" s="1082" t="s">
        <v>2509</v>
      </c>
      <c r="H366" s="1082"/>
      <c r="I366" s="1072" t="s">
        <v>2493</v>
      </c>
    </row>
    <row r="367" spans="1:9" x14ac:dyDescent="0.25">
      <c r="A367" s="1079">
        <f t="shared" si="14"/>
        <v>1</v>
      </c>
      <c r="B367" s="1079" t="s">
        <v>1931</v>
      </c>
      <c r="C367" s="1080" t="s">
        <v>17</v>
      </c>
      <c r="D367" s="1082">
        <f t="shared" si="15"/>
        <v>11.1</v>
      </c>
      <c r="E367" s="1082">
        <v>11.1</v>
      </c>
      <c r="F367" s="1082" t="s">
        <v>434</v>
      </c>
      <c r="G367" s="1082" t="s">
        <v>434</v>
      </c>
      <c r="H367" s="1082"/>
      <c r="I367" s="1072" t="s">
        <v>2510</v>
      </c>
    </row>
    <row r="368" spans="1:9" x14ac:dyDescent="0.25">
      <c r="A368" s="1079">
        <f t="shared" si="14"/>
        <v>1</v>
      </c>
      <c r="B368" s="1079" t="s">
        <v>1930</v>
      </c>
      <c r="C368" s="1080" t="s">
        <v>1426</v>
      </c>
      <c r="D368" s="1082">
        <f t="shared" si="15"/>
        <v>143.57</v>
      </c>
      <c r="E368" s="1082">
        <v>143.57</v>
      </c>
      <c r="F368" s="1082" t="s">
        <v>434</v>
      </c>
      <c r="G368" s="1082" t="s">
        <v>434</v>
      </c>
      <c r="H368" s="1082"/>
      <c r="I368" s="1072" t="s">
        <v>2510</v>
      </c>
    </row>
    <row r="369" spans="1:9" x14ac:dyDescent="0.25">
      <c r="A369" s="1079">
        <f t="shared" si="14"/>
        <v>1</v>
      </c>
      <c r="B369" s="1079" t="s">
        <v>1816</v>
      </c>
      <c r="C369" s="1080" t="s">
        <v>491</v>
      </c>
      <c r="D369" s="1082">
        <f t="shared" si="15"/>
        <v>409</v>
      </c>
      <c r="E369" s="1082">
        <v>409</v>
      </c>
      <c r="F369" s="1082" t="s">
        <v>2511</v>
      </c>
      <c r="G369" s="1082" t="s">
        <v>2511</v>
      </c>
      <c r="H369" s="1082"/>
      <c r="I369" s="1072" t="s">
        <v>2508</v>
      </c>
    </row>
    <row r="370" spans="1:9" x14ac:dyDescent="0.25">
      <c r="A370" s="1079">
        <f t="shared" si="14"/>
        <v>1</v>
      </c>
      <c r="B370" s="1079" t="s">
        <v>1810</v>
      </c>
      <c r="C370" s="1080" t="s">
        <v>17</v>
      </c>
      <c r="D370" s="1082">
        <f t="shared" si="15"/>
        <v>480</v>
      </c>
      <c r="E370" s="1082">
        <v>480</v>
      </c>
      <c r="F370" s="1082" t="s">
        <v>2511</v>
      </c>
      <c r="G370" s="1082" t="s">
        <v>2511</v>
      </c>
      <c r="H370" s="1082"/>
      <c r="I370" s="1072" t="s">
        <v>2508</v>
      </c>
    </row>
    <row r="371" spans="1:9" x14ac:dyDescent="0.25">
      <c r="A371" s="1079">
        <f t="shared" si="14"/>
        <v>1</v>
      </c>
      <c r="B371" s="1079" t="s">
        <v>1818</v>
      </c>
      <c r="C371" s="1080" t="s">
        <v>17</v>
      </c>
      <c r="D371" s="1082">
        <f t="shared" si="15"/>
        <v>195</v>
      </c>
      <c r="E371" s="1082">
        <v>195</v>
      </c>
      <c r="F371" s="1082" t="s">
        <v>2511</v>
      </c>
      <c r="G371" s="1082" t="s">
        <v>2511</v>
      </c>
      <c r="H371" s="1082"/>
      <c r="I371" s="1072" t="s">
        <v>2508</v>
      </c>
    </row>
    <row r="372" spans="1:9" x14ac:dyDescent="0.25">
      <c r="A372" s="1079">
        <f t="shared" si="14"/>
        <v>1</v>
      </c>
      <c r="B372" s="1079" t="s">
        <v>1812</v>
      </c>
      <c r="C372" s="1080" t="s">
        <v>17</v>
      </c>
      <c r="D372" s="1082">
        <f t="shared" si="15"/>
        <v>750</v>
      </c>
      <c r="E372" s="1082">
        <v>750</v>
      </c>
      <c r="F372" s="1082" t="s">
        <v>2511</v>
      </c>
      <c r="G372" s="1082" t="s">
        <v>2511</v>
      </c>
      <c r="H372" s="1082"/>
      <c r="I372" s="1072" t="s">
        <v>2508</v>
      </c>
    </row>
    <row r="373" spans="1:9" x14ac:dyDescent="0.25">
      <c r="A373" s="1079">
        <f t="shared" si="14"/>
        <v>1</v>
      </c>
      <c r="B373" s="1079" t="s">
        <v>1935</v>
      </c>
      <c r="C373" s="1080" t="s">
        <v>17</v>
      </c>
      <c r="D373" s="1082">
        <f t="shared" si="15"/>
        <v>750</v>
      </c>
      <c r="E373" s="1082">
        <v>750</v>
      </c>
      <c r="F373" s="1082" t="s">
        <v>2511</v>
      </c>
      <c r="G373" s="1082" t="s">
        <v>2511</v>
      </c>
      <c r="H373" s="1082"/>
      <c r="I373" s="1072" t="s">
        <v>2508</v>
      </c>
    </row>
    <row r="374" spans="1:9" x14ac:dyDescent="0.25">
      <c r="A374" s="1079">
        <f t="shared" si="14"/>
        <v>1</v>
      </c>
      <c r="B374" s="1079" t="s">
        <v>2172</v>
      </c>
      <c r="C374" s="1080" t="s">
        <v>17</v>
      </c>
      <c r="D374" s="1082">
        <f t="shared" si="15"/>
        <v>750</v>
      </c>
      <c r="E374" s="1082">
        <v>750</v>
      </c>
      <c r="F374" s="1082" t="s">
        <v>2511</v>
      </c>
      <c r="G374" s="1082" t="s">
        <v>2511</v>
      </c>
      <c r="H374" s="1082"/>
      <c r="I374" s="1072" t="s">
        <v>2508</v>
      </c>
    </row>
    <row r="375" spans="1:9" x14ac:dyDescent="0.25">
      <c r="A375" s="1079">
        <f t="shared" si="14"/>
        <v>1</v>
      </c>
      <c r="B375" s="1079" t="s">
        <v>1813</v>
      </c>
      <c r="C375" s="1080" t="s">
        <v>17</v>
      </c>
      <c r="D375" s="1082">
        <f t="shared" si="15"/>
        <v>750</v>
      </c>
      <c r="E375" s="1082">
        <v>750</v>
      </c>
      <c r="F375" s="1082" t="s">
        <v>2511</v>
      </c>
      <c r="G375" s="1082" t="s">
        <v>2511</v>
      </c>
      <c r="H375" s="1082"/>
      <c r="I375" s="1072" t="s">
        <v>2508</v>
      </c>
    </row>
    <row r="376" spans="1:9" x14ac:dyDescent="0.25">
      <c r="A376" s="1079">
        <f t="shared" si="14"/>
        <v>1</v>
      </c>
      <c r="B376" s="1079" t="s">
        <v>2211</v>
      </c>
      <c r="C376" s="1080" t="s">
        <v>17</v>
      </c>
      <c r="D376" s="1082">
        <f t="shared" si="15"/>
        <v>650</v>
      </c>
      <c r="E376" s="1082">
        <v>650</v>
      </c>
      <c r="F376" s="1082" t="s">
        <v>2511</v>
      </c>
      <c r="G376" s="1082" t="s">
        <v>2511</v>
      </c>
      <c r="H376" s="1082"/>
      <c r="I376" s="1072" t="s">
        <v>2508</v>
      </c>
    </row>
    <row r="377" spans="1:9" x14ac:dyDescent="0.25">
      <c r="A377" s="1079">
        <f t="shared" si="14"/>
        <v>1</v>
      </c>
      <c r="B377" s="1079" t="s">
        <v>2281</v>
      </c>
      <c r="C377" s="1080" t="s">
        <v>491</v>
      </c>
      <c r="D377" s="1082">
        <f t="shared" si="15"/>
        <v>0.34</v>
      </c>
      <c r="E377" s="1082">
        <v>0.34</v>
      </c>
      <c r="F377" s="1082" t="s">
        <v>2512</v>
      </c>
      <c r="G377" s="1082" t="s">
        <v>2512</v>
      </c>
      <c r="H377" s="1082"/>
      <c r="I377" s="1072" t="s">
        <v>2483</v>
      </c>
    </row>
    <row r="378" spans="1:9" x14ac:dyDescent="0.25">
      <c r="A378" s="1079">
        <f t="shared" si="14"/>
        <v>1</v>
      </c>
      <c r="B378" s="1079" t="s">
        <v>2297</v>
      </c>
      <c r="C378" s="1080" t="s">
        <v>491</v>
      </c>
      <c r="D378" s="1082">
        <f t="shared" si="15"/>
        <v>0.6</v>
      </c>
      <c r="E378" s="1082">
        <v>0.6</v>
      </c>
      <c r="F378" s="1082" t="s">
        <v>2512</v>
      </c>
      <c r="G378" s="1082" t="s">
        <v>2512</v>
      </c>
      <c r="H378" s="1082"/>
      <c r="I378" s="1072" t="s">
        <v>2483</v>
      </c>
    </row>
    <row r="379" spans="1:9" x14ac:dyDescent="0.25">
      <c r="A379" s="1079">
        <f t="shared" si="14"/>
        <v>1</v>
      </c>
      <c r="B379" s="1079" t="s">
        <v>2272</v>
      </c>
      <c r="C379" s="1080" t="s">
        <v>491</v>
      </c>
      <c r="D379" s="1082">
        <f t="shared" si="15"/>
        <v>0.34</v>
      </c>
      <c r="E379" s="1082">
        <v>0.34</v>
      </c>
      <c r="F379" s="1082" t="s">
        <v>2512</v>
      </c>
      <c r="G379" s="1082" t="s">
        <v>2512</v>
      </c>
      <c r="H379" s="1082"/>
      <c r="I379" s="1072" t="s">
        <v>2483</v>
      </c>
    </row>
    <row r="380" spans="1:9" x14ac:dyDescent="0.25">
      <c r="A380" s="1079">
        <f t="shared" si="14"/>
        <v>1</v>
      </c>
      <c r="B380" s="1079" t="s">
        <v>2347</v>
      </c>
      <c r="C380" s="1080" t="s">
        <v>2513</v>
      </c>
      <c r="D380" s="1082">
        <f t="shared" si="15"/>
        <v>0.26</v>
      </c>
      <c r="E380" s="1082">
        <v>0.26</v>
      </c>
      <c r="F380" s="1082" t="s">
        <v>2512</v>
      </c>
      <c r="G380" s="1082" t="s">
        <v>2512</v>
      </c>
      <c r="H380" s="1082"/>
      <c r="I380" s="1072" t="s">
        <v>2483</v>
      </c>
    </row>
    <row r="381" spans="1:9" x14ac:dyDescent="0.25">
      <c r="A381" s="1079">
        <f t="shared" si="14"/>
        <v>1</v>
      </c>
      <c r="B381" s="1079" t="s">
        <v>2298</v>
      </c>
      <c r="C381" s="1080" t="s">
        <v>491</v>
      </c>
      <c r="D381" s="1082">
        <f t="shared" si="15"/>
        <v>24.95</v>
      </c>
      <c r="E381" s="1082">
        <v>24.95</v>
      </c>
      <c r="F381" s="1082" t="s">
        <v>2512</v>
      </c>
      <c r="G381" s="1082" t="s">
        <v>2512</v>
      </c>
      <c r="H381" s="1082"/>
      <c r="I381" s="1072" t="s">
        <v>2483</v>
      </c>
    </row>
    <row r="382" spans="1:9" x14ac:dyDescent="0.25">
      <c r="A382" s="1079">
        <f t="shared" si="14"/>
        <v>1</v>
      </c>
      <c r="B382" s="1079" t="s">
        <v>2286</v>
      </c>
      <c r="C382" s="1080" t="s">
        <v>491</v>
      </c>
      <c r="D382" s="1082">
        <f t="shared" si="15"/>
        <v>5.95</v>
      </c>
      <c r="E382" s="1082">
        <v>5.95</v>
      </c>
      <c r="F382" s="1082" t="s">
        <v>2512</v>
      </c>
      <c r="G382" s="1082" t="s">
        <v>2512</v>
      </c>
      <c r="H382" s="1082"/>
      <c r="I382" s="1072" t="s">
        <v>2483</v>
      </c>
    </row>
    <row r="383" spans="1:9" x14ac:dyDescent="0.25">
      <c r="A383" s="1079">
        <f t="shared" si="14"/>
        <v>1</v>
      </c>
      <c r="B383" s="1079" t="s">
        <v>2273</v>
      </c>
      <c r="C383" s="1080" t="s">
        <v>491</v>
      </c>
      <c r="D383" s="1082">
        <f t="shared" si="15"/>
        <v>5.95</v>
      </c>
      <c r="E383" s="1082">
        <v>5.95</v>
      </c>
      <c r="F383" s="1082" t="s">
        <v>2512</v>
      </c>
      <c r="G383" s="1082" t="s">
        <v>2512</v>
      </c>
      <c r="H383" s="1082"/>
      <c r="I383" s="1072" t="s">
        <v>2483</v>
      </c>
    </row>
    <row r="384" spans="1:9" x14ac:dyDescent="0.25">
      <c r="A384" s="1079">
        <f t="shared" si="14"/>
        <v>1</v>
      </c>
      <c r="B384" s="1079" t="s">
        <v>2348</v>
      </c>
      <c r="C384" s="1080" t="s">
        <v>491</v>
      </c>
      <c r="D384" s="1082">
        <f t="shared" si="15"/>
        <v>4</v>
      </c>
      <c r="E384" s="1082">
        <v>4</v>
      </c>
      <c r="F384" s="1082" t="s">
        <v>2512</v>
      </c>
      <c r="G384" s="1082" t="s">
        <v>2512</v>
      </c>
      <c r="H384" s="1082"/>
      <c r="I384" s="1072" t="s">
        <v>2483</v>
      </c>
    </row>
    <row r="385" spans="1:9" x14ac:dyDescent="0.25">
      <c r="A385" s="1079">
        <f t="shared" si="14"/>
        <v>1</v>
      </c>
      <c r="B385" s="1079" t="s">
        <v>1549</v>
      </c>
      <c r="C385" s="1080" t="s">
        <v>1481</v>
      </c>
      <c r="D385" s="1082">
        <f t="shared" si="15"/>
        <v>17.63</v>
      </c>
      <c r="E385" s="1082">
        <v>17.63</v>
      </c>
      <c r="F385" s="1082" t="s">
        <v>2512</v>
      </c>
      <c r="G385" s="1082" t="s">
        <v>2512</v>
      </c>
      <c r="H385" s="1082"/>
      <c r="I385" s="1072" t="s">
        <v>2483</v>
      </c>
    </row>
    <row r="386" spans="1:9" x14ac:dyDescent="0.25">
      <c r="A386" s="1079">
        <f t="shared" si="14"/>
        <v>1</v>
      </c>
      <c r="B386" s="1079" t="s">
        <v>1506</v>
      </c>
      <c r="C386" s="1080" t="s">
        <v>1481</v>
      </c>
      <c r="D386" s="1082">
        <f t="shared" si="15"/>
        <v>18.8</v>
      </c>
      <c r="E386" s="1082">
        <v>18.8</v>
      </c>
      <c r="F386" s="1082" t="s">
        <v>2512</v>
      </c>
      <c r="G386" s="1082" t="s">
        <v>2512</v>
      </c>
      <c r="H386" s="1082"/>
      <c r="I386" s="1072" t="s">
        <v>2483</v>
      </c>
    </row>
    <row r="387" spans="1:9" x14ac:dyDescent="0.25">
      <c r="A387" s="1079">
        <f t="shared" si="14"/>
        <v>1</v>
      </c>
      <c r="B387" s="1079" t="s">
        <v>1391</v>
      </c>
      <c r="C387" s="1080" t="s">
        <v>1481</v>
      </c>
      <c r="D387" s="1082">
        <f t="shared" si="15"/>
        <v>13.08</v>
      </c>
      <c r="E387" s="1082">
        <v>13.08</v>
      </c>
      <c r="F387" s="1082" t="s">
        <v>2512</v>
      </c>
      <c r="G387" s="1082" t="s">
        <v>2512</v>
      </c>
      <c r="H387" s="1082"/>
      <c r="I387" s="1072" t="s">
        <v>2483</v>
      </c>
    </row>
    <row r="388" spans="1:9" x14ac:dyDescent="0.25">
      <c r="A388" s="1079">
        <f t="shared" si="14"/>
        <v>1</v>
      </c>
      <c r="B388" s="1079" t="s">
        <v>1375</v>
      </c>
      <c r="C388" s="1080" t="s">
        <v>1481</v>
      </c>
      <c r="D388" s="1082">
        <f t="shared" si="15"/>
        <v>18.13</v>
      </c>
      <c r="E388" s="1082">
        <v>18.13</v>
      </c>
      <c r="F388" s="1082" t="s">
        <v>2512</v>
      </c>
      <c r="G388" s="1082" t="s">
        <v>2512</v>
      </c>
      <c r="H388" s="1082"/>
      <c r="I388" s="1072" t="s">
        <v>2483</v>
      </c>
    </row>
    <row r="389" spans="1:9" x14ac:dyDescent="0.25">
      <c r="A389" s="1079">
        <f t="shared" si="14"/>
        <v>1</v>
      </c>
      <c r="B389" s="1094" t="s">
        <v>1548</v>
      </c>
      <c r="C389" s="1080" t="s">
        <v>1481</v>
      </c>
      <c r="D389" s="1082">
        <f t="shared" si="15"/>
        <v>15.85</v>
      </c>
      <c r="E389" s="1082">
        <v>15.85</v>
      </c>
      <c r="F389" s="1082" t="s">
        <v>2512</v>
      </c>
      <c r="G389" s="1082" t="s">
        <v>2512</v>
      </c>
      <c r="H389" s="1082"/>
      <c r="I389" s="1072" t="s">
        <v>2483</v>
      </c>
    </row>
    <row r="390" spans="1:9" x14ac:dyDescent="0.25">
      <c r="A390" s="1079">
        <f t="shared" si="14"/>
        <v>1</v>
      </c>
      <c r="B390" s="1079" t="s">
        <v>1579</v>
      </c>
      <c r="C390" s="1080" t="s">
        <v>1481</v>
      </c>
      <c r="D390" s="1082">
        <f t="shared" si="15"/>
        <v>15.06</v>
      </c>
      <c r="E390" s="1082">
        <v>15.06</v>
      </c>
      <c r="F390" s="1082" t="s">
        <v>2512</v>
      </c>
      <c r="G390" s="1082" t="s">
        <v>2512</v>
      </c>
      <c r="H390" s="1082"/>
      <c r="I390" s="1072" t="s">
        <v>2483</v>
      </c>
    </row>
    <row r="391" spans="1:9" x14ac:dyDescent="0.25">
      <c r="A391" s="1079">
        <f t="shared" si="14"/>
        <v>1</v>
      </c>
      <c r="B391" s="1079" t="s">
        <v>1409</v>
      </c>
      <c r="C391" s="1080" t="s">
        <v>1481</v>
      </c>
      <c r="D391" s="1082">
        <f t="shared" si="15"/>
        <v>15.65</v>
      </c>
      <c r="E391" s="1082">
        <v>15.65</v>
      </c>
      <c r="F391" s="1082" t="s">
        <v>2512</v>
      </c>
      <c r="G391" s="1082" t="s">
        <v>2512</v>
      </c>
      <c r="H391" s="1082"/>
      <c r="I391" s="1072" t="s">
        <v>2483</v>
      </c>
    </row>
    <row r="392" spans="1:9" x14ac:dyDescent="0.25">
      <c r="A392" s="1079">
        <f t="shared" si="14"/>
        <v>1</v>
      </c>
      <c r="B392" s="1079" t="s">
        <v>2514</v>
      </c>
      <c r="C392" s="1080" t="s">
        <v>1481</v>
      </c>
      <c r="D392" s="1082">
        <f t="shared" si="15"/>
        <v>15.9</v>
      </c>
      <c r="E392" s="1082">
        <v>15.9</v>
      </c>
      <c r="F392" s="1082" t="s">
        <v>2512</v>
      </c>
      <c r="G392" s="1082" t="s">
        <v>2512</v>
      </c>
      <c r="H392" s="1082"/>
      <c r="I392" s="1072" t="s">
        <v>2483</v>
      </c>
    </row>
    <row r="393" spans="1:9" x14ac:dyDescent="0.25">
      <c r="A393" s="1079">
        <f t="shared" si="14"/>
        <v>1</v>
      </c>
      <c r="B393" s="1079" t="s">
        <v>2515</v>
      </c>
      <c r="C393" s="1080" t="s">
        <v>1481</v>
      </c>
      <c r="D393" s="1082">
        <f t="shared" si="15"/>
        <v>16.04</v>
      </c>
      <c r="E393" s="1082">
        <v>16.04</v>
      </c>
      <c r="F393" s="1082" t="s">
        <v>2512</v>
      </c>
      <c r="G393" s="1082" t="s">
        <v>2512</v>
      </c>
      <c r="H393" s="1082"/>
      <c r="I393" s="1072" t="s">
        <v>2483</v>
      </c>
    </row>
    <row r="394" spans="1:9" x14ac:dyDescent="0.25">
      <c r="A394" s="1079">
        <f t="shared" si="14"/>
        <v>1</v>
      </c>
      <c r="B394" s="1079" t="s">
        <v>1366</v>
      </c>
      <c r="C394" s="1080" t="s">
        <v>1481</v>
      </c>
      <c r="D394" s="1082">
        <f t="shared" si="15"/>
        <v>10.029999999999999</v>
      </c>
      <c r="E394" s="1082">
        <v>10.029999999999999</v>
      </c>
      <c r="F394" s="1082" t="s">
        <v>2512</v>
      </c>
      <c r="G394" s="1082" t="s">
        <v>2512</v>
      </c>
      <c r="H394" s="1082"/>
      <c r="I394" s="1072" t="s">
        <v>2483</v>
      </c>
    </row>
    <row r="395" spans="1:9" x14ac:dyDescent="0.25">
      <c r="A395" s="1079">
        <f t="shared" si="14"/>
        <v>1</v>
      </c>
      <c r="B395" s="1079" t="s">
        <v>2354</v>
      </c>
      <c r="C395" s="1080" t="s">
        <v>1481</v>
      </c>
      <c r="D395" s="1082">
        <f t="shared" si="15"/>
        <v>71.510000000000005</v>
      </c>
      <c r="E395" s="1082">
        <v>71.510000000000005</v>
      </c>
      <c r="F395" s="1082" t="s">
        <v>2512</v>
      </c>
      <c r="G395" s="1082" t="s">
        <v>2512</v>
      </c>
      <c r="H395" s="1082"/>
      <c r="I395" s="1072" t="s">
        <v>2483</v>
      </c>
    </row>
    <row r="396" spans="1:9" x14ac:dyDescent="0.25">
      <c r="A396" s="1079">
        <f t="shared" si="14"/>
        <v>1</v>
      </c>
      <c r="B396" s="1079" t="s">
        <v>1578</v>
      </c>
      <c r="C396" s="1080" t="s">
        <v>17</v>
      </c>
      <c r="D396" s="1082">
        <f t="shared" si="15"/>
        <v>59.4</v>
      </c>
      <c r="E396" s="1082">
        <v>59.4</v>
      </c>
      <c r="F396" s="1082" t="s">
        <v>2516</v>
      </c>
      <c r="G396" s="1082" t="s">
        <v>2516</v>
      </c>
      <c r="H396" s="1082"/>
      <c r="I396" s="1072" t="s">
        <v>2517</v>
      </c>
    </row>
    <row r="397" spans="1:9" x14ac:dyDescent="0.25">
      <c r="A397" s="1079">
        <f t="shared" si="14"/>
        <v>1</v>
      </c>
      <c r="B397" s="1079" t="s">
        <v>1563</v>
      </c>
      <c r="C397" s="1080" t="s">
        <v>491</v>
      </c>
      <c r="D397" s="1082">
        <f t="shared" si="15"/>
        <v>33.9</v>
      </c>
      <c r="E397" s="1082">
        <v>33.9</v>
      </c>
      <c r="F397" s="1082" t="s">
        <v>2508</v>
      </c>
      <c r="G397" s="1082" t="s">
        <v>2424</v>
      </c>
      <c r="H397" s="1082"/>
      <c r="I397" s="1072" t="s">
        <v>2508</v>
      </c>
    </row>
    <row r="398" spans="1:9" x14ac:dyDescent="0.25">
      <c r="A398" s="1079">
        <f t="shared" si="14"/>
        <v>1</v>
      </c>
      <c r="B398" s="1079" t="s">
        <v>1484</v>
      </c>
      <c r="C398" s="1080" t="s">
        <v>491</v>
      </c>
      <c r="D398" s="1082">
        <f t="shared" si="15"/>
        <v>0.27</v>
      </c>
      <c r="E398" s="1082">
        <v>0.27</v>
      </c>
      <c r="F398" s="1082" t="s">
        <v>2508</v>
      </c>
      <c r="G398" s="1082" t="s">
        <v>2424</v>
      </c>
      <c r="H398" s="1082"/>
      <c r="I398" s="1072" t="s">
        <v>2508</v>
      </c>
    </row>
    <row r="399" spans="1:9" x14ac:dyDescent="0.25">
      <c r="A399" s="1079">
        <f t="shared" si="14"/>
        <v>1</v>
      </c>
      <c r="B399" s="1079" t="s">
        <v>1786</v>
      </c>
      <c r="C399" s="1080" t="s">
        <v>491</v>
      </c>
      <c r="D399" s="1082">
        <f t="shared" si="15"/>
        <v>0.08</v>
      </c>
      <c r="E399" s="1082">
        <v>0.08</v>
      </c>
      <c r="F399" s="1082" t="s">
        <v>2508</v>
      </c>
      <c r="G399" s="1082" t="s">
        <v>2424</v>
      </c>
      <c r="H399" s="1082"/>
      <c r="I399" s="1072" t="s">
        <v>2508</v>
      </c>
    </row>
    <row r="400" spans="1:9" x14ac:dyDescent="0.25">
      <c r="A400" s="1079">
        <f t="shared" si="14"/>
        <v>1</v>
      </c>
      <c r="B400" s="1079" t="s">
        <v>1802</v>
      </c>
      <c r="C400" s="1080" t="s">
        <v>491</v>
      </c>
      <c r="D400" s="1082">
        <f t="shared" si="15"/>
        <v>0.05</v>
      </c>
      <c r="E400" s="1082">
        <v>0.05</v>
      </c>
      <c r="F400" s="1082" t="s">
        <v>2508</v>
      </c>
      <c r="G400" s="1082" t="s">
        <v>2424</v>
      </c>
      <c r="H400" s="1082"/>
      <c r="I400" s="1072" t="s">
        <v>2508</v>
      </c>
    </row>
    <row r="401" spans="1:9" x14ac:dyDescent="0.25">
      <c r="A401" s="1079">
        <f t="shared" si="14"/>
        <v>1</v>
      </c>
      <c r="B401" s="1079" t="s">
        <v>1929</v>
      </c>
      <c r="C401" s="1080" t="s">
        <v>17</v>
      </c>
      <c r="D401" s="1082">
        <f t="shared" si="15"/>
        <v>1904.7619047619048</v>
      </c>
      <c r="E401" s="1082">
        <v>1904.7619047619048</v>
      </c>
      <c r="F401" s="1082" t="s">
        <v>2508</v>
      </c>
      <c r="G401" s="1082" t="s">
        <v>2424</v>
      </c>
      <c r="H401" s="1082"/>
      <c r="I401" s="1072" t="s">
        <v>2508</v>
      </c>
    </row>
    <row r="402" spans="1:9" x14ac:dyDescent="0.25">
      <c r="A402" s="1079">
        <f t="shared" ref="A402:A478" si="16">COUNTIFS($B$2:$B$670,B402)</f>
        <v>1</v>
      </c>
      <c r="B402" s="1079" t="s">
        <v>1928</v>
      </c>
      <c r="C402" s="1080" t="s">
        <v>281</v>
      </c>
      <c r="D402" s="1082">
        <f t="shared" si="15"/>
        <v>133.33333333333334</v>
      </c>
      <c r="E402" s="1082">
        <f>400/3</f>
        <v>133.33333333333334</v>
      </c>
      <c r="F402" s="1082" t="s">
        <v>2508</v>
      </c>
      <c r="G402" s="1082" t="s">
        <v>2424</v>
      </c>
      <c r="H402" s="1082"/>
      <c r="I402" s="1072" t="s">
        <v>2508</v>
      </c>
    </row>
    <row r="403" spans="1:9" x14ac:dyDescent="0.25">
      <c r="A403" s="1079">
        <f t="shared" si="16"/>
        <v>1</v>
      </c>
      <c r="B403" s="1079" t="s">
        <v>2232</v>
      </c>
      <c r="C403" s="1080" t="s">
        <v>1</v>
      </c>
      <c r="D403" s="1082">
        <f t="shared" si="15"/>
        <v>85.55</v>
      </c>
      <c r="E403" s="1082">
        <v>85.55</v>
      </c>
      <c r="F403" s="1082" t="s">
        <v>2508</v>
      </c>
      <c r="G403" s="1082" t="s">
        <v>2424</v>
      </c>
      <c r="H403" s="1082"/>
      <c r="I403" s="1072" t="s">
        <v>2508</v>
      </c>
    </row>
    <row r="404" spans="1:9" x14ac:dyDescent="0.25">
      <c r="A404" s="1079">
        <f t="shared" si="16"/>
        <v>1</v>
      </c>
      <c r="B404" s="1079" t="s">
        <v>1950</v>
      </c>
      <c r="C404" s="1080" t="s">
        <v>1481</v>
      </c>
      <c r="D404" s="1082">
        <f t="shared" si="15"/>
        <v>43.8</v>
      </c>
      <c r="E404" s="1082">
        <v>43.8</v>
      </c>
      <c r="F404" s="1082" t="s">
        <v>2508</v>
      </c>
      <c r="G404" s="1082" t="s">
        <v>2518</v>
      </c>
      <c r="H404" s="1082"/>
      <c r="I404" s="1072" t="s">
        <v>2508</v>
      </c>
    </row>
    <row r="405" spans="1:9" x14ac:dyDescent="0.25">
      <c r="A405" s="1079">
        <f t="shared" si="16"/>
        <v>1</v>
      </c>
      <c r="B405" s="1079" t="s">
        <v>1787</v>
      </c>
      <c r="C405" s="1080" t="s">
        <v>1481</v>
      </c>
      <c r="D405" s="1082">
        <f t="shared" si="15"/>
        <v>11.15</v>
      </c>
      <c r="E405" s="1082">
        <v>11.15</v>
      </c>
      <c r="F405" s="1082" t="s">
        <v>2508</v>
      </c>
      <c r="G405" s="1082" t="s">
        <v>2518</v>
      </c>
      <c r="H405" s="1082"/>
      <c r="I405" s="1072" t="s">
        <v>2508</v>
      </c>
    </row>
    <row r="406" spans="1:9" x14ac:dyDescent="0.25">
      <c r="A406" s="1079">
        <f t="shared" si="16"/>
        <v>1</v>
      </c>
      <c r="B406" s="1079" t="s">
        <v>2208</v>
      </c>
      <c r="C406" s="1080" t="s">
        <v>17</v>
      </c>
      <c r="D406" s="1082">
        <f t="shared" si="15"/>
        <v>503</v>
      </c>
      <c r="E406" s="1082">
        <v>503</v>
      </c>
      <c r="F406" s="1082" t="s">
        <v>2508</v>
      </c>
      <c r="G406" s="1082" t="s">
        <v>2508</v>
      </c>
      <c r="H406" s="1082"/>
      <c r="I406" s="1072" t="s">
        <v>2508</v>
      </c>
    </row>
    <row r="407" spans="1:9" x14ac:dyDescent="0.25">
      <c r="A407" s="1079">
        <f t="shared" si="16"/>
        <v>1</v>
      </c>
      <c r="B407" s="1079" t="s">
        <v>2342</v>
      </c>
      <c r="C407" s="1080" t="s">
        <v>17</v>
      </c>
      <c r="D407" s="1082">
        <f t="shared" si="15"/>
        <v>880</v>
      </c>
      <c r="E407" s="1082">
        <v>880</v>
      </c>
      <c r="F407" s="1082" t="s">
        <v>2508</v>
      </c>
      <c r="G407" s="1082" t="s">
        <v>2508</v>
      </c>
      <c r="H407" s="1082"/>
      <c r="I407" s="1072" t="s">
        <v>2508</v>
      </c>
    </row>
    <row r="408" spans="1:9" x14ac:dyDescent="0.25">
      <c r="A408" s="1079">
        <f t="shared" si="16"/>
        <v>1</v>
      </c>
      <c r="B408" s="1079" t="s">
        <v>2249</v>
      </c>
      <c r="C408" s="1080" t="s">
        <v>17</v>
      </c>
      <c r="D408" s="1082">
        <f t="shared" si="15"/>
        <v>720</v>
      </c>
      <c r="E408" s="1082">
        <f>320+240+160</f>
        <v>720</v>
      </c>
      <c r="F408" s="1082" t="s">
        <v>2508</v>
      </c>
      <c r="G408" s="1082" t="s">
        <v>2508</v>
      </c>
      <c r="H408" s="1082"/>
      <c r="I408" s="1072" t="s">
        <v>2508</v>
      </c>
    </row>
    <row r="409" spans="1:9" x14ac:dyDescent="0.25">
      <c r="A409" s="1079">
        <f t="shared" si="16"/>
        <v>1</v>
      </c>
      <c r="B409" s="1079" t="s">
        <v>2222</v>
      </c>
      <c r="C409" s="1080" t="s">
        <v>17</v>
      </c>
      <c r="D409" s="1082">
        <f t="shared" si="15"/>
        <v>720</v>
      </c>
      <c r="E409" s="1082">
        <f t="shared" ref="E409:E411" si="17">320+240+160</f>
        <v>720</v>
      </c>
      <c r="F409" s="1082" t="s">
        <v>2508</v>
      </c>
      <c r="G409" s="1082" t="s">
        <v>2508</v>
      </c>
      <c r="H409" s="1082"/>
      <c r="I409" s="1072" t="s">
        <v>2508</v>
      </c>
    </row>
    <row r="410" spans="1:9" x14ac:dyDescent="0.25">
      <c r="A410" s="1079">
        <f t="shared" ref="A410" si="18">COUNTIFS($B$2:$B$670,B410)</f>
        <v>1</v>
      </c>
      <c r="B410" s="1079" t="s">
        <v>2587</v>
      </c>
      <c r="C410" s="1080" t="s">
        <v>17</v>
      </c>
      <c r="D410" s="1082">
        <f t="shared" ref="D410" si="19">E410*$D$1</f>
        <v>550</v>
      </c>
      <c r="E410" s="1082">
        <v>550</v>
      </c>
      <c r="F410" s="1082" t="s">
        <v>2508</v>
      </c>
      <c r="G410" s="1082" t="s">
        <v>2508</v>
      </c>
      <c r="H410" s="1082"/>
      <c r="I410" s="1072" t="s">
        <v>2508</v>
      </c>
    </row>
    <row r="411" spans="1:9" x14ac:dyDescent="0.25">
      <c r="A411" s="1079">
        <f t="shared" si="16"/>
        <v>1</v>
      </c>
      <c r="B411" s="1079" t="s">
        <v>2223</v>
      </c>
      <c r="C411" s="1080" t="s">
        <v>17</v>
      </c>
      <c r="D411" s="1082">
        <f t="shared" si="15"/>
        <v>720</v>
      </c>
      <c r="E411" s="1082">
        <f t="shared" si="17"/>
        <v>720</v>
      </c>
      <c r="F411" s="1082" t="s">
        <v>2508</v>
      </c>
      <c r="G411" s="1082" t="s">
        <v>2508</v>
      </c>
      <c r="H411" s="1082"/>
      <c r="I411" s="1072" t="s">
        <v>2508</v>
      </c>
    </row>
    <row r="412" spans="1:9" x14ac:dyDescent="0.25">
      <c r="A412" s="1079">
        <f t="shared" si="16"/>
        <v>1</v>
      </c>
      <c r="B412" s="1079" t="s">
        <v>1806</v>
      </c>
      <c r="C412" s="1080" t="s">
        <v>17</v>
      </c>
      <c r="D412" s="1082">
        <f t="shared" si="15"/>
        <v>251.36</v>
      </c>
      <c r="E412" s="1082">
        <v>251.36</v>
      </c>
      <c r="F412" s="1082" t="s">
        <v>2508</v>
      </c>
      <c r="G412" s="1082" t="s">
        <v>2508</v>
      </c>
      <c r="H412" s="1082"/>
      <c r="I412" s="1072" t="s">
        <v>2508</v>
      </c>
    </row>
    <row r="413" spans="1:9" x14ac:dyDescent="0.25">
      <c r="A413" s="1079">
        <f t="shared" si="16"/>
        <v>1</v>
      </c>
      <c r="B413" s="1079" t="s">
        <v>1785</v>
      </c>
      <c r="C413" s="1080" t="s">
        <v>17</v>
      </c>
      <c r="D413" s="1082">
        <f t="shared" si="15"/>
        <v>47.23</v>
      </c>
      <c r="E413" s="1082">
        <v>47.23</v>
      </c>
      <c r="F413" s="1082" t="s">
        <v>2508</v>
      </c>
      <c r="G413" s="1082" t="s">
        <v>2508</v>
      </c>
      <c r="H413" s="1082"/>
      <c r="I413" s="1072" t="s">
        <v>2508</v>
      </c>
    </row>
    <row r="414" spans="1:9" x14ac:dyDescent="0.25">
      <c r="A414" s="1079">
        <f t="shared" si="16"/>
        <v>1</v>
      </c>
      <c r="B414" s="1079" t="s">
        <v>1992</v>
      </c>
      <c r="C414" s="1080" t="s">
        <v>17</v>
      </c>
      <c r="D414" s="1082">
        <f t="shared" si="15"/>
        <v>56.675999999999995</v>
      </c>
      <c r="E414" s="1082">
        <v>56.675999999999995</v>
      </c>
      <c r="F414" s="1082" t="s">
        <v>2508</v>
      </c>
      <c r="G414" s="1082" t="s">
        <v>2508</v>
      </c>
      <c r="H414" s="1082"/>
      <c r="I414" s="1072" t="s">
        <v>2508</v>
      </c>
    </row>
    <row r="415" spans="1:9" x14ac:dyDescent="0.25">
      <c r="A415" s="1079">
        <f t="shared" si="16"/>
        <v>1</v>
      </c>
      <c r="B415" s="1079" t="s">
        <v>1926</v>
      </c>
      <c r="C415" s="1080" t="s">
        <v>17</v>
      </c>
      <c r="D415" s="1082">
        <f t="shared" si="15"/>
        <v>146.69999999999999</v>
      </c>
      <c r="E415" s="1082">
        <v>146.69999999999999</v>
      </c>
      <c r="F415" s="1082" t="s">
        <v>2508</v>
      </c>
      <c r="G415" s="1082" t="s">
        <v>2508</v>
      </c>
      <c r="H415" s="1082"/>
      <c r="I415" s="1072" t="s">
        <v>2508</v>
      </c>
    </row>
    <row r="416" spans="1:9" x14ac:dyDescent="0.25">
      <c r="A416" s="1079">
        <f t="shared" si="16"/>
        <v>1</v>
      </c>
      <c r="B416" s="1079" t="s">
        <v>2519</v>
      </c>
      <c r="C416" s="1080" t="s">
        <v>17</v>
      </c>
      <c r="D416" s="1082">
        <f t="shared" si="15"/>
        <v>165</v>
      </c>
      <c r="E416" s="1082">
        <v>165</v>
      </c>
      <c r="F416" s="1082" t="s">
        <v>2508</v>
      </c>
      <c r="G416" s="1082" t="s">
        <v>2508</v>
      </c>
      <c r="H416" s="1082"/>
      <c r="I416" s="1072" t="s">
        <v>2508</v>
      </c>
    </row>
    <row r="417" spans="1:9" x14ac:dyDescent="0.25">
      <c r="A417" s="1079">
        <f t="shared" si="16"/>
        <v>1</v>
      </c>
      <c r="B417" s="1079" t="s">
        <v>2213</v>
      </c>
      <c r="C417" s="1080" t="s">
        <v>17</v>
      </c>
      <c r="D417" s="1082">
        <f t="shared" si="15"/>
        <v>372.9</v>
      </c>
      <c r="E417" s="1082">
        <v>372.9</v>
      </c>
      <c r="F417" s="1082" t="s">
        <v>2508</v>
      </c>
      <c r="G417" s="1082" t="s">
        <v>2508</v>
      </c>
      <c r="H417" s="1082"/>
      <c r="I417" s="1072" t="s">
        <v>2508</v>
      </c>
    </row>
    <row r="418" spans="1:9" x14ac:dyDescent="0.25">
      <c r="A418" s="1079">
        <f t="shared" si="16"/>
        <v>1</v>
      </c>
      <c r="B418" s="1079" t="s">
        <v>2520</v>
      </c>
      <c r="C418" s="1080" t="s">
        <v>17</v>
      </c>
      <c r="D418" s="1082">
        <f t="shared" si="15"/>
        <v>123.38</v>
      </c>
      <c r="E418" s="1082">
        <v>123.38</v>
      </c>
      <c r="F418" s="1082" t="s">
        <v>2508</v>
      </c>
      <c r="G418" s="1082" t="s">
        <v>2508</v>
      </c>
      <c r="H418" s="1082"/>
      <c r="I418" s="1072" t="s">
        <v>2508</v>
      </c>
    </row>
    <row r="419" spans="1:9" x14ac:dyDescent="0.25">
      <c r="A419" s="1079">
        <f t="shared" si="16"/>
        <v>1</v>
      </c>
      <c r="B419" s="1079" t="s">
        <v>1996</v>
      </c>
      <c r="C419" s="1080" t="s">
        <v>17</v>
      </c>
      <c r="D419" s="1082">
        <f t="shared" si="15"/>
        <v>150</v>
      </c>
      <c r="E419" s="1082">
        <v>150</v>
      </c>
      <c r="F419" s="1082" t="s">
        <v>2508</v>
      </c>
      <c r="G419" s="1082" t="s">
        <v>2508</v>
      </c>
      <c r="H419" s="1082"/>
      <c r="I419" s="1072" t="s">
        <v>2508</v>
      </c>
    </row>
    <row r="420" spans="1:9" x14ac:dyDescent="0.25">
      <c r="A420" s="1079">
        <f t="shared" si="16"/>
        <v>1</v>
      </c>
      <c r="B420" s="1079" t="s">
        <v>2217</v>
      </c>
      <c r="C420" s="1080" t="s">
        <v>17</v>
      </c>
      <c r="D420" s="1082">
        <f t="shared" si="15"/>
        <v>75.8</v>
      </c>
      <c r="E420" s="1082">
        <v>75.8</v>
      </c>
      <c r="F420" s="1082" t="s">
        <v>2508</v>
      </c>
      <c r="G420" s="1082" t="s">
        <v>2508</v>
      </c>
      <c r="H420" s="1082"/>
      <c r="I420" s="1072" t="s">
        <v>2508</v>
      </c>
    </row>
    <row r="421" spans="1:9" x14ac:dyDescent="0.25">
      <c r="A421" s="1079">
        <f t="shared" si="16"/>
        <v>1</v>
      </c>
      <c r="B421" s="1079" t="s">
        <v>1790</v>
      </c>
      <c r="C421" s="1080" t="s">
        <v>17</v>
      </c>
      <c r="D421" s="1082">
        <f t="shared" si="15"/>
        <v>75.8</v>
      </c>
      <c r="E421" s="1082">
        <v>75.8</v>
      </c>
      <c r="F421" s="1082" t="s">
        <v>2508</v>
      </c>
      <c r="G421" s="1082" t="s">
        <v>2508</v>
      </c>
      <c r="H421" s="1082"/>
      <c r="I421" s="1072" t="s">
        <v>2508</v>
      </c>
    </row>
    <row r="422" spans="1:9" x14ac:dyDescent="0.25">
      <c r="A422" s="1079">
        <f t="shared" si="16"/>
        <v>1</v>
      </c>
      <c r="B422" s="1079" t="s">
        <v>1952</v>
      </c>
      <c r="C422" s="1080" t="s">
        <v>17</v>
      </c>
      <c r="D422" s="1082">
        <f t="shared" ref="D422:D494" si="20">E422*$D$1</f>
        <v>82</v>
      </c>
      <c r="E422" s="1082">
        <v>82</v>
      </c>
      <c r="F422" s="1082" t="s">
        <v>2508</v>
      </c>
      <c r="G422" s="1082" t="s">
        <v>2508</v>
      </c>
      <c r="H422" s="1082"/>
      <c r="I422" s="1072" t="s">
        <v>2508</v>
      </c>
    </row>
    <row r="423" spans="1:9" x14ac:dyDescent="0.25">
      <c r="A423" s="1079">
        <f t="shared" si="16"/>
        <v>1</v>
      </c>
      <c r="B423" s="1079" t="s">
        <v>2166</v>
      </c>
      <c r="C423" s="1080" t="s">
        <v>17</v>
      </c>
      <c r="D423" s="1082">
        <f t="shared" si="20"/>
        <v>69.944444444444443</v>
      </c>
      <c r="E423" s="1082">
        <f>125.9/1.8</f>
        <v>69.944444444444443</v>
      </c>
      <c r="F423" s="1082" t="s">
        <v>2508</v>
      </c>
      <c r="G423" s="1082" t="s">
        <v>2508</v>
      </c>
      <c r="H423" s="1082"/>
      <c r="I423" s="1072" t="s">
        <v>2508</v>
      </c>
    </row>
    <row r="424" spans="1:9" x14ac:dyDescent="0.25">
      <c r="A424" s="1079">
        <f t="shared" si="16"/>
        <v>1</v>
      </c>
      <c r="B424" s="1079" t="s">
        <v>2164</v>
      </c>
      <c r="C424" s="1080" t="s">
        <v>17</v>
      </c>
      <c r="D424" s="1082">
        <f t="shared" si="20"/>
        <v>75</v>
      </c>
      <c r="E424" s="1082">
        <v>75</v>
      </c>
      <c r="F424" s="1082" t="s">
        <v>2508</v>
      </c>
      <c r="G424" s="1082" t="s">
        <v>2508</v>
      </c>
      <c r="H424" s="1082"/>
      <c r="I424" s="1072" t="s">
        <v>2508</v>
      </c>
    </row>
    <row r="425" spans="1:9" x14ac:dyDescent="0.25">
      <c r="A425" s="1079">
        <f t="shared" si="16"/>
        <v>1</v>
      </c>
      <c r="B425" s="1079" t="s">
        <v>2162</v>
      </c>
      <c r="C425" s="1080" t="s">
        <v>17</v>
      </c>
      <c r="D425" s="1082">
        <f t="shared" si="20"/>
        <v>62.9</v>
      </c>
      <c r="E425" s="1082">
        <v>62.9</v>
      </c>
      <c r="F425" s="1082" t="s">
        <v>2508</v>
      </c>
      <c r="G425" s="1082" t="s">
        <v>2508</v>
      </c>
      <c r="H425" s="1082"/>
      <c r="I425" s="1072" t="s">
        <v>2508</v>
      </c>
    </row>
    <row r="426" spans="1:9" x14ac:dyDescent="0.25">
      <c r="A426" s="1079">
        <f t="shared" si="16"/>
        <v>1</v>
      </c>
      <c r="B426" s="1079" t="s">
        <v>1804</v>
      </c>
      <c r="C426" s="1080" t="s">
        <v>17</v>
      </c>
      <c r="D426" s="1082">
        <f t="shared" si="20"/>
        <v>143.72999999999999</v>
      </c>
      <c r="E426" s="1082">
        <v>143.72999999999999</v>
      </c>
      <c r="F426" s="1082" t="s">
        <v>2508</v>
      </c>
      <c r="G426" s="1082" t="s">
        <v>2508</v>
      </c>
      <c r="H426" s="1082"/>
      <c r="I426" s="1072" t="s">
        <v>2508</v>
      </c>
    </row>
    <row r="427" spans="1:9" x14ac:dyDescent="0.25">
      <c r="A427" s="1079">
        <f t="shared" si="16"/>
        <v>1</v>
      </c>
      <c r="B427" s="1079" t="s">
        <v>1949</v>
      </c>
      <c r="C427" s="1080" t="s">
        <v>17</v>
      </c>
      <c r="D427" s="1082">
        <f t="shared" si="20"/>
        <v>178.8</v>
      </c>
      <c r="E427" s="1082">
        <v>178.8</v>
      </c>
      <c r="F427" s="1082" t="s">
        <v>2508</v>
      </c>
      <c r="G427" s="1082" t="s">
        <v>2508</v>
      </c>
      <c r="H427" s="1082"/>
      <c r="I427" s="1072" t="s">
        <v>2508</v>
      </c>
    </row>
    <row r="428" spans="1:9" x14ac:dyDescent="0.25">
      <c r="A428" s="1079">
        <f t="shared" si="16"/>
        <v>1</v>
      </c>
      <c r="B428" s="1079" t="s">
        <v>1956</v>
      </c>
      <c r="C428" s="1080" t="s">
        <v>17</v>
      </c>
      <c r="D428" s="1082">
        <f t="shared" si="20"/>
        <v>75.8</v>
      </c>
      <c r="E428" s="1082">
        <v>75.8</v>
      </c>
      <c r="F428" s="1082" t="s">
        <v>2508</v>
      </c>
      <c r="G428" s="1082" t="s">
        <v>2508</v>
      </c>
      <c r="H428" s="1082"/>
      <c r="I428" s="1072" t="s">
        <v>2508</v>
      </c>
    </row>
    <row r="429" spans="1:9" x14ac:dyDescent="0.25">
      <c r="A429" s="1079">
        <f t="shared" si="16"/>
        <v>1</v>
      </c>
      <c r="B429" s="1079" t="s">
        <v>1937</v>
      </c>
      <c r="C429" s="1080" t="s">
        <v>17</v>
      </c>
      <c r="D429" s="1082">
        <f t="shared" si="20"/>
        <v>116.1</v>
      </c>
      <c r="E429" s="1082">
        <v>116.1</v>
      </c>
      <c r="F429" s="1082" t="s">
        <v>2508</v>
      </c>
      <c r="G429" s="1082" t="s">
        <v>2508</v>
      </c>
      <c r="H429" s="1082"/>
      <c r="I429" s="1072" t="s">
        <v>2508</v>
      </c>
    </row>
    <row r="430" spans="1:9" x14ac:dyDescent="0.25">
      <c r="A430" s="1079">
        <f t="shared" si="16"/>
        <v>1</v>
      </c>
      <c r="B430" s="1079" t="s">
        <v>1939</v>
      </c>
      <c r="C430" s="1080" t="s">
        <v>17</v>
      </c>
      <c r="D430" s="1082">
        <f t="shared" si="20"/>
        <v>36.96</v>
      </c>
      <c r="E430" s="1082">
        <v>36.96</v>
      </c>
      <c r="F430" s="1082" t="s">
        <v>2508</v>
      </c>
      <c r="G430" s="1082" t="s">
        <v>2508</v>
      </c>
      <c r="H430" s="1082"/>
      <c r="I430" s="1072" t="s">
        <v>2508</v>
      </c>
    </row>
    <row r="431" spans="1:9" x14ac:dyDescent="0.25">
      <c r="A431" s="1079">
        <f t="shared" si="16"/>
        <v>1</v>
      </c>
      <c r="B431" s="1079" t="s">
        <v>2521</v>
      </c>
      <c r="C431" s="1080" t="s">
        <v>17</v>
      </c>
      <c r="D431" s="1082">
        <f t="shared" si="20"/>
        <v>276</v>
      </c>
      <c r="E431" s="1082">
        <v>276</v>
      </c>
      <c r="F431" s="1082" t="s">
        <v>2508</v>
      </c>
      <c r="G431" s="1082" t="s">
        <v>2508</v>
      </c>
      <c r="H431" s="1082"/>
      <c r="I431" s="1072" t="s">
        <v>2508</v>
      </c>
    </row>
    <row r="432" spans="1:9" x14ac:dyDescent="0.25">
      <c r="A432" s="1079">
        <f t="shared" si="16"/>
        <v>1</v>
      </c>
      <c r="B432" s="1079" t="s">
        <v>2522</v>
      </c>
      <c r="C432" s="1080" t="s">
        <v>17</v>
      </c>
      <c r="D432" s="1082">
        <f t="shared" si="20"/>
        <v>136.88999999999999</v>
      </c>
      <c r="E432" s="1082">
        <v>136.88999999999999</v>
      </c>
      <c r="F432" s="1082" t="s">
        <v>2508</v>
      </c>
      <c r="G432" s="1082" t="s">
        <v>2508</v>
      </c>
      <c r="H432" s="1082"/>
      <c r="I432" s="1072" t="s">
        <v>2508</v>
      </c>
    </row>
    <row r="433" spans="1:9" x14ac:dyDescent="0.25">
      <c r="A433" s="1079">
        <f t="shared" si="16"/>
        <v>1</v>
      </c>
      <c r="B433" s="1079" t="s">
        <v>2523</v>
      </c>
      <c r="C433" s="1080" t="s">
        <v>17</v>
      </c>
      <c r="D433" s="1082">
        <f t="shared" si="20"/>
        <v>154.88999999999999</v>
      </c>
      <c r="E433" s="1082">
        <v>154.88999999999999</v>
      </c>
      <c r="F433" s="1082" t="s">
        <v>2508</v>
      </c>
      <c r="G433" s="1082" t="s">
        <v>2508</v>
      </c>
      <c r="H433" s="1082"/>
      <c r="I433" s="1072" t="s">
        <v>2508</v>
      </c>
    </row>
    <row r="434" spans="1:9" x14ac:dyDescent="0.25">
      <c r="A434" s="1079">
        <f t="shared" si="16"/>
        <v>1</v>
      </c>
      <c r="B434" s="1079" t="s">
        <v>1958</v>
      </c>
      <c r="C434" s="1080" t="s">
        <v>17</v>
      </c>
      <c r="D434" s="1082">
        <f t="shared" si="20"/>
        <v>80</v>
      </c>
      <c r="E434" s="1082">
        <v>80</v>
      </c>
      <c r="F434" s="1082" t="s">
        <v>2508</v>
      </c>
      <c r="G434" s="1082" t="s">
        <v>2508</v>
      </c>
      <c r="H434" s="1082"/>
      <c r="I434" s="1072" t="s">
        <v>2508</v>
      </c>
    </row>
    <row r="435" spans="1:9" x14ac:dyDescent="0.25">
      <c r="A435" s="1079">
        <f t="shared" si="16"/>
        <v>1</v>
      </c>
      <c r="B435" s="1079" t="s">
        <v>2231</v>
      </c>
      <c r="C435" s="1080" t="s">
        <v>17</v>
      </c>
      <c r="D435" s="1082">
        <f t="shared" si="20"/>
        <v>246.84</v>
      </c>
      <c r="E435" s="1082">
        <v>246.84</v>
      </c>
      <c r="F435" s="1082" t="s">
        <v>2508</v>
      </c>
      <c r="G435" s="1082" t="s">
        <v>2508</v>
      </c>
      <c r="H435" s="1082"/>
      <c r="I435" s="1072" t="s">
        <v>2508</v>
      </c>
    </row>
    <row r="436" spans="1:9" x14ac:dyDescent="0.25">
      <c r="A436" s="1079">
        <f t="shared" si="16"/>
        <v>1</v>
      </c>
      <c r="B436" s="1079" t="s">
        <v>1933</v>
      </c>
      <c r="C436" s="1080" t="s">
        <v>17</v>
      </c>
      <c r="D436" s="1082">
        <f t="shared" si="20"/>
        <v>109.89</v>
      </c>
      <c r="E436" s="1082">
        <v>109.89</v>
      </c>
      <c r="F436" s="1082" t="s">
        <v>2508</v>
      </c>
      <c r="G436" s="1082" t="s">
        <v>2508</v>
      </c>
      <c r="H436" s="1082"/>
      <c r="I436" s="1072" t="s">
        <v>2508</v>
      </c>
    </row>
    <row r="437" spans="1:9" x14ac:dyDescent="0.25">
      <c r="A437" s="1079">
        <f t="shared" si="16"/>
        <v>1</v>
      </c>
      <c r="B437" s="1079" t="s">
        <v>1964</v>
      </c>
      <c r="C437" s="1080" t="s">
        <v>17</v>
      </c>
      <c r="D437" s="1082">
        <f t="shared" si="20"/>
        <v>113.22</v>
      </c>
      <c r="E437" s="1082">
        <v>113.22</v>
      </c>
      <c r="F437" s="1082" t="s">
        <v>2508</v>
      </c>
      <c r="G437" s="1082" t="s">
        <v>2508</v>
      </c>
      <c r="H437" s="1082"/>
      <c r="I437" s="1072" t="s">
        <v>2508</v>
      </c>
    </row>
    <row r="438" spans="1:9" x14ac:dyDescent="0.25">
      <c r="A438" s="1079">
        <f t="shared" si="16"/>
        <v>1</v>
      </c>
      <c r="B438" s="1079" t="s">
        <v>2524</v>
      </c>
      <c r="C438" s="1080" t="s">
        <v>17</v>
      </c>
      <c r="D438" s="1082">
        <f t="shared" si="20"/>
        <v>67.88</v>
      </c>
      <c r="E438" s="1082">
        <v>67.88</v>
      </c>
      <c r="F438" s="1082" t="s">
        <v>2508</v>
      </c>
      <c r="G438" s="1082" t="s">
        <v>2508</v>
      </c>
      <c r="H438" s="1082"/>
      <c r="I438" s="1072" t="s">
        <v>2508</v>
      </c>
    </row>
    <row r="439" spans="1:9" x14ac:dyDescent="0.25">
      <c r="A439" s="1079">
        <f t="shared" si="16"/>
        <v>1</v>
      </c>
      <c r="B439" s="1079" t="s">
        <v>2215</v>
      </c>
      <c r="C439" s="1080" t="s">
        <v>17</v>
      </c>
      <c r="D439" s="1082">
        <f t="shared" si="20"/>
        <v>165</v>
      </c>
      <c r="E439" s="1082">
        <v>165</v>
      </c>
      <c r="F439" s="1082" t="s">
        <v>2508</v>
      </c>
      <c r="G439" s="1082" t="s">
        <v>2508</v>
      </c>
      <c r="H439" s="1082"/>
      <c r="I439" s="1072" t="s">
        <v>2508</v>
      </c>
    </row>
    <row r="440" spans="1:9" x14ac:dyDescent="0.25">
      <c r="A440" s="1079">
        <f t="shared" si="16"/>
        <v>1</v>
      </c>
      <c r="B440" s="1079" t="s">
        <v>1945</v>
      </c>
      <c r="C440" s="1080" t="s">
        <v>17</v>
      </c>
      <c r="D440" s="1082">
        <f t="shared" si="20"/>
        <v>39.64</v>
      </c>
      <c r="E440" s="1082">
        <v>39.64</v>
      </c>
      <c r="F440" s="1082" t="s">
        <v>2508</v>
      </c>
      <c r="G440" s="1082" t="s">
        <v>2508</v>
      </c>
      <c r="H440" s="1082"/>
      <c r="I440" s="1072" t="s">
        <v>2508</v>
      </c>
    </row>
    <row r="441" spans="1:9" x14ac:dyDescent="0.25">
      <c r="A441" s="1079">
        <f t="shared" ref="A441" si="21">COUNTIFS($B$2:$B$670,B441)</f>
        <v>1</v>
      </c>
      <c r="B441" s="1079" t="s">
        <v>2596</v>
      </c>
      <c r="C441" s="1080" t="s">
        <v>17</v>
      </c>
      <c r="D441" s="1082">
        <f t="shared" ref="D441" si="22">E441*$D$1</f>
        <v>290</v>
      </c>
      <c r="E441" s="1082">
        <v>290</v>
      </c>
      <c r="F441" s="1082" t="s">
        <v>2508</v>
      </c>
      <c r="G441" s="1082" t="s">
        <v>2508</v>
      </c>
      <c r="H441" s="1082"/>
      <c r="I441" s="1072" t="s">
        <v>2508</v>
      </c>
    </row>
    <row r="442" spans="1:9" x14ac:dyDescent="0.25">
      <c r="A442" s="1079">
        <f t="shared" si="16"/>
        <v>1</v>
      </c>
      <c r="B442" s="1079" t="s">
        <v>2225</v>
      </c>
      <c r="C442" s="1080" t="s">
        <v>17</v>
      </c>
      <c r="D442" s="1082">
        <f t="shared" si="20"/>
        <v>112.71</v>
      </c>
      <c r="E442" s="1082">
        <v>112.71</v>
      </c>
      <c r="F442" s="1082" t="s">
        <v>2508</v>
      </c>
      <c r="G442" s="1082" t="s">
        <v>2508</v>
      </c>
      <c r="H442" s="1082"/>
      <c r="I442" s="1072" t="s">
        <v>2508</v>
      </c>
    </row>
    <row r="443" spans="1:9" x14ac:dyDescent="0.25">
      <c r="A443" s="1079">
        <f t="shared" si="16"/>
        <v>1</v>
      </c>
      <c r="B443" s="1079" t="s">
        <v>1922</v>
      </c>
      <c r="C443" s="1080" t="s">
        <v>17</v>
      </c>
      <c r="D443" s="1082">
        <f t="shared" si="20"/>
        <v>1036.9504748982358</v>
      </c>
      <c r="E443" s="1082">
        <v>1036.9504748982358</v>
      </c>
      <c r="F443" s="1082" t="s">
        <v>2508</v>
      </c>
      <c r="G443" s="1082" t="s">
        <v>2508</v>
      </c>
      <c r="H443" s="1082"/>
      <c r="I443" s="1072" t="s">
        <v>2508</v>
      </c>
    </row>
    <row r="444" spans="1:9" x14ac:dyDescent="0.25">
      <c r="A444" s="1079">
        <f t="shared" si="16"/>
        <v>1</v>
      </c>
      <c r="B444" s="1079" t="s">
        <v>1942</v>
      </c>
      <c r="C444" s="1080" t="s">
        <v>17</v>
      </c>
      <c r="D444" s="1082">
        <f t="shared" si="20"/>
        <v>89.9</v>
      </c>
      <c r="E444" s="1082">
        <v>89.9</v>
      </c>
      <c r="F444" s="1082" t="s">
        <v>2508</v>
      </c>
      <c r="G444" s="1082" t="s">
        <v>2508</v>
      </c>
      <c r="H444" s="1082"/>
      <c r="I444" s="1072" t="s">
        <v>2508</v>
      </c>
    </row>
    <row r="445" spans="1:9" x14ac:dyDescent="0.25">
      <c r="A445" s="1079">
        <f t="shared" si="16"/>
        <v>1</v>
      </c>
      <c r="B445" s="1079" t="s">
        <v>1954</v>
      </c>
      <c r="C445" s="1080" t="s">
        <v>17</v>
      </c>
      <c r="D445" s="1082">
        <f t="shared" si="20"/>
        <v>136.88999999999999</v>
      </c>
      <c r="E445" s="1082">
        <v>136.88999999999999</v>
      </c>
      <c r="F445" s="1082" t="s">
        <v>2508</v>
      </c>
      <c r="G445" s="1082" t="s">
        <v>2508</v>
      </c>
      <c r="H445" s="1082"/>
      <c r="I445" s="1072" t="s">
        <v>2508</v>
      </c>
    </row>
    <row r="446" spans="1:9" x14ac:dyDescent="0.25">
      <c r="A446" s="1079">
        <f t="shared" si="16"/>
        <v>1</v>
      </c>
      <c r="B446" s="1079" t="s">
        <v>1961</v>
      </c>
      <c r="C446" s="1080" t="s">
        <v>17</v>
      </c>
      <c r="D446" s="1082">
        <f t="shared" si="20"/>
        <v>140</v>
      </c>
      <c r="E446" s="1082">
        <v>140</v>
      </c>
      <c r="F446" s="1082" t="s">
        <v>2508</v>
      </c>
      <c r="G446" s="1082" t="s">
        <v>2508</v>
      </c>
      <c r="H446" s="1082"/>
      <c r="I446" s="1072" t="s">
        <v>2508</v>
      </c>
    </row>
    <row r="447" spans="1:9" x14ac:dyDescent="0.25">
      <c r="A447" s="1079">
        <f t="shared" si="16"/>
        <v>1</v>
      </c>
      <c r="B447" s="1079" t="s">
        <v>1963</v>
      </c>
      <c r="C447" s="1080" t="s">
        <v>17</v>
      </c>
      <c r="D447" s="1082">
        <f t="shared" si="20"/>
        <v>44.9</v>
      </c>
      <c r="E447" s="1082">
        <v>44.9</v>
      </c>
      <c r="F447" s="1082" t="s">
        <v>2508</v>
      </c>
      <c r="G447" s="1082" t="s">
        <v>2508</v>
      </c>
      <c r="H447" s="1082"/>
      <c r="I447" s="1072" t="s">
        <v>2508</v>
      </c>
    </row>
    <row r="448" spans="1:9" x14ac:dyDescent="0.25">
      <c r="A448" s="1079">
        <f t="shared" si="16"/>
        <v>1</v>
      </c>
      <c r="B448" s="1079" t="s">
        <v>1313</v>
      </c>
      <c r="C448" s="1080" t="s">
        <v>17</v>
      </c>
      <c r="D448" s="1082">
        <f t="shared" si="20"/>
        <v>112.22500000000001</v>
      </c>
      <c r="E448" s="1082">
        <v>112.22500000000001</v>
      </c>
      <c r="F448" s="1082" t="s">
        <v>2508</v>
      </c>
      <c r="G448" s="1082" t="s">
        <v>2508</v>
      </c>
      <c r="H448" s="1082"/>
      <c r="I448" s="1072" t="s">
        <v>2508</v>
      </c>
    </row>
    <row r="449" spans="1:9" x14ac:dyDescent="0.25">
      <c r="A449" s="1079">
        <f t="shared" si="16"/>
        <v>1</v>
      </c>
      <c r="B449" s="1079" t="s">
        <v>1801</v>
      </c>
      <c r="C449" s="1080" t="s">
        <v>17</v>
      </c>
      <c r="D449" s="1082">
        <f t="shared" si="20"/>
        <v>83.95</v>
      </c>
      <c r="E449" s="1082">
        <v>83.95</v>
      </c>
      <c r="F449" s="1082" t="s">
        <v>2508</v>
      </c>
      <c r="G449" s="1082" t="s">
        <v>2508</v>
      </c>
      <c r="H449" s="1082"/>
      <c r="I449" s="1072" t="s">
        <v>2508</v>
      </c>
    </row>
    <row r="450" spans="1:9" x14ac:dyDescent="0.25">
      <c r="A450" s="1079">
        <f t="shared" si="16"/>
        <v>1</v>
      </c>
      <c r="B450" s="1079" t="s">
        <v>1808</v>
      </c>
      <c r="C450" s="1080" t="s">
        <v>17</v>
      </c>
      <c r="D450" s="1082">
        <f t="shared" si="20"/>
        <v>127.9</v>
      </c>
      <c r="E450" s="1082">
        <v>127.9</v>
      </c>
      <c r="F450" s="1082" t="s">
        <v>2508</v>
      </c>
      <c r="G450" s="1082" t="s">
        <v>2508</v>
      </c>
      <c r="H450" s="1082"/>
      <c r="I450" s="1072" t="s">
        <v>2508</v>
      </c>
    </row>
    <row r="451" spans="1:9" x14ac:dyDescent="0.25">
      <c r="A451" s="1079">
        <f t="shared" si="16"/>
        <v>1</v>
      </c>
      <c r="B451" s="1079" t="s">
        <v>2019</v>
      </c>
      <c r="C451" s="1080" t="s">
        <v>17</v>
      </c>
      <c r="D451" s="1082">
        <f t="shared" si="20"/>
        <v>79</v>
      </c>
      <c r="E451" s="1082">
        <v>79</v>
      </c>
      <c r="F451" s="1082" t="s">
        <v>2508</v>
      </c>
      <c r="G451" s="1082" t="s">
        <v>2508</v>
      </c>
      <c r="H451" s="1082"/>
      <c r="I451" s="1072" t="s">
        <v>2508</v>
      </c>
    </row>
    <row r="452" spans="1:9" x14ac:dyDescent="0.25">
      <c r="A452" s="1079">
        <f t="shared" si="16"/>
        <v>1</v>
      </c>
      <c r="B452" s="1079" t="s">
        <v>2022</v>
      </c>
      <c r="C452" s="1080" t="s">
        <v>17</v>
      </c>
      <c r="D452" s="1082">
        <f t="shared" si="20"/>
        <v>122.96296296296295</v>
      </c>
      <c r="E452" s="1082">
        <v>122.96296296296295</v>
      </c>
      <c r="F452" s="1082" t="s">
        <v>2508</v>
      </c>
      <c r="G452" s="1082" t="s">
        <v>2508</v>
      </c>
      <c r="H452" s="1082"/>
      <c r="I452" s="1072" t="s">
        <v>2508</v>
      </c>
    </row>
    <row r="453" spans="1:9" x14ac:dyDescent="0.25">
      <c r="A453" s="1079">
        <f t="shared" si="16"/>
        <v>1</v>
      </c>
      <c r="B453" s="1079" t="s">
        <v>1919</v>
      </c>
      <c r="C453" s="1080" t="s">
        <v>17</v>
      </c>
      <c r="D453" s="1082">
        <f t="shared" si="20"/>
        <v>138.4</v>
      </c>
      <c r="E453" s="1082">
        <v>138.4</v>
      </c>
      <c r="F453" s="1082" t="s">
        <v>2508</v>
      </c>
      <c r="G453" s="1082" t="s">
        <v>2508</v>
      </c>
      <c r="H453" s="1082"/>
      <c r="I453" s="1072" t="s">
        <v>2508</v>
      </c>
    </row>
    <row r="454" spans="1:9" x14ac:dyDescent="0.25">
      <c r="A454" s="1079">
        <f t="shared" si="16"/>
        <v>1</v>
      </c>
      <c r="B454" s="1079" t="s">
        <v>1966</v>
      </c>
      <c r="C454" s="1080" t="s">
        <v>17</v>
      </c>
      <c r="D454" s="1082">
        <f t="shared" si="20"/>
        <v>182.45</v>
      </c>
      <c r="E454" s="1082">
        <v>182.45</v>
      </c>
      <c r="F454" s="1082" t="s">
        <v>2508</v>
      </c>
      <c r="G454" s="1082" t="s">
        <v>2508</v>
      </c>
      <c r="H454" s="1082"/>
      <c r="I454" s="1072" t="s">
        <v>2508</v>
      </c>
    </row>
    <row r="455" spans="1:9" x14ac:dyDescent="0.25">
      <c r="A455" s="1079">
        <f t="shared" si="16"/>
        <v>1</v>
      </c>
      <c r="B455" s="1079" t="s">
        <v>2227</v>
      </c>
      <c r="C455" s="1080" t="s">
        <v>17</v>
      </c>
      <c r="D455" s="1082">
        <f t="shared" si="20"/>
        <v>280</v>
      </c>
      <c r="E455" s="1082">
        <v>280</v>
      </c>
      <c r="F455" s="1082" t="s">
        <v>2508</v>
      </c>
      <c r="G455" s="1082" t="s">
        <v>2508</v>
      </c>
      <c r="H455" s="1082"/>
      <c r="I455" s="1072" t="s">
        <v>2508</v>
      </c>
    </row>
    <row r="456" spans="1:9" x14ac:dyDescent="0.25">
      <c r="A456" s="1079">
        <f t="shared" si="16"/>
        <v>1</v>
      </c>
      <c r="B456" s="1079" t="s">
        <v>2525</v>
      </c>
      <c r="C456" s="1080" t="s">
        <v>17</v>
      </c>
      <c r="D456" s="1082">
        <f t="shared" si="20"/>
        <v>250</v>
      </c>
      <c r="E456" s="1082">
        <v>250</v>
      </c>
      <c r="F456" s="1082" t="s">
        <v>2508</v>
      </c>
      <c r="G456" s="1082" t="s">
        <v>2508</v>
      </c>
      <c r="H456" s="1082"/>
      <c r="I456" s="1072" t="s">
        <v>2508</v>
      </c>
    </row>
    <row r="457" spans="1:9" x14ac:dyDescent="0.25">
      <c r="A457" s="1079">
        <f t="shared" si="16"/>
        <v>1</v>
      </c>
      <c r="B457" s="1079" t="s">
        <v>2526</v>
      </c>
      <c r="C457" s="1080" t="s">
        <v>17</v>
      </c>
      <c r="D457" s="1082">
        <f t="shared" si="20"/>
        <v>332.1</v>
      </c>
      <c r="E457" s="1082">
        <v>332.1</v>
      </c>
      <c r="F457" s="1082" t="s">
        <v>2508</v>
      </c>
      <c r="G457" s="1082" t="s">
        <v>2508</v>
      </c>
      <c r="H457" s="1082"/>
      <c r="I457" s="1072" t="s">
        <v>2508</v>
      </c>
    </row>
    <row r="458" spans="1:9" x14ac:dyDescent="0.25">
      <c r="A458" s="1079">
        <f t="shared" si="16"/>
        <v>1</v>
      </c>
      <c r="B458" s="1079" t="s">
        <v>1980</v>
      </c>
      <c r="C458" s="1080" t="s">
        <v>17</v>
      </c>
      <c r="D458" s="1082">
        <f t="shared" si="20"/>
        <v>84.9</v>
      </c>
      <c r="E458" s="1082">
        <v>84.9</v>
      </c>
      <c r="F458" s="1082" t="s">
        <v>2508</v>
      </c>
      <c r="G458" s="1082" t="s">
        <v>2508</v>
      </c>
      <c r="H458" s="1082"/>
      <c r="I458" s="1072" t="s">
        <v>2508</v>
      </c>
    </row>
    <row r="459" spans="1:9" x14ac:dyDescent="0.25">
      <c r="A459" s="1079">
        <f t="shared" si="16"/>
        <v>1</v>
      </c>
      <c r="B459" s="1079" t="s">
        <v>2174</v>
      </c>
      <c r="C459" s="1080" t="s">
        <v>17</v>
      </c>
      <c r="D459" s="1082">
        <f t="shared" si="20"/>
        <v>1060</v>
      </c>
      <c r="E459" s="1082">
        <v>1060</v>
      </c>
      <c r="F459" s="1082" t="s">
        <v>2508</v>
      </c>
      <c r="G459" s="1082" t="s">
        <v>2508</v>
      </c>
      <c r="H459" s="1082"/>
      <c r="I459" s="1072" t="s">
        <v>2508</v>
      </c>
    </row>
    <row r="460" spans="1:9" x14ac:dyDescent="0.25">
      <c r="A460" s="1079">
        <f t="shared" si="16"/>
        <v>1</v>
      </c>
      <c r="B460" s="1079" t="s">
        <v>2177</v>
      </c>
      <c r="C460" s="1080" t="s">
        <v>17</v>
      </c>
      <c r="D460" s="1082">
        <f t="shared" si="20"/>
        <v>648</v>
      </c>
      <c r="E460" s="1082">
        <v>648</v>
      </c>
      <c r="F460" s="1082" t="s">
        <v>2508</v>
      </c>
      <c r="G460" s="1082" t="s">
        <v>2508</v>
      </c>
      <c r="H460" s="1082"/>
      <c r="I460" s="1072" t="s">
        <v>2508</v>
      </c>
    </row>
    <row r="461" spans="1:9" x14ac:dyDescent="0.25">
      <c r="A461" s="1079">
        <f t="shared" si="16"/>
        <v>1</v>
      </c>
      <c r="B461" s="1079" t="s">
        <v>2175</v>
      </c>
      <c r="C461" s="1080" t="s">
        <v>17</v>
      </c>
      <c r="D461" s="1082">
        <f t="shared" si="20"/>
        <v>300</v>
      </c>
      <c r="E461" s="1082">
        <v>300</v>
      </c>
      <c r="F461" s="1082" t="s">
        <v>2527</v>
      </c>
      <c r="G461" s="1082" t="s">
        <v>2527</v>
      </c>
      <c r="H461" s="1082"/>
      <c r="I461" s="1072" t="s">
        <v>2528</v>
      </c>
    </row>
    <row r="462" spans="1:9" x14ac:dyDescent="0.25">
      <c r="A462" s="1079">
        <f t="shared" si="16"/>
        <v>1</v>
      </c>
      <c r="B462" s="1079" t="s">
        <v>1973</v>
      </c>
      <c r="C462" s="1080" t="s">
        <v>17</v>
      </c>
      <c r="D462" s="1082">
        <f t="shared" si="20"/>
        <v>68.900000000000006</v>
      </c>
      <c r="E462" s="1082">
        <v>68.900000000000006</v>
      </c>
      <c r="F462" s="1082" t="s">
        <v>2508</v>
      </c>
      <c r="G462" s="1082" t="s">
        <v>2508</v>
      </c>
      <c r="H462" s="1082"/>
      <c r="I462" s="1072" t="s">
        <v>2508</v>
      </c>
    </row>
    <row r="463" spans="1:9" x14ac:dyDescent="0.25">
      <c r="A463" s="1079">
        <f t="shared" si="16"/>
        <v>1</v>
      </c>
      <c r="B463" s="1079" t="s">
        <v>1978</v>
      </c>
      <c r="C463" s="1080" t="s">
        <v>17</v>
      </c>
      <c r="D463" s="1082">
        <f t="shared" si="20"/>
        <v>34.9</v>
      </c>
      <c r="E463" s="1082">
        <v>34.9</v>
      </c>
      <c r="F463" s="1082" t="s">
        <v>2508</v>
      </c>
      <c r="G463" s="1082" t="s">
        <v>2508</v>
      </c>
      <c r="H463" s="1082"/>
      <c r="I463" s="1072" t="s">
        <v>2508</v>
      </c>
    </row>
    <row r="464" spans="1:9" x14ac:dyDescent="0.25">
      <c r="A464" s="1079">
        <f t="shared" si="16"/>
        <v>1</v>
      </c>
      <c r="B464" s="1079" t="s">
        <v>1982</v>
      </c>
      <c r="C464" s="1080" t="s">
        <v>17</v>
      </c>
      <c r="D464" s="1082">
        <f t="shared" si="20"/>
        <v>144.9</v>
      </c>
      <c r="E464" s="1082">
        <v>144.9</v>
      </c>
      <c r="F464" s="1082" t="s">
        <v>2508</v>
      </c>
      <c r="G464" s="1082" t="s">
        <v>2508</v>
      </c>
      <c r="H464" s="1082"/>
      <c r="I464" s="1072" t="s">
        <v>2508</v>
      </c>
    </row>
    <row r="465" spans="1:9" x14ac:dyDescent="0.25">
      <c r="A465" s="1079">
        <f t="shared" si="16"/>
        <v>1</v>
      </c>
      <c r="B465" s="1079" t="s">
        <v>1971</v>
      </c>
      <c r="C465" s="1080" t="s">
        <v>17</v>
      </c>
      <c r="D465" s="1082">
        <f t="shared" si="20"/>
        <v>76.3</v>
      </c>
      <c r="E465" s="1082">
        <v>76.3</v>
      </c>
      <c r="F465" s="1082" t="s">
        <v>2508</v>
      </c>
      <c r="G465" s="1082" t="s">
        <v>2508</v>
      </c>
      <c r="H465" s="1082"/>
      <c r="I465" s="1072" t="s">
        <v>2508</v>
      </c>
    </row>
    <row r="466" spans="1:9" x14ac:dyDescent="0.25">
      <c r="A466" s="1079">
        <f t="shared" si="16"/>
        <v>1</v>
      </c>
      <c r="B466" s="1079" t="s">
        <v>1795</v>
      </c>
      <c r="C466" s="1080" t="s">
        <v>17</v>
      </c>
      <c r="D466" s="1082">
        <f t="shared" si="20"/>
        <v>85.9</v>
      </c>
      <c r="E466" s="1082">
        <v>85.9</v>
      </c>
      <c r="F466" s="1082" t="s">
        <v>2508</v>
      </c>
      <c r="G466" s="1082" t="s">
        <v>2508</v>
      </c>
      <c r="H466" s="1082"/>
      <c r="I466" s="1072" t="s">
        <v>2508</v>
      </c>
    </row>
    <row r="467" spans="1:9" x14ac:dyDescent="0.25">
      <c r="A467" s="1079">
        <f t="shared" si="16"/>
        <v>1</v>
      </c>
      <c r="B467" s="1079" t="s">
        <v>1799</v>
      </c>
      <c r="C467" s="1080" t="s">
        <v>17</v>
      </c>
      <c r="D467" s="1082">
        <f t="shared" si="20"/>
        <v>202.01</v>
      </c>
      <c r="E467" s="1082">
        <v>202.01</v>
      </c>
      <c r="F467" s="1082" t="s">
        <v>2508</v>
      </c>
      <c r="G467" s="1082" t="s">
        <v>2508</v>
      </c>
      <c r="H467" s="1082"/>
      <c r="I467" s="1072" t="s">
        <v>2508</v>
      </c>
    </row>
    <row r="468" spans="1:9" x14ac:dyDescent="0.25">
      <c r="A468" s="1079">
        <f t="shared" si="16"/>
        <v>1</v>
      </c>
      <c r="B468" s="1079" t="s">
        <v>1793</v>
      </c>
      <c r="C468" s="1080" t="s">
        <v>17</v>
      </c>
      <c r="D468" s="1082">
        <f t="shared" si="20"/>
        <v>47.8</v>
      </c>
      <c r="E468" s="1082">
        <v>47.8</v>
      </c>
      <c r="F468" s="1082" t="s">
        <v>2508</v>
      </c>
      <c r="G468" s="1082" t="s">
        <v>2508</v>
      </c>
      <c r="H468" s="1082"/>
      <c r="I468" s="1072" t="s">
        <v>2508</v>
      </c>
    </row>
    <row r="469" spans="1:9" x14ac:dyDescent="0.25">
      <c r="A469" s="1079">
        <f t="shared" si="16"/>
        <v>1</v>
      </c>
      <c r="B469" s="1079" t="s">
        <v>1975</v>
      </c>
      <c r="C469" s="1080" t="s">
        <v>17</v>
      </c>
      <c r="D469" s="1082">
        <f t="shared" si="20"/>
        <v>89.9</v>
      </c>
      <c r="E469" s="1082">
        <v>89.9</v>
      </c>
      <c r="F469" s="1082" t="s">
        <v>2508</v>
      </c>
      <c r="G469" s="1082" t="s">
        <v>2508</v>
      </c>
      <c r="H469" s="1082"/>
      <c r="I469" s="1072" t="s">
        <v>2508</v>
      </c>
    </row>
    <row r="470" spans="1:9" x14ac:dyDescent="0.25">
      <c r="A470" s="1079">
        <f t="shared" si="16"/>
        <v>1</v>
      </c>
      <c r="B470" s="1079" t="s">
        <v>1988</v>
      </c>
      <c r="C470" s="1080" t="s">
        <v>17</v>
      </c>
      <c r="D470" s="1082">
        <f t="shared" si="20"/>
        <v>183.21</v>
      </c>
      <c r="E470" s="1082">
        <v>183.21</v>
      </c>
      <c r="F470" s="1082" t="s">
        <v>2508</v>
      </c>
      <c r="G470" s="1082" t="s">
        <v>2508</v>
      </c>
      <c r="H470" s="1082"/>
      <c r="I470" s="1072" t="s">
        <v>2508</v>
      </c>
    </row>
    <row r="471" spans="1:9" x14ac:dyDescent="0.25">
      <c r="A471" s="1079">
        <f t="shared" si="16"/>
        <v>1</v>
      </c>
      <c r="B471" s="1079" t="s">
        <v>1984</v>
      </c>
      <c r="C471" s="1080" t="s">
        <v>17</v>
      </c>
      <c r="D471" s="1082">
        <f t="shared" si="20"/>
        <v>99.7</v>
      </c>
      <c r="E471" s="1082">
        <v>99.7</v>
      </c>
      <c r="F471" s="1082" t="s">
        <v>2508</v>
      </c>
      <c r="G471" s="1082" t="s">
        <v>2508</v>
      </c>
      <c r="H471" s="1082"/>
      <c r="I471" s="1072" t="s">
        <v>2508</v>
      </c>
    </row>
    <row r="472" spans="1:9" x14ac:dyDescent="0.25">
      <c r="A472" s="1079">
        <f t="shared" si="16"/>
        <v>1</v>
      </c>
      <c r="B472" s="1079" t="s">
        <v>2221</v>
      </c>
      <c r="C472" s="1080" t="s">
        <v>17</v>
      </c>
      <c r="D472" s="1082">
        <f t="shared" si="20"/>
        <v>17</v>
      </c>
      <c r="E472" s="1082">
        <v>17</v>
      </c>
      <c r="F472" s="1082" t="s">
        <v>2508</v>
      </c>
      <c r="G472" s="1082" t="s">
        <v>2508</v>
      </c>
      <c r="H472" s="1082"/>
      <c r="I472" s="1072" t="s">
        <v>2508</v>
      </c>
    </row>
    <row r="473" spans="1:9" x14ac:dyDescent="0.25">
      <c r="A473" s="1079">
        <f t="shared" si="16"/>
        <v>1</v>
      </c>
      <c r="B473" s="1079" t="s">
        <v>1797</v>
      </c>
      <c r="C473" s="1080" t="s">
        <v>17</v>
      </c>
      <c r="D473" s="1082">
        <f t="shared" si="20"/>
        <v>143.55000000000001</v>
      </c>
      <c r="E473" s="1082">
        <v>143.55000000000001</v>
      </c>
      <c r="F473" s="1082" t="s">
        <v>2508</v>
      </c>
      <c r="G473" s="1082" t="s">
        <v>2508</v>
      </c>
      <c r="H473" s="1082"/>
      <c r="I473" s="1072" t="s">
        <v>2508</v>
      </c>
    </row>
    <row r="474" spans="1:9" x14ac:dyDescent="0.25">
      <c r="A474" s="1079">
        <f t="shared" si="16"/>
        <v>1</v>
      </c>
      <c r="B474" s="1079" t="s">
        <v>1986</v>
      </c>
      <c r="C474" s="1080" t="s">
        <v>17</v>
      </c>
      <c r="D474" s="1082">
        <f t="shared" si="20"/>
        <v>160</v>
      </c>
      <c r="E474" s="1082">
        <v>160</v>
      </c>
      <c r="F474" s="1082" t="s">
        <v>2508</v>
      </c>
      <c r="G474" s="1082" t="s">
        <v>2508</v>
      </c>
      <c r="H474" s="1082"/>
      <c r="I474" s="1072" t="s">
        <v>2508</v>
      </c>
    </row>
    <row r="475" spans="1:9" x14ac:dyDescent="0.25">
      <c r="A475" s="1079">
        <f t="shared" si="16"/>
        <v>1</v>
      </c>
      <c r="B475" s="1079" t="s">
        <v>1968</v>
      </c>
      <c r="C475" s="1080" t="s">
        <v>17</v>
      </c>
      <c r="D475" s="1082">
        <f t="shared" si="20"/>
        <v>107.9</v>
      </c>
      <c r="E475" s="1082">
        <v>107.9</v>
      </c>
      <c r="F475" s="1082" t="s">
        <v>2508</v>
      </c>
      <c r="G475" s="1082" t="s">
        <v>2508</v>
      </c>
      <c r="H475" s="1082"/>
      <c r="I475" s="1072" t="s">
        <v>2508</v>
      </c>
    </row>
    <row r="476" spans="1:9" x14ac:dyDescent="0.25">
      <c r="A476" s="1079">
        <f t="shared" si="16"/>
        <v>1</v>
      </c>
      <c r="B476" s="1079" t="s">
        <v>2529</v>
      </c>
      <c r="C476" s="1080" t="s">
        <v>281</v>
      </c>
      <c r="D476" s="1082">
        <f t="shared" si="20"/>
        <v>7</v>
      </c>
      <c r="E476" s="1082">
        <v>7</v>
      </c>
      <c r="F476" s="1082" t="s">
        <v>2508</v>
      </c>
      <c r="G476" s="1082" t="s">
        <v>2530</v>
      </c>
      <c r="H476" s="1082"/>
      <c r="I476" s="1072" t="s">
        <v>2508</v>
      </c>
    </row>
    <row r="477" spans="1:9" x14ac:dyDescent="0.25">
      <c r="A477" s="1079">
        <f t="shared" si="16"/>
        <v>1</v>
      </c>
      <c r="B477" s="1079" t="s">
        <v>2531</v>
      </c>
      <c r="C477" s="1080" t="s">
        <v>281</v>
      </c>
      <c r="D477" s="1082">
        <f t="shared" si="20"/>
        <v>14</v>
      </c>
      <c r="E477" s="1082">
        <v>14</v>
      </c>
      <c r="F477" s="1082" t="s">
        <v>2508</v>
      </c>
      <c r="G477" s="1082" t="s">
        <v>2530</v>
      </c>
      <c r="H477" s="1082"/>
      <c r="I477" s="1072" t="s">
        <v>2508</v>
      </c>
    </row>
    <row r="478" spans="1:9" x14ac:dyDescent="0.25">
      <c r="A478" s="1079">
        <f t="shared" si="16"/>
        <v>1</v>
      </c>
      <c r="B478" s="1079" t="s">
        <v>1998</v>
      </c>
      <c r="C478" s="1080" t="s">
        <v>17</v>
      </c>
      <c r="D478" s="1082">
        <f t="shared" si="20"/>
        <v>17.95</v>
      </c>
      <c r="E478" s="1082">
        <v>17.95</v>
      </c>
      <c r="F478" s="1082" t="s">
        <v>2508</v>
      </c>
      <c r="G478" s="1082" t="s">
        <v>2530</v>
      </c>
      <c r="H478" s="1082"/>
      <c r="I478" s="1072" t="s">
        <v>2508</v>
      </c>
    </row>
    <row r="479" spans="1:9" x14ac:dyDescent="0.25">
      <c r="A479" s="1079">
        <f t="shared" ref="A479:A550" si="23">COUNTIFS($B$2:$B$670,B479)</f>
        <v>1</v>
      </c>
      <c r="B479" s="1079" t="s">
        <v>2006</v>
      </c>
      <c r="C479" s="1080" t="s">
        <v>281</v>
      </c>
      <c r="D479" s="1082">
        <f t="shared" si="20"/>
        <v>50.25</v>
      </c>
      <c r="E479" s="1082">
        <v>50.25</v>
      </c>
      <c r="F479" s="1082" t="s">
        <v>2508</v>
      </c>
      <c r="G479" s="1082" t="s">
        <v>2530</v>
      </c>
      <c r="H479" s="1082"/>
      <c r="I479" s="1072" t="s">
        <v>2508</v>
      </c>
    </row>
    <row r="480" spans="1:9" x14ac:dyDescent="0.25">
      <c r="A480" s="1079">
        <f t="shared" si="23"/>
        <v>1</v>
      </c>
      <c r="B480" s="1079" t="s">
        <v>2004</v>
      </c>
      <c r="C480" s="1080" t="s">
        <v>281</v>
      </c>
      <c r="D480" s="1082">
        <f t="shared" si="20"/>
        <v>28.954166666666666</v>
      </c>
      <c r="E480" s="1082">
        <v>28.954166666666666</v>
      </c>
      <c r="F480" s="1082" t="s">
        <v>2508</v>
      </c>
      <c r="G480" s="1082" t="s">
        <v>2530</v>
      </c>
      <c r="H480" s="1082"/>
      <c r="I480" s="1072" t="s">
        <v>2508</v>
      </c>
    </row>
    <row r="481" spans="1:9" x14ac:dyDescent="0.25">
      <c r="A481" s="1079">
        <f t="shared" si="23"/>
        <v>1</v>
      </c>
      <c r="B481" s="1079" t="s">
        <v>2008</v>
      </c>
      <c r="C481" s="1080" t="s">
        <v>281</v>
      </c>
      <c r="D481" s="1082">
        <f t="shared" si="20"/>
        <v>21.53</v>
      </c>
      <c r="E481" s="1082">
        <v>21.53</v>
      </c>
      <c r="F481" s="1082" t="s">
        <v>2508</v>
      </c>
      <c r="G481" s="1082" t="s">
        <v>2530</v>
      </c>
      <c r="H481" s="1082"/>
      <c r="I481" s="1072" t="s">
        <v>2508</v>
      </c>
    </row>
    <row r="482" spans="1:9" x14ac:dyDescent="0.25">
      <c r="A482" s="1079">
        <f t="shared" si="23"/>
        <v>1</v>
      </c>
      <c r="B482" s="1079" t="s">
        <v>2010</v>
      </c>
      <c r="C482" s="1080" t="s">
        <v>491</v>
      </c>
      <c r="D482" s="1082">
        <f t="shared" si="20"/>
        <v>17.0928</v>
      </c>
      <c r="E482" s="1082">
        <v>17.0928</v>
      </c>
      <c r="F482" s="1082" t="s">
        <v>2508</v>
      </c>
      <c r="G482" s="1082" t="s">
        <v>2530</v>
      </c>
      <c r="H482" s="1082"/>
      <c r="I482" s="1072" t="s">
        <v>2508</v>
      </c>
    </row>
    <row r="483" spans="1:9" x14ac:dyDescent="0.25">
      <c r="A483" s="1079">
        <f t="shared" si="23"/>
        <v>1</v>
      </c>
      <c r="B483" s="1079" t="s">
        <v>2532</v>
      </c>
      <c r="C483" s="1080" t="s">
        <v>281</v>
      </c>
      <c r="D483" s="1082">
        <f t="shared" si="20"/>
        <v>35.555555555555557</v>
      </c>
      <c r="E483" s="1082">
        <v>35.555555555555557</v>
      </c>
      <c r="F483" s="1082" t="s">
        <v>2508</v>
      </c>
      <c r="G483" s="1082" t="s">
        <v>2530</v>
      </c>
      <c r="H483" s="1082"/>
      <c r="I483" s="1072" t="s">
        <v>2508</v>
      </c>
    </row>
    <row r="484" spans="1:9" x14ac:dyDescent="0.25">
      <c r="A484" s="1079">
        <f t="shared" si="23"/>
        <v>1</v>
      </c>
      <c r="B484" s="1079" t="s">
        <v>2533</v>
      </c>
      <c r="C484" s="1080" t="s">
        <v>281</v>
      </c>
      <c r="D484" s="1082">
        <f t="shared" si="20"/>
        <v>53.333333333333329</v>
      </c>
      <c r="E484" s="1082">
        <v>53.333333333333329</v>
      </c>
      <c r="F484" s="1082" t="s">
        <v>2508</v>
      </c>
      <c r="G484" s="1082" t="s">
        <v>2530</v>
      </c>
      <c r="H484" s="1082"/>
      <c r="I484" s="1072" t="s">
        <v>2508</v>
      </c>
    </row>
    <row r="485" spans="1:9" x14ac:dyDescent="0.25">
      <c r="A485" s="1079">
        <f t="shared" si="23"/>
        <v>1</v>
      </c>
      <c r="B485" s="1079" t="s">
        <v>2534</v>
      </c>
      <c r="C485" s="1080" t="s">
        <v>281</v>
      </c>
      <c r="D485" s="1082">
        <f t="shared" si="20"/>
        <v>58.666666666666664</v>
      </c>
      <c r="E485" s="1082">
        <v>58.666666666666664</v>
      </c>
      <c r="F485" s="1082" t="s">
        <v>2508</v>
      </c>
      <c r="G485" s="1082" t="s">
        <v>2530</v>
      </c>
      <c r="H485" s="1082"/>
      <c r="I485" s="1072" t="s">
        <v>2508</v>
      </c>
    </row>
    <row r="486" spans="1:9" x14ac:dyDescent="0.25">
      <c r="A486" s="1079">
        <f t="shared" si="23"/>
        <v>1</v>
      </c>
      <c r="B486" s="1079" t="s">
        <v>1439</v>
      </c>
      <c r="C486" s="1080" t="s">
        <v>1426</v>
      </c>
      <c r="D486" s="1082">
        <f t="shared" si="20"/>
        <v>2.7132000000000001</v>
      </c>
      <c r="E486" s="1082">
        <v>2.7132000000000001</v>
      </c>
      <c r="F486" s="1082" t="s">
        <v>2527</v>
      </c>
      <c r="G486" s="1082" t="s">
        <v>2527</v>
      </c>
      <c r="H486" s="1082"/>
      <c r="I486" s="1072" t="s">
        <v>2528</v>
      </c>
    </row>
    <row r="487" spans="1:9" x14ac:dyDescent="0.25">
      <c r="A487" s="1079">
        <f t="shared" si="23"/>
        <v>1</v>
      </c>
      <c r="B487" s="1079" t="s">
        <v>1441</v>
      </c>
      <c r="C487" s="1080" t="s">
        <v>1426</v>
      </c>
      <c r="D487" s="1082">
        <f t="shared" si="20"/>
        <v>4.4982000000000006</v>
      </c>
      <c r="E487" s="1082">
        <v>4.4982000000000006</v>
      </c>
      <c r="F487" s="1082" t="s">
        <v>2527</v>
      </c>
      <c r="G487" s="1082" t="s">
        <v>2527</v>
      </c>
      <c r="H487" s="1082"/>
      <c r="I487" s="1072" t="s">
        <v>2528</v>
      </c>
    </row>
    <row r="488" spans="1:9" x14ac:dyDescent="0.25">
      <c r="A488" s="1079">
        <f t="shared" si="23"/>
        <v>1</v>
      </c>
      <c r="B488" s="1079" t="s">
        <v>1443</v>
      </c>
      <c r="C488" s="1080" t="s">
        <v>1426</v>
      </c>
      <c r="D488" s="1082">
        <f t="shared" si="20"/>
        <v>9.2718000000000007</v>
      </c>
      <c r="E488" s="1082">
        <v>9.2718000000000007</v>
      </c>
      <c r="F488" s="1082" t="s">
        <v>2527</v>
      </c>
      <c r="G488" s="1082" t="s">
        <v>2527</v>
      </c>
      <c r="H488" s="1082"/>
      <c r="I488" s="1072" t="s">
        <v>2528</v>
      </c>
    </row>
    <row r="489" spans="1:9" x14ac:dyDescent="0.25">
      <c r="A489" s="1079">
        <f t="shared" si="23"/>
        <v>1</v>
      </c>
      <c r="B489" s="1079" t="s">
        <v>1428</v>
      </c>
      <c r="C489" s="1080" t="s">
        <v>1426</v>
      </c>
      <c r="D489" s="1082">
        <f t="shared" si="20"/>
        <v>36.36</v>
      </c>
      <c r="E489" s="1082">
        <v>36.36</v>
      </c>
      <c r="F489" s="1082" t="s">
        <v>2527</v>
      </c>
      <c r="G489" s="1082" t="s">
        <v>2527</v>
      </c>
      <c r="H489" s="1082"/>
      <c r="I489" s="1072" t="s">
        <v>2528</v>
      </c>
    </row>
    <row r="490" spans="1:9" x14ac:dyDescent="0.25">
      <c r="A490" s="1079">
        <f t="shared" si="23"/>
        <v>1</v>
      </c>
      <c r="B490" s="1079" t="s">
        <v>1425</v>
      </c>
      <c r="C490" s="1080" t="s">
        <v>1426</v>
      </c>
      <c r="D490" s="1082">
        <f t="shared" si="20"/>
        <v>320</v>
      </c>
      <c r="E490" s="1082">
        <v>320</v>
      </c>
      <c r="F490" s="1082" t="s">
        <v>2527</v>
      </c>
      <c r="G490" s="1082" t="s">
        <v>2527</v>
      </c>
      <c r="H490" s="1082"/>
      <c r="I490" s="1072" t="s">
        <v>2528</v>
      </c>
    </row>
    <row r="491" spans="1:9" x14ac:dyDescent="0.25">
      <c r="A491" s="1079">
        <f t="shared" si="23"/>
        <v>1</v>
      </c>
      <c r="B491" s="1079" t="s">
        <v>1605</v>
      </c>
      <c r="C491" s="1080" t="s">
        <v>1422</v>
      </c>
      <c r="D491" s="1082">
        <f t="shared" si="20"/>
        <v>1300</v>
      </c>
      <c r="E491" s="1082">
        <v>1300</v>
      </c>
      <c r="F491" s="1082" t="s">
        <v>2527</v>
      </c>
      <c r="G491" s="1082" t="s">
        <v>2527</v>
      </c>
      <c r="H491" s="1082"/>
      <c r="I491" s="1072" t="s">
        <v>2528</v>
      </c>
    </row>
    <row r="492" spans="1:9" x14ac:dyDescent="0.25">
      <c r="A492" s="1079">
        <f t="shared" si="23"/>
        <v>1</v>
      </c>
      <c r="B492" s="1079" t="s">
        <v>1607</v>
      </c>
      <c r="C492" s="1080" t="s">
        <v>355</v>
      </c>
      <c r="D492" s="1082">
        <f t="shared" si="20"/>
        <v>93981.530500000008</v>
      </c>
      <c r="E492" s="1082">
        <v>93981.530500000008</v>
      </c>
      <c r="F492" s="1082" t="s">
        <v>2527</v>
      </c>
      <c r="G492" s="1082" t="s">
        <v>2527</v>
      </c>
      <c r="H492" s="1082"/>
      <c r="I492" s="1072" t="s">
        <v>2528</v>
      </c>
    </row>
    <row r="493" spans="1:9" x14ac:dyDescent="0.25">
      <c r="A493" s="1079">
        <f t="shared" si="23"/>
        <v>1</v>
      </c>
      <c r="B493" s="1079" t="s">
        <v>1466</v>
      </c>
      <c r="C493" s="1080" t="s">
        <v>281</v>
      </c>
      <c r="D493" s="1082">
        <f t="shared" si="20"/>
        <v>33</v>
      </c>
      <c r="E493" s="1082">
        <v>33</v>
      </c>
      <c r="F493" s="1082" t="s">
        <v>2527</v>
      </c>
      <c r="G493" s="1082" t="s">
        <v>2527</v>
      </c>
      <c r="H493" s="1082"/>
      <c r="I493" s="1072" t="s">
        <v>2528</v>
      </c>
    </row>
    <row r="494" spans="1:9" x14ac:dyDescent="0.25">
      <c r="A494" s="1079">
        <f t="shared" si="23"/>
        <v>1</v>
      </c>
      <c r="B494" s="1079" t="s">
        <v>1468</v>
      </c>
      <c r="C494" s="1080" t="s">
        <v>281</v>
      </c>
      <c r="D494" s="1082">
        <f t="shared" si="20"/>
        <v>39</v>
      </c>
      <c r="E494" s="1082">
        <v>39</v>
      </c>
      <c r="F494" s="1082" t="s">
        <v>2527</v>
      </c>
      <c r="G494" s="1082" t="s">
        <v>2527</v>
      </c>
      <c r="H494" s="1082"/>
      <c r="I494" s="1072" t="s">
        <v>2528</v>
      </c>
    </row>
    <row r="495" spans="1:9" x14ac:dyDescent="0.25">
      <c r="A495" s="1079">
        <f t="shared" si="23"/>
        <v>1</v>
      </c>
      <c r="B495" s="1079" t="s">
        <v>1453</v>
      </c>
      <c r="C495" s="1080" t="s">
        <v>281</v>
      </c>
      <c r="D495" s="1082">
        <f t="shared" ref="D495:D571" si="24">E495*$D$1</f>
        <v>60</v>
      </c>
      <c r="E495" s="1082">
        <v>60</v>
      </c>
      <c r="F495" s="1082" t="s">
        <v>2527</v>
      </c>
      <c r="G495" s="1082" t="s">
        <v>2527</v>
      </c>
      <c r="H495" s="1082"/>
      <c r="I495" s="1072" t="s">
        <v>2528</v>
      </c>
    </row>
    <row r="496" spans="1:9" x14ac:dyDescent="0.25">
      <c r="A496" s="1079">
        <f t="shared" si="23"/>
        <v>1</v>
      </c>
      <c r="B496" s="1079" t="s">
        <v>1454</v>
      </c>
      <c r="C496" s="1080" t="s">
        <v>281</v>
      </c>
      <c r="D496" s="1082">
        <f t="shared" si="24"/>
        <v>75</v>
      </c>
      <c r="E496" s="1082">
        <v>75</v>
      </c>
      <c r="F496" s="1082" t="s">
        <v>2527</v>
      </c>
      <c r="G496" s="1082" t="s">
        <v>2527</v>
      </c>
      <c r="H496" s="1082"/>
      <c r="I496" s="1072" t="s">
        <v>2528</v>
      </c>
    </row>
    <row r="497" spans="1:9" x14ac:dyDescent="0.25">
      <c r="A497" s="1079">
        <f t="shared" si="23"/>
        <v>1</v>
      </c>
      <c r="B497" s="1079" t="s">
        <v>1459</v>
      </c>
      <c r="C497" s="1080" t="s">
        <v>281</v>
      </c>
      <c r="D497" s="1082">
        <f t="shared" si="24"/>
        <v>150</v>
      </c>
      <c r="E497" s="1082">
        <v>150</v>
      </c>
      <c r="F497" s="1082" t="s">
        <v>2527</v>
      </c>
      <c r="G497" s="1082" t="s">
        <v>2527</v>
      </c>
      <c r="H497" s="1082"/>
      <c r="I497" s="1072" t="s">
        <v>2528</v>
      </c>
    </row>
    <row r="498" spans="1:9" x14ac:dyDescent="0.25">
      <c r="A498" s="1079">
        <f t="shared" si="23"/>
        <v>1</v>
      </c>
      <c r="B498" s="1079" t="s">
        <v>1460</v>
      </c>
      <c r="C498" s="1080" t="s">
        <v>281</v>
      </c>
      <c r="D498" s="1082">
        <f t="shared" si="24"/>
        <v>180</v>
      </c>
      <c r="E498" s="1082">
        <v>180</v>
      </c>
      <c r="F498" s="1082" t="s">
        <v>2527</v>
      </c>
      <c r="G498" s="1082" t="s">
        <v>2527</v>
      </c>
      <c r="H498" s="1082"/>
      <c r="I498" s="1072" t="s">
        <v>2528</v>
      </c>
    </row>
    <row r="499" spans="1:9" x14ac:dyDescent="0.25">
      <c r="A499" s="1079">
        <f t="shared" si="23"/>
        <v>1</v>
      </c>
      <c r="B499" s="1079" t="s">
        <v>1456</v>
      </c>
      <c r="C499" s="1080" t="s">
        <v>281</v>
      </c>
      <c r="D499" s="1082">
        <f t="shared" si="24"/>
        <v>150</v>
      </c>
      <c r="E499" s="1082">
        <v>150</v>
      </c>
      <c r="F499" s="1082" t="s">
        <v>2527</v>
      </c>
      <c r="G499" s="1082" t="s">
        <v>2527</v>
      </c>
      <c r="H499" s="1082"/>
      <c r="I499" s="1072" t="s">
        <v>2528</v>
      </c>
    </row>
    <row r="500" spans="1:9" x14ac:dyDescent="0.25">
      <c r="A500" s="1079">
        <f t="shared" si="23"/>
        <v>1</v>
      </c>
      <c r="B500" s="1079" t="s">
        <v>1458</v>
      </c>
      <c r="C500" s="1080" t="s">
        <v>281</v>
      </c>
      <c r="D500" s="1082">
        <f t="shared" si="24"/>
        <v>180</v>
      </c>
      <c r="E500" s="1082">
        <v>180</v>
      </c>
      <c r="F500" s="1082" t="s">
        <v>2527</v>
      </c>
      <c r="G500" s="1082" t="s">
        <v>2527</v>
      </c>
      <c r="H500" s="1082"/>
      <c r="I500" s="1072" t="s">
        <v>2528</v>
      </c>
    </row>
    <row r="501" spans="1:9" x14ac:dyDescent="0.25">
      <c r="A501" s="1079">
        <f t="shared" si="23"/>
        <v>1</v>
      </c>
      <c r="B501" s="1079" t="s">
        <v>1461</v>
      </c>
      <c r="C501" s="1080" t="s">
        <v>281</v>
      </c>
      <c r="D501" s="1082">
        <f t="shared" si="24"/>
        <v>120</v>
      </c>
      <c r="E501" s="1082">
        <v>120</v>
      </c>
      <c r="F501" s="1082" t="s">
        <v>2527</v>
      </c>
      <c r="G501" s="1082" t="s">
        <v>2527</v>
      </c>
      <c r="H501" s="1082"/>
      <c r="I501" s="1072" t="s">
        <v>2528</v>
      </c>
    </row>
    <row r="502" spans="1:9" x14ac:dyDescent="0.25">
      <c r="A502" s="1079">
        <f t="shared" si="23"/>
        <v>1</v>
      </c>
      <c r="B502" s="1079" t="s">
        <v>1462</v>
      </c>
      <c r="C502" s="1080" t="s">
        <v>281</v>
      </c>
      <c r="D502" s="1082">
        <f t="shared" si="24"/>
        <v>135</v>
      </c>
      <c r="E502" s="1082">
        <v>135</v>
      </c>
      <c r="F502" s="1082" t="s">
        <v>2527</v>
      </c>
      <c r="G502" s="1082" t="s">
        <v>2527</v>
      </c>
      <c r="H502" s="1082"/>
      <c r="I502" s="1072" t="s">
        <v>2528</v>
      </c>
    </row>
    <row r="503" spans="1:9" x14ac:dyDescent="0.25">
      <c r="A503" s="1079">
        <f t="shared" si="23"/>
        <v>1</v>
      </c>
      <c r="B503" s="1079" t="s">
        <v>1463</v>
      </c>
      <c r="C503" s="1080" t="s">
        <v>281</v>
      </c>
      <c r="D503" s="1082">
        <f t="shared" si="24"/>
        <v>150</v>
      </c>
      <c r="E503" s="1082">
        <v>150</v>
      </c>
      <c r="F503" s="1082" t="s">
        <v>2527</v>
      </c>
      <c r="G503" s="1082" t="s">
        <v>2527</v>
      </c>
      <c r="H503" s="1082"/>
      <c r="I503" s="1072" t="s">
        <v>2528</v>
      </c>
    </row>
    <row r="504" spans="1:9" x14ac:dyDescent="0.25">
      <c r="A504" s="1079">
        <f t="shared" si="23"/>
        <v>1</v>
      </c>
      <c r="B504" s="1079" t="s">
        <v>1464</v>
      </c>
      <c r="C504" s="1080" t="s">
        <v>281</v>
      </c>
      <c r="D504" s="1082">
        <f t="shared" si="24"/>
        <v>166.66666666666669</v>
      </c>
      <c r="E504" s="1082">
        <v>166.66666666666669</v>
      </c>
      <c r="F504" s="1082" t="s">
        <v>2527</v>
      </c>
      <c r="G504" s="1082" t="s">
        <v>2527</v>
      </c>
      <c r="H504" s="1082"/>
      <c r="I504" s="1072" t="s">
        <v>2528</v>
      </c>
    </row>
    <row r="505" spans="1:9" x14ac:dyDescent="0.25">
      <c r="A505" s="1079">
        <f t="shared" si="23"/>
        <v>1</v>
      </c>
      <c r="B505" s="1079" t="s">
        <v>1525</v>
      </c>
      <c r="C505" s="1080" t="s">
        <v>17</v>
      </c>
      <c r="D505" s="1082">
        <f t="shared" si="24"/>
        <v>290</v>
      </c>
      <c r="E505" s="1082">
        <v>290</v>
      </c>
      <c r="F505" s="1082" t="s">
        <v>2527</v>
      </c>
      <c r="G505" s="1082" t="s">
        <v>2527</v>
      </c>
      <c r="H505" s="1082"/>
      <c r="I505" s="1072" t="s">
        <v>2528</v>
      </c>
    </row>
    <row r="506" spans="1:9" x14ac:dyDescent="0.25">
      <c r="A506" s="1079">
        <f t="shared" si="23"/>
        <v>1</v>
      </c>
      <c r="B506" s="1079" t="s">
        <v>1540</v>
      </c>
      <c r="C506" s="1080" t="s">
        <v>17</v>
      </c>
      <c r="D506" s="1082">
        <f t="shared" si="24"/>
        <v>166.34420509708741</v>
      </c>
      <c r="E506" s="1082">
        <v>166.34420509708741</v>
      </c>
      <c r="F506" s="1082" t="s">
        <v>2527</v>
      </c>
      <c r="G506" s="1082" t="s">
        <v>2527</v>
      </c>
      <c r="H506" s="1082"/>
      <c r="I506" s="1072" t="s">
        <v>2528</v>
      </c>
    </row>
    <row r="507" spans="1:9" x14ac:dyDescent="0.25">
      <c r="A507" s="1079">
        <f t="shared" si="23"/>
        <v>1</v>
      </c>
      <c r="B507" s="1079" t="s">
        <v>2593</v>
      </c>
      <c r="C507" s="1080" t="s">
        <v>17</v>
      </c>
      <c r="D507" s="1082">
        <f t="shared" si="24"/>
        <v>560</v>
      </c>
      <c r="E507" s="1082">
        <v>560</v>
      </c>
      <c r="F507" s="1082" t="s">
        <v>2527</v>
      </c>
      <c r="G507" s="1082" t="s">
        <v>2527</v>
      </c>
      <c r="H507" s="1082"/>
      <c r="I507" s="1072" t="s">
        <v>2528</v>
      </c>
    </row>
    <row r="508" spans="1:9" x14ac:dyDescent="0.25">
      <c r="A508" s="1079">
        <f t="shared" ref="A508" si="25">COUNTIFS($B$2:$B$670,B508)</f>
        <v>1</v>
      </c>
      <c r="B508" s="1079" t="s">
        <v>2594</v>
      </c>
      <c r="C508" s="1080" t="s">
        <v>17</v>
      </c>
      <c r="D508" s="1082">
        <f t="shared" ref="D508" si="26">E508*$D$1</f>
        <v>300</v>
      </c>
      <c r="E508" s="1082">
        <v>300</v>
      </c>
      <c r="F508" s="1082" t="s">
        <v>2527</v>
      </c>
      <c r="G508" s="1082" t="s">
        <v>2527</v>
      </c>
      <c r="H508" s="1082"/>
      <c r="I508" s="1072" t="s">
        <v>2528</v>
      </c>
    </row>
    <row r="509" spans="1:9" x14ac:dyDescent="0.25">
      <c r="A509" s="1079">
        <f t="shared" si="23"/>
        <v>1</v>
      </c>
      <c r="B509" s="1079" t="s">
        <v>1321</v>
      </c>
      <c r="C509" s="1080" t="s">
        <v>17</v>
      </c>
      <c r="D509" s="1082">
        <f t="shared" si="24"/>
        <v>120</v>
      </c>
      <c r="E509" s="1082">
        <v>120</v>
      </c>
      <c r="F509" s="1082" t="s">
        <v>2527</v>
      </c>
      <c r="G509" s="1082" t="s">
        <v>2527</v>
      </c>
      <c r="H509" s="1082"/>
      <c r="I509" s="1072" t="s">
        <v>2528</v>
      </c>
    </row>
    <row r="510" spans="1:9" x14ac:dyDescent="0.25">
      <c r="A510" s="1079">
        <f t="shared" si="23"/>
        <v>1</v>
      </c>
      <c r="B510" s="1079" t="s">
        <v>1322</v>
      </c>
      <c r="C510" s="1080" t="s">
        <v>17</v>
      </c>
      <c r="D510" s="1082">
        <f t="shared" si="24"/>
        <v>150</v>
      </c>
      <c r="E510" s="1082">
        <f>E509*1.25</f>
        <v>150</v>
      </c>
      <c r="F510" s="1082" t="s">
        <v>2527</v>
      </c>
      <c r="G510" s="1082" t="s">
        <v>2527</v>
      </c>
      <c r="H510" s="1082"/>
      <c r="I510" s="1072" t="s">
        <v>2528</v>
      </c>
    </row>
    <row r="511" spans="1:9" x14ac:dyDescent="0.25">
      <c r="A511" s="1079">
        <f t="shared" si="23"/>
        <v>1</v>
      </c>
      <c r="B511" s="1079" t="s">
        <v>1846</v>
      </c>
      <c r="C511" s="1080" t="s">
        <v>17</v>
      </c>
      <c r="D511" s="1082">
        <f t="shared" si="24"/>
        <v>219.20046110145017</v>
      </c>
      <c r="E511" s="1082">
        <v>219.20046110145017</v>
      </c>
      <c r="F511" s="1082" t="s">
        <v>2527</v>
      </c>
      <c r="G511" s="1082" t="s">
        <v>2527</v>
      </c>
      <c r="H511" s="1082"/>
      <c r="I511" s="1072" t="s">
        <v>2528</v>
      </c>
    </row>
    <row r="512" spans="1:9" x14ac:dyDescent="0.25">
      <c r="A512" s="1079">
        <f t="shared" si="23"/>
        <v>1</v>
      </c>
      <c r="B512" s="1079" t="s">
        <v>1840</v>
      </c>
      <c r="C512" s="1080" t="s">
        <v>17</v>
      </c>
      <c r="D512" s="1082">
        <f t="shared" si="24"/>
        <v>55</v>
      </c>
      <c r="E512" s="1082">
        <v>55</v>
      </c>
      <c r="F512" s="1082" t="s">
        <v>2527</v>
      </c>
      <c r="G512" s="1082" t="s">
        <v>2527</v>
      </c>
      <c r="H512" s="1082"/>
      <c r="I512" s="1072" t="s">
        <v>2528</v>
      </c>
    </row>
    <row r="513" spans="1:9" x14ac:dyDescent="0.25">
      <c r="A513" s="1079">
        <f t="shared" si="23"/>
        <v>1</v>
      </c>
      <c r="B513" s="1079" t="s">
        <v>1843</v>
      </c>
      <c r="C513" s="1080" t="s">
        <v>17</v>
      </c>
      <c r="D513" s="1082">
        <f t="shared" si="24"/>
        <v>60</v>
      </c>
      <c r="E513" s="1082">
        <v>60</v>
      </c>
      <c r="F513" s="1082" t="s">
        <v>2527</v>
      </c>
      <c r="G513" s="1082" t="s">
        <v>2527</v>
      </c>
      <c r="H513" s="1082"/>
      <c r="I513" s="1072" t="s">
        <v>2528</v>
      </c>
    </row>
    <row r="514" spans="1:9" x14ac:dyDescent="0.25">
      <c r="A514" s="1079">
        <f t="shared" si="23"/>
        <v>1</v>
      </c>
      <c r="B514" s="1079" t="s">
        <v>1847</v>
      </c>
      <c r="C514" s="1080" t="s">
        <v>17</v>
      </c>
      <c r="D514" s="1082">
        <f t="shared" si="24"/>
        <v>275</v>
      </c>
      <c r="E514" s="1082">
        <v>275</v>
      </c>
      <c r="F514" s="1082" t="s">
        <v>2527</v>
      </c>
      <c r="G514" s="1082" t="s">
        <v>2527</v>
      </c>
      <c r="H514" s="1082"/>
      <c r="I514" s="1072" t="s">
        <v>2528</v>
      </c>
    </row>
    <row r="515" spans="1:9" x14ac:dyDescent="0.25">
      <c r="A515" s="1079">
        <f t="shared" si="23"/>
        <v>1</v>
      </c>
      <c r="B515" s="1079" t="s">
        <v>1841</v>
      </c>
      <c r="C515" s="1080" t="s">
        <v>17</v>
      </c>
      <c r="D515" s="1082">
        <f t="shared" si="24"/>
        <v>35</v>
      </c>
      <c r="E515" s="1082">
        <v>35</v>
      </c>
      <c r="F515" s="1082" t="s">
        <v>2527</v>
      </c>
      <c r="G515" s="1082" t="s">
        <v>2527</v>
      </c>
      <c r="H515" s="1082"/>
      <c r="I515" s="1072" t="s">
        <v>2528</v>
      </c>
    </row>
    <row r="516" spans="1:9" x14ac:dyDescent="0.25">
      <c r="A516" s="1079">
        <f t="shared" si="23"/>
        <v>1</v>
      </c>
      <c r="B516" s="1079" t="s">
        <v>1845</v>
      </c>
      <c r="C516" s="1080" t="s">
        <v>17</v>
      </c>
      <c r="D516" s="1082">
        <f t="shared" si="24"/>
        <v>36</v>
      </c>
      <c r="E516" s="1082">
        <v>36</v>
      </c>
      <c r="F516" s="1082" t="s">
        <v>2527</v>
      </c>
      <c r="G516" s="1082" t="s">
        <v>2527</v>
      </c>
      <c r="H516" s="1082"/>
      <c r="I516" s="1072" t="s">
        <v>2528</v>
      </c>
    </row>
    <row r="517" spans="1:9" x14ac:dyDescent="0.25">
      <c r="A517" s="1079">
        <f t="shared" si="23"/>
        <v>1</v>
      </c>
      <c r="B517" s="1079" t="s">
        <v>1844</v>
      </c>
      <c r="C517" s="1080" t="s">
        <v>17</v>
      </c>
      <c r="D517" s="1082">
        <f t="shared" si="24"/>
        <v>36</v>
      </c>
      <c r="E517" s="1082">
        <v>36</v>
      </c>
      <c r="F517" s="1082" t="s">
        <v>2527</v>
      </c>
      <c r="G517" s="1082" t="s">
        <v>2527</v>
      </c>
      <c r="H517" s="1082"/>
      <c r="I517" s="1072" t="s">
        <v>2528</v>
      </c>
    </row>
    <row r="518" spans="1:9" x14ac:dyDescent="0.25">
      <c r="A518" s="1079">
        <f t="shared" si="23"/>
        <v>1</v>
      </c>
      <c r="B518" s="1079" t="s">
        <v>1920</v>
      </c>
      <c r="C518" s="1080" t="s">
        <v>17</v>
      </c>
      <c r="D518" s="1082">
        <f t="shared" si="24"/>
        <v>342.63975903614454</v>
      </c>
      <c r="E518" s="1082">
        <f>5687.82/16.6</f>
        <v>342.63975903614454</v>
      </c>
      <c r="F518" s="1082" t="s">
        <v>2527</v>
      </c>
      <c r="G518" s="1082" t="s">
        <v>2527</v>
      </c>
      <c r="H518" s="1082"/>
      <c r="I518" s="1072" t="s">
        <v>2528</v>
      </c>
    </row>
    <row r="519" spans="1:9" x14ac:dyDescent="0.25">
      <c r="A519" s="1079">
        <f t="shared" si="23"/>
        <v>1</v>
      </c>
      <c r="B519" s="1079" t="s">
        <v>1993</v>
      </c>
      <c r="C519" s="1080" t="s">
        <v>17</v>
      </c>
      <c r="D519" s="1082">
        <f t="shared" si="24"/>
        <v>25.5</v>
      </c>
      <c r="E519" s="1082">
        <v>25.5</v>
      </c>
      <c r="F519" s="1082" t="s">
        <v>2527</v>
      </c>
      <c r="G519" s="1082" t="s">
        <v>2527</v>
      </c>
      <c r="H519" s="1082"/>
      <c r="I519" s="1072" t="s">
        <v>2528</v>
      </c>
    </row>
    <row r="520" spans="1:9" x14ac:dyDescent="0.25">
      <c r="A520" s="1079">
        <f t="shared" si="23"/>
        <v>1</v>
      </c>
      <c r="B520" s="1079" t="s">
        <v>2535</v>
      </c>
      <c r="C520" s="1080" t="s">
        <v>17</v>
      </c>
      <c r="D520" s="1082">
        <f t="shared" si="24"/>
        <v>25.5</v>
      </c>
      <c r="E520" s="1082">
        <v>25.5</v>
      </c>
      <c r="F520" s="1082" t="s">
        <v>2527</v>
      </c>
      <c r="G520" s="1082" t="s">
        <v>2527</v>
      </c>
      <c r="H520" s="1082"/>
      <c r="I520" s="1072" t="s">
        <v>2528</v>
      </c>
    </row>
    <row r="521" spans="1:9" x14ac:dyDescent="0.25">
      <c r="A521" s="1079">
        <f t="shared" si="23"/>
        <v>1</v>
      </c>
      <c r="B521" s="1079" t="s">
        <v>1724</v>
      </c>
      <c r="C521" s="1080" t="s">
        <v>491</v>
      </c>
      <c r="D521" s="1082">
        <f t="shared" si="24"/>
        <v>400</v>
      </c>
      <c r="E521" s="1082">
        <v>400</v>
      </c>
      <c r="F521" s="1082" t="s">
        <v>2527</v>
      </c>
      <c r="G521" s="1082" t="s">
        <v>2527</v>
      </c>
      <c r="H521" s="1082"/>
      <c r="I521" s="1072" t="s">
        <v>2528</v>
      </c>
    </row>
    <row r="522" spans="1:9" x14ac:dyDescent="0.25">
      <c r="A522" s="1079">
        <f t="shared" si="23"/>
        <v>1</v>
      </c>
      <c r="B522" s="1079" t="s">
        <v>2536</v>
      </c>
      <c r="C522" s="1080" t="s">
        <v>17</v>
      </c>
      <c r="D522" s="1082">
        <f t="shared" si="24"/>
        <v>25</v>
      </c>
      <c r="E522" s="1082">
        <v>25</v>
      </c>
      <c r="F522" s="1082" t="s">
        <v>2527</v>
      </c>
      <c r="G522" s="1082" t="s">
        <v>2527</v>
      </c>
      <c r="H522" s="1082"/>
      <c r="I522" s="1072" t="s">
        <v>2528</v>
      </c>
    </row>
    <row r="523" spans="1:9" x14ac:dyDescent="0.25">
      <c r="A523" s="1079">
        <f t="shared" si="23"/>
        <v>1</v>
      </c>
      <c r="B523" s="1079" t="s">
        <v>1721</v>
      </c>
      <c r="C523" s="1080" t="s">
        <v>17</v>
      </c>
      <c r="D523" s="1082">
        <f t="shared" si="24"/>
        <v>40</v>
      </c>
      <c r="E523" s="1082">
        <v>40</v>
      </c>
      <c r="F523" s="1082" t="s">
        <v>2527</v>
      </c>
      <c r="G523" s="1082" t="s">
        <v>2527</v>
      </c>
      <c r="H523" s="1082"/>
      <c r="I523" s="1072" t="s">
        <v>2528</v>
      </c>
    </row>
    <row r="524" spans="1:9" x14ac:dyDescent="0.25">
      <c r="A524" s="1079">
        <f t="shared" si="23"/>
        <v>1</v>
      </c>
      <c r="B524" s="1079" t="s">
        <v>2372</v>
      </c>
      <c r="C524" s="1080" t="s">
        <v>17</v>
      </c>
      <c r="D524" s="1082">
        <f t="shared" si="24"/>
        <v>220</v>
      </c>
      <c r="E524" s="1082">
        <v>220</v>
      </c>
      <c r="F524" s="1082" t="s">
        <v>2527</v>
      </c>
      <c r="G524" s="1082" t="s">
        <v>2527</v>
      </c>
      <c r="H524" s="1082"/>
      <c r="I524" s="1072" t="s">
        <v>2528</v>
      </c>
    </row>
    <row r="525" spans="1:9" x14ac:dyDescent="0.25">
      <c r="A525" s="1079">
        <f t="shared" si="23"/>
        <v>1</v>
      </c>
      <c r="B525" s="1079" t="s">
        <v>2030</v>
      </c>
      <c r="C525" s="1080" t="s">
        <v>491</v>
      </c>
      <c r="D525" s="1082">
        <f t="shared" si="24"/>
        <v>25</v>
      </c>
      <c r="E525" s="1082">
        <v>25</v>
      </c>
      <c r="F525" s="1082" t="s">
        <v>2527</v>
      </c>
      <c r="G525" s="1082" t="s">
        <v>2527</v>
      </c>
      <c r="H525" s="1082"/>
      <c r="I525" s="1072" t="s">
        <v>2528</v>
      </c>
    </row>
    <row r="526" spans="1:9" x14ac:dyDescent="0.25">
      <c r="A526" s="1079">
        <f t="shared" si="23"/>
        <v>1</v>
      </c>
      <c r="B526" s="1079" t="s">
        <v>2032</v>
      </c>
      <c r="C526" s="1080" t="s">
        <v>491</v>
      </c>
      <c r="D526" s="1082">
        <f t="shared" si="24"/>
        <v>22</v>
      </c>
      <c r="E526" s="1082">
        <v>22</v>
      </c>
      <c r="F526" s="1082" t="s">
        <v>2527</v>
      </c>
      <c r="G526" s="1082" t="s">
        <v>2527</v>
      </c>
      <c r="H526" s="1082"/>
      <c r="I526" s="1072" t="s">
        <v>2528</v>
      </c>
    </row>
    <row r="527" spans="1:9" x14ac:dyDescent="0.25">
      <c r="A527" s="1079">
        <f t="shared" si="23"/>
        <v>1</v>
      </c>
      <c r="B527" s="1079" t="s">
        <v>2035</v>
      </c>
      <c r="C527" s="1080" t="s">
        <v>491</v>
      </c>
      <c r="D527" s="1082">
        <f t="shared" si="24"/>
        <v>50</v>
      </c>
      <c r="E527" s="1082">
        <v>50</v>
      </c>
      <c r="F527" s="1082" t="s">
        <v>2527</v>
      </c>
      <c r="G527" s="1082" t="s">
        <v>2527</v>
      </c>
      <c r="H527" s="1082"/>
      <c r="I527" s="1072" t="s">
        <v>2528</v>
      </c>
    </row>
    <row r="528" spans="1:9" x14ac:dyDescent="0.25">
      <c r="A528" s="1079">
        <f t="shared" si="23"/>
        <v>1</v>
      </c>
      <c r="B528" s="1079" t="s">
        <v>2037</v>
      </c>
      <c r="C528" s="1080" t="s">
        <v>491</v>
      </c>
      <c r="D528" s="1082">
        <f t="shared" si="24"/>
        <v>22</v>
      </c>
      <c r="E528" s="1082">
        <v>22</v>
      </c>
      <c r="F528" s="1082" t="s">
        <v>2527</v>
      </c>
      <c r="G528" s="1082" t="s">
        <v>2527</v>
      </c>
      <c r="H528" s="1082"/>
      <c r="I528" s="1072" t="s">
        <v>2528</v>
      </c>
    </row>
    <row r="529" spans="1:9" x14ac:dyDescent="0.25">
      <c r="A529" s="1079">
        <f t="shared" si="23"/>
        <v>1</v>
      </c>
      <c r="B529" s="1079" t="s">
        <v>2036</v>
      </c>
      <c r="C529" s="1080" t="s">
        <v>491</v>
      </c>
      <c r="D529" s="1082">
        <f t="shared" si="24"/>
        <v>22</v>
      </c>
      <c r="E529" s="1082">
        <v>22</v>
      </c>
      <c r="F529" s="1082" t="s">
        <v>2527</v>
      </c>
      <c r="G529" s="1082" t="s">
        <v>2527</v>
      </c>
      <c r="H529" s="1082"/>
      <c r="I529" s="1072" t="s">
        <v>2528</v>
      </c>
    </row>
    <row r="530" spans="1:9" x14ac:dyDescent="0.25">
      <c r="A530" s="1079">
        <f t="shared" si="23"/>
        <v>1</v>
      </c>
      <c r="B530" s="1079" t="s">
        <v>1914</v>
      </c>
      <c r="C530" s="1080" t="s">
        <v>17</v>
      </c>
      <c r="D530" s="1082">
        <f t="shared" si="24"/>
        <v>16.75</v>
      </c>
      <c r="E530" s="1082">
        <v>16.75</v>
      </c>
      <c r="F530" s="1082" t="s">
        <v>2527</v>
      </c>
      <c r="G530" s="1082" t="s">
        <v>2527</v>
      </c>
      <c r="H530" s="1082"/>
      <c r="I530" s="1072" t="s">
        <v>2528</v>
      </c>
    </row>
    <row r="531" spans="1:9" x14ac:dyDescent="0.25">
      <c r="A531" s="1079">
        <f t="shared" si="23"/>
        <v>1</v>
      </c>
      <c r="B531" s="1079" t="s">
        <v>1917</v>
      </c>
      <c r="C531" s="1080" t="s">
        <v>17</v>
      </c>
      <c r="D531" s="1082">
        <f t="shared" si="24"/>
        <v>210</v>
      </c>
      <c r="E531" s="1082">
        <v>210</v>
      </c>
      <c r="F531" s="1082" t="s">
        <v>2527</v>
      </c>
      <c r="G531" s="1082" t="s">
        <v>2527</v>
      </c>
      <c r="H531" s="1082"/>
      <c r="I531" s="1072" t="s">
        <v>2528</v>
      </c>
    </row>
    <row r="532" spans="1:9" x14ac:dyDescent="0.25">
      <c r="A532" s="1079">
        <f t="shared" si="23"/>
        <v>1</v>
      </c>
      <c r="B532" s="1079" t="s">
        <v>2033</v>
      </c>
      <c r="C532" s="1080" t="s">
        <v>491</v>
      </c>
      <c r="D532" s="1082">
        <f t="shared" si="24"/>
        <v>22</v>
      </c>
      <c r="E532" s="1082">
        <v>22</v>
      </c>
      <c r="F532" s="1082" t="s">
        <v>2527</v>
      </c>
      <c r="G532" s="1082" t="s">
        <v>2527</v>
      </c>
      <c r="H532" s="1082"/>
      <c r="I532" s="1072" t="s">
        <v>2528</v>
      </c>
    </row>
    <row r="533" spans="1:9" x14ac:dyDescent="0.25">
      <c r="A533" s="1079">
        <f t="shared" si="23"/>
        <v>1</v>
      </c>
      <c r="B533" s="1079" t="s">
        <v>2028</v>
      </c>
      <c r="C533" s="1080" t="s">
        <v>17</v>
      </c>
      <c r="D533" s="1082">
        <f t="shared" si="24"/>
        <v>40</v>
      </c>
      <c r="E533" s="1082">
        <v>40</v>
      </c>
      <c r="F533" s="1082" t="s">
        <v>2527</v>
      </c>
      <c r="G533" s="1082" t="s">
        <v>2527</v>
      </c>
      <c r="H533" s="1082"/>
      <c r="I533" s="1072" t="s">
        <v>2528</v>
      </c>
    </row>
    <row r="534" spans="1:9" x14ac:dyDescent="0.25">
      <c r="A534" s="1079">
        <f t="shared" si="23"/>
        <v>1</v>
      </c>
      <c r="B534" s="1079" t="s">
        <v>1898</v>
      </c>
      <c r="C534" s="1080" t="s">
        <v>17</v>
      </c>
      <c r="D534" s="1082">
        <f t="shared" si="24"/>
        <v>10</v>
      </c>
      <c r="E534" s="1082">
        <v>10</v>
      </c>
      <c r="F534" s="1082" t="s">
        <v>2527</v>
      </c>
      <c r="G534" s="1082" t="s">
        <v>2527</v>
      </c>
      <c r="H534" s="1082"/>
      <c r="I534" s="1072" t="s">
        <v>2528</v>
      </c>
    </row>
    <row r="535" spans="1:9" x14ac:dyDescent="0.25">
      <c r="A535" s="1079">
        <f t="shared" si="23"/>
        <v>1</v>
      </c>
      <c r="B535" s="1079" t="s">
        <v>2034</v>
      </c>
      <c r="C535" s="1080" t="s">
        <v>491</v>
      </c>
      <c r="D535" s="1082">
        <f t="shared" si="24"/>
        <v>22</v>
      </c>
      <c r="E535" s="1082">
        <v>22</v>
      </c>
      <c r="F535" s="1082" t="s">
        <v>2527</v>
      </c>
      <c r="G535" s="1082" t="s">
        <v>2527</v>
      </c>
      <c r="H535" s="1082"/>
      <c r="I535" s="1072" t="s">
        <v>2528</v>
      </c>
    </row>
    <row r="536" spans="1:9" x14ac:dyDescent="0.25">
      <c r="A536" s="1079">
        <f t="shared" si="23"/>
        <v>1</v>
      </c>
      <c r="B536" s="1079" t="s">
        <v>1823</v>
      </c>
      <c r="C536" s="1080" t="s">
        <v>17</v>
      </c>
      <c r="D536" s="1082">
        <f t="shared" si="24"/>
        <v>25</v>
      </c>
      <c r="E536" s="1082">
        <v>25</v>
      </c>
      <c r="F536" s="1082" t="s">
        <v>2527</v>
      </c>
      <c r="G536" s="1082" t="s">
        <v>2527</v>
      </c>
      <c r="H536" s="1082"/>
      <c r="I536" s="1072" t="s">
        <v>2528</v>
      </c>
    </row>
    <row r="537" spans="1:9" x14ac:dyDescent="0.25">
      <c r="A537" s="1079">
        <f t="shared" si="23"/>
        <v>1</v>
      </c>
      <c r="B537" s="1079" t="s">
        <v>1317</v>
      </c>
      <c r="C537" s="1080" t="s">
        <v>17</v>
      </c>
      <c r="D537" s="1082">
        <f t="shared" si="24"/>
        <v>40</v>
      </c>
      <c r="E537" s="1082">
        <v>40</v>
      </c>
      <c r="F537" s="1082" t="s">
        <v>2527</v>
      </c>
      <c r="G537" s="1082" t="s">
        <v>2527</v>
      </c>
      <c r="H537" s="1082"/>
      <c r="I537" s="1072" t="s">
        <v>2528</v>
      </c>
    </row>
    <row r="538" spans="1:9" x14ac:dyDescent="0.25">
      <c r="A538" s="1079">
        <f t="shared" si="23"/>
        <v>1</v>
      </c>
      <c r="B538" s="1079" t="s">
        <v>1717</v>
      </c>
      <c r="C538" s="1080" t="s">
        <v>491</v>
      </c>
      <c r="D538" s="1082">
        <f t="shared" si="24"/>
        <v>10</v>
      </c>
      <c r="E538" s="1082">
        <v>10</v>
      </c>
      <c r="F538" s="1082" t="s">
        <v>2527</v>
      </c>
      <c r="G538" s="1082" t="s">
        <v>2527</v>
      </c>
      <c r="H538" s="1082"/>
      <c r="I538" s="1072" t="s">
        <v>2528</v>
      </c>
    </row>
    <row r="539" spans="1:9" x14ac:dyDescent="0.25">
      <c r="A539" s="1079">
        <f t="shared" si="23"/>
        <v>1</v>
      </c>
      <c r="B539" s="1079" t="s">
        <v>2027</v>
      </c>
      <c r="C539" s="1080" t="s">
        <v>17</v>
      </c>
      <c r="D539" s="1082">
        <f t="shared" si="24"/>
        <v>20</v>
      </c>
      <c r="E539" s="1082">
        <v>20</v>
      </c>
      <c r="F539" s="1082" t="s">
        <v>2527</v>
      </c>
      <c r="G539" s="1082" t="s">
        <v>2527</v>
      </c>
      <c r="H539" s="1082"/>
      <c r="I539" s="1072" t="s">
        <v>2528</v>
      </c>
    </row>
    <row r="540" spans="1:9" x14ac:dyDescent="0.25">
      <c r="A540" s="1079">
        <f t="shared" si="23"/>
        <v>1</v>
      </c>
      <c r="B540" s="1079" t="s">
        <v>2026</v>
      </c>
      <c r="C540" s="1080" t="s">
        <v>17</v>
      </c>
      <c r="D540" s="1082">
        <f t="shared" si="24"/>
        <v>40</v>
      </c>
      <c r="E540" s="1082">
        <v>40</v>
      </c>
      <c r="F540" s="1082" t="s">
        <v>2527</v>
      </c>
      <c r="G540" s="1082" t="s">
        <v>2527</v>
      </c>
      <c r="H540" s="1082"/>
      <c r="I540" s="1072" t="s">
        <v>2528</v>
      </c>
    </row>
    <row r="541" spans="1:9" x14ac:dyDescent="0.25">
      <c r="A541" s="1079">
        <f t="shared" si="23"/>
        <v>1</v>
      </c>
      <c r="B541" s="1079" t="s">
        <v>2086</v>
      </c>
      <c r="C541" s="1080" t="s">
        <v>17</v>
      </c>
      <c r="D541" s="1082">
        <f t="shared" si="24"/>
        <v>45</v>
      </c>
      <c r="E541" s="1082">
        <v>45</v>
      </c>
      <c r="F541" s="1082" t="s">
        <v>2527</v>
      </c>
      <c r="G541" s="1082" t="s">
        <v>2527</v>
      </c>
      <c r="H541" s="1082"/>
      <c r="I541" s="1072" t="s">
        <v>2528</v>
      </c>
    </row>
    <row r="542" spans="1:9" x14ac:dyDescent="0.25">
      <c r="A542" s="1079">
        <f t="shared" si="23"/>
        <v>1</v>
      </c>
      <c r="B542" s="1079" t="s">
        <v>2079</v>
      </c>
      <c r="C542" s="1080" t="s">
        <v>17</v>
      </c>
      <c r="D542" s="1082">
        <f t="shared" si="24"/>
        <v>55</v>
      </c>
      <c r="E542" s="1082">
        <v>55</v>
      </c>
      <c r="F542" s="1082" t="s">
        <v>2527</v>
      </c>
      <c r="G542" s="1082" t="s">
        <v>2527</v>
      </c>
      <c r="H542" s="1082"/>
      <c r="I542" s="1072" t="s">
        <v>2528</v>
      </c>
    </row>
    <row r="543" spans="1:9" x14ac:dyDescent="0.25">
      <c r="A543" s="1079">
        <f t="shared" si="23"/>
        <v>1</v>
      </c>
      <c r="B543" s="1079" t="s">
        <v>2080</v>
      </c>
      <c r="C543" s="1080" t="s">
        <v>17</v>
      </c>
      <c r="D543" s="1082">
        <f t="shared" si="24"/>
        <v>55</v>
      </c>
      <c r="E543" s="1082">
        <v>55</v>
      </c>
      <c r="F543" s="1082" t="s">
        <v>2527</v>
      </c>
      <c r="G543" s="1082" t="s">
        <v>2527</v>
      </c>
      <c r="H543" s="1082"/>
      <c r="I543" s="1072" t="s">
        <v>2528</v>
      </c>
    </row>
    <row r="544" spans="1:9" x14ac:dyDescent="0.25">
      <c r="A544" s="1079">
        <f t="shared" si="23"/>
        <v>1</v>
      </c>
      <c r="B544" s="1079" t="s">
        <v>2082</v>
      </c>
      <c r="C544" s="1080" t="s">
        <v>17</v>
      </c>
      <c r="D544" s="1082">
        <f t="shared" si="24"/>
        <v>23</v>
      </c>
      <c r="E544" s="1082">
        <v>23</v>
      </c>
      <c r="F544" s="1082" t="s">
        <v>2527</v>
      </c>
      <c r="G544" s="1082" t="s">
        <v>2527</v>
      </c>
      <c r="H544" s="1082"/>
      <c r="I544" s="1072" t="s">
        <v>2528</v>
      </c>
    </row>
    <row r="545" spans="1:9" x14ac:dyDescent="0.25">
      <c r="A545" s="1079">
        <f t="shared" si="23"/>
        <v>1</v>
      </c>
      <c r="B545" s="1079" t="s">
        <v>1310</v>
      </c>
      <c r="C545" s="1080" t="s">
        <v>17</v>
      </c>
      <c r="D545" s="1082">
        <f t="shared" si="24"/>
        <v>45</v>
      </c>
      <c r="E545" s="1082">
        <v>45</v>
      </c>
      <c r="F545" s="1082" t="s">
        <v>2527</v>
      </c>
      <c r="G545" s="1082" t="s">
        <v>2527</v>
      </c>
      <c r="H545" s="1082"/>
      <c r="I545" s="1072" t="s">
        <v>2528</v>
      </c>
    </row>
    <row r="546" spans="1:9" x14ac:dyDescent="0.25">
      <c r="A546" s="1079">
        <f t="shared" si="23"/>
        <v>1</v>
      </c>
      <c r="B546" s="1079" t="s">
        <v>1853</v>
      </c>
      <c r="C546" s="1080" t="s">
        <v>17</v>
      </c>
      <c r="D546" s="1082">
        <f t="shared" si="24"/>
        <v>25</v>
      </c>
      <c r="E546" s="1082">
        <v>25</v>
      </c>
      <c r="F546" s="1082" t="s">
        <v>2527</v>
      </c>
      <c r="G546" s="1082" t="s">
        <v>2527</v>
      </c>
      <c r="H546" s="1082"/>
      <c r="I546" s="1072" t="s">
        <v>2528</v>
      </c>
    </row>
    <row r="547" spans="1:9" x14ac:dyDescent="0.25">
      <c r="A547" s="1079">
        <f t="shared" si="23"/>
        <v>1</v>
      </c>
      <c r="B547" s="1079" t="s">
        <v>1318</v>
      </c>
      <c r="C547" s="1080" t="s">
        <v>17</v>
      </c>
      <c r="D547" s="1082">
        <f t="shared" si="24"/>
        <v>40</v>
      </c>
      <c r="E547" s="1082">
        <v>40</v>
      </c>
      <c r="F547" s="1082" t="s">
        <v>2527</v>
      </c>
      <c r="G547" s="1082" t="s">
        <v>2527</v>
      </c>
      <c r="H547" s="1082"/>
      <c r="I547" s="1072" t="s">
        <v>2528</v>
      </c>
    </row>
    <row r="548" spans="1:9" x14ac:dyDescent="0.25">
      <c r="A548" s="1079">
        <f t="shared" si="23"/>
        <v>1</v>
      </c>
      <c r="B548" s="1079" t="s">
        <v>2025</v>
      </c>
      <c r="C548" s="1080" t="s">
        <v>17</v>
      </c>
      <c r="D548" s="1082">
        <f t="shared" si="24"/>
        <v>40</v>
      </c>
      <c r="E548" s="1082">
        <v>40</v>
      </c>
      <c r="F548" s="1082" t="s">
        <v>2527</v>
      </c>
      <c r="G548" s="1082" t="s">
        <v>2527</v>
      </c>
      <c r="H548" s="1082"/>
      <c r="I548" s="1072" t="s">
        <v>2528</v>
      </c>
    </row>
    <row r="549" spans="1:9" x14ac:dyDescent="0.25">
      <c r="A549" s="1079">
        <f t="shared" si="23"/>
        <v>1</v>
      </c>
      <c r="B549" s="1079" t="s">
        <v>1830</v>
      </c>
      <c r="C549" s="1080" t="s">
        <v>491</v>
      </c>
      <c r="D549" s="1082">
        <f t="shared" si="24"/>
        <v>15</v>
      </c>
      <c r="E549" s="1082">
        <v>15</v>
      </c>
      <c r="F549" s="1082" t="s">
        <v>2527</v>
      </c>
      <c r="G549" s="1082" t="s">
        <v>2527</v>
      </c>
      <c r="H549" s="1082"/>
      <c r="I549" s="1072" t="s">
        <v>2528</v>
      </c>
    </row>
    <row r="550" spans="1:9" x14ac:dyDescent="0.25">
      <c r="A550" s="1079">
        <f t="shared" si="23"/>
        <v>1</v>
      </c>
      <c r="B550" s="1079" t="s">
        <v>1831</v>
      </c>
      <c r="C550" s="1080" t="s">
        <v>491</v>
      </c>
      <c r="D550" s="1082">
        <f t="shared" si="24"/>
        <v>15</v>
      </c>
      <c r="E550" s="1082">
        <v>15</v>
      </c>
      <c r="F550" s="1082" t="s">
        <v>2527</v>
      </c>
      <c r="G550" s="1082" t="s">
        <v>2527</v>
      </c>
      <c r="H550" s="1082"/>
      <c r="I550" s="1072" t="s">
        <v>2528</v>
      </c>
    </row>
    <row r="551" spans="1:9" x14ac:dyDescent="0.25">
      <c r="A551" s="1079">
        <f t="shared" ref="A551:A622" si="27">COUNTIFS($B$2:$B$670,B551)</f>
        <v>1</v>
      </c>
      <c r="B551" s="1079" t="s">
        <v>1822</v>
      </c>
      <c r="C551" s="1080" t="s">
        <v>491</v>
      </c>
      <c r="D551" s="1082">
        <f t="shared" si="24"/>
        <v>36</v>
      </c>
      <c r="E551" s="1082">
        <v>36</v>
      </c>
      <c r="F551" s="1082" t="s">
        <v>2527</v>
      </c>
      <c r="G551" s="1082" t="s">
        <v>2527</v>
      </c>
      <c r="H551" s="1082"/>
      <c r="I551" s="1072" t="s">
        <v>2528</v>
      </c>
    </row>
    <row r="552" spans="1:9" x14ac:dyDescent="0.25">
      <c r="A552" s="1079">
        <f t="shared" si="27"/>
        <v>1</v>
      </c>
      <c r="B552" s="1079" t="s">
        <v>1927</v>
      </c>
      <c r="C552" s="1080" t="s">
        <v>17</v>
      </c>
      <c r="D552" s="1082">
        <f t="shared" si="24"/>
        <v>150</v>
      </c>
      <c r="E552" s="1082">
        <v>150</v>
      </c>
      <c r="F552" s="1082" t="s">
        <v>2527</v>
      </c>
      <c r="G552" s="1082" t="s">
        <v>2527</v>
      </c>
      <c r="H552" s="1082"/>
      <c r="I552" s="1072" t="s">
        <v>2528</v>
      </c>
    </row>
    <row r="553" spans="1:9" x14ac:dyDescent="0.25">
      <c r="A553" s="1079">
        <f t="shared" si="27"/>
        <v>1</v>
      </c>
      <c r="B553" s="1079" t="s">
        <v>1829</v>
      </c>
      <c r="C553" s="1080" t="s">
        <v>17</v>
      </c>
      <c r="D553" s="1082">
        <f t="shared" si="24"/>
        <v>55</v>
      </c>
      <c r="E553" s="1082">
        <v>55</v>
      </c>
      <c r="F553" s="1082" t="s">
        <v>2527</v>
      </c>
      <c r="G553" s="1082" t="s">
        <v>2527</v>
      </c>
      <c r="H553" s="1082"/>
      <c r="I553" s="1072" t="s">
        <v>2528</v>
      </c>
    </row>
    <row r="554" spans="1:9" x14ac:dyDescent="0.25">
      <c r="A554" s="1079">
        <f t="shared" si="27"/>
        <v>1</v>
      </c>
      <c r="B554" s="1079" t="s">
        <v>2031</v>
      </c>
      <c r="C554" s="1080" t="s">
        <v>491</v>
      </c>
      <c r="D554" s="1082">
        <f t="shared" si="24"/>
        <v>25</v>
      </c>
      <c r="E554" s="1082">
        <v>25</v>
      </c>
      <c r="F554" s="1082" t="s">
        <v>2527</v>
      </c>
      <c r="G554" s="1082" t="s">
        <v>2527</v>
      </c>
      <c r="H554" s="1082"/>
      <c r="I554" s="1072" t="s">
        <v>2528</v>
      </c>
    </row>
    <row r="555" spans="1:9" x14ac:dyDescent="0.25">
      <c r="A555" s="1079">
        <f t="shared" si="27"/>
        <v>1</v>
      </c>
      <c r="B555" s="1079" t="s">
        <v>1758</v>
      </c>
      <c r="C555" s="1080" t="s">
        <v>17</v>
      </c>
      <c r="D555" s="1082">
        <f t="shared" si="24"/>
        <v>28</v>
      </c>
      <c r="E555" s="1082">
        <v>28</v>
      </c>
      <c r="F555" s="1082" t="s">
        <v>2527</v>
      </c>
      <c r="G555" s="1082" t="s">
        <v>2527</v>
      </c>
      <c r="H555" s="1082"/>
      <c r="I555" s="1072" t="s">
        <v>2528</v>
      </c>
    </row>
    <row r="556" spans="1:9" x14ac:dyDescent="0.25">
      <c r="A556" s="1079">
        <f t="shared" si="27"/>
        <v>1</v>
      </c>
      <c r="B556" s="1079" t="s">
        <v>1759</v>
      </c>
      <c r="C556" s="1080" t="s">
        <v>491</v>
      </c>
      <c r="D556" s="1082">
        <f t="shared" si="24"/>
        <v>30</v>
      </c>
      <c r="E556" s="1082">
        <v>30</v>
      </c>
      <c r="F556" s="1082" t="s">
        <v>2527</v>
      </c>
      <c r="G556" s="1082" t="s">
        <v>2527</v>
      </c>
      <c r="H556" s="1082"/>
      <c r="I556" s="1072" t="s">
        <v>2528</v>
      </c>
    </row>
    <row r="557" spans="1:9" x14ac:dyDescent="0.25">
      <c r="A557" s="1079">
        <f t="shared" si="27"/>
        <v>1</v>
      </c>
      <c r="B557" s="1079" t="s">
        <v>1757</v>
      </c>
      <c r="C557" s="1080" t="s">
        <v>491</v>
      </c>
      <c r="D557" s="1082">
        <f t="shared" si="24"/>
        <v>30</v>
      </c>
      <c r="E557" s="1082">
        <v>30</v>
      </c>
      <c r="F557" s="1082" t="s">
        <v>2527</v>
      </c>
      <c r="G557" s="1082" t="s">
        <v>2527</v>
      </c>
      <c r="H557" s="1082"/>
      <c r="I557" s="1072" t="s">
        <v>2528</v>
      </c>
    </row>
    <row r="558" spans="1:9" x14ac:dyDescent="0.25">
      <c r="A558" s="1079">
        <f t="shared" si="27"/>
        <v>1</v>
      </c>
      <c r="B558" s="1079" t="s">
        <v>1319</v>
      </c>
      <c r="C558" s="1080" t="s">
        <v>491</v>
      </c>
      <c r="D558" s="1082">
        <f t="shared" si="24"/>
        <v>30</v>
      </c>
      <c r="E558" s="1082">
        <v>30</v>
      </c>
      <c r="F558" s="1082" t="s">
        <v>2527</v>
      </c>
      <c r="G558" s="1082" t="s">
        <v>2527</v>
      </c>
      <c r="H558" s="1082"/>
      <c r="I558" s="1072" t="s">
        <v>2528</v>
      </c>
    </row>
    <row r="559" spans="1:9" x14ac:dyDescent="0.25">
      <c r="A559" s="1079">
        <f t="shared" si="27"/>
        <v>1</v>
      </c>
      <c r="B559" s="1079" t="s">
        <v>1756</v>
      </c>
      <c r="C559" s="1080" t="s">
        <v>491</v>
      </c>
      <c r="D559" s="1082">
        <f t="shared" si="24"/>
        <v>30</v>
      </c>
      <c r="E559" s="1082">
        <v>30</v>
      </c>
      <c r="F559" s="1082" t="s">
        <v>2527</v>
      </c>
      <c r="G559" s="1082" t="s">
        <v>2527</v>
      </c>
      <c r="H559" s="1082"/>
      <c r="I559" s="1072" t="s">
        <v>2528</v>
      </c>
    </row>
    <row r="560" spans="1:9" x14ac:dyDescent="0.25">
      <c r="A560" s="1079">
        <f t="shared" si="27"/>
        <v>1</v>
      </c>
      <c r="B560" s="1079" t="s">
        <v>403</v>
      </c>
      <c r="C560" s="1080" t="s">
        <v>491</v>
      </c>
      <c r="D560" s="1082">
        <f t="shared" si="24"/>
        <v>45</v>
      </c>
      <c r="E560" s="1082">
        <v>45</v>
      </c>
      <c r="F560" s="1082" t="s">
        <v>2527</v>
      </c>
      <c r="G560" s="1082" t="s">
        <v>2527</v>
      </c>
      <c r="H560" s="1082"/>
      <c r="I560" s="1072" t="s">
        <v>2528</v>
      </c>
    </row>
    <row r="561" spans="1:9" x14ac:dyDescent="0.25">
      <c r="A561" s="1079">
        <f t="shared" si="27"/>
        <v>1</v>
      </c>
      <c r="B561" s="1079" t="s">
        <v>1850</v>
      </c>
      <c r="C561" s="1080" t="s">
        <v>17</v>
      </c>
      <c r="D561" s="1082">
        <f t="shared" si="24"/>
        <v>150</v>
      </c>
      <c r="E561" s="1082">
        <v>150</v>
      </c>
      <c r="F561" s="1082" t="s">
        <v>2527</v>
      </c>
      <c r="G561" s="1082" t="s">
        <v>2527</v>
      </c>
      <c r="H561" s="1082"/>
      <c r="I561" s="1072" t="s">
        <v>2528</v>
      </c>
    </row>
    <row r="562" spans="1:9" x14ac:dyDescent="0.25">
      <c r="A562" s="1079">
        <f t="shared" si="27"/>
        <v>1</v>
      </c>
      <c r="B562" s="1079" t="s">
        <v>1852</v>
      </c>
      <c r="C562" s="1080" t="s">
        <v>17</v>
      </c>
      <c r="D562" s="1082">
        <f t="shared" si="24"/>
        <v>150</v>
      </c>
      <c r="E562" s="1082">
        <v>150</v>
      </c>
      <c r="F562" s="1082" t="s">
        <v>2527</v>
      </c>
      <c r="G562" s="1082" t="s">
        <v>2527</v>
      </c>
      <c r="H562" s="1082"/>
      <c r="I562" s="1072" t="s">
        <v>2528</v>
      </c>
    </row>
    <row r="563" spans="1:9" x14ac:dyDescent="0.25">
      <c r="A563" s="1079">
        <f t="shared" si="27"/>
        <v>1</v>
      </c>
      <c r="B563" s="1079" t="s">
        <v>2265</v>
      </c>
      <c r="C563" s="1080" t="s">
        <v>491</v>
      </c>
      <c r="D563" s="1082">
        <f t="shared" si="24"/>
        <v>150</v>
      </c>
      <c r="E563" s="1082">
        <v>150</v>
      </c>
      <c r="F563" s="1082" t="s">
        <v>2527</v>
      </c>
      <c r="G563" s="1082" t="s">
        <v>2527</v>
      </c>
      <c r="H563" s="1082"/>
      <c r="I563" s="1072" t="s">
        <v>2528</v>
      </c>
    </row>
    <row r="564" spans="1:9" x14ac:dyDescent="0.25">
      <c r="A564" s="1079">
        <f t="shared" ref="A564" si="28">COUNTIFS($B$2:$B$670,B564)</f>
        <v>1</v>
      </c>
      <c r="B564" s="1079" t="s">
        <v>2580</v>
      </c>
      <c r="C564" s="1080" t="s">
        <v>17</v>
      </c>
      <c r="D564" s="1082">
        <f t="shared" ref="D564" si="29">E564*$D$1</f>
        <v>40</v>
      </c>
      <c r="E564" s="1082">
        <v>40</v>
      </c>
      <c r="F564" s="1082" t="s">
        <v>2527</v>
      </c>
      <c r="G564" s="1082" t="s">
        <v>2527</v>
      </c>
      <c r="H564" s="1082"/>
      <c r="I564" s="1072" t="s">
        <v>2528</v>
      </c>
    </row>
    <row r="565" spans="1:9" x14ac:dyDescent="0.25">
      <c r="A565" s="1079">
        <f t="shared" si="27"/>
        <v>1</v>
      </c>
      <c r="B565" s="1079" t="s">
        <v>2387</v>
      </c>
      <c r="C565" s="1080" t="s">
        <v>17</v>
      </c>
      <c r="D565" s="1082">
        <f t="shared" si="24"/>
        <v>40</v>
      </c>
      <c r="E565" s="1082">
        <v>40</v>
      </c>
      <c r="F565" s="1082" t="s">
        <v>2527</v>
      </c>
      <c r="G565" s="1082" t="s">
        <v>2527</v>
      </c>
      <c r="H565" s="1082"/>
      <c r="I565" s="1072" t="s">
        <v>2528</v>
      </c>
    </row>
    <row r="566" spans="1:9" x14ac:dyDescent="0.25">
      <c r="A566" s="1079">
        <f t="shared" si="27"/>
        <v>1</v>
      </c>
      <c r="B566" s="1079" t="s">
        <v>2266</v>
      </c>
      <c r="C566" s="1080" t="s">
        <v>17</v>
      </c>
      <c r="D566" s="1082">
        <f t="shared" si="24"/>
        <v>150</v>
      </c>
      <c r="E566" s="1082">
        <v>150</v>
      </c>
      <c r="F566" s="1082" t="s">
        <v>2527</v>
      </c>
      <c r="G566" s="1082" t="s">
        <v>2527</v>
      </c>
      <c r="H566" s="1082"/>
      <c r="I566" s="1072" t="s">
        <v>2528</v>
      </c>
    </row>
    <row r="567" spans="1:9" x14ac:dyDescent="0.25">
      <c r="A567" s="1079">
        <f t="shared" si="27"/>
        <v>1</v>
      </c>
      <c r="B567" s="1079" t="s">
        <v>2262</v>
      </c>
      <c r="C567" s="1080" t="s">
        <v>491</v>
      </c>
      <c r="D567" s="1082">
        <f t="shared" si="24"/>
        <v>19.333333333333332</v>
      </c>
      <c r="E567" s="1082">
        <f>58/3</f>
        <v>19.333333333333332</v>
      </c>
      <c r="F567" s="1082" t="s">
        <v>2527</v>
      </c>
      <c r="G567" s="1082" t="s">
        <v>2527</v>
      </c>
      <c r="H567" s="1082"/>
      <c r="I567" s="1072" t="s">
        <v>2528</v>
      </c>
    </row>
    <row r="568" spans="1:9" x14ac:dyDescent="0.25">
      <c r="A568" s="1079">
        <f t="shared" si="27"/>
        <v>1</v>
      </c>
      <c r="B568" s="1079" t="s">
        <v>2263</v>
      </c>
      <c r="C568" s="1080" t="s">
        <v>491</v>
      </c>
      <c r="D568" s="1082">
        <f t="shared" si="24"/>
        <v>38.666666666666664</v>
      </c>
      <c r="E568" s="1082">
        <f>58*2/3</f>
        <v>38.666666666666664</v>
      </c>
      <c r="F568" s="1082" t="s">
        <v>2527</v>
      </c>
      <c r="G568" s="1082" t="s">
        <v>2527</v>
      </c>
      <c r="H568" s="1082"/>
      <c r="I568" s="1072" t="s">
        <v>2528</v>
      </c>
    </row>
    <row r="569" spans="1:9" x14ac:dyDescent="0.25">
      <c r="A569" s="1079">
        <f t="shared" si="27"/>
        <v>1</v>
      </c>
      <c r="B569" s="1079" t="s">
        <v>1331</v>
      </c>
      <c r="C569" s="1080" t="s">
        <v>491</v>
      </c>
      <c r="D569" s="1082">
        <f t="shared" si="24"/>
        <v>58</v>
      </c>
      <c r="E569" s="1082">
        <v>58</v>
      </c>
      <c r="F569" s="1082" t="s">
        <v>2527</v>
      </c>
      <c r="G569" s="1082" t="s">
        <v>2527</v>
      </c>
      <c r="H569" s="1082"/>
      <c r="I569" s="1072" t="s">
        <v>2528</v>
      </c>
    </row>
    <row r="570" spans="1:9" x14ac:dyDescent="0.25">
      <c r="A570" s="1079">
        <f t="shared" si="27"/>
        <v>1</v>
      </c>
      <c r="B570" s="1079" t="s">
        <v>1332</v>
      </c>
      <c r="C570" s="1080" t="s">
        <v>491</v>
      </c>
      <c r="D570" s="1082">
        <f t="shared" si="24"/>
        <v>150</v>
      </c>
      <c r="E570" s="1082">
        <v>150</v>
      </c>
      <c r="F570" s="1082" t="s">
        <v>2527</v>
      </c>
      <c r="G570" s="1082" t="s">
        <v>2527</v>
      </c>
      <c r="H570" s="1082"/>
      <c r="I570" s="1072" t="s">
        <v>2528</v>
      </c>
    </row>
    <row r="571" spans="1:9" x14ac:dyDescent="0.25">
      <c r="A571" s="1079">
        <f t="shared" si="27"/>
        <v>1</v>
      </c>
      <c r="B571" s="1079" t="s">
        <v>2267</v>
      </c>
      <c r="C571" s="1080" t="s">
        <v>1</v>
      </c>
      <c r="D571" s="1082">
        <f t="shared" si="24"/>
        <v>175</v>
      </c>
      <c r="E571" s="1082">
        <v>175</v>
      </c>
      <c r="F571" s="1082" t="s">
        <v>2527</v>
      </c>
      <c r="G571" s="1082" t="s">
        <v>2527</v>
      </c>
      <c r="H571" s="1082"/>
      <c r="I571" s="1072" t="s">
        <v>2528</v>
      </c>
    </row>
    <row r="572" spans="1:9" x14ac:dyDescent="0.25">
      <c r="A572" s="1079">
        <f t="shared" si="27"/>
        <v>1</v>
      </c>
      <c r="B572" s="1079" t="s">
        <v>2264</v>
      </c>
      <c r="C572" s="1080" t="s">
        <v>491</v>
      </c>
      <c r="D572" s="1082">
        <f t="shared" ref="D572:D645" si="30">E572*$D$1</f>
        <v>58</v>
      </c>
      <c r="E572" s="1082">
        <v>58</v>
      </c>
      <c r="F572" s="1082" t="s">
        <v>2527</v>
      </c>
      <c r="G572" s="1082" t="s">
        <v>2527</v>
      </c>
      <c r="H572" s="1082"/>
      <c r="I572" s="1072" t="s">
        <v>2528</v>
      </c>
    </row>
    <row r="573" spans="1:9" x14ac:dyDescent="0.25">
      <c r="A573" s="1079">
        <f t="shared" si="27"/>
        <v>1</v>
      </c>
      <c r="B573" s="1079" t="s">
        <v>768</v>
      </c>
      <c r="C573" s="1080" t="s">
        <v>17</v>
      </c>
      <c r="D573" s="1082">
        <f t="shared" si="30"/>
        <v>35</v>
      </c>
      <c r="E573" s="1082">
        <v>35</v>
      </c>
      <c r="F573" s="1082" t="s">
        <v>2527</v>
      </c>
      <c r="G573" s="1082" t="s">
        <v>2527</v>
      </c>
      <c r="H573" s="1082"/>
      <c r="I573" s="1072" t="s">
        <v>2528</v>
      </c>
    </row>
    <row r="574" spans="1:9" x14ac:dyDescent="0.25">
      <c r="A574" s="1079">
        <f t="shared" si="27"/>
        <v>1</v>
      </c>
      <c r="B574" s="1079" t="s">
        <v>1719</v>
      </c>
      <c r="C574" s="1080" t="s">
        <v>491</v>
      </c>
      <c r="D574" s="1082">
        <f t="shared" si="30"/>
        <v>40</v>
      </c>
      <c r="E574" s="1082">
        <v>40</v>
      </c>
      <c r="F574" s="1082" t="s">
        <v>2527</v>
      </c>
      <c r="G574" s="1082" t="s">
        <v>2527</v>
      </c>
      <c r="H574" s="1082"/>
      <c r="I574" s="1072" t="s">
        <v>2528</v>
      </c>
    </row>
    <row r="575" spans="1:9" x14ac:dyDescent="0.25">
      <c r="A575" s="1079">
        <f t="shared" si="27"/>
        <v>1</v>
      </c>
      <c r="B575" s="1079" t="s">
        <v>1720</v>
      </c>
      <c r="C575" s="1080" t="s">
        <v>491</v>
      </c>
      <c r="D575" s="1082">
        <f t="shared" si="30"/>
        <v>48</v>
      </c>
      <c r="E575" s="1082">
        <v>48</v>
      </c>
      <c r="F575" s="1082" t="s">
        <v>2527</v>
      </c>
      <c r="G575" s="1082" t="s">
        <v>2527</v>
      </c>
      <c r="H575" s="1082"/>
      <c r="I575" s="1072" t="s">
        <v>2528</v>
      </c>
    </row>
    <row r="576" spans="1:9" x14ac:dyDescent="0.25">
      <c r="A576" s="1079">
        <f t="shared" si="27"/>
        <v>1</v>
      </c>
      <c r="B576" s="1079" t="s">
        <v>883</v>
      </c>
      <c r="C576" s="1080" t="s">
        <v>491</v>
      </c>
      <c r="D576" s="1082">
        <f t="shared" si="30"/>
        <v>50</v>
      </c>
      <c r="E576" s="1082">
        <v>50</v>
      </c>
      <c r="F576" s="1082" t="s">
        <v>2527</v>
      </c>
      <c r="G576" s="1082" t="s">
        <v>2527</v>
      </c>
      <c r="H576" s="1082"/>
      <c r="I576" s="1072" t="s">
        <v>2528</v>
      </c>
    </row>
    <row r="577" spans="1:9" x14ac:dyDescent="0.25">
      <c r="A577" s="1079">
        <f t="shared" si="27"/>
        <v>1</v>
      </c>
      <c r="B577" s="1079" t="s">
        <v>1718</v>
      </c>
      <c r="C577" s="1080" t="s">
        <v>491</v>
      </c>
      <c r="D577" s="1082">
        <f t="shared" si="30"/>
        <v>48</v>
      </c>
      <c r="E577" s="1082">
        <v>48</v>
      </c>
      <c r="F577" s="1082" t="s">
        <v>2527</v>
      </c>
      <c r="G577" s="1082" t="s">
        <v>2527</v>
      </c>
      <c r="H577" s="1082"/>
      <c r="I577" s="1072" t="s">
        <v>2528</v>
      </c>
    </row>
    <row r="578" spans="1:9" x14ac:dyDescent="0.25">
      <c r="A578" s="1079">
        <f t="shared" si="27"/>
        <v>1</v>
      </c>
      <c r="B578" s="1079" t="s">
        <v>1824</v>
      </c>
      <c r="C578" s="1080" t="s">
        <v>491</v>
      </c>
      <c r="D578" s="1082">
        <f t="shared" si="30"/>
        <v>65</v>
      </c>
      <c r="E578" s="1082">
        <v>65</v>
      </c>
      <c r="F578" s="1082" t="s">
        <v>2527</v>
      </c>
      <c r="G578" s="1082" t="s">
        <v>2527</v>
      </c>
      <c r="H578" s="1082"/>
      <c r="I578" s="1072" t="s">
        <v>2528</v>
      </c>
    </row>
    <row r="579" spans="1:9" x14ac:dyDescent="0.25">
      <c r="A579" s="1079">
        <f t="shared" si="27"/>
        <v>1</v>
      </c>
      <c r="B579" s="1079" t="s">
        <v>1825</v>
      </c>
      <c r="C579" s="1080" t="s">
        <v>491</v>
      </c>
      <c r="D579" s="1082">
        <f t="shared" si="30"/>
        <v>55</v>
      </c>
      <c r="E579" s="1082">
        <v>55</v>
      </c>
      <c r="F579" s="1082" t="s">
        <v>2527</v>
      </c>
      <c r="G579" s="1082" t="s">
        <v>2527</v>
      </c>
      <c r="H579" s="1082"/>
      <c r="I579" s="1072" t="s">
        <v>2528</v>
      </c>
    </row>
    <row r="580" spans="1:9" x14ac:dyDescent="0.25">
      <c r="A580" s="1079">
        <f t="shared" si="27"/>
        <v>1</v>
      </c>
      <c r="B580" s="1079" t="s">
        <v>1826</v>
      </c>
      <c r="C580" s="1080" t="s">
        <v>491</v>
      </c>
      <c r="D580" s="1082">
        <f t="shared" si="30"/>
        <v>75</v>
      </c>
      <c r="E580" s="1082">
        <v>75</v>
      </c>
      <c r="F580" s="1082" t="s">
        <v>2527</v>
      </c>
      <c r="G580" s="1082" t="s">
        <v>2527</v>
      </c>
      <c r="H580" s="1082"/>
      <c r="I580" s="1072" t="s">
        <v>2528</v>
      </c>
    </row>
    <row r="581" spans="1:9" x14ac:dyDescent="0.25">
      <c r="A581" s="1079">
        <f t="shared" si="27"/>
        <v>1</v>
      </c>
      <c r="B581" s="1079" t="s">
        <v>1827</v>
      </c>
      <c r="C581" s="1080" t="s">
        <v>491</v>
      </c>
      <c r="D581" s="1082">
        <f t="shared" si="30"/>
        <v>50</v>
      </c>
      <c r="E581" s="1082">
        <v>50</v>
      </c>
      <c r="F581" s="1082" t="s">
        <v>2527</v>
      </c>
      <c r="G581" s="1082" t="s">
        <v>2527</v>
      </c>
      <c r="H581" s="1082"/>
      <c r="I581" s="1072" t="s">
        <v>2528</v>
      </c>
    </row>
    <row r="582" spans="1:9" x14ac:dyDescent="0.25">
      <c r="A582" s="1079">
        <f t="shared" si="27"/>
        <v>1</v>
      </c>
      <c r="B582" s="1079" t="s">
        <v>1828</v>
      </c>
      <c r="C582" s="1080" t="s">
        <v>491</v>
      </c>
      <c r="D582" s="1082">
        <f t="shared" si="30"/>
        <v>60</v>
      </c>
      <c r="E582" s="1082">
        <v>60</v>
      </c>
      <c r="F582" s="1082" t="s">
        <v>2527</v>
      </c>
      <c r="G582" s="1082" t="s">
        <v>2527</v>
      </c>
      <c r="H582" s="1082"/>
      <c r="I582" s="1072" t="s">
        <v>2528</v>
      </c>
    </row>
    <row r="583" spans="1:9" x14ac:dyDescent="0.25">
      <c r="A583" s="1079">
        <f t="shared" si="27"/>
        <v>1</v>
      </c>
      <c r="B583" s="1079" t="s">
        <v>1320</v>
      </c>
      <c r="C583" s="1080" t="s">
        <v>491</v>
      </c>
      <c r="D583" s="1082">
        <f t="shared" si="30"/>
        <v>50</v>
      </c>
      <c r="E583" s="1082">
        <v>50</v>
      </c>
      <c r="F583" s="1082" t="s">
        <v>2527</v>
      </c>
      <c r="G583" s="1082" t="s">
        <v>2527</v>
      </c>
      <c r="H583" s="1082"/>
      <c r="I583" s="1072" t="s">
        <v>2528</v>
      </c>
    </row>
    <row r="584" spans="1:9" x14ac:dyDescent="0.25">
      <c r="A584" s="1079">
        <f t="shared" si="27"/>
        <v>1</v>
      </c>
      <c r="B584" s="1079" t="s">
        <v>1329</v>
      </c>
      <c r="C584" s="1080" t="s">
        <v>491</v>
      </c>
      <c r="D584" s="1082">
        <f t="shared" si="30"/>
        <v>300</v>
      </c>
      <c r="E584" s="1082">
        <v>300</v>
      </c>
      <c r="F584" s="1082" t="s">
        <v>2527</v>
      </c>
      <c r="G584" s="1082" t="s">
        <v>2527</v>
      </c>
      <c r="H584" s="1082"/>
      <c r="I584" s="1072" t="s">
        <v>2528</v>
      </c>
    </row>
    <row r="585" spans="1:9" x14ac:dyDescent="0.25">
      <c r="A585" s="1079">
        <f t="shared" si="27"/>
        <v>1</v>
      </c>
      <c r="B585" s="1079" t="s">
        <v>1311</v>
      </c>
      <c r="C585" s="1080" t="s">
        <v>491</v>
      </c>
      <c r="D585" s="1082">
        <f t="shared" si="30"/>
        <v>45</v>
      </c>
      <c r="E585" s="1082">
        <v>45</v>
      </c>
      <c r="F585" s="1082" t="s">
        <v>2527</v>
      </c>
      <c r="G585" s="1082" t="s">
        <v>2527</v>
      </c>
      <c r="H585" s="1082"/>
      <c r="I585" s="1072" t="s">
        <v>2528</v>
      </c>
    </row>
    <row r="586" spans="1:9" x14ac:dyDescent="0.25">
      <c r="A586" s="1079">
        <f t="shared" si="27"/>
        <v>1</v>
      </c>
      <c r="B586" s="1079" t="s">
        <v>2085</v>
      </c>
      <c r="C586" s="1080" t="s">
        <v>491</v>
      </c>
      <c r="D586" s="1082">
        <f t="shared" si="30"/>
        <v>45</v>
      </c>
      <c r="E586" s="1082">
        <v>45</v>
      </c>
      <c r="F586" s="1082" t="s">
        <v>2527</v>
      </c>
      <c r="G586" s="1082" t="s">
        <v>2527</v>
      </c>
      <c r="H586" s="1082"/>
      <c r="I586" s="1072" t="s">
        <v>2528</v>
      </c>
    </row>
    <row r="587" spans="1:9" x14ac:dyDescent="0.25">
      <c r="A587" s="1079">
        <f t="shared" si="27"/>
        <v>1</v>
      </c>
      <c r="B587" s="1079" t="s">
        <v>1755</v>
      </c>
      <c r="C587" s="1080" t="s">
        <v>491</v>
      </c>
      <c r="D587" s="1082">
        <f t="shared" si="30"/>
        <v>35</v>
      </c>
      <c r="E587" s="1082">
        <v>35</v>
      </c>
      <c r="F587" s="1082" t="s">
        <v>2527</v>
      </c>
      <c r="G587" s="1082" t="s">
        <v>2527</v>
      </c>
      <c r="H587" s="1082"/>
      <c r="I587" s="1072" t="s">
        <v>2528</v>
      </c>
    </row>
    <row r="588" spans="1:9" x14ac:dyDescent="0.25">
      <c r="A588" s="1079">
        <f t="shared" si="27"/>
        <v>1</v>
      </c>
      <c r="B588" s="1079" t="s">
        <v>430</v>
      </c>
      <c r="C588" s="1080" t="s">
        <v>491</v>
      </c>
      <c r="D588" s="1082">
        <f t="shared" si="30"/>
        <v>58</v>
      </c>
      <c r="E588" s="1082">
        <v>58</v>
      </c>
      <c r="F588" s="1082" t="s">
        <v>2527</v>
      </c>
      <c r="G588" s="1082" t="s">
        <v>2527</v>
      </c>
      <c r="H588" s="1082"/>
      <c r="I588" s="1072" t="s">
        <v>2528</v>
      </c>
    </row>
    <row r="589" spans="1:9" x14ac:dyDescent="0.25">
      <c r="A589" s="1079">
        <f t="shared" si="27"/>
        <v>1</v>
      </c>
      <c r="B589" s="1079" t="s">
        <v>2084</v>
      </c>
      <c r="C589" s="1080" t="s">
        <v>17</v>
      </c>
      <c r="D589" s="1082">
        <f t="shared" si="30"/>
        <v>6</v>
      </c>
      <c r="E589" s="1082">
        <v>6</v>
      </c>
      <c r="F589" s="1082" t="s">
        <v>2527</v>
      </c>
      <c r="G589" s="1082" t="s">
        <v>2527</v>
      </c>
      <c r="H589" s="1082"/>
      <c r="I589" s="1072" t="s">
        <v>2528</v>
      </c>
    </row>
    <row r="590" spans="1:9" x14ac:dyDescent="0.25">
      <c r="A590" s="1079">
        <f t="shared" si="27"/>
        <v>1</v>
      </c>
      <c r="B590" s="1079" t="s">
        <v>1754</v>
      </c>
      <c r="C590" s="1080" t="s">
        <v>17</v>
      </c>
      <c r="D590" s="1082">
        <f t="shared" si="30"/>
        <v>20</v>
      </c>
      <c r="E590" s="1082">
        <v>20</v>
      </c>
      <c r="F590" s="1082" t="s">
        <v>2527</v>
      </c>
      <c r="G590" s="1082" t="s">
        <v>2527</v>
      </c>
      <c r="H590" s="1082"/>
      <c r="I590" s="1072" t="s">
        <v>2528</v>
      </c>
    </row>
    <row r="591" spans="1:9" x14ac:dyDescent="0.25">
      <c r="A591" s="1079">
        <f t="shared" si="27"/>
        <v>1</v>
      </c>
      <c r="B591" s="1079" t="s">
        <v>2414</v>
      </c>
      <c r="C591" s="1080" t="s">
        <v>17</v>
      </c>
      <c r="D591" s="1082">
        <f t="shared" si="30"/>
        <v>20</v>
      </c>
      <c r="E591" s="1082">
        <v>20</v>
      </c>
      <c r="F591" s="1082" t="s">
        <v>2527</v>
      </c>
      <c r="G591" s="1082" t="s">
        <v>2527</v>
      </c>
      <c r="H591" s="1082"/>
      <c r="I591" s="1072" t="s">
        <v>2528</v>
      </c>
    </row>
    <row r="592" spans="1:9" x14ac:dyDescent="0.25">
      <c r="A592" s="1079">
        <f t="shared" si="27"/>
        <v>1</v>
      </c>
      <c r="B592" s="1079" t="s">
        <v>2415</v>
      </c>
      <c r="C592" s="1080" t="s">
        <v>281</v>
      </c>
      <c r="D592" s="1082">
        <f t="shared" si="30"/>
        <v>5</v>
      </c>
      <c r="E592" s="1082">
        <v>5</v>
      </c>
      <c r="F592" s="1082" t="s">
        <v>2527</v>
      </c>
      <c r="G592" s="1082" t="s">
        <v>2527</v>
      </c>
      <c r="H592" s="1082"/>
      <c r="I592" s="1072" t="s">
        <v>2528</v>
      </c>
    </row>
    <row r="593" spans="1:9" x14ac:dyDescent="0.25">
      <c r="A593" s="1079">
        <f t="shared" si="27"/>
        <v>1</v>
      </c>
      <c r="B593" s="1079" t="s">
        <v>2029</v>
      </c>
      <c r="C593" s="1080" t="s">
        <v>491</v>
      </c>
      <c r="D593" s="1082">
        <f t="shared" si="30"/>
        <v>75</v>
      </c>
      <c r="E593" s="1082">
        <v>75</v>
      </c>
      <c r="F593" s="1082" t="s">
        <v>2527</v>
      </c>
      <c r="G593" s="1082" t="s">
        <v>2527</v>
      </c>
      <c r="H593" s="1082"/>
      <c r="I593" s="1072" t="s">
        <v>2528</v>
      </c>
    </row>
    <row r="594" spans="1:9" x14ac:dyDescent="0.25">
      <c r="A594" s="1079">
        <f t="shared" si="27"/>
        <v>1</v>
      </c>
      <c r="B594" s="1079" t="s">
        <v>1760</v>
      </c>
      <c r="C594" s="1080" t="s">
        <v>491</v>
      </c>
      <c r="D594" s="1082">
        <f t="shared" si="30"/>
        <v>50</v>
      </c>
      <c r="E594" s="1082">
        <v>50</v>
      </c>
      <c r="F594" s="1082" t="s">
        <v>2527</v>
      </c>
      <c r="G594" s="1082" t="s">
        <v>2527</v>
      </c>
      <c r="H594" s="1082"/>
      <c r="I594" s="1072" t="s">
        <v>2528</v>
      </c>
    </row>
    <row r="595" spans="1:9" x14ac:dyDescent="0.25">
      <c r="A595" s="1079">
        <f t="shared" si="27"/>
        <v>1</v>
      </c>
      <c r="B595" s="1079" t="s">
        <v>478</v>
      </c>
      <c r="C595" s="1080" t="s">
        <v>1</v>
      </c>
      <c r="D595" s="1082">
        <f t="shared" si="30"/>
        <v>240</v>
      </c>
      <c r="E595" s="1082">
        <v>240</v>
      </c>
      <c r="F595" s="1082" t="s">
        <v>2527</v>
      </c>
      <c r="G595" s="1082" t="s">
        <v>2527</v>
      </c>
      <c r="H595" s="1082"/>
      <c r="I595" s="1072" t="s">
        <v>2528</v>
      </c>
    </row>
    <row r="596" spans="1:9" x14ac:dyDescent="0.25">
      <c r="A596" s="1079">
        <f t="shared" si="27"/>
        <v>1</v>
      </c>
      <c r="B596" s="1079" t="s">
        <v>1608</v>
      </c>
      <c r="C596" s="1080" t="s">
        <v>1</v>
      </c>
      <c r="D596" s="1082">
        <f t="shared" si="30"/>
        <v>25</v>
      </c>
      <c r="E596" s="1082">
        <v>25</v>
      </c>
      <c r="F596" s="1082" t="s">
        <v>2527</v>
      </c>
      <c r="G596" s="1082" t="s">
        <v>2527</v>
      </c>
      <c r="H596" s="1082"/>
      <c r="I596" s="1072" t="s">
        <v>2528</v>
      </c>
    </row>
    <row r="597" spans="1:9" x14ac:dyDescent="0.25">
      <c r="A597" s="1079">
        <f t="shared" si="27"/>
        <v>1</v>
      </c>
      <c r="B597" s="1079" t="s">
        <v>1452</v>
      </c>
      <c r="C597" s="1080" t="s">
        <v>1426</v>
      </c>
      <c r="D597" s="1082">
        <f t="shared" si="30"/>
        <v>45.45</v>
      </c>
      <c r="E597" s="1082">
        <v>45.45</v>
      </c>
      <c r="F597" s="1082" t="s">
        <v>2527</v>
      </c>
      <c r="G597" s="1082" t="s">
        <v>2527</v>
      </c>
      <c r="H597" s="1082"/>
      <c r="I597" s="1072" t="s">
        <v>2528</v>
      </c>
    </row>
    <row r="598" spans="1:9" x14ac:dyDescent="0.25">
      <c r="A598" s="1079">
        <f t="shared" si="27"/>
        <v>1</v>
      </c>
      <c r="B598" s="1079" t="s">
        <v>1450</v>
      </c>
      <c r="C598" s="1080" t="s">
        <v>1426</v>
      </c>
      <c r="D598" s="1082">
        <f t="shared" si="30"/>
        <v>45.45</v>
      </c>
      <c r="E598" s="1082">
        <v>45.45</v>
      </c>
      <c r="F598" s="1082" t="s">
        <v>2527</v>
      </c>
      <c r="G598" s="1082" t="s">
        <v>2527</v>
      </c>
      <c r="H598" s="1082"/>
      <c r="I598" s="1072" t="s">
        <v>2528</v>
      </c>
    </row>
    <row r="599" spans="1:9" x14ac:dyDescent="0.25">
      <c r="A599" s="1079">
        <f t="shared" si="27"/>
        <v>1</v>
      </c>
      <c r="B599" s="1079" t="s">
        <v>1451</v>
      </c>
      <c r="C599" s="1080" t="s">
        <v>1426</v>
      </c>
      <c r="D599" s="1082">
        <f t="shared" si="30"/>
        <v>68.180000000000007</v>
      </c>
      <c r="E599" s="1082">
        <v>68.180000000000007</v>
      </c>
      <c r="F599" s="1082" t="s">
        <v>2527</v>
      </c>
      <c r="G599" s="1082" t="s">
        <v>2527</v>
      </c>
      <c r="H599" s="1082"/>
      <c r="I599" s="1072" t="s">
        <v>2528</v>
      </c>
    </row>
    <row r="600" spans="1:9" x14ac:dyDescent="0.25">
      <c r="A600" s="1079">
        <f t="shared" si="27"/>
        <v>1</v>
      </c>
      <c r="B600" s="1079" t="s">
        <v>1430</v>
      </c>
      <c r="C600" s="1080" t="s">
        <v>1426</v>
      </c>
      <c r="D600" s="1082">
        <f t="shared" si="30"/>
        <v>14.55</v>
      </c>
      <c r="E600" s="1082">
        <v>14.55</v>
      </c>
      <c r="F600" s="1082" t="s">
        <v>2527</v>
      </c>
      <c r="G600" s="1082" t="s">
        <v>2527</v>
      </c>
      <c r="H600" s="1082"/>
      <c r="I600" s="1072" t="s">
        <v>2528</v>
      </c>
    </row>
    <row r="601" spans="1:9" x14ac:dyDescent="0.25">
      <c r="A601" s="1079">
        <f t="shared" si="27"/>
        <v>1</v>
      </c>
      <c r="B601" s="1079" t="s">
        <v>1682</v>
      </c>
      <c r="C601" s="1080" t="s">
        <v>17</v>
      </c>
      <c r="D601" s="1082">
        <f t="shared" si="30"/>
        <v>40</v>
      </c>
      <c r="E601" s="1082">
        <v>40</v>
      </c>
      <c r="F601" s="1082" t="s">
        <v>2527</v>
      </c>
      <c r="G601" s="1082" t="s">
        <v>2527</v>
      </c>
      <c r="H601" s="1082"/>
      <c r="I601" s="1072" t="s">
        <v>2528</v>
      </c>
    </row>
    <row r="602" spans="1:9" x14ac:dyDescent="0.25">
      <c r="A602" s="1079">
        <f t="shared" si="27"/>
        <v>1</v>
      </c>
      <c r="B602" s="1079" t="s">
        <v>1504</v>
      </c>
      <c r="C602" s="1080" t="s">
        <v>491</v>
      </c>
      <c r="D602" s="1082">
        <f t="shared" si="30"/>
        <v>300</v>
      </c>
      <c r="E602" s="1082">
        <v>300</v>
      </c>
      <c r="F602" s="1082" t="s">
        <v>2527</v>
      </c>
      <c r="G602" s="1082" t="s">
        <v>2527</v>
      </c>
      <c r="H602" s="1082"/>
      <c r="I602" s="1072" t="s">
        <v>2528</v>
      </c>
    </row>
    <row r="603" spans="1:9" x14ac:dyDescent="0.25">
      <c r="A603" s="1079">
        <f t="shared" si="27"/>
        <v>1</v>
      </c>
      <c r="B603" s="1079" t="s">
        <v>1433</v>
      </c>
      <c r="C603" s="1080" t="s">
        <v>1426</v>
      </c>
      <c r="D603" s="1082">
        <f t="shared" si="30"/>
        <v>40</v>
      </c>
      <c r="E603" s="1082">
        <v>40</v>
      </c>
      <c r="F603" s="1082" t="s">
        <v>2527</v>
      </c>
      <c r="G603" s="1082" t="s">
        <v>2527</v>
      </c>
      <c r="H603" s="1082"/>
      <c r="I603" s="1072" t="s">
        <v>2528</v>
      </c>
    </row>
    <row r="604" spans="1:9" x14ac:dyDescent="0.25">
      <c r="A604" s="1079">
        <f t="shared" si="27"/>
        <v>1</v>
      </c>
      <c r="B604" s="1079" t="s">
        <v>1580</v>
      </c>
      <c r="C604" s="1080" t="s">
        <v>17</v>
      </c>
      <c r="D604" s="1082">
        <f t="shared" si="30"/>
        <v>30</v>
      </c>
      <c r="E604" s="1082">
        <v>30</v>
      </c>
      <c r="F604" s="1082" t="s">
        <v>2527</v>
      </c>
      <c r="G604" s="1082" t="s">
        <v>2527</v>
      </c>
      <c r="H604" s="1082"/>
      <c r="I604" s="1072" t="s">
        <v>2528</v>
      </c>
    </row>
    <row r="605" spans="1:9" x14ac:dyDescent="0.25">
      <c r="A605" s="1079">
        <f t="shared" si="27"/>
        <v>1</v>
      </c>
      <c r="B605" s="1079" t="s">
        <v>1369</v>
      </c>
      <c r="C605" s="1080" t="s">
        <v>17</v>
      </c>
      <c r="D605" s="1082">
        <f t="shared" si="30"/>
        <v>10.5</v>
      </c>
      <c r="E605" s="1082">
        <v>10.5</v>
      </c>
      <c r="F605" s="1082" t="s">
        <v>2527</v>
      </c>
      <c r="G605" s="1082" t="s">
        <v>2527</v>
      </c>
      <c r="H605" s="1082"/>
      <c r="I605" s="1072" t="s">
        <v>2528</v>
      </c>
    </row>
    <row r="606" spans="1:9" x14ac:dyDescent="0.25">
      <c r="A606" s="1079">
        <f t="shared" si="27"/>
        <v>1</v>
      </c>
      <c r="B606" s="1079" t="s">
        <v>2147</v>
      </c>
      <c r="C606" s="1080" t="s">
        <v>838</v>
      </c>
      <c r="D606" s="1082">
        <f t="shared" si="30"/>
        <v>36</v>
      </c>
      <c r="E606" s="1082">
        <f>15*2.4</f>
        <v>36</v>
      </c>
      <c r="F606" s="1082" t="s">
        <v>2527</v>
      </c>
      <c r="G606" s="1082" t="s">
        <v>2527</v>
      </c>
      <c r="H606" s="1082"/>
      <c r="I606" s="1072" t="s">
        <v>2528</v>
      </c>
    </row>
    <row r="607" spans="1:9" x14ac:dyDescent="0.25">
      <c r="A607" s="1079">
        <f t="shared" si="27"/>
        <v>1</v>
      </c>
      <c r="B607" s="1079" t="s">
        <v>2148</v>
      </c>
      <c r="C607" s="1080" t="s">
        <v>838</v>
      </c>
      <c r="D607" s="1082">
        <f t="shared" si="30"/>
        <v>72</v>
      </c>
      <c r="E607" s="1082">
        <f>30*2.4</f>
        <v>72</v>
      </c>
      <c r="F607" s="1082" t="s">
        <v>2527</v>
      </c>
      <c r="G607" s="1082" t="s">
        <v>2527</v>
      </c>
      <c r="H607" s="1082"/>
      <c r="I607" s="1072" t="s">
        <v>2528</v>
      </c>
    </row>
    <row r="608" spans="1:9" x14ac:dyDescent="0.25">
      <c r="A608" s="1079">
        <f t="shared" si="27"/>
        <v>1</v>
      </c>
      <c r="B608" s="1079" t="s">
        <v>2149</v>
      </c>
      <c r="C608" s="1080" t="s">
        <v>17</v>
      </c>
      <c r="D608" s="1082">
        <f t="shared" si="30"/>
        <v>15</v>
      </c>
      <c r="E608" s="1082">
        <v>15</v>
      </c>
      <c r="F608" s="1082" t="s">
        <v>2527</v>
      </c>
      <c r="G608" s="1082" t="s">
        <v>2527</v>
      </c>
      <c r="H608" s="1082"/>
      <c r="I608" s="1072" t="s">
        <v>2528</v>
      </c>
    </row>
    <row r="609" spans="1:9" x14ac:dyDescent="0.25">
      <c r="A609" s="1079">
        <f t="shared" si="27"/>
        <v>1</v>
      </c>
      <c r="B609" s="1079" t="s">
        <v>2146</v>
      </c>
      <c r="C609" s="1080" t="s">
        <v>17</v>
      </c>
      <c r="D609" s="1082">
        <f t="shared" si="30"/>
        <v>30</v>
      </c>
      <c r="E609" s="1082">
        <v>30</v>
      </c>
      <c r="F609" s="1082" t="s">
        <v>2527</v>
      </c>
      <c r="G609" s="1082" t="s">
        <v>2527</v>
      </c>
      <c r="H609" s="1082"/>
      <c r="I609" s="1072" t="s">
        <v>2528</v>
      </c>
    </row>
    <row r="610" spans="1:9" x14ac:dyDescent="0.25">
      <c r="A610" s="1079">
        <f t="shared" si="27"/>
        <v>1</v>
      </c>
      <c r="B610" s="1079" t="s">
        <v>1378</v>
      </c>
      <c r="C610" s="1080" t="s">
        <v>17</v>
      </c>
      <c r="D610" s="1082">
        <f t="shared" si="30"/>
        <v>50</v>
      </c>
      <c r="E610" s="1082">
        <v>50</v>
      </c>
      <c r="F610" s="1082" t="s">
        <v>2527</v>
      </c>
      <c r="G610" s="1082" t="s">
        <v>2527</v>
      </c>
      <c r="H610" s="1082"/>
      <c r="I610" s="1072" t="s">
        <v>2528</v>
      </c>
    </row>
    <row r="611" spans="1:9" x14ac:dyDescent="0.25">
      <c r="A611" s="1079">
        <f t="shared" si="27"/>
        <v>1</v>
      </c>
      <c r="B611" s="1079" t="s">
        <v>2408</v>
      </c>
      <c r="C611" s="1080" t="s">
        <v>17</v>
      </c>
      <c r="D611" s="1082">
        <f t="shared" si="30"/>
        <v>50</v>
      </c>
      <c r="E611" s="1082">
        <v>50</v>
      </c>
      <c r="F611" s="1082" t="s">
        <v>2527</v>
      </c>
      <c r="G611" s="1082" t="s">
        <v>2527</v>
      </c>
      <c r="H611" s="1082"/>
      <c r="I611" s="1072" t="s">
        <v>2528</v>
      </c>
    </row>
    <row r="612" spans="1:9" x14ac:dyDescent="0.25">
      <c r="A612" s="1079">
        <f t="shared" si="27"/>
        <v>1</v>
      </c>
      <c r="B612" s="1079" t="s">
        <v>2150</v>
      </c>
      <c r="C612" s="1080" t="s">
        <v>2</v>
      </c>
      <c r="D612" s="1082">
        <f t="shared" si="30"/>
        <v>300</v>
      </c>
      <c r="E612" s="1082">
        <v>300</v>
      </c>
      <c r="F612" s="1082" t="s">
        <v>2527</v>
      </c>
      <c r="G612" s="1082" t="s">
        <v>2527</v>
      </c>
      <c r="H612" s="1082"/>
      <c r="I612" s="1072" t="s">
        <v>2528</v>
      </c>
    </row>
    <row r="613" spans="1:9" x14ac:dyDescent="0.25">
      <c r="A613" s="1079">
        <f t="shared" si="27"/>
        <v>1</v>
      </c>
      <c r="B613" s="1079" t="s">
        <v>2245</v>
      </c>
      <c r="C613" s="1080" t="s">
        <v>2478</v>
      </c>
      <c r="D613" s="1082">
        <f t="shared" si="30"/>
        <v>34.719444444444441</v>
      </c>
      <c r="E613" s="1082">
        <v>34.719444444444441</v>
      </c>
      <c r="F613" s="1082" t="s">
        <v>2429</v>
      </c>
      <c r="G613" s="1082" t="s">
        <v>2429</v>
      </c>
      <c r="H613" s="1082"/>
      <c r="I613" s="1072" t="s">
        <v>2429</v>
      </c>
    </row>
    <row r="614" spans="1:9" x14ac:dyDescent="0.25">
      <c r="A614" s="1079">
        <f t="shared" si="27"/>
        <v>1</v>
      </c>
      <c r="B614" s="1079" t="s">
        <v>2247</v>
      </c>
      <c r="C614" s="1080" t="s">
        <v>2478</v>
      </c>
      <c r="D614" s="1082">
        <f t="shared" si="30"/>
        <v>49.972222222222221</v>
      </c>
      <c r="E614" s="1082">
        <v>49.972222222222221</v>
      </c>
      <c r="F614" s="1082" t="s">
        <v>2429</v>
      </c>
      <c r="G614" s="1082" t="s">
        <v>2429</v>
      </c>
      <c r="H614" s="1082"/>
      <c r="I614" s="1072" t="s">
        <v>2429</v>
      </c>
    </row>
    <row r="615" spans="1:9" x14ac:dyDescent="0.25">
      <c r="A615" s="1079">
        <f t="shared" si="27"/>
        <v>1</v>
      </c>
      <c r="B615" s="1079" t="s">
        <v>2068</v>
      </c>
      <c r="C615" s="1080" t="s">
        <v>2478</v>
      </c>
      <c r="D615" s="1082">
        <f t="shared" si="30"/>
        <v>6.47</v>
      </c>
      <c r="E615" s="1082">
        <v>6.47</v>
      </c>
      <c r="F615" s="1082" t="s">
        <v>2429</v>
      </c>
      <c r="G615" s="1082" t="s">
        <v>2429</v>
      </c>
      <c r="H615" s="1082"/>
      <c r="I615" s="1072" t="s">
        <v>2429</v>
      </c>
    </row>
    <row r="616" spans="1:9" x14ac:dyDescent="0.25">
      <c r="A616" s="1079">
        <f t="shared" si="27"/>
        <v>1</v>
      </c>
      <c r="B616" s="1079" t="s">
        <v>2537</v>
      </c>
      <c r="C616" s="1080" t="s">
        <v>1481</v>
      </c>
      <c r="D616" s="1082">
        <f t="shared" si="30"/>
        <v>12.78</v>
      </c>
      <c r="E616" s="1082">
        <v>12.78</v>
      </c>
      <c r="F616" s="1082" t="s">
        <v>2429</v>
      </c>
      <c r="G616" s="1082" t="s">
        <v>2429</v>
      </c>
      <c r="H616" s="1082"/>
      <c r="I616" s="1072" t="s">
        <v>2429</v>
      </c>
    </row>
    <row r="617" spans="1:9" x14ac:dyDescent="0.25">
      <c r="A617" s="1079">
        <f t="shared" si="27"/>
        <v>1</v>
      </c>
      <c r="B617" s="1079" t="s">
        <v>2051</v>
      </c>
      <c r="C617" s="1080" t="s">
        <v>2478</v>
      </c>
      <c r="D617" s="1082">
        <f t="shared" si="30"/>
        <v>43.027777777777779</v>
      </c>
      <c r="E617" s="1082">
        <v>43.027777777777779</v>
      </c>
      <c r="F617" s="1082" t="s">
        <v>2429</v>
      </c>
      <c r="G617" s="1082" t="s">
        <v>2429</v>
      </c>
      <c r="H617" s="1082"/>
      <c r="I617" s="1072" t="s">
        <v>2429</v>
      </c>
    </row>
    <row r="618" spans="1:9" x14ac:dyDescent="0.25">
      <c r="A618" s="1079">
        <f t="shared" si="27"/>
        <v>1</v>
      </c>
      <c r="B618" s="1079" t="s">
        <v>2048</v>
      </c>
      <c r="C618" s="1080" t="s">
        <v>2478</v>
      </c>
      <c r="D618" s="1082">
        <f t="shared" si="30"/>
        <v>21.99</v>
      </c>
      <c r="E618" s="1082">
        <v>21.99</v>
      </c>
      <c r="F618" s="1082" t="s">
        <v>2429</v>
      </c>
      <c r="G618" s="1082" t="s">
        <v>2429</v>
      </c>
      <c r="H618" s="1082"/>
      <c r="I618" s="1072" t="s">
        <v>2429</v>
      </c>
    </row>
    <row r="619" spans="1:9" x14ac:dyDescent="0.25">
      <c r="A619" s="1079">
        <f t="shared" si="27"/>
        <v>1</v>
      </c>
      <c r="B619" s="1079" t="s">
        <v>2044</v>
      </c>
      <c r="C619" s="1080" t="s">
        <v>2478</v>
      </c>
      <c r="D619" s="1082">
        <f t="shared" si="30"/>
        <v>20</v>
      </c>
      <c r="E619" s="1082">
        <f>360/18</f>
        <v>20</v>
      </c>
      <c r="F619" s="1082" t="s">
        <v>2429</v>
      </c>
      <c r="G619" s="1082" t="s">
        <v>2429</v>
      </c>
      <c r="H619" s="1082"/>
      <c r="I619" s="1072" t="s">
        <v>2429</v>
      </c>
    </row>
    <row r="620" spans="1:9" x14ac:dyDescent="0.25">
      <c r="A620" s="1079">
        <f t="shared" si="27"/>
        <v>1</v>
      </c>
      <c r="B620" s="1079" t="s">
        <v>2039</v>
      </c>
      <c r="C620" s="1080" t="s">
        <v>2478</v>
      </c>
      <c r="D620" s="1082">
        <f t="shared" si="30"/>
        <v>50.12</v>
      </c>
      <c r="E620" s="1082">
        <v>50.12</v>
      </c>
      <c r="F620" s="1082" t="s">
        <v>2429</v>
      </c>
      <c r="G620" s="1082" t="s">
        <v>2429</v>
      </c>
      <c r="H620" s="1082"/>
      <c r="I620" s="1072" t="s">
        <v>2429</v>
      </c>
    </row>
    <row r="621" spans="1:9" x14ac:dyDescent="0.25">
      <c r="A621" s="1079">
        <f t="shared" si="27"/>
        <v>1</v>
      </c>
      <c r="B621" s="1079" t="s">
        <v>2041</v>
      </c>
      <c r="C621" s="1080" t="s">
        <v>2478</v>
      </c>
      <c r="D621" s="1082">
        <f t="shared" si="30"/>
        <v>137.24</v>
      </c>
      <c r="E621" s="1082">
        <v>137.24</v>
      </c>
      <c r="F621" s="1082" t="s">
        <v>2429</v>
      </c>
      <c r="G621" s="1082" t="s">
        <v>2429</v>
      </c>
      <c r="H621" s="1082"/>
      <c r="I621" s="1072" t="s">
        <v>2429</v>
      </c>
    </row>
    <row r="622" spans="1:9" x14ac:dyDescent="0.25">
      <c r="A622" s="1079">
        <f t="shared" si="27"/>
        <v>1</v>
      </c>
      <c r="B622" s="1079" t="s">
        <v>2059</v>
      </c>
      <c r="C622" s="1080" t="s">
        <v>1481</v>
      </c>
      <c r="D622" s="1082">
        <f t="shared" si="30"/>
        <v>6.47</v>
      </c>
      <c r="E622" s="1082">
        <v>6.47</v>
      </c>
      <c r="F622" s="1082" t="s">
        <v>2429</v>
      </c>
      <c r="G622" s="1082" t="s">
        <v>2429</v>
      </c>
      <c r="H622" s="1082"/>
      <c r="I622" s="1072" t="s">
        <v>2429</v>
      </c>
    </row>
    <row r="623" spans="1:9" x14ac:dyDescent="0.25">
      <c r="A623" s="1079">
        <f t="shared" ref="A623:A670" si="31">COUNTIFS($B$2:$B$670,B623)</f>
        <v>1</v>
      </c>
      <c r="B623" s="1079" t="s">
        <v>1819</v>
      </c>
      <c r="C623" s="1080" t="s">
        <v>491</v>
      </c>
      <c r="D623" s="1082">
        <f t="shared" si="30"/>
        <v>17.329999999999998</v>
      </c>
      <c r="E623" s="1082">
        <v>17.329999999999998</v>
      </c>
      <c r="F623" s="1082" t="s">
        <v>2429</v>
      </c>
      <c r="G623" s="1082" t="s">
        <v>2429</v>
      </c>
      <c r="H623" s="1082"/>
      <c r="I623" s="1072" t="s">
        <v>2429</v>
      </c>
    </row>
    <row r="624" spans="1:9" x14ac:dyDescent="0.25">
      <c r="A624" s="1079">
        <f t="shared" si="31"/>
        <v>1</v>
      </c>
      <c r="B624" s="1079" t="s">
        <v>2062</v>
      </c>
      <c r="C624" s="1080" t="s">
        <v>1481</v>
      </c>
      <c r="D624" s="1082">
        <f t="shared" si="30"/>
        <v>6.09</v>
      </c>
      <c r="E624" s="1082">
        <v>6.09</v>
      </c>
      <c r="F624" s="1082" t="s">
        <v>2429</v>
      </c>
      <c r="G624" s="1082" t="s">
        <v>2429</v>
      </c>
      <c r="H624" s="1082"/>
      <c r="I624" s="1072" t="s">
        <v>2429</v>
      </c>
    </row>
    <row r="625" spans="1:9" x14ac:dyDescent="0.25">
      <c r="A625" s="1079">
        <f t="shared" ref="A625" si="32">COUNTIFS($B$2:$B$670,B625)</f>
        <v>1</v>
      </c>
      <c r="B625" s="1079" t="s">
        <v>2598</v>
      </c>
      <c r="C625" s="1080" t="s">
        <v>2478</v>
      </c>
      <c r="D625" s="1082">
        <f t="shared" ref="D625" si="33">E625*$D$1</f>
        <v>47.49444444444444</v>
      </c>
      <c r="E625" s="1082">
        <f>854.9/18</f>
        <v>47.49444444444444</v>
      </c>
      <c r="F625" s="1082" t="s">
        <v>2429</v>
      </c>
      <c r="G625" s="1082" t="s">
        <v>2429</v>
      </c>
      <c r="H625" s="1082"/>
      <c r="I625" s="1072" t="s">
        <v>2429</v>
      </c>
    </row>
    <row r="626" spans="1:9" x14ac:dyDescent="0.25">
      <c r="A626" s="1079">
        <f t="shared" si="31"/>
        <v>1</v>
      </c>
      <c r="B626" s="1079" t="s">
        <v>2599</v>
      </c>
      <c r="C626" s="1080" t="s">
        <v>2478</v>
      </c>
      <c r="D626" s="1082">
        <f t="shared" si="30"/>
        <v>44.716666666666669</v>
      </c>
      <c r="E626" s="1082">
        <f>804.9/18</f>
        <v>44.716666666666669</v>
      </c>
      <c r="F626" s="1082" t="s">
        <v>2429</v>
      </c>
      <c r="G626" s="1082" t="s">
        <v>2429</v>
      </c>
      <c r="H626" s="1082"/>
      <c r="I626" s="1072" t="s">
        <v>2429</v>
      </c>
    </row>
    <row r="627" spans="1:9" x14ac:dyDescent="0.25">
      <c r="A627" s="1079">
        <f t="shared" ref="A627" si="34">COUNTIFS($B$2:$B$670,B627)</f>
        <v>1</v>
      </c>
      <c r="B627" s="1079" t="s">
        <v>2591</v>
      </c>
      <c r="C627" s="1080" t="s">
        <v>2478</v>
      </c>
      <c r="D627" s="1082">
        <f t="shared" ref="D627" si="35">E627*$D$1</f>
        <v>88.043750000000003</v>
      </c>
      <c r="E627" s="1082">
        <f>281.74/3.2</f>
        <v>88.043750000000003</v>
      </c>
      <c r="F627" s="1082" t="s">
        <v>2429</v>
      </c>
      <c r="G627" s="1082" t="s">
        <v>2429</v>
      </c>
      <c r="H627" s="1082"/>
      <c r="I627" s="1072" t="s">
        <v>2429</v>
      </c>
    </row>
    <row r="628" spans="1:9" x14ac:dyDescent="0.25">
      <c r="A628" s="1079">
        <f t="shared" si="31"/>
        <v>1</v>
      </c>
      <c r="B628" s="1079" t="s">
        <v>2243</v>
      </c>
      <c r="C628" s="1080" t="s">
        <v>2478</v>
      </c>
      <c r="D628" s="1082">
        <f t="shared" si="30"/>
        <v>40.625</v>
      </c>
      <c r="E628" s="1082">
        <v>40.625</v>
      </c>
      <c r="F628" s="1082" t="s">
        <v>2429</v>
      </c>
      <c r="G628" s="1082" t="s">
        <v>2429</v>
      </c>
      <c r="H628" s="1082"/>
      <c r="I628" s="1072" t="s">
        <v>2429</v>
      </c>
    </row>
    <row r="629" spans="1:9" x14ac:dyDescent="0.25">
      <c r="A629" s="1079">
        <f t="shared" si="31"/>
        <v>1</v>
      </c>
      <c r="B629" s="1079" t="s">
        <v>2060</v>
      </c>
      <c r="C629" s="1080" t="s">
        <v>2478</v>
      </c>
      <c r="D629" s="1082">
        <f t="shared" si="30"/>
        <v>16.666666666666668</v>
      </c>
      <c r="E629" s="1082">
        <v>16.666666666666668</v>
      </c>
      <c r="F629" s="1082" t="s">
        <v>2429</v>
      </c>
      <c r="G629" s="1082" t="s">
        <v>2429</v>
      </c>
      <c r="H629" s="1082"/>
      <c r="I629" s="1072" t="s">
        <v>2429</v>
      </c>
    </row>
    <row r="630" spans="1:9" x14ac:dyDescent="0.25">
      <c r="A630" s="1079">
        <f t="shared" si="31"/>
        <v>1</v>
      </c>
      <c r="B630" s="1079" t="s">
        <v>1911</v>
      </c>
      <c r="C630" s="1080" t="s">
        <v>2478</v>
      </c>
      <c r="D630" s="1082">
        <f t="shared" si="30"/>
        <v>25.26</v>
      </c>
      <c r="E630" s="1082">
        <v>25.26</v>
      </c>
      <c r="F630" s="1082" t="s">
        <v>2429</v>
      </c>
      <c r="G630" s="1082" t="s">
        <v>2429</v>
      </c>
      <c r="H630" s="1082"/>
      <c r="I630" s="1072" t="s">
        <v>2429</v>
      </c>
    </row>
    <row r="631" spans="1:9" x14ac:dyDescent="0.25">
      <c r="A631" s="1079">
        <f t="shared" si="31"/>
        <v>1</v>
      </c>
      <c r="B631" s="1079" t="s">
        <v>2538</v>
      </c>
      <c r="C631" s="1080" t="s">
        <v>2478</v>
      </c>
      <c r="D631" s="1082">
        <f t="shared" si="30"/>
        <v>231.57142857142856</v>
      </c>
      <c r="E631" s="1082">
        <v>231.57142857142856</v>
      </c>
      <c r="F631" s="1082" t="s">
        <v>2429</v>
      </c>
      <c r="G631" s="1082" t="s">
        <v>2429</v>
      </c>
      <c r="H631" s="1082"/>
      <c r="I631" s="1072" t="s">
        <v>2429</v>
      </c>
    </row>
    <row r="632" spans="1:9" x14ac:dyDescent="0.25">
      <c r="A632" s="1079">
        <f t="shared" si="31"/>
        <v>1</v>
      </c>
      <c r="B632" s="1079" t="s">
        <v>2539</v>
      </c>
      <c r="C632" s="1080" t="s">
        <v>1481</v>
      </c>
      <c r="D632" s="1082">
        <f t="shared" si="30"/>
        <v>57.6</v>
      </c>
      <c r="E632" s="1082">
        <v>57.6</v>
      </c>
      <c r="F632" s="1082" t="s">
        <v>2429</v>
      </c>
      <c r="G632" s="1082" t="s">
        <v>2429</v>
      </c>
      <c r="H632" s="1082"/>
      <c r="I632" s="1072" t="s">
        <v>2429</v>
      </c>
    </row>
    <row r="633" spans="1:9" x14ac:dyDescent="0.25">
      <c r="A633" s="1079">
        <f t="shared" si="31"/>
        <v>1</v>
      </c>
      <c r="B633" s="1079" t="s">
        <v>2255</v>
      </c>
      <c r="C633" s="1080" t="s">
        <v>2478</v>
      </c>
      <c r="D633" s="1082">
        <f t="shared" si="30"/>
        <v>36.111111111111114</v>
      </c>
      <c r="E633" s="1082">
        <v>36.111111111111114</v>
      </c>
      <c r="F633" s="1082" t="s">
        <v>2429</v>
      </c>
      <c r="G633" s="1082" t="s">
        <v>2429</v>
      </c>
      <c r="H633" s="1082"/>
      <c r="I633" s="1072" t="s">
        <v>2429</v>
      </c>
    </row>
    <row r="634" spans="1:9" x14ac:dyDescent="0.25">
      <c r="A634" s="1079">
        <f t="shared" si="31"/>
        <v>1</v>
      </c>
      <c r="B634" s="1079" t="s">
        <v>2257</v>
      </c>
      <c r="C634" s="1080" t="s">
        <v>2478</v>
      </c>
      <c r="D634" s="1082">
        <f t="shared" si="30"/>
        <v>22.049999999999997</v>
      </c>
      <c r="E634" s="1082">
        <v>22.049999999999997</v>
      </c>
      <c r="F634" s="1082" t="s">
        <v>2429</v>
      </c>
      <c r="G634" s="1082" t="s">
        <v>2429</v>
      </c>
      <c r="H634" s="1082"/>
      <c r="I634" s="1072" t="s">
        <v>2429</v>
      </c>
    </row>
    <row r="635" spans="1:9" x14ac:dyDescent="0.25">
      <c r="A635" s="1079">
        <f t="shared" si="31"/>
        <v>1</v>
      </c>
      <c r="B635" s="1079" t="s">
        <v>2540</v>
      </c>
      <c r="C635" s="1080" t="s">
        <v>2478</v>
      </c>
      <c r="D635" s="1082">
        <f t="shared" si="30"/>
        <v>32.233125000000001</v>
      </c>
      <c r="E635" s="1082">
        <v>32.233125000000001</v>
      </c>
      <c r="F635" s="1082" t="s">
        <v>2429</v>
      </c>
      <c r="G635" s="1082" t="s">
        <v>2429</v>
      </c>
      <c r="H635" s="1082"/>
      <c r="I635" s="1072" t="s">
        <v>2429</v>
      </c>
    </row>
    <row r="636" spans="1:9" x14ac:dyDescent="0.25">
      <c r="A636" s="1079">
        <f t="shared" si="31"/>
        <v>1</v>
      </c>
      <c r="B636" s="1079" t="s">
        <v>2541</v>
      </c>
      <c r="C636" s="1080" t="s">
        <v>2478</v>
      </c>
      <c r="D636" s="1082">
        <f t="shared" si="30"/>
        <v>58.89875</v>
      </c>
      <c r="E636" s="1082">
        <v>58.89875</v>
      </c>
      <c r="F636" s="1082" t="s">
        <v>2429</v>
      </c>
      <c r="G636" s="1082" t="s">
        <v>2429</v>
      </c>
      <c r="H636" s="1082"/>
      <c r="I636" s="1072" t="s">
        <v>2429</v>
      </c>
    </row>
    <row r="637" spans="1:9" x14ac:dyDescent="0.25">
      <c r="A637" s="1079">
        <f t="shared" si="31"/>
        <v>1</v>
      </c>
      <c r="B637" s="1079" t="s">
        <v>2542</v>
      </c>
      <c r="C637" s="1080" t="s">
        <v>2478</v>
      </c>
      <c r="D637" s="1082">
        <f t="shared" si="30"/>
        <v>70.478124999999991</v>
      </c>
      <c r="E637" s="1082">
        <v>70.478124999999991</v>
      </c>
      <c r="F637" s="1082" t="s">
        <v>2429</v>
      </c>
      <c r="G637" s="1082" t="s">
        <v>2429</v>
      </c>
      <c r="H637" s="1082"/>
      <c r="I637" s="1072" t="s">
        <v>2429</v>
      </c>
    </row>
    <row r="638" spans="1:9" x14ac:dyDescent="0.25">
      <c r="A638" s="1079">
        <f t="shared" si="31"/>
        <v>1</v>
      </c>
      <c r="B638" s="1079" t="s">
        <v>2543</v>
      </c>
      <c r="C638" s="1080" t="s">
        <v>2478</v>
      </c>
      <c r="D638" s="1082">
        <f t="shared" si="30"/>
        <v>72.084374999999994</v>
      </c>
      <c r="E638" s="1082">
        <v>72.084374999999994</v>
      </c>
      <c r="F638" s="1082" t="s">
        <v>2429</v>
      </c>
      <c r="G638" s="1082" t="s">
        <v>2429</v>
      </c>
      <c r="H638" s="1082"/>
      <c r="I638" s="1072" t="s">
        <v>2429</v>
      </c>
    </row>
    <row r="639" spans="1:9" x14ac:dyDescent="0.25">
      <c r="A639" s="1079">
        <f t="shared" si="31"/>
        <v>1</v>
      </c>
      <c r="B639" s="1079" t="s">
        <v>2544</v>
      </c>
      <c r="C639" s="1080" t="s">
        <v>2478</v>
      </c>
      <c r="D639" s="1082">
        <f t="shared" si="30"/>
        <v>25.833333333333332</v>
      </c>
      <c r="E639" s="1082">
        <v>25.833333333333332</v>
      </c>
      <c r="F639" s="1082" t="s">
        <v>2429</v>
      </c>
      <c r="G639" s="1082" t="s">
        <v>2429</v>
      </c>
      <c r="H639" s="1082"/>
      <c r="I639" s="1072" t="s">
        <v>2429</v>
      </c>
    </row>
    <row r="640" spans="1:9" x14ac:dyDescent="0.25">
      <c r="A640" s="1079">
        <f t="shared" si="31"/>
        <v>1</v>
      </c>
      <c r="B640" s="1079" t="s">
        <v>2545</v>
      </c>
      <c r="C640" s="1080" t="s">
        <v>2478</v>
      </c>
      <c r="D640" s="1082">
        <f t="shared" si="30"/>
        <v>88.262499999999989</v>
      </c>
      <c r="E640" s="1082">
        <v>88.262499999999989</v>
      </c>
      <c r="F640" s="1082" t="s">
        <v>2429</v>
      </c>
      <c r="G640" s="1082" t="s">
        <v>2429</v>
      </c>
      <c r="H640" s="1082"/>
      <c r="I640" s="1072" t="s">
        <v>2429</v>
      </c>
    </row>
    <row r="641" spans="1:9" x14ac:dyDescent="0.25">
      <c r="A641" s="1079">
        <f t="shared" si="31"/>
        <v>1</v>
      </c>
      <c r="B641" s="1079" t="s">
        <v>2546</v>
      </c>
      <c r="C641" s="1080" t="s">
        <v>2478</v>
      </c>
      <c r="D641" s="1082">
        <f t="shared" si="30"/>
        <v>28.833333333333332</v>
      </c>
      <c r="E641" s="1082">
        <v>28.833333333333332</v>
      </c>
      <c r="F641" s="1082" t="s">
        <v>2429</v>
      </c>
      <c r="G641" s="1082" t="s">
        <v>2429</v>
      </c>
      <c r="H641" s="1082"/>
      <c r="I641" s="1072" t="s">
        <v>2429</v>
      </c>
    </row>
    <row r="642" spans="1:9" x14ac:dyDescent="0.25">
      <c r="A642" s="1079">
        <f t="shared" si="31"/>
        <v>1</v>
      </c>
      <c r="B642" s="1079" t="s">
        <v>2065</v>
      </c>
      <c r="C642" s="1080" t="s">
        <v>2478</v>
      </c>
      <c r="D642" s="1082">
        <f t="shared" si="30"/>
        <v>19.444444444444443</v>
      </c>
      <c r="E642" s="1082">
        <f>350/18</f>
        <v>19.444444444444443</v>
      </c>
      <c r="F642" s="1082" t="s">
        <v>2429</v>
      </c>
      <c r="G642" s="1082" t="s">
        <v>2429</v>
      </c>
      <c r="H642" s="1082"/>
      <c r="I642" s="1072" t="s">
        <v>2429</v>
      </c>
    </row>
    <row r="643" spans="1:9" x14ac:dyDescent="0.25">
      <c r="A643" s="1079">
        <f t="shared" si="31"/>
        <v>1</v>
      </c>
      <c r="B643" s="1079" t="s">
        <v>2064</v>
      </c>
      <c r="C643" s="1080" t="s">
        <v>2478</v>
      </c>
      <c r="D643" s="1082">
        <f t="shared" si="30"/>
        <v>69.444444444444443</v>
      </c>
      <c r="E643" s="1082">
        <f>1250/18</f>
        <v>69.444444444444443</v>
      </c>
      <c r="F643" s="1082" t="s">
        <v>2429</v>
      </c>
      <c r="G643" s="1082" t="s">
        <v>2429</v>
      </c>
      <c r="H643" s="1082"/>
      <c r="I643" s="1072" t="s">
        <v>2429</v>
      </c>
    </row>
    <row r="644" spans="1:9" x14ac:dyDescent="0.25">
      <c r="A644" s="1079">
        <f t="shared" si="31"/>
        <v>1</v>
      </c>
      <c r="B644" s="1079" t="s">
        <v>2259</v>
      </c>
      <c r="C644" s="1080" t="s">
        <v>2478</v>
      </c>
      <c r="D644" s="1082">
        <f t="shared" si="30"/>
        <v>62.432499999999997</v>
      </c>
      <c r="E644" s="1082">
        <v>62.432499999999997</v>
      </c>
      <c r="F644" s="1082" t="s">
        <v>2429</v>
      </c>
      <c r="G644" s="1082" t="s">
        <v>2429</v>
      </c>
      <c r="H644" s="1082"/>
      <c r="I644" s="1072" t="s">
        <v>2429</v>
      </c>
    </row>
    <row r="645" spans="1:9" x14ac:dyDescent="0.25">
      <c r="A645" s="1079">
        <f t="shared" si="31"/>
        <v>1</v>
      </c>
      <c r="B645" s="1079" t="s">
        <v>2261</v>
      </c>
      <c r="C645" s="1080" t="s">
        <v>2478</v>
      </c>
      <c r="D645" s="1082">
        <f t="shared" si="30"/>
        <v>38.277777777777779</v>
      </c>
      <c r="E645" s="1082">
        <v>38.277777777777779</v>
      </c>
      <c r="F645" s="1082" t="s">
        <v>2429</v>
      </c>
      <c r="G645" s="1082" t="s">
        <v>2429</v>
      </c>
      <c r="H645" s="1082"/>
      <c r="I645" s="1072" t="s">
        <v>2429</v>
      </c>
    </row>
    <row r="646" spans="1:9" x14ac:dyDescent="0.25">
      <c r="A646" s="1079">
        <f t="shared" si="31"/>
        <v>1</v>
      </c>
      <c r="B646" s="1079" t="s">
        <v>2156</v>
      </c>
      <c r="C646" s="1080" t="s">
        <v>491</v>
      </c>
      <c r="D646" s="1082">
        <f t="shared" ref="D646:D670" si="36">E646*$D$1</f>
        <v>31.7</v>
      </c>
      <c r="E646" s="1082">
        <v>31.7</v>
      </c>
      <c r="F646" s="1082" t="s">
        <v>2429</v>
      </c>
      <c r="G646" s="1082" t="s">
        <v>2429</v>
      </c>
      <c r="H646" s="1082"/>
      <c r="I646" s="1072" t="s">
        <v>2429</v>
      </c>
    </row>
    <row r="647" spans="1:9" x14ac:dyDescent="0.25">
      <c r="A647" s="1079">
        <f t="shared" si="31"/>
        <v>1</v>
      </c>
      <c r="B647" s="1079" t="s">
        <v>1383</v>
      </c>
      <c r="C647" s="1080" t="s">
        <v>2478</v>
      </c>
      <c r="D647" s="1082">
        <f t="shared" si="36"/>
        <v>16</v>
      </c>
      <c r="E647" s="1082">
        <v>16</v>
      </c>
      <c r="F647" s="1082" t="s">
        <v>2429</v>
      </c>
      <c r="G647" s="1082" t="s">
        <v>2429</v>
      </c>
      <c r="H647" s="1082"/>
      <c r="I647" s="1072" t="s">
        <v>2429</v>
      </c>
    </row>
    <row r="648" spans="1:9" x14ac:dyDescent="0.25">
      <c r="A648" s="1079">
        <f t="shared" si="31"/>
        <v>1</v>
      </c>
      <c r="B648" s="1079" t="s">
        <v>2547</v>
      </c>
      <c r="C648" s="1080" t="s">
        <v>1481</v>
      </c>
      <c r="D648" s="1082">
        <f t="shared" si="36"/>
        <v>6.666666666666667</v>
      </c>
      <c r="E648" s="1082">
        <v>6.666666666666667</v>
      </c>
      <c r="F648" s="1082" t="s">
        <v>2429</v>
      </c>
      <c r="G648" s="1082" t="s">
        <v>2429</v>
      </c>
      <c r="H648" s="1082"/>
      <c r="I648" s="1072" t="s">
        <v>2429</v>
      </c>
    </row>
    <row r="649" spans="1:9" x14ac:dyDescent="0.25">
      <c r="A649" s="1079">
        <f t="shared" si="31"/>
        <v>1</v>
      </c>
      <c r="B649" s="1079" t="s">
        <v>2234</v>
      </c>
      <c r="C649" s="1080" t="s">
        <v>1481</v>
      </c>
      <c r="D649" s="1082">
        <f t="shared" si="36"/>
        <v>69.444444444444443</v>
      </c>
      <c r="E649" s="1082">
        <f>1250/18</f>
        <v>69.444444444444443</v>
      </c>
      <c r="F649" s="1082" t="s">
        <v>2429</v>
      </c>
      <c r="G649" s="1082" t="s">
        <v>2429</v>
      </c>
      <c r="H649" s="1082"/>
      <c r="I649" s="1072" t="s">
        <v>2429</v>
      </c>
    </row>
    <row r="650" spans="1:9" x14ac:dyDescent="0.25">
      <c r="A650" s="1079">
        <f t="shared" si="31"/>
        <v>1</v>
      </c>
      <c r="B650" s="1079" t="s">
        <v>2242</v>
      </c>
      <c r="C650" s="1080" t="s">
        <v>1481</v>
      </c>
      <c r="D650" s="1082">
        <f t="shared" si="36"/>
        <v>8.3960000000000008</v>
      </c>
      <c r="E650" s="1082">
        <v>8.3960000000000008</v>
      </c>
      <c r="F650" s="1082" t="s">
        <v>2429</v>
      </c>
      <c r="G650" s="1082" t="s">
        <v>2429</v>
      </c>
      <c r="H650" s="1082"/>
      <c r="I650" s="1072" t="s">
        <v>2429</v>
      </c>
    </row>
    <row r="651" spans="1:9" x14ac:dyDescent="0.25">
      <c r="A651" s="1079">
        <f t="shared" si="31"/>
        <v>1</v>
      </c>
      <c r="B651" s="1079" t="s">
        <v>2240</v>
      </c>
      <c r="C651" s="1080" t="s">
        <v>1481</v>
      </c>
      <c r="D651" s="1082">
        <f t="shared" si="36"/>
        <v>21.19047619047619</v>
      </c>
      <c r="E651" s="1082">
        <v>21.19047619047619</v>
      </c>
      <c r="F651" s="1082" t="s">
        <v>2429</v>
      </c>
      <c r="G651" s="1082" t="s">
        <v>2429</v>
      </c>
      <c r="H651" s="1082"/>
      <c r="I651" s="1072" t="s">
        <v>2429</v>
      </c>
    </row>
    <row r="652" spans="1:9" ht="16.5" customHeight="1" x14ac:dyDescent="0.25">
      <c r="A652" s="1079">
        <f t="shared" si="31"/>
        <v>1</v>
      </c>
      <c r="B652" s="1079" t="s">
        <v>2238</v>
      </c>
      <c r="C652" s="1080" t="s">
        <v>1481</v>
      </c>
      <c r="D652" s="1082">
        <f t="shared" si="36"/>
        <v>28</v>
      </c>
      <c r="E652" s="1082">
        <v>28</v>
      </c>
      <c r="F652" s="1082" t="s">
        <v>2429</v>
      </c>
      <c r="G652" s="1082" t="s">
        <v>2429</v>
      </c>
      <c r="H652" s="1082"/>
      <c r="I652" s="1072" t="s">
        <v>2429</v>
      </c>
    </row>
    <row r="653" spans="1:9" x14ac:dyDescent="0.25">
      <c r="A653" s="1079">
        <f t="shared" si="31"/>
        <v>1</v>
      </c>
      <c r="B653" s="1079" t="s">
        <v>2187</v>
      </c>
      <c r="C653" s="1080" t="s">
        <v>2478</v>
      </c>
      <c r="D653" s="1082">
        <f t="shared" si="36"/>
        <v>66.21875</v>
      </c>
      <c r="E653" s="1082">
        <f>211.9/3.2</f>
        <v>66.21875</v>
      </c>
      <c r="F653" s="1082" t="s">
        <v>2429</v>
      </c>
      <c r="G653" s="1082" t="s">
        <v>2429</v>
      </c>
      <c r="H653" s="1082"/>
      <c r="I653" s="1072" t="s">
        <v>2429</v>
      </c>
    </row>
    <row r="654" spans="1:9" x14ac:dyDescent="0.25">
      <c r="A654" s="1079">
        <f t="shared" si="31"/>
        <v>1</v>
      </c>
      <c r="B654" s="1079" t="s">
        <v>2184</v>
      </c>
      <c r="C654" s="1080" t="s">
        <v>2478</v>
      </c>
      <c r="D654" s="1082">
        <f t="shared" si="36"/>
        <v>59.65625</v>
      </c>
      <c r="E654" s="1082">
        <f>190.9/3.2</f>
        <v>59.65625</v>
      </c>
      <c r="F654" s="1082" t="s">
        <v>2429</v>
      </c>
      <c r="G654" s="1082" t="s">
        <v>2429</v>
      </c>
      <c r="H654" s="1082"/>
      <c r="I654" s="1072" t="s">
        <v>2429</v>
      </c>
    </row>
    <row r="655" spans="1:9" x14ac:dyDescent="0.25">
      <c r="A655" s="1079">
        <f t="shared" si="31"/>
        <v>1</v>
      </c>
      <c r="B655" s="1079" t="s">
        <v>2189</v>
      </c>
      <c r="C655" s="1080" t="s">
        <v>2478</v>
      </c>
      <c r="D655" s="1082">
        <f t="shared" si="36"/>
        <v>66.306250000000006</v>
      </c>
      <c r="E655" s="1082">
        <f>1060.9/16</f>
        <v>66.306250000000006</v>
      </c>
      <c r="F655" s="1082" t="s">
        <v>2429</v>
      </c>
      <c r="G655" s="1082" t="s">
        <v>2429</v>
      </c>
      <c r="H655" s="1082"/>
      <c r="I655" s="1072" t="s">
        <v>2429</v>
      </c>
    </row>
    <row r="656" spans="1:9" x14ac:dyDescent="0.25">
      <c r="A656" s="1079">
        <f t="shared" si="31"/>
        <v>1</v>
      </c>
      <c r="B656" s="1079" t="s">
        <v>2195</v>
      </c>
      <c r="C656" s="1080" t="s">
        <v>2478</v>
      </c>
      <c r="D656" s="1082">
        <f t="shared" si="36"/>
        <v>54.243749999999999</v>
      </c>
      <c r="E656" s="1082">
        <f>867.9/16</f>
        <v>54.243749999999999</v>
      </c>
      <c r="F656" s="1082" t="s">
        <v>2429</v>
      </c>
      <c r="G656" s="1082" t="s">
        <v>2429</v>
      </c>
      <c r="H656" s="1082"/>
      <c r="I656" s="1072" t="s">
        <v>2429</v>
      </c>
    </row>
    <row r="657" spans="1:9" x14ac:dyDescent="0.25">
      <c r="A657" s="1079">
        <f t="shared" si="31"/>
        <v>1</v>
      </c>
      <c r="B657" s="1079" t="s">
        <v>2193</v>
      </c>
      <c r="C657" s="1080" t="s">
        <v>2478</v>
      </c>
      <c r="D657" s="1082">
        <f t="shared" si="36"/>
        <v>45.618749999999999</v>
      </c>
      <c r="E657" s="1082">
        <f>729.9/16</f>
        <v>45.618749999999999</v>
      </c>
      <c r="F657" s="1082" t="s">
        <v>2429</v>
      </c>
      <c r="G657" s="1082" t="s">
        <v>2429</v>
      </c>
      <c r="H657" s="1082"/>
      <c r="I657" s="1072" t="s">
        <v>2429</v>
      </c>
    </row>
    <row r="658" spans="1:9" x14ac:dyDescent="0.25">
      <c r="A658" s="1079">
        <f t="shared" si="31"/>
        <v>1</v>
      </c>
      <c r="B658" s="1079" t="s">
        <v>2197</v>
      </c>
      <c r="C658" s="1080" t="s">
        <v>2478</v>
      </c>
      <c r="D658" s="1082">
        <f t="shared" si="36"/>
        <v>55.431249999999999</v>
      </c>
      <c r="E658" s="1082">
        <f>886.9/16</f>
        <v>55.431249999999999</v>
      </c>
      <c r="F658" s="1082" t="s">
        <v>2429</v>
      </c>
      <c r="G658" s="1082" t="s">
        <v>2429</v>
      </c>
      <c r="H658" s="1082"/>
      <c r="I658" s="1072" t="s">
        <v>2429</v>
      </c>
    </row>
    <row r="659" spans="1:9" x14ac:dyDescent="0.25">
      <c r="A659" s="1079">
        <f t="shared" si="31"/>
        <v>1</v>
      </c>
      <c r="B659" s="1079" t="s">
        <v>2199</v>
      </c>
      <c r="C659" s="1080" t="s">
        <v>2478</v>
      </c>
      <c r="D659" s="1082">
        <f t="shared" si="36"/>
        <v>34.43888888888889</v>
      </c>
      <c r="E659" s="1082">
        <f>619.9/18</f>
        <v>34.43888888888889</v>
      </c>
      <c r="F659" s="1082" t="s">
        <v>2429</v>
      </c>
      <c r="G659" s="1082" t="s">
        <v>2429</v>
      </c>
      <c r="H659" s="1082"/>
      <c r="I659" s="1072" t="s">
        <v>2429</v>
      </c>
    </row>
    <row r="660" spans="1:9" x14ac:dyDescent="0.25">
      <c r="A660" s="1079">
        <f t="shared" si="31"/>
        <v>1</v>
      </c>
      <c r="B660" s="1079" t="s">
        <v>2191</v>
      </c>
      <c r="C660" s="1080" t="s">
        <v>2478</v>
      </c>
      <c r="D660" s="1082">
        <f t="shared" si="36"/>
        <v>42.772222222222219</v>
      </c>
      <c r="E660" s="1082">
        <f>769.9/18</f>
        <v>42.772222222222219</v>
      </c>
      <c r="F660" s="1082" t="s">
        <v>2429</v>
      </c>
      <c r="G660" s="1082" t="s">
        <v>2429</v>
      </c>
      <c r="H660" s="1082"/>
      <c r="I660" s="1072" t="s">
        <v>2429</v>
      </c>
    </row>
    <row r="661" spans="1:9" x14ac:dyDescent="0.25">
      <c r="A661" s="1079">
        <f t="shared" si="31"/>
        <v>1</v>
      </c>
      <c r="B661" s="1079" t="s">
        <v>2201</v>
      </c>
      <c r="C661" s="1080" t="s">
        <v>2478</v>
      </c>
      <c r="D661" s="1082">
        <f t="shared" si="36"/>
        <v>23.049999999999997</v>
      </c>
      <c r="E661" s="1082">
        <f>414.9/18</f>
        <v>23.049999999999997</v>
      </c>
      <c r="F661" s="1082" t="s">
        <v>2429</v>
      </c>
      <c r="G661" s="1082" t="s">
        <v>2429</v>
      </c>
      <c r="H661" s="1082"/>
      <c r="I661" s="1072" t="s">
        <v>2429</v>
      </c>
    </row>
    <row r="662" spans="1:9" x14ac:dyDescent="0.25">
      <c r="A662" s="1079">
        <f t="shared" si="31"/>
        <v>1</v>
      </c>
      <c r="B662" s="1079" t="s">
        <v>1388</v>
      </c>
      <c r="C662" s="1080" t="s">
        <v>2478</v>
      </c>
      <c r="D662" s="1082">
        <f t="shared" si="36"/>
        <v>23.01</v>
      </c>
      <c r="E662" s="1082">
        <v>23.01</v>
      </c>
      <c r="F662" s="1082" t="s">
        <v>2429</v>
      </c>
      <c r="G662" s="1082" t="s">
        <v>2429</v>
      </c>
      <c r="H662" s="1082"/>
      <c r="I662" s="1072" t="s">
        <v>2429</v>
      </c>
    </row>
    <row r="663" spans="1:9" x14ac:dyDescent="0.25">
      <c r="A663" s="1079">
        <f t="shared" si="31"/>
        <v>1</v>
      </c>
      <c r="B663" s="1079" t="s">
        <v>2410</v>
      </c>
      <c r="C663" s="1080" t="s">
        <v>2478</v>
      </c>
      <c r="D663" s="1082">
        <f t="shared" si="36"/>
        <v>35.42</v>
      </c>
      <c r="E663" s="1082">
        <v>35.42</v>
      </c>
      <c r="F663" s="1082" t="s">
        <v>2429</v>
      </c>
      <c r="G663" s="1082" t="s">
        <v>2429</v>
      </c>
      <c r="H663" s="1082"/>
      <c r="I663" s="1072" t="s">
        <v>2429</v>
      </c>
    </row>
    <row r="664" spans="1:9" x14ac:dyDescent="0.25">
      <c r="A664" s="1079">
        <f t="shared" si="31"/>
        <v>1</v>
      </c>
      <c r="B664" s="1079" t="s">
        <v>2057</v>
      </c>
      <c r="C664" s="1080" t="s">
        <v>2478</v>
      </c>
      <c r="D664" s="1082">
        <f t="shared" si="36"/>
        <v>24.5</v>
      </c>
      <c r="E664" s="1082">
        <v>24.5</v>
      </c>
      <c r="F664" s="1082" t="s">
        <v>2429</v>
      </c>
      <c r="G664" s="1082" t="s">
        <v>2429</v>
      </c>
      <c r="H664" s="1082"/>
      <c r="I664" s="1072" t="s">
        <v>2429</v>
      </c>
    </row>
    <row r="665" spans="1:9" x14ac:dyDescent="0.25">
      <c r="A665" s="1079">
        <f t="shared" si="31"/>
        <v>1</v>
      </c>
      <c r="B665" s="1079" t="s">
        <v>2042</v>
      </c>
      <c r="C665" s="1080" t="s">
        <v>2478</v>
      </c>
      <c r="D665" s="1082">
        <f t="shared" si="36"/>
        <v>101.92</v>
      </c>
      <c r="E665" s="1082">
        <v>101.92</v>
      </c>
      <c r="F665" s="1082" t="s">
        <v>2429</v>
      </c>
      <c r="G665" s="1082" t="s">
        <v>2429</v>
      </c>
      <c r="H665" s="1082"/>
      <c r="I665" s="1072" t="s">
        <v>2429</v>
      </c>
    </row>
    <row r="666" spans="1:9" x14ac:dyDescent="0.25">
      <c r="A666" s="1079">
        <f t="shared" si="31"/>
        <v>1</v>
      </c>
      <c r="B666" s="1079" t="s">
        <v>2053</v>
      </c>
      <c r="C666" s="1080" t="s">
        <v>2478</v>
      </c>
      <c r="D666" s="1082">
        <f t="shared" si="36"/>
        <v>40.25</v>
      </c>
      <c r="E666" s="1082">
        <v>40.25</v>
      </c>
      <c r="F666" s="1082" t="s">
        <v>2429</v>
      </c>
      <c r="G666" s="1082" t="s">
        <v>2429</v>
      </c>
      <c r="H666" s="1082"/>
      <c r="I666" s="1072" t="s">
        <v>2429</v>
      </c>
    </row>
    <row r="667" spans="1:9" x14ac:dyDescent="0.25">
      <c r="A667" s="1079">
        <f t="shared" si="31"/>
        <v>1</v>
      </c>
      <c r="B667" s="1079" t="s">
        <v>2411</v>
      </c>
      <c r="C667" s="1080" t="s">
        <v>2478</v>
      </c>
      <c r="D667" s="1082">
        <f t="shared" si="36"/>
        <v>40.25</v>
      </c>
      <c r="E667" s="1082">
        <v>40.25</v>
      </c>
      <c r="F667" s="1082" t="s">
        <v>2429</v>
      </c>
      <c r="G667" s="1082" t="s">
        <v>2429</v>
      </c>
      <c r="H667" s="1082"/>
      <c r="I667" s="1072" t="s">
        <v>2429</v>
      </c>
    </row>
    <row r="668" spans="1:9" x14ac:dyDescent="0.25">
      <c r="A668" s="1079">
        <f t="shared" si="31"/>
        <v>1</v>
      </c>
      <c r="B668" s="1079" t="s">
        <v>2412</v>
      </c>
      <c r="C668" s="1080" t="s">
        <v>1481</v>
      </c>
      <c r="D668" s="1082">
        <f t="shared" si="36"/>
        <v>23.2</v>
      </c>
      <c r="E668" s="1082">
        <v>23.2</v>
      </c>
      <c r="F668" s="1082" t="s">
        <v>2429</v>
      </c>
      <c r="G668" s="1082" t="s">
        <v>2429</v>
      </c>
      <c r="H668" s="1082"/>
      <c r="I668" s="1072" t="s">
        <v>2429</v>
      </c>
    </row>
    <row r="669" spans="1:9" x14ac:dyDescent="0.25">
      <c r="A669" s="1079">
        <f t="shared" si="31"/>
        <v>1</v>
      </c>
      <c r="B669" s="1079" t="s">
        <v>1382</v>
      </c>
      <c r="C669" s="1080" t="s">
        <v>1481</v>
      </c>
      <c r="D669" s="1082">
        <f t="shared" si="36"/>
        <v>10</v>
      </c>
      <c r="E669" s="1082">
        <v>10</v>
      </c>
      <c r="F669" s="1082" t="s">
        <v>2429</v>
      </c>
      <c r="G669" s="1082" t="s">
        <v>2429</v>
      </c>
      <c r="H669" s="1082"/>
      <c r="I669" s="1072" t="s">
        <v>2429</v>
      </c>
    </row>
    <row r="670" spans="1:9" x14ac:dyDescent="0.25">
      <c r="A670" s="1079">
        <f t="shared" si="31"/>
        <v>1</v>
      </c>
      <c r="B670" s="1079" t="s">
        <v>1381</v>
      </c>
      <c r="C670" s="1080" t="s">
        <v>2478</v>
      </c>
      <c r="D670" s="1082">
        <f t="shared" si="36"/>
        <v>8.5</v>
      </c>
      <c r="E670" s="1082">
        <v>8.5</v>
      </c>
      <c r="F670" s="1082" t="s">
        <v>2429</v>
      </c>
      <c r="G670" s="1082" t="s">
        <v>2429</v>
      </c>
      <c r="H670" s="1082"/>
      <c r="I670" s="1072" t="s">
        <v>2429</v>
      </c>
    </row>
  </sheetData>
  <autoFilter ref="A1:G670" xr:uid="{6024B194-CE11-463E-BD4A-0F20E9A7542D}"/>
  <conditionalFormatting sqref="B362">
    <cfRule type="expression" dxfId="2090" priority="4">
      <formula>$B362="Subetapa"</formula>
    </cfRule>
    <cfRule type="expression" dxfId="2089" priority="5">
      <formula>$B362="Serviço"</formula>
    </cfRule>
  </conditionalFormatting>
  <conditionalFormatting sqref="B607">
    <cfRule type="expression" dxfId="2088" priority="1">
      <formula>$B607="Subetapa"</formula>
    </cfRule>
    <cfRule type="expression" dxfId="2087" priority="2">
      <formula>$B607="Serviço"</formula>
    </cfRule>
    <cfRule type="expression" dxfId="2086" priority="3">
      <formula>$B607="Subetapa"</formula>
    </cfRule>
  </conditionalFormatting>
  <hyperlinks>
    <hyperlink ref="B437" r:id="rId1" display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xr:uid="{E3AF72F5-317F-4BEE-A937-400C93FBD64A}"/>
    <hyperlink ref="B431" r:id="rId2" display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xr:uid="{C5AC5345-71FF-495B-89AD-9FFB96620732}"/>
    <hyperlink ref="H159" r:id="rId3" xr:uid="{67034DB4-AD19-4618-A7F2-68EE355A6274}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3F28-FBBB-4EE2-9560-4BE401A2AAB0}">
  <sheetPr>
    <tabColor rgb="FF1851D6"/>
    <pageSetUpPr fitToPage="1"/>
  </sheetPr>
  <dimension ref="A1:AE90"/>
  <sheetViews>
    <sheetView showGridLines="0" view="pageBreakPreview" zoomScale="85" zoomScaleNormal="70" zoomScaleSheetLayoutView="85" workbookViewId="0">
      <pane xSplit="9" ySplit="8" topLeftCell="J9" activePane="bottomRight" state="frozen"/>
      <selection activeCell="C121" sqref="C121"/>
      <selection pane="topRight" activeCell="C121" sqref="C121"/>
      <selection pane="bottomLeft" activeCell="C121" sqref="C121"/>
      <selection pane="bottomRight" activeCell="M8" sqref="M8"/>
    </sheetView>
  </sheetViews>
  <sheetFormatPr defaultRowHeight="11.25" x14ac:dyDescent="0.2"/>
  <cols>
    <col min="1" max="1" width="13.7109375" style="4" customWidth="1"/>
    <col min="2" max="2" width="8" style="4" customWidth="1"/>
    <col min="3" max="3" width="7.28515625" style="4" customWidth="1"/>
    <col min="4" max="4" width="11.42578125" style="4" customWidth="1"/>
    <col min="5" max="5" width="20.7109375" style="4" bestFit="1" customWidth="1"/>
    <col min="6" max="7" width="11.42578125" style="4" customWidth="1"/>
    <col min="8" max="8" width="16.5703125" style="4" bestFit="1" customWidth="1"/>
    <col min="9" max="13" width="11.42578125" style="4" customWidth="1"/>
    <col min="14" max="14" width="8.7109375" style="4" bestFit="1" customWidth="1"/>
    <col min="15" max="15" width="11.42578125" style="4" customWidth="1"/>
    <col min="16" max="16" width="14.7109375" style="4" bestFit="1" customWidth="1"/>
    <col min="17" max="20" width="11.42578125" style="4" customWidth="1"/>
    <col min="21" max="21" width="10.28515625" style="4" customWidth="1"/>
    <col min="22" max="22" width="6.85546875" style="4" bestFit="1" customWidth="1"/>
    <col min="23" max="23" width="19.28515625" style="4" bestFit="1" customWidth="1"/>
    <col min="24" max="28" width="9.140625" style="4"/>
    <col min="29" max="29" width="1.5703125" style="4" customWidth="1"/>
    <col min="30" max="254" width="9.140625" style="4"/>
    <col min="255" max="255" width="18.7109375" style="4" customWidth="1"/>
    <col min="256" max="256" width="25.140625" style="4" customWidth="1"/>
    <col min="257" max="259" width="7.5703125" style="4" customWidth="1"/>
    <col min="260" max="262" width="6.7109375" style="4" customWidth="1"/>
    <col min="263" max="266" width="7.5703125" style="4" customWidth="1"/>
    <col min="267" max="267" width="8.140625" style="4" customWidth="1"/>
    <col min="268" max="268" width="8.42578125" style="4" customWidth="1"/>
    <col min="269" max="269" width="9.28515625" style="4" customWidth="1"/>
    <col min="270" max="270" width="8.42578125" style="4" customWidth="1"/>
    <col min="271" max="271" width="11.28515625" style="4" customWidth="1"/>
    <col min="272" max="272" width="9.28515625" style="4" customWidth="1"/>
    <col min="273" max="510" width="9.140625" style="4"/>
    <col min="511" max="511" width="18.7109375" style="4" customWidth="1"/>
    <col min="512" max="512" width="25.140625" style="4" customWidth="1"/>
    <col min="513" max="515" width="7.5703125" style="4" customWidth="1"/>
    <col min="516" max="518" width="6.7109375" style="4" customWidth="1"/>
    <col min="519" max="522" width="7.5703125" style="4" customWidth="1"/>
    <col min="523" max="523" width="8.140625" style="4" customWidth="1"/>
    <col min="524" max="524" width="8.42578125" style="4" customWidth="1"/>
    <col min="525" max="525" width="9.28515625" style="4" customWidth="1"/>
    <col min="526" max="526" width="8.42578125" style="4" customWidth="1"/>
    <col min="527" max="527" width="11.28515625" style="4" customWidth="1"/>
    <col min="528" max="528" width="9.28515625" style="4" customWidth="1"/>
    <col min="529" max="766" width="9.140625" style="4"/>
    <col min="767" max="767" width="18.7109375" style="4" customWidth="1"/>
    <col min="768" max="768" width="25.140625" style="4" customWidth="1"/>
    <col min="769" max="771" width="7.5703125" style="4" customWidth="1"/>
    <col min="772" max="774" width="6.7109375" style="4" customWidth="1"/>
    <col min="775" max="778" width="7.5703125" style="4" customWidth="1"/>
    <col min="779" max="779" width="8.140625" style="4" customWidth="1"/>
    <col min="780" max="780" width="8.42578125" style="4" customWidth="1"/>
    <col min="781" max="781" width="9.28515625" style="4" customWidth="1"/>
    <col min="782" max="782" width="8.42578125" style="4" customWidth="1"/>
    <col min="783" max="783" width="11.28515625" style="4" customWidth="1"/>
    <col min="784" max="784" width="9.28515625" style="4" customWidth="1"/>
    <col min="785" max="1022" width="9.140625" style="4"/>
    <col min="1023" max="1023" width="18.7109375" style="4" customWidth="1"/>
    <col min="1024" max="1024" width="25.140625" style="4" customWidth="1"/>
    <col min="1025" max="1027" width="7.5703125" style="4" customWidth="1"/>
    <col min="1028" max="1030" width="6.7109375" style="4" customWidth="1"/>
    <col min="1031" max="1034" width="7.5703125" style="4" customWidth="1"/>
    <col min="1035" max="1035" width="8.140625" style="4" customWidth="1"/>
    <col min="1036" max="1036" width="8.42578125" style="4" customWidth="1"/>
    <col min="1037" max="1037" width="9.28515625" style="4" customWidth="1"/>
    <col min="1038" max="1038" width="8.42578125" style="4" customWidth="1"/>
    <col min="1039" max="1039" width="11.28515625" style="4" customWidth="1"/>
    <col min="1040" max="1040" width="9.28515625" style="4" customWidth="1"/>
    <col min="1041" max="1278" width="9.140625" style="4"/>
    <col min="1279" max="1279" width="18.7109375" style="4" customWidth="1"/>
    <col min="1280" max="1280" width="25.140625" style="4" customWidth="1"/>
    <col min="1281" max="1283" width="7.5703125" style="4" customWidth="1"/>
    <col min="1284" max="1286" width="6.7109375" style="4" customWidth="1"/>
    <col min="1287" max="1290" width="7.5703125" style="4" customWidth="1"/>
    <col min="1291" max="1291" width="8.140625" style="4" customWidth="1"/>
    <col min="1292" max="1292" width="8.42578125" style="4" customWidth="1"/>
    <col min="1293" max="1293" width="9.28515625" style="4" customWidth="1"/>
    <col min="1294" max="1294" width="8.42578125" style="4" customWidth="1"/>
    <col min="1295" max="1295" width="11.28515625" style="4" customWidth="1"/>
    <col min="1296" max="1296" width="9.28515625" style="4" customWidth="1"/>
    <col min="1297" max="1534" width="9.140625" style="4"/>
    <col min="1535" max="1535" width="18.7109375" style="4" customWidth="1"/>
    <col min="1536" max="1536" width="25.140625" style="4" customWidth="1"/>
    <col min="1537" max="1539" width="7.5703125" style="4" customWidth="1"/>
    <col min="1540" max="1542" width="6.7109375" style="4" customWidth="1"/>
    <col min="1543" max="1546" width="7.5703125" style="4" customWidth="1"/>
    <col min="1547" max="1547" width="8.140625" style="4" customWidth="1"/>
    <col min="1548" max="1548" width="8.42578125" style="4" customWidth="1"/>
    <col min="1549" max="1549" width="9.28515625" style="4" customWidth="1"/>
    <col min="1550" max="1550" width="8.42578125" style="4" customWidth="1"/>
    <col min="1551" max="1551" width="11.28515625" style="4" customWidth="1"/>
    <col min="1552" max="1552" width="9.28515625" style="4" customWidth="1"/>
    <col min="1553" max="1790" width="9.140625" style="4"/>
    <col min="1791" max="1791" width="18.7109375" style="4" customWidth="1"/>
    <col min="1792" max="1792" width="25.140625" style="4" customWidth="1"/>
    <col min="1793" max="1795" width="7.5703125" style="4" customWidth="1"/>
    <col min="1796" max="1798" width="6.7109375" style="4" customWidth="1"/>
    <col min="1799" max="1802" width="7.5703125" style="4" customWidth="1"/>
    <col min="1803" max="1803" width="8.140625" style="4" customWidth="1"/>
    <col min="1804" max="1804" width="8.42578125" style="4" customWidth="1"/>
    <col min="1805" max="1805" width="9.28515625" style="4" customWidth="1"/>
    <col min="1806" max="1806" width="8.42578125" style="4" customWidth="1"/>
    <col min="1807" max="1807" width="11.28515625" style="4" customWidth="1"/>
    <col min="1808" max="1808" width="9.28515625" style="4" customWidth="1"/>
    <col min="1809" max="2046" width="9.140625" style="4"/>
    <col min="2047" max="2047" width="18.7109375" style="4" customWidth="1"/>
    <col min="2048" max="2048" width="25.140625" style="4" customWidth="1"/>
    <col min="2049" max="2051" width="7.5703125" style="4" customWidth="1"/>
    <col min="2052" max="2054" width="6.7109375" style="4" customWidth="1"/>
    <col min="2055" max="2058" width="7.5703125" style="4" customWidth="1"/>
    <col min="2059" max="2059" width="8.140625" style="4" customWidth="1"/>
    <col min="2060" max="2060" width="8.42578125" style="4" customWidth="1"/>
    <col min="2061" max="2061" width="9.28515625" style="4" customWidth="1"/>
    <col min="2062" max="2062" width="8.42578125" style="4" customWidth="1"/>
    <col min="2063" max="2063" width="11.28515625" style="4" customWidth="1"/>
    <col min="2064" max="2064" width="9.28515625" style="4" customWidth="1"/>
    <col min="2065" max="2302" width="9.140625" style="4"/>
    <col min="2303" max="2303" width="18.7109375" style="4" customWidth="1"/>
    <col min="2304" max="2304" width="25.140625" style="4" customWidth="1"/>
    <col min="2305" max="2307" width="7.5703125" style="4" customWidth="1"/>
    <col min="2308" max="2310" width="6.7109375" style="4" customWidth="1"/>
    <col min="2311" max="2314" width="7.5703125" style="4" customWidth="1"/>
    <col min="2315" max="2315" width="8.140625" style="4" customWidth="1"/>
    <col min="2316" max="2316" width="8.42578125" style="4" customWidth="1"/>
    <col min="2317" max="2317" width="9.28515625" style="4" customWidth="1"/>
    <col min="2318" max="2318" width="8.42578125" style="4" customWidth="1"/>
    <col min="2319" max="2319" width="11.28515625" style="4" customWidth="1"/>
    <col min="2320" max="2320" width="9.28515625" style="4" customWidth="1"/>
    <col min="2321" max="2558" width="9.140625" style="4"/>
    <col min="2559" max="2559" width="18.7109375" style="4" customWidth="1"/>
    <col min="2560" max="2560" width="25.140625" style="4" customWidth="1"/>
    <col min="2561" max="2563" width="7.5703125" style="4" customWidth="1"/>
    <col min="2564" max="2566" width="6.7109375" style="4" customWidth="1"/>
    <col min="2567" max="2570" width="7.5703125" style="4" customWidth="1"/>
    <col min="2571" max="2571" width="8.140625" style="4" customWidth="1"/>
    <col min="2572" max="2572" width="8.42578125" style="4" customWidth="1"/>
    <col min="2573" max="2573" width="9.28515625" style="4" customWidth="1"/>
    <col min="2574" max="2574" width="8.42578125" style="4" customWidth="1"/>
    <col min="2575" max="2575" width="11.28515625" style="4" customWidth="1"/>
    <col min="2576" max="2576" width="9.28515625" style="4" customWidth="1"/>
    <col min="2577" max="2814" width="9.140625" style="4"/>
    <col min="2815" max="2815" width="18.7109375" style="4" customWidth="1"/>
    <col min="2816" max="2816" width="25.140625" style="4" customWidth="1"/>
    <col min="2817" max="2819" width="7.5703125" style="4" customWidth="1"/>
    <col min="2820" max="2822" width="6.7109375" style="4" customWidth="1"/>
    <col min="2823" max="2826" width="7.5703125" style="4" customWidth="1"/>
    <col min="2827" max="2827" width="8.140625" style="4" customWidth="1"/>
    <col min="2828" max="2828" width="8.42578125" style="4" customWidth="1"/>
    <col min="2829" max="2829" width="9.28515625" style="4" customWidth="1"/>
    <col min="2830" max="2830" width="8.42578125" style="4" customWidth="1"/>
    <col min="2831" max="2831" width="11.28515625" style="4" customWidth="1"/>
    <col min="2832" max="2832" width="9.28515625" style="4" customWidth="1"/>
    <col min="2833" max="3070" width="9.140625" style="4"/>
    <col min="3071" max="3071" width="18.7109375" style="4" customWidth="1"/>
    <col min="3072" max="3072" width="25.140625" style="4" customWidth="1"/>
    <col min="3073" max="3075" width="7.5703125" style="4" customWidth="1"/>
    <col min="3076" max="3078" width="6.7109375" style="4" customWidth="1"/>
    <col min="3079" max="3082" width="7.5703125" style="4" customWidth="1"/>
    <col min="3083" max="3083" width="8.140625" style="4" customWidth="1"/>
    <col min="3084" max="3084" width="8.42578125" style="4" customWidth="1"/>
    <col min="3085" max="3085" width="9.28515625" style="4" customWidth="1"/>
    <col min="3086" max="3086" width="8.42578125" style="4" customWidth="1"/>
    <col min="3087" max="3087" width="11.28515625" style="4" customWidth="1"/>
    <col min="3088" max="3088" width="9.28515625" style="4" customWidth="1"/>
    <col min="3089" max="3326" width="9.140625" style="4"/>
    <col min="3327" max="3327" width="18.7109375" style="4" customWidth="1"/>
    <col min="3328" max="3328" width="25.140625" style="4" customWidth="1"/>
    <col min="3329" max="3331" width="7.5703125" style="4" customWidth="1"/>
    <col min="3332" max="3334" width="6.7109375" style="4" customWidth="1"/>
    <col min="3335" max="3338" width="7.5703125" style="4" customWidth="1"/>
    <col min="3339" max="3339" width="8.140625" style="4" customWidth="1"/>
    <col min="3340" max="3340" width="8.42578125" style="4" customWidth="1"/>
    <col min="3341" max="3341" width="9.28515625" style="4" customWidth="1"/>
    <col min="3342" max="3342" width="8.42578125" style="4" customWidth="1"/>
    <col min="3343" max="3343" width="11.28515625" style="4" customWidth="1"/>
    <col min="3344" max="3344" width="9.28515625" style="4" customWidth="1"/>
    <col min="3345" max="3582" width="9.140625" style="4"/>
    <col min="3583" max="3583" width="18.7109375" style="4" customWidth="1"/>
    <col min="3584" max="3584" width="25.140625" style="4" customWidth="1"/>
    <col min="3585" max="3587" width="7.5703125" style="4" customWidth="1"/>
    <col min="3588" max="3590" width="6.7109375" style="4" customWidth="1"/>
    <col min="3591" max="3594" width="7.5703125" style="4" customWidth="1"/>
    <col min="3595" max="3595" width="8.140625" style="4" customWidth="1"/>
    <col min="3596" max="3596" width="8.42578125" style="4" customWidth="1"/>
    <col min="3597" max="3597" width="9.28515625" style="4" customWidth="1"/>
    <col min="3598" max="3598" width="8.42578125" style="4" customWidth="1"/>
    <col min="3599" max="3599" width="11.28515625" style="4" customWidth="1"/>
    <col min="3600" max="3600" width="9.28515625" style="4" customWidth="1"/>
    <col min="3601" max="3838" width="9.140625" style="4"/>
    <col min="3839" max="3839" width="18.7109375" style="4" customWidth="1"/>
    <col min="3840" max="3840" width="25.140625" style="4" customWidth="1"/>
    <col min="3841" max="3843" width="7.5703125" style="4" customWidth="1"/>
    <col min="3844" max="3846" width="6.7109375" style="4" customWidth="1"/>
    <col min="3847" max="3850" width="7.5703125" style="4" customWidth="1"/>
    <col min="3851" max="3851" width="8.140625" style="4" customWidth="1"/>
    <col min="3852" max="3852" width="8.42578125" style="4" customWidth="1"/>
    <col min="3853" max="3853" width="9.28515625" style="4" customWidth="1"/>
    <col min="3854" max="3854" width="8.42578125" style="4" customWidth="1"/>
    <col min="3855" max="3855" width="11.28515625" style="4" customWidth="1"/>
    <col min="3856" max="3856" width="9.28515625" style="4" customWidth="1"/>
    <col min="3857" max="4094" width="9.140625" style="4"/>
    <col min="4095" max="4095" width="18.7109375" style="4" customWidth="1"/>
    <col min="4096" max="4096" width="25.140625" style="4" customWidth="1"/>
    <col min="4097" max="4099" width="7.5703125" style="4" customWidth="1"/>
    <col min="4100" max="4102" width="6.7109375" style="4" customWidth="1"/>
    <col min="4103" max="4106" width="7.5703125" style="4" customWidth="1"/>
    <col min="4107" max="4107" width="8.140625" style="4" customWidth="1"/>
    <col min="4108" max="4108" width="8.42578125" style="4" customWidth="1"/>
    <col min="4109" max="4109" width="9.28515625" style="4" customWidth="1"/>
    <col min="4110" max="4110" width="8.42578125" style="4" customWidth="1"/>
    <col min="4111" max="4111" width="11.28515625" style="4" customWidth="1"/>
    <col min="4112" max="4112" width="9.28515625" style="4" customWidth="1"/>
    <col min="4113" max="4350" width="9.140625" style="4"/>
    <col min="4351" max="4351" width="18.7109375" style="4" customWidth="1"/>
    <col min="4352" max="4352" width="25.140625" style="4" customWidth="1"/>
    <col min="4353" max="4355" width="7.5703125" style="4" customWidth="1"/>
    <col min="4356" max="4358" width="6.7109375" style="4" customWidth="1"/>
    <col min="4359" max="4362" width="7.5703125" style="4" customWidth="1"/>
    <col min="4363" max="4363" width="8.140625" style="4" customWidth="1"/>
    <col min="4364" max="4364" width="8.42578125" style="4" customWidth="1"/>
    <col min="4365" max="4365" width="9.28515625" style="4" customWidth="1"/>
    <col min="4366" max="4366" width="8.42578125" style="4" customWidth="1"/>
    <col min="4367" max="4367" width="11.28515625" style="4" customWidth="1"/>
    <col min="4368" max="4368" width="9.28515625" style="4" customWidth="1"/>
    <col min="4369" max="4606" width="9.140625" style="4"/>
    <col min="4607" max="4607" width="18.7109375" style="4" customWidth="1"/>
    <col min="4608" max="4608" width="25.140625" style="4" customWidth="1"/>
    <col min="4609" max="4611" width="7.5703125" style="4" customWidth="1"/>
    <col min="4612" max="4614" width="6.7109375" style="4" customWidth="1"/>
    <col min="4615" max="4618" width="7.5703125" style="4" customWidth="1"/>
    <col min="4619" max="4619" width="8.140625" style="4" customWidth="1"/>
    <col min="4620" max="4620" width="8.42578125" style="4" customWidth="1"/>
    <col min="4621" max="4621" width="9.28515625" style="4" customWidth="1"/>
    <col min="4622" max="4622" width="8.42578125" style="4" customWidth="1"/>
    <col min="4623" max="4623" width="11.28515625" style="4" customWidth="1"/>
    <col min="4624" max="4624" width="9.28515625" style="4" customWidth="1"/>
    <col min="4625" max="4862" width="9.140625" style="4"/>
    <col min="4863" max="4863" width="18.7109375" style="4" customWidth="1"/>
    <col min="4864" max="4864" width="25.140625" style="4" customWidth="1"/>
    <col min="4865" max="4867" width="7.5703125" style="4" customWidth="1"/>
    <col min="4868" max="4870" width="6.7109375" style="4" customWidth="1"/>
    <col min="4871" max="4874" width="7.5703125" style="4" customWidth="1"/>
    <col min="4875" max="4875" width="8.140625" style="4" customWidth="1"/>
    <col min="4876" max="4876" width="8.42578125" style="4" customWidth="1"/>
    <col min="4877" max="4877" width="9.28515625" style="4" customWidth="1"/>
    <col min="4878" max="4878" width="8.42578125" style="4" customWidth="1"/>
    <col min="4879" max="4879" width="11.28515625" style="4" customWidth="1"/>
    <col min="4880" max="4880" width="9.28515625" style="4" customWidth="1"/>
    <col min="4881" max="5118" width="9.140625" style="4"/>
    <col min="5119" max="5119" width="18.7109375" style="4" customWidth="1"/>
    <col min="5120" max="5120" width="25.140625" style="4" customWidth="1"/>
    <col min="5121" max="5123" width="7.5703125" style="4" customWidth="1"/>
    <col min="5124" max="5126" width="6.7109375" style="4" customWidth="1"/>
    <col min="5127" max="5130" width="7.5703125" style="4" customWidth="1"/>
    <col min="5131" max="5131" width="8.140625" style="4" customWidth="1"/>
    <col min="5132" max="5132" width="8.42578125" style="4" customWidth="1"/>
    <col min="5133" max="5133" width="9.28515625" style="4" customWidth="1"/>
    <col min="5134" max="5134" width="8.42578125" style="4" customWidth="1"/>
    <col min="5135" max="5135" width="11.28515625" style="4" customWidth="1"/>
    <col min="5136" max="5136" width="9.28515625" style="4" customWidth="1"/>
    <col min="5137" max="5374" width="9.140625" style="4"/>
    <col min="5375" max="5375" width="18.7109375" style="4" customWidth="1"/>
    <col min="5376" max="5376" width="25.140625" style="4" customWidth="1"/>
    <col min="5377" max="5379" width="7.5703125" style="4" customWidth="1"/>
    <col min="5380" max="5382" width="6.7109375" style="4" customWidth="1"/>
    <col min="5383" max="5386" width="7.5703125" style="4" customWidth="1"/>
    <col min="5387" max="5387" width="8.140625" style="4" customWidth="1"/>
    <col min="5388" max="5388" width="8.42578125" style="4" customWidth="1"/>
    <col min="5389" max="5389" width="9.28515625" style="4" customWidth="1"/>
    <col min="5390" max="5390" width="8.42578125" style="4" customWidth="1"/>
    <col min="5391" max="5391" width="11.28515625" style="4" customWidth="1"/>
    <col min="5392" max="5392" width="9.28515625" style="4" customWidth="1"/>
    <col min="5393" max="5630" width="9.140625" style="4"/>
    <col min="5631" max="5631" width="18.7109375" style="4" customWidth="1"/>
    <col min="5632" max="5632" width="25.140625" style="4" customWidth="1"/>
    <col min="5633" max="5635" width="7.5703125" style="4" customWidth="1"/>
    <col min="5636" max="5638" width="6.7109375" style="4" customWidth="1"/>
    <col min="5639" max="5642" width="7.5703125" style="4" customWidth="1"/>
    <col min="5643" max="5643" width="8.140625" style="4" customWidth="1"/>
    <col min="5644" max="5644" width="8.42578125" style="4" customWidth="1"/>
    <col min="5645" max="5645" width="9.28515625" style="4" customWidth="1"/>
    <col min="5646" max="5646" width="8.42578125" style="4" customWidth="1"/>
    <col min="5647" max="5647" width="11.28515625" style="4" customWidth="1"/>
    <col min="5648" max="5648" width="9.28515625" style="4" customWidth="1"/>
    <col min="5649" max="5886" width="9.140625" style="4"/>
    <col min="5887" max="5887" width="18.7109375" style="4" customWidth="1"/>
    <col min="5888" max="5888" width="25.140625" style="4" customWidth="1"/>
    <col min="5889" max="5891" width="7.5703125" style="4" customWidth="1"/>
    <col min="5892" max="5894" width="6.7109375" style="4" customWidth="1"/>
    <col min="5895" max="5898" width="7.5703125" style="4" customWidth="1"/>
    <col min="5899" max="5899" width="8.140625" style="4" customWidth="1"/>
    <col min="5900" max="5900" width="8.42578125" style="4" customWidth="1"/>
    <col min="5901" max="5901" width="9.28515625" style="4" customWidth="1"/>
    <col min="5902" max="5902" width="8.42578125" style="4" customWidth="1"/>
    <col min="5903" max="5903" width="11.28515625" style="4" customWidth="1"/>
    <col min="5904" max="5904" width="9.28515625" style="4" customWidth="1"/>
    <col min="5905" max="6142" width="9.140625" style="4"/>
    <col min="6143" max="6143" width="18.7109375" style="4" customWidth="1"/>
    <col min="6144" max="6144" width="25.140625" style="4" customWidth="1"/>
    <col min="6145" max="6147" width="7.5703125" style="4" customWidth="1"/>
    <col min="6148" max="6150" width="6.7109375" style="4" customWidth="1"/>
    <col min="6151" max="6154" width="7.5703125" style="4" customWidth="1"/>
    <col min="6155" max="6155" width="8.140625" style="4" customWidth="1"/>
    <col min="6156" max="6156" width="8.42578125" style="4" customWidth="1"/>
    <col min="6157" max="6157" width="9.28515625" style="4" customWidth="1"/>
    <col min="6158" max="6158" width="8.42578125" style="4" customWidth="1"/>
    <col min="6159" max="6159" width="11.28515625" style="4" customWidth="1"/>
    <col min="6160" max="6160" width="9.28515625" style="4" customWidth="1"/>
    <col min="6161" max="6398" width="9.140625" style="4"/>
    <col min="6399" max="6399" width="18.7109375" style="4" customWidth="1"/>
    <col min="6400" max="6400" width="25.140625" style="4" customWidth="1"/>
    <col min="6401" max="6403" width="7.5703125" style="4" customWidth="1"/>
    <col min="6404" max="6406" width="6.7109375" style="4" customWidth="1"/>
    <col min="6407" max="6410" width="7.5703125" style="4" customWidth="1"/>
    <col min="6411" max="6411" width="8.140625" style="4" customWidth="1"/>
    <col min="6412" max="6412" width="8.42578125" style="4" customWidth="1"/>
    <col min="6413" max="6413" width="9.28515625" style="4" customWidth="1"/>
    <col min="6414" max="6414" width="8.42578125" style="4" customWidth="1"/>
    <col min="6415" max="6415" width="11.28515625" style="4" customWidth="1"/>
    <col min="6416" max="6416" width="9.28515625" style="4" customWidth="1"/>
    <col min="6417" max="6654" width="9.140625" style="4"/>
    <col min="6655" max="6655" width="18.7109375" style="4" customWidth="1"/>
    <col min="6656" max="6656" width="25.140625" style="4" customWidth="1"/>
    <col min="6657" max="6659" width="7.5703125" style="4" customWidth="1"/>
    <col min="6660" max="6662" width="6.7109375" style="4" customWidth="1"/>
    <col min="6663" max="6666" width="7.5703125" style="4" customWidth="1"/>
    <col min="6667" max="6667" width="8.140625" style="4" customWidth="1"/>
    <col min="6668" max="6668" width="8.42578125" style="4" customWidth="1"/>
    <col min="6669" max="6669" width="9.28515625" style="4" customWidth="1"/>
    <col min="6670" max="6670" width="8.42578125" style="4" customWidth="1"/>
    <col min="6671" max="6671" width="11.28515625" style="4" customWidth="1"/>
    <col min="6672" max="6672" width="9.28515625" style="4" customWidth="1"/>
    <col min="6673" max="6910" width="9.140625" style="4"/>
    <col min="6911" max="6911" width="18.7109375" style="4" customWidth="1"/>
    <col min="6912" max="6912" width="25.140625" style="4" customWidth="1"/>
    <col min="6913" max="6915" width="7.5703125" style="4" customWidth="1"/>
    <col min="6916" max="6918" width="6.7109375" style="4" customWidth="1"/>
    <col min="6919" max="6922" width="7.5703125" style="4" customWidth="1"/>
    <col min="6923" max="6923" width="8.140625" style="4" customWidth="1"/>
    <col min="6924" max="6924" width="8.42578125" style="4" customWidth="1"/>
    <col min="6925" max="6925" width="9.28515625" style="4" customWidth="1"/>
    <col min="6926" max="6926" width="8.42578125" style="4" customWidth="1"/>
    <col min="6927" max="6927" width="11.28515625" style="4" customWidth="1"/>
    <col min="6928" max="6928" width="9.28515625" style="4" customWidth="1"/>
    <col min="6929" max="7166" width="9.140625" style="4"/>
    <col min="7167" max="7167" width="18.7109375" style="4" customWidth="1"/>
    <col min="7168" max="7168" width="25.140625" style="4" customWidth="1"/>
    <col min="7169" max="7171" width="7.5703125" style="4" customWidth="1"/>
    <col min="7172" max="7174" width="6.7109375" style="4" customWidth="1"/>
    <col min="7175" max="7178" width="7.5703125" style="4" customWidth="1"/>
    <col min="7179" max="7179" width="8.140625" style="4" customWidth="1"/>
    <col min="7180" max="7180" width="8.42578125" style="4" customWidth="1"/>
    <col min="7181" max="7181" width="9.28515625" style="4" customWidth="1"/>
    <col min="7182" max="7182" width="8.42578125" style="4" customWidth="1"/>
    <col min="7183" max="7183" width="11.28515625" style="4" customWidth="1"/>
    <col min="7184" max="7184" width="9.28515625" style="4" customWidth="1"/>
    <col min="7185" max="7422" width="9.140625" style="4"/>
    <col min="7423" max="7423" width="18.7109375" style="4" customWidth="1"/>
    <col min="7424" max="7424" width="25.140625" style="4" customWidth="1"/>
    <col min="7425" max="7427" width="7.5703125" style="4" customWidth="1"/>
    <col min="7428" max="7430" width="6.7109375" style="4" customWidth="1"/>
    <col min="7431" max="7434" width="7.5703125" style="4" customWidth="1"/>
    <col min="7435" max="7435" width="8.140625" style="4" customWidth="1"/>
    <col min="7436" max="7436" width="8.42578125" style="4" customWidth="1"/>
    <col min="7437" max="7437" width="9.28515625" style="4" customWidth="1"/>
    <col min="7438" max="7438" width="8.42578125" style="4" customWidth="1"/>
    <col min="7439" max="7439" width="11.28515625" style="4" customWidth="1"/>
    <col min="7440" max="7440" width="9.28515625" style="4" customWidth="1"/>
    <col min="7441" max="7678" width="9.140625" style="4"/>
    <col min="7679" max="7679" width="18.7109375" style="4" customWidth="1"/>
    <col min="7680" max="7680" width="25.140625" style="4" customWidth="1"/>
    <col min="7681" max="7683" width="7.5703125" style="4" customWidth="1"/>
    <col min="7684" max="7686" width="6.7109375" style="4" customWidth="1"/>
    <col min="7687" max="7690" width="7.5703125" style="4" customWidth="1"/>
    <col min="7691" max="7691" width="8.140625" style="4" customWidth="1"/>
    <col min="7692" max="7692" width="8.42578125" style="4" customWidth="1"/>
    <col min="7693" max="7693" width="9.28515625" style="4" customWidth="1"/>
    <col min="7694" max="7694" width="8.42578125" style="4" customWidth="1"/>
    <col min="7695" max="7695" width="11.28515625" style="4" customWidth="1"/>
    <col min="7696" max="7696" width="9.28515625" style="4" customWidth="1"/>
    <col min="7697" max="7934" width="9.140625" style="4"/>
    <col min="7935" max="7935" width="18.7109375" style="4" customWidth="1"/>
    <col min="7936" max="7936" width="25.140625" style="4" customWidth="1"/>
    <col min="7937" max="7939" width="7.5703125" style="4" customWidth="1"/>
    <col min="7940" max="7942" width="6.7109375" style="4" customWidth="1"/>
    <col min="7943" max="7946" width="7.5703125" style="4" customWidth="1"/>
    <col min="7947" max="7947" width="8.140625" style="4" customWidth="1"/>
    <col min="7948" max="7948" width="8.42578125" style="4" customWidth="1"/>
    <col min="7949" max="7949" width="9.28515625" style="4" customWidth="1"/>
    <col min="7950" max="7950" width="8.42578125" style="4" customWidth="1"/>
    <col min="7951" max="7951" width="11.28515625" style="4" customWidth="1"/>
    <col min="7952" max="7952" width="9.28515625" style="4" customWidth="1"/>
    <col min="7953" max="8190" width="9.140625" style="4"/>
    <col min="8191" max="8191" width="18.7109375" style="4" customWidth="1"/>
    <col min="8192" max="8192" width="25.140625" style="4" customWidth="1"/>
    <col min="8193" max="8195" width="7.5703125" style="4" customWidth="1"/>
    <col min="8196" max="8198" width="6.7109375" style="4" customWidth="1"/>
    <col min="8199" max="8202" width="7.5703125" style="4" customWidth="1"/>
    <col min="8203" max="8203" width="8.140625" style="4" customWidth="1"/>
    <col min="8204" max="8204" width="8.42578125" style="4" customWidth="1"/>
    <col min="8205" max="8205" width="9.28515625" style="4" customWidth="1"/>
    <col min="8206" max="8206" width="8.42578125" style="4" customWidth="1"/>
    <col min="8207" max="8207" width="11.28515625" style="4" customWidth="1"/>
    <col min="8208" max="8208" width="9.28515625" style="4" customWidth="1"/>
    <col min="8209" max="8446" width="9.140625" style="4"/>
    <col min="8447" max="8447" width="18.7109375" style="4" customWidth="1"/>
    <col min="8448" max="8448" width="25.140625" style="4" customWidth="1"/>
    <col min="8449" max="8451" width="7.5703125" style="4" customWidth="1"/>
    <col min="8452" max="8454" width="6.7109375" style="4" customWidth="1"/>
    <col min="8455" max="8458" width="7.5703125" style="4" customWidth="1"/>
    <col min="8459" max="8459" width="8.140625" style="4" customWidth="1"/>
    <col min="8460" max="8460" width="8.42578125" style="4" customWidth="1"/>
    <col min="8461" max="8461" width="9.28515625" style="4" customWidth="1"/>
    <col min="8462" max="8462" width="8.42578125" style="4" customWidth="1"/>
    <col min="8463" max="8463" width="11.28515625" style="4" customWidth="1"/>
    <col min="8464" max="8464" width="9.28515625" style="4" customWidth="1"/>
    <col min="8465" max="8702" width="9.140625" style="4"/>
    <col min="8703" max="8703" width="18.7109375" style="4" customWidth="1"/>
    <col min="8704" max="8704" width="25.140625" style="4" customWidth="1"/>
    <col min="8705" max="8707" width="7.5703125" style="4" customWidth="1"/>
    <col min="8708" max="8710" width="6.7109375" style="4" customWidth="1"/>
    <col min="8711" max="8714" width="7.5703125" style="4" customWidth="1"/>
    <col min="8715" max="8715" width="8.140625" style="4" customWidth="1"/>
    <col min="8716" max="8716" width="8.42578125" style="4" customWidth="1"/>
    <col min="8717" max="8717" width="9.28515625" style="4" customWidth="1"/>
    <col min="8718" max="8718" width="8.42578125" style="4" customWidth="1"/>
    <col min="8719" max="8719" width="11.28515625" style="4" customWidth="1"/>
    <col min="8720" max="8720" width="9.28515625" style="4" customWidth="1"/>
    <col min="8721" max="8958" width="9.140625" style="4"/>
    <col min="8959" max="8959" width="18.7109375" style="4" customWidth="1"/>
    <col min="8960" max="8960" width="25.140625" style="4" customWidth="1"/>
    <col min="8961" max="8963" width="7.5703125" style="4" customWidth="1"/>
    <col min="8964" max="8966" width="6.7109375" style="4" customWidth="1"/>
    <col min="8967" max="8970" width="7.5703125" style="4" customWidth="1"/>
    <col min="8971" max="8971" width="8.140625" style="4" customWidth="1"/>
    <col min="8972" max="8972" width="8.42578125" style="4" customWidth="1"/>
    <col min="8973" max="8973" width="9.28515625" style="4" customWidth="1"/>
    <col min="8974" max="8974" width="8.42578125" style="4" customWidth="1"/>
    <col min="8975" max="8975" width="11.28515625" style="4" customWidth="1"/>
    <col min="8976" max="8976" width="9.28515625" style="4" customWidth="1"/>
    <col min="8977" max="9214" width="9.140625" style="4"/>
    <col min="9215" max="9215" width="18.7109375" style="4" customWidth="1"/>
    <col min="9216" max="9216" width="25.140625" style="4" customWidth="1"/>
    <col min="9217" max="9219" width="7.5703125" style="4" customWidth="1"/>
    <col min="9220" max="9222" width="6.7109375" style="4" customWidth="1"/>
    <col min="9223" max="9226" width="7.5703125" style="4" customWidth="1"/>
    <col min="9227" max="9227" width="8.140625" style="4" customWidth="1"/>
    <col min="9228" max="9228" width="8.42578125" style="4" customWidth="1"/>
    <col min="9229" max="9229" width="9.28515625" style="4" customWidth="1"/>
    <col min="9230" max="9230" width="8.42578125" style="4" customWidth="1"/>
    <col min="9231" max="9231" width="11.28515625" style="4" customWidth="1"/>
    <col min="9232" max="9232" width="9.28515625" style="4" customWidth="1"/>
    <col min="9233" max="9470" width="9.140625" style="4"/>
    <col min="9471" max="9471" width="18.7109375" style="4" customWidth="1"/>
    <col min="9472" max="9472" width="25.140625" style="4" customWidth="1"/>
    <col min="9473" max="9475" width="7.5703125" style="4" customWidth="1"/>
    <col min="9476" max="9478" width="6.7109375" style="4" customWidth="1"/>
    <col min="9479" max="9482" width="7.5703125" style="4" customWidth="1"/>
    <col min="9483" max="9483" width="8.140625" style="4" customWidth="1"/>
    <col min="9484" max="9484" width="8.42578125" style="4" customWidth="1"/>
    <col min="9485" max="9485" width="9.28515625" style="4" customWidth="1"/>
    <col min="9486" max="9486" width="8.42578125" style="4" customWidth="1"/>
    <col min="9487" max="9487" width="11.28515625" style="4" customWidth="1"/>
    <col min="9488" max="9488" width="9.28515625" style="4" customWidth="1"/>
    <col min="9489" max="9726" width="9.140625" style="4"/>
    <col min="9727" max="9727" width="18.7109375" style="4" customWidth="1"/>
    <col min="9728" max="9728" width="25.140625" style="4" customWidth="1"/>
    <col min="9729" max="9731" width="7.5703125" style="4" customWidth="1"/>
    <col min="9732" max="9734" width="6.7109375" style="4" customWidth="1"/>
    <col min="9735" max="9738" width="7.5703125" style="4" customWidth="1"/>
    <col min="9739" max="9739" width="8.140625" style="4" customWidth="1"/>
    <col min="9740" max="9740" width="8.42578125" style="4" customWidth="1"/>
    <col min="9741" max="9741" width="9.28515625" style="4" customWidth="1"/>
    <col min="9742" max="9742" width="8.42578125" style="4" customWidth="1"/>
    <col min="9743" max="9743" width="11.28515625" style="4" customWidth="1"/>
    <col min="9744" max="9744" width="9.28515625" style="4" customWidth="1"/>
    <col min="9745" max="9982" width="9.140625" style="4"/>
    <col min="9983" max="9983" width="18.7109375" style="4" customWidth="1"/>
    <col min="9984" max="9984" width="25.140625" style="4" customWidth="1"/>
    <col min="9985" max="9987" width="7.5703125" style="4" customWidth="1"/>
    <col min="9988" max="9990" width="6.7109375" style="4" customWidth="1"/>
    <col min="9991" max="9994" width="7.5703125" style="4" customWidth="1"/>
    <col min="9995" max="9995" width="8.140625" style="4" customWidth="1"/>
    <col min="9996" max="9996" width="8.42578125" style="4" customWidth="1"/>
    <col min="9997" max="9997" width="9.28515625" style="4" customWidth="1"/>
    <col min="9998" max="9998" width="8.42578125" style="4" customWidth="1"/>
    <col min="9999" max="9999" width="11.28515625" style="4" customWidth="1"/>
    <col min="10000" max="10000" width="9.28515625" style="4" customWidth="1"/>
    <col min="10001" max="10238" width="9.140625" style="4"/>
    <col min="10239" max="10239" width="18.7109375" style="4" customWidth="1"/>
    <col min="10240" max="10240" width="25.140625" style="4" customWidth="1"/>
    <col min="10241" max="10243" width="7.5703125" style="4" customWidth="1"/>
    <col min="10244" max="10246" width="6.7109375" style="4" customWidth="1"/>
    <col min="10247" max="10250" width="7.5703125" style="4" customWidth="1"/>
    <col min="10251" max="10251" width="8.140625" style="4" customWidth="1"/>
    <col min="10252" max="10252" width="8.42578125" style="4" customWidth="1"/>
    <col min="10253" max="10253" width="9.28515625" style="4" customWidth="1"/>
    <col min="10254" max="10254" width="8.42578125" style="4" customWidth="1"/>
    <col min="10255" max="10255" width="11.28515625" style="4" customWidth="1"/>
    <col min="10256" max="10256" width="9.28515625" style="4" customWidth="1"/>
    <col min="10257" max="10494" width="9.140625" style="4"/>
    <col min="10495" max="10495" width="18.7109375" style="4" customWidth="1"/>
    <col min="10496" max="10496" width="25.140625" style="4" customWidth="1"/>
    <col min="10497" max="10499" width="7.5703125" style="4" customWidth="1"/>
    <col min="10500" max="10502" width="6.7109375" style="4" customWidth="1"/>
    <col min="10503" max="10506" width="7.5703125" style="4" customWidth="1"/>
    <col min="10507" max="10507" width="8.140625" style="4" customWidth="1"/>
    <col min="10508" max="10508" width="8.42578125" style="4" customWidth="1"/>
    <col min="10509" max="10509" width="9.28515625" style="4" customWidth="1"/>
    <col min="10510" max="10510" width="8.42578125" style="4" customWidth="1"/>
    <col min="10511" max="10511" width="11.28515625" style="4" customWidth="1"/>
    <col min="10512" max="10512" width="9.28515625" style="4" customWidth="1"/>
    <col min="10513" max="10750" width="9.140625" style="4"/>
    <col min="10751" max="10751" width="18.7109375" style="4" customWidth="1"/>
    <col min="10752" max="10752" width="25.140625" style="4" customWidth="1"/>
    <col min="10753" max="10755" width="7.5703125" style="4" customWidth="1"/>
    <col min="10756" max="10758" width="6.7109375" style="4" customWidth="1"/>
    <col min="10759" max="10762" width="7.5703125" style="4" customWidth="1"/>
    <col min="10763" max="10763" width="8.140625" style="4" customWidth="1"/>
    <col min="10764" max="10764" width="8.42578125" style="4" customWidth="1"/>
    <col min="10765" max="10765" width="9.28515625" style="4" customWidth="1"/>
    <col min="10766" max="10766" width="8.42578125" style="4" customWidth="1"/>
    <col min="10767" max="10767" width="11.28515625" style="4" customWidth="1"/>
    <col min="10768" max="10768" width="9.28515625" style="4" customWidth="1"/>
    <col min="10769" max="11006" width="9.140625" style="4"/>
    <col min="11007" max="11007" width="18.7109375" style="4" customWidth="1"/>
    <col min="11008" max="11008" width="25.140625" style="4" customWidth="1"/>
    <col min="11009" max="11011" width="7.5703125" style="4" customWidth="1"/>
    <col min="11012" max="11014" width="6.7109375" style="4" customWidth="1"/>
    <col min="11015" max="11018" width="7.5703125" style="4" customWidth="1"/>
    <col min="11019" max="11019" width="8.140625" style="4" customWidth="1"/>
    <col min="11020" max="11020" width="8.42578125" style="4" customWidth="1"/>
    <col min="11021" max="11021" width="9.28515625" style="4" customWidth="1"/>
    <col min="11022" max="11022" width="8.42578125" style="4" customWidth="1"/>
    <col min="11023" max="11023" width="11.28515625" style="4" customWidth="1"/>
    <col min="11024" max="11024" width="9.28515625" style="4" customWidth="1"/>
    <col min="11025" max="11262" width="9.140625" style="4"/>
    <col min="11263" max="11263" width="18.7109375" style="4" customWidth="1"/>
    <col min="11264" max="11264" width="25.140625" style="4" customWidth="1"/>
    <col min="11265" max="11267" width="7.5703125" style="4" customWidth="1"/>
    <col min="11268" max="11270" width="6.7109375" style="4" customWidth="1"/>
    <col min="11271" max="11274" width="7.5703125" style="4" customWidth="1"/>
    <col min="11275" max="11275" width="8.140625" style="4" customWidth="1"/>
    <col min="11276" max="11276" width="8.42578125" style="4" customWidth="1"/>
    <col min="11277" max="11277" width="9.28515625" style="4" customWidth="1"/>
    <col min="11278" max="11278" width="8.42578125" style="4" customWidth="1"/>
    <col min="11279" max="11279" width="11.28515625" style="4" customWidth="1"/>
    <col min="11280" max="11280" width="9.28515625" style="4" customWidth="1"/>
    <col min="11281" max="11518" width="9.140625" style="4"/>
    <col min="11519" max="11519" width="18.7109375" style="4" customWidth="1"/>
    <col min="11520" max="11520" width="25.140625" style="4" customWidth="1"/>
    <col min="11521" max="11523" width="7.5703125" style="4" customWidth="1"/>
    <col min="11524" max="11526" width="6.7109375" style="4" customWidth="1"/>
    <col min="11527" max="11530" width="7.5703125" style="4" customWidth="1"/>
    <col min="11531" max="11531" width="8.140625" style="4" customWidth="1"/>
    <col min="11532" max="11532" width="8.42578125" style="4" customWidth="1"/>
    <col min="11533" max="11533" width="9.28515625" style="4" customWidth="1"/>
    <col min="11534" max="11534" width="8.42578125" style="4" customWidth="1"/>
    <col min="11535" max="11535" width="11.28515625" style="4" customWidth="1"/>
    <col min="11536" max="11536" width="9.28515625" style="4" customWidth="1"/>
    <col min="11537" max="11774" width="9.140625" style="4"/>
    <col min="11775" max="11775" width="18.7109375" style="4" customWidth="1"/>
    <col min="11776" max="11776" width="25.140625" style="4" customWidth="1"/>
    <col min="11777" max="11779" width="7.5703125" style="4" customWidth="1"/>
    <col min="11780" max="11782" width="6.7109375" style="4" customWidth="1"/>
    <col min="11783" max="11786" width="7.5703125" style="4" customWidth="1"/>
    <col min="11787" max="11787" width="8.140625" style="4" customWidth="1"/>
    <col min="11788" max="11788" width="8.42578125" style="4" customWidth="1"/>
    <col min="11789" max="11789" width="9.28515625" style="4" customWidth="1"/>
    <col min="11790" max="11790" width="8.42578125" style="4" customWidth="1"/>
    <col min="11791" max="11791" width="11.28515625" style="4" customWidth="1"/>
    <col min="11792" max="11792" width="9.28515625" style="4" customWidth="1"/>
    <col min="11793" max="12030" width="9.140625" style="4"/>
    <col min="12031" max="12031" width="18.7109375" style="4" customWidth="1"/>
    <col min="12032" max="12032" width="25.140625" style="4" customWidth="1"/>
    <col min="12033" max="12035" width="7.5703125" style="4" customWidth="1"/>
    <col min="12036" max="12038" width="6.7109375" style="4" customWidth="1"/>
    <col min="12039" max="12042" width="7.5703125" style="4" customWidth="1"/>
    <col min="12043" max="12043" width="8.140625" style="4" customWidth="1"/>
    <col min="12044" max="12044" width="8.42578125" style="4" customWidth="1"/>
    <col min="12045" max="12045" width="9.28515625" style="4" customWidth="1"/>
    <col min="12046" max="12046" width="8.42578125" style="4" customWidth="1"/>
    <col min="12047" max="12047" width="11.28515625" style="4" customWidth="1"/>
    <col min="12048" max="12048" width="9.28515625" style="4" customWidth="1"/>
    <col min="12049" max="12286" width="9.140625" style="4"/>
    <col min="12287" max="12287" width="18.7109375" style="4" customWidth="1"/>
    <col min="12288" max="12288" width="25.140625" style="4" customWidth="1"/>
    <col min="12289" max="12291" width="7.5703125" style="4" customWidth="1"/>
    <col min="12292" max="12294" width="6.7109375" style="4" customWidth="1"/>
    <col min="12295" max="12298" width="7.5703125" style="4" customWidth="1"/>
    <col min="12299" max="12299" width="8.140625" style="4" customWidth="1"/>
    <col min="12300" max="12300" width="8.42578125" style="4" customWidth="1"/>
    <col min="12301" max="12301" width="9.28515625" style="4" customWidth="1"/>
    <col min="12302" max="12302" width="8.42578125" style="4" customWidth="1"/>
    <col min="12303" max="12303" width="11.28515625" style="4" customWidth="1"/>
    <col min="12304" max="12304" width="9.28515625" style="4" customWidth="1"/>
    <col min="12305" max="12542" width="9.140625" style="4"/>
    <col min="12543" max="12543" width="18.7109375" style="4" customWidth="1"/>
    <col min="12544" max="12544" width="25.140625" style="4" customWidth="1"/>
    <col min="12545" max="12547" width="7.5703125" style="4" customWidth="1"/>
    <col min="12548" max="12550" width="6.7109375" style="4" customWidth="1"/>
    <col min="12551" max="12554" width="7.5703125" style="4" customWidth="1"/>
    <col min="12555" max="12555" width="8.140625" style="4" customWidth="1"/>
    <col min="12556" max="12556" width="8.42578125" style="4" customWidth="1"/>
    <col min="12557" max="12557" width="9.28515625" style="4" customWidth="1"/>
    <col min="12558" max="12558" width="8.42578125" style="4" customWidth="1"/>
    <col min="12559" max="12559" width="11.28515625" style="4" customWidth="1"/>
    <col min="12560" max="12560" width="9.28515625" style="4" customWidth="1"/>
    <col min="12561" max="12798" width="9.140625" style="4"/>
    <col min="12799" max="12799" width="18.7109375" style="4" customWidth="1"/>
    <col min="12800" max="12800" width="25.140625" style="4" customWidth="1"/>
    <col min="12801" max="12803" width="7.5703125" style="4" customWidth="1"/>
    <col min="12804" max="12806" width="6.7109375" style="4" customWidth="1"/>
    <col min="12807" max="12810" width="7.5703125" style="4" customWidth="1"/>
    <col min="12811" max="12811" width="8.140625" style="4" customWidth="1"/>
    <col min="12812" max="12812" width="8.42578125" style="4" customWidth="1"/>
    <col min="12813" max="12813" width="9.28515625" style="4" customWidth="1"/>
    <col min="12814" max="12814" width="8.42578125" style="4" customWidth="1"/>
    <col min="12815" max="12815" width="11.28515625" style="4" customWidth="1"/>
    <col min="12816" max="12816" width="9.28515625" style="4" customWidth="1"/>
    <col min="12817" max="13054" width="9.140625" style="4"/>
    <col min="13055" max="13055" width="18.7109375" style="4" customWidth="1"/>
    <col min="13056" max="13056" width="25.140625" style="4" customWidth="1"/>
    <col min="13057" max="13059" width="7.5703125" style="4" customWidth="1"/>
    <col min="13060" max="13062" width="6.7109375" style="4" customWidth="1"/>
    <col min="13063" max="13066" width="7.5703125" style="4" customWidth="1"/>
    <col min="13067" max="13067" width="8.140625" style="4" customWidth="1"/>
    <col min="13068" max="13068" width="8.42578125" style="4" customWidth="1"/>
    <col min="13069" max="13069" width="9.28515625" style="4" customWidth="1"/>
    <col min="13070" max="13070" width="8.42578125" style="4" customWidth="1"/>
    <col min="13071" max="13071" width="11.28515625" style="4" customWidth="1"/>
    <col min="13072" max="13072" width="9.28515625" style="4" customWidth="1"/>
    <col min="13073" max="13310" width="9.140625" style="4"/>
    <col min="13311" max="13311" width="18.7109375" style="4" customWidth="1"/>
    <col min="13312" max="13312" width="25.140625" style="4" customWidth="1"/>
    <col min="13313" max="13315" width="7.5703125" style="4" customWidth="1"/>
    <col min="13316" max="13318" width="6.7109375" style="4" customWidth="1"/>
    <col min="13319" max="13322" width="7.5703125" style="4" customWidth="1"/>
    <col min="13323" max="13323" width="8.140625" style="4" customWidth="1"/>
    <col min="13324" max="13324" width="8.42578125" style="4" customWidth="1"/>
    <col min="13325" max="13325" width="9.28515625" style="4" customWidth="1"/>
    <col min="13326" max="13326" width="8.42578125" style="4" customWidth="1"/>
    <col min="13327" max="13327" width="11.28515625" style="4" customWidth="1"/>
    <col min="13328" max="13328" width="9.28515625" style="4" customWidth="1"/>
    <col min="13329" max="13566" width="9.140625" style="4"/>
    <col min="13567" max="13567" width="18.7109375" style="4" customWidth="1"/>
    <col min="13568" max="13568" width="25.140625" style="4" customWidth="1"/>
    <col min="13569" max="13571" width="7.5703125" style="4" customWidth="1"/>
    <col min="13572" max="13574" width="6.7109375" style="4" customWidth="1"/>
    <col min="13575" max="13578" width="7.5703125" style="4" customWidth="1"/>
    <col min="13579" max="13579" width="8.140625" style="4" customWidth="1"/>
    <col min="13580" max="13580" width="8.42578125" style="4" customWidth="1"/>
    <col min="13581" max="13581" width="9.28515625" style="4" customWidth="1"/>
    <col min="13582" max="13582" width="8.42578125" style="4" customWidth="1"/>
    <col min="13583" max="13583" width="11.28515625" style="4" customWidth="1"/>
    <col min="13584" max="13584" width="9.28515625" style="4" customWidth="1"/>
    <col min="13585" max="13822" width="9.140625" style="4"/>
    <col min="13823" max="13823" width="18.7109375" style="4" customWidth="1"/>
    <col min="13824" max="13824" width="25.140625" style="4" customWidth="1"/>
    <col min="13825" max="13827" width="7.5703125" style="4" customWidth="1"/>
    <col min="13828" max="13830" width="6.7109375" style="4" customWidth="1"/>
    <col min="13831" max="13834" width="7.5703125" style="4" customWidth="1"/>
    <col min="13835" max="13835" width="8.140625" style="4" customWidth="1"/>
    <col min="13836" max="13836" width="8.42578125" style="4" customWidth="1"/>
    <col min="13837" max="13837" width="9.28515625" style="4" customWidth="1"/>
    <col min="13838" max="13838" width="8.42578125" style="4" customWidth="1"/>
    <col min="13839" max="13839" width="11.28515625" style="4" customWidth="1"/>
    <col min="13840" max="13840" width="9.28515625" style="4" customWidth="1"/>
    <col min="13841" max="14078" width="9.140625" style="4"/>
    <col min="14079" max="14079" width="18.7109375" style="4" customWidth="1"/>
    <col min="14080" max="14080" width="25.140625" style="4" customWidth="1"/>
    <col min="14081" max="14083" width="7.5703125" style="4" customWidth="1"/>
    <col min="14084" max="14086" width="6.7109375" style="4" customWidth="1"/>
    <col min="14087" max="14090" width="7.5703125" style="4" customWidth="1"/>
    <col min="14091" max="14091" width="8.140625" style="4" customWidth="1"/>
    <col min="14092" max="14092" width="8.42578125" style="4" customWidth="1"/>
    <col min="14093" max="14093" width="9.28515625" style="4" customWidth="1"/>
    <col min="14094" max="14094" width="8.42578125" style="4" customWidth="1"/>
    <col min="14095" max="14095" width="11.28515625" style="4" customWidth="1"/>
    <col min="14096" max="14096" width="9.28515625" style="4" customWidth="1"/>
    <col min="14097" max="14334" width="9.140625" style="4"/>
    <col min="14335" max="14335" width="18.7109375" style="4" customWidth="1"/>
    <col min="14336" max="14336" width="25.140625" style="4" customWidth="1"/>
    <col min="14337" max="14339" width="7.5703125" style="4" customWidth="1"/>
    <col min="14340" max="14342" width="6.7109375" style="4" customWidth="1"/>
    <col min="14343" max="14346" width="7.5703125" style="4" customWidth="1"/>
    <col min="14347" max="14347" width="8.140625" style="4" customWidth="1"/>
    <col min="14348" max="14348" width="8.42578125" style="4" customWidth="1"/>
    <col min="14349" max="14349" width="9.28515625" style="4" customWidth="1"/>
    <col min="14350" max="14350" width="8.42578125" style="4" customWidth="1"/>
    <col min="14351" max="14351" width="11.28515625" style="4" customWidth="1"/>
    <col min="14352" max="14352" width="9.28515625" style="4" customWidth="1"/>
    <col min="14353" max="14590" width="9.140625" style="4"/>
    <col min="14591" max="14591" width="18.7109375" style="4" customWidth="1"/>
    <col min="14592" max="14592" width="25.140625" style="4" customWidth="1"/>
    <col min="14593" max="14595" width="7.5703125" style="4" customWidth="1"/>
    <col min="14596" max="14598" width="6.7109375" style="4" customWidth="1"/>
    <col min="14599" max="14602" width="7.5703125" style="4" customWidth="1"/>
    <col min="14603" max="14603" width="8.140625" style="4" customWidth="1"/>
    <col min="14604" max="14604" width="8.42578125" style="4" customWidth="1"/>
    <col min="14605" max="14605" width="9.28515625" style="4" customWidth="1"/>
    <col min="14606" max="14606" width="8.42578125" style="4" customWidth="1"/>
    <col min="14607" max="14607" width="11.28515625" style="4" customWidth="1"/>
    <col min="14608" max="14608" width="9.28515625" style="4" customWidth="1"/>
    <col min="14609" max="14846" width="9.140625" style="4"/>
    <col min="14847" max="14847" width="18.7109375" style="4" customWidth="1"/>
    <col min="14848" max="14848" width="25.140625" style="4" customWidth="1"/>
    <col min="14849" max="14851" width="7.5703125" style="4" customWidth="1"/>
    <col min="14852" max="14854" width="6.7109375" style="4" customWidth="1"/>
    <col min="14855" max="14858" width="7.5703125" style="4" customWidth="1"/>
    <col min="14859" max="14859" width="8.140625" style="4" customWidth="1"/>
    <col min="14860" max="14860" width="8.42578125" style="4" customWidth="1"/>
    <col min="14861" max="14861" width="9.28515625" style="4" customWidth="1"/>
    <col min="14862" max="14862" width="8.42578125" style="4" customWidth="1"/>
    <col min="14863" max="14863" width="11.28515625" style="4" customWidth="1"/>
    <col min="14864" max="14864" width="9.28515625" style="4" customWidth="1"/>
    <col min="14865" max="15102" width="9.140625" style="4"/>
    <col min="15103" max="15103" width="18.7109375" style="4" customWidth="1"/>
    <col min="15104" max="15104" width="25.140625" style="4" customWidth="1"/>
    <col min="15105" max="15107" width="7.5703125" style="4" customWidth="1"/>
    <col min="15108" max="15110" width="6.7109375" style="4" customWidth="1"/>
    <col min="15111" max="15114" width="7.5703125" style="4" customWidth="1"/>
    <col min="15115" max="15115" width="8.140625" style="4" customWidth="1"/>
    <col min="15116" max="15116" width="8.42578125" style="4" customWidth="1"/>
    <col min="15117" max="15117" width="9.28515625" style="4" customWidth="1"/>
    <col min="15118" max="15118" width="8.42578125" style="4" customWidth="1"/>
    <col min="15119" max="15119" width="11.28515625" style="4" customWidth="1"/>
    <col min="15120" max="15120" width="9.28515625" style="4" customWidth="1"/>
    <col min="15121" max="15358" width="9.140625" style="4"/>
    <col min="15359" max="15359" width="18.7109375" style="4" customWidth="1"/>
    <col min="15360" max="15360" width="25.140625" style="4" customWidth="1"/>
    <col min="15361" max="15363" width="7.5703125" style="4" customWidth="1"/>
    <col min="15364" max="15366" width="6.7109375" style="4" customWidth="1"/>
    <col min="15367" max="15370" width="7.5703125" style="4" customWidth="1"/>
    <col min="15371" max="15371" width="8.140625" style="4" customWidth="1"/>
    <col min="15372" max="15372" width="8.42578125" style="4" customWidth="1"/>
    <col min="15373" max="15373" width="9.28515625" style="4" customWidth="1"/>
    <col min="15374" max="15374" width="8.42578125" style="4" customWidth="1"/>
    <col min="15375" max="15375" width="11.28515625" style="4" customWidth="1"/>
    <col min="15376" max="15376" width="9.28515625" style="4" customWidth="1"/>
    <col min="15377" max="15614" width="9.140625" style="4"/>
    <col min="15615" max="15615" width="18.7109375" style="4" customWidth="1"/>
    <col min="15616" max="15616" width="25.140625" style="4" customWidth="1"/>
    <col min="15617" max="15619" width="7.5703125" style="4" customWidth="1"/>
    <col min="15620" max="15622" width="6.7109375" style="4" customWidth="1"/>
    <col min="15623" max="15626" width="7.5703125" style="4" customWidth="1"/>
    <col min="15627" max="15627" width="8.140625" style="4" customWidth="1"/>
    <col min="15628" max="15628" width="8.42578125" style="4" customWidth="1"/>
    <col min="15629" max="15629" width="9.28515625" style="4" customWidth="1"/>
    <col min="15630" max="15630" width="8.42578125" style="4" customWidth="1"/>
    <col min="15631" max="15631" width="11.28515625" style="4" customWidth="1"/>
    <col min="15632" max="15632" width="9.28515625" style="4" customWidth="1"/>
    <col min="15633" max="15870" width="9.140625" style="4"/>
    <col min="15871" max="15871" width="18.7109375" style="4" customWidth="1"/>
    <col min="15872" max="15872" width="25.140625" style="4" customWidth="1"/>
    <col min="15873" max="15875" width="7.5703125" style="4" customWidth="1"/>
    <col min="15876" max="15878" width="6.7109375" style="4" customWidth="1"/>
    <col min="15879" max="15882" width="7.5703125" style="4" customWidth="1"/>
    <col min="15883" max="15883" width="8.140625" style="4" customWidth="1"/>
    <col min="15884" max="15884" width="8.42578125" style="4" customWidth="1"/>
    <col min="15885" max="15885" width="9.28515625" style="4" customWidth="1"/>
    <col min="15886" max="15886" width="8.42578125" style="4" customWidth="1"/>
    <col min="15887" max="15887" width="11.28515625" style="4" customWidth="1"/>
    <col min="15888" max="15888" width="9.28515625" style="4" customWidth="1"/>
    <col min="15889" max="16126" width="9.140625" style="4"/>
    <col min="16127" max="16127" width="18.7109375" style="4" customWidth="1"/>
    <col min="16128" max="16128" width="25.140625" style="4" customWidth="1"/>
    <col min="16129" max="16131" width="7.5703125" style="4" customWidth="1"/>
    <col min="16132" max="16134" width="6.7109375" style="4" customWidth="1"/>
    <col min="16135" max="16138" width="7.5703125" style="4" customWidth="1"/>
    <col min="16139" max="16139" width="8.140625" style="4" customWidth="1"/>
    <col min="16140" max="16140" width="8.42578125" style="4" customWidth="1"/>
    <col min="16141" max="16141" width="9.28515625" style="4" customWidth="1"/>
    <col min="16142" max="16142" width="8.42578125" style="4" customWidth="1"/>
    <col min="16143" max="16143" width="11.28515625" style="4" customWidth="1"/>
    <col min="16144" max="16144" width="9.28515625" style="4" customWidth="1"/>
    <col min="16145" max="16384" width="9.140625" style="4"/>
  </cols>
  <sheetData>
    <row r="1" spans="1:27" s="71" customFormat="1" ht="15" customHeight="1" x14ac:dyDescent="0.2">
      <c r="A1" s="601"/>
      <c r="B1" s="610"/>
      <c r="C1" s="608"/>
      <c r="D1" s="623" t="s">
        <v>911</v>
      </c>
      <c r="E1" s="594" t="str">
        <f>'Obra '!D1</f>
        <v>Mowe</v>
      </c>
      <c r="F1" s="594"/>
      <c r="G1" s="590"/>
      <c r="H1" s="590"/>
      <c r="I1" s="590"/>
      <c r="J1" s="590"/>
      <c r="K1" s="590"/>
      <c r="L1" s="590"/>
      <c r="M1" s="590"/>
      <c r="N1" s="609"/>
      <c r="O1" s="609"/>
      <c r="P1" s="609"/>
      <c r="Q1" s="609"/>
      <c r="R1" s="609"/>
      <c r="S1" s="609"/>
      <c r="T1" s="609"/>
      <c r="U1" s="609"/>
      <c r="V1" s="607"/>
      <c r="W1" s="608"/>
      <c r="Y1" s="698"/>
    </row>
    <row r="2" spans="1:27" s="348" customFormat="1" ht="15" customHeight="1" x14ac:dyDescent="0.2">
      <c r="A2" s="603"/>
      <c r="C2" s="675"/>
      <c r="D2" s="623" t="s">
        <v>912</v>
      </c>
      <c r="E2" s="635" t="str">
        <f>'Obra '!D2</f>
        <v>MARTINS|FRANCEZ ENGENHARIA</v>
      </c>
      <c r="F2" s="594"/>
      <c r="G2" s="594"/>
      <c r="H2" s="594"/>
      <c r="I2" s="594"/>
      <c r="J2" s="594"/>
      <c r="K2" s="594"/>
      <c r="L2" s="594"/>
      <c r="M2" s="594"/>
      <c r="N2" s="674"/>
      <c r="O2" s="674"/>
      <c r="P2" s="674"/>
      <c r="Q2" s="674"/>
      <c r="R2" s="674"/>
      <c r="S2" s="674"/>
      <c r="T2" s="674"/>
      <c r="U2" s="674"/>
      <c r="V2" s="676"/>
      <c r="W2" s="675"/>
    </row>
    <row r="3" spans="1:27" s="348" customFormat="1" ht="15" customHeight="1" x14ac:dyDescent="0.2">
      <c r="A3" s="611"/>
      <c r="B3" s="677"/>
      <c r="C3" s="678"/>
      <c r="D3" s="623" t="s">
        <v>913</v>
      </c>
      <c r="E3" s="594" t="str">
        <f>'Obra '!D3</f>
        <v>R00</v>
      </c>
      <c r="F3" s="594"/>
      <c r="G3" s="594"/>
      <c r="H3" s="594"/>
      <c r="I3" s="594"/>
      <c r="J3" s="594"/>
      <c r="K3" s="596"/>
      <c r="L3" s="597"/>
      <c r="M3" s="613"/>
      <c r="N3" s="674"/>
      <c r="O3" s="674"/>
      <c r="P3" s="674"/>
      <c r="Q3" s="674"/>
      <c r="R3" s="674"/>
      <c r="S3" s="979"/>
      <c r="T3" s="980"/>
      <c r="U3" s="980"/>
      <c r="V3" s="679"/>
      <c r="W3" s="678"/>
    </row>
    <row r="4" spans="1:27" s="75" customFormat="1" ht="22.15" customHeight="1" x14ac:dyDescent="0.2">
      <c r="A4" s="981" t="s">
        <v>367</v>
      </c>
      <c r="B4" s="982"/>
      <c r="C4" s="982"/>
      <c r="D4" s="982"/>
      <c r="E4" s="982"/>
      <c r="F4" s="982"/>
      <c r="G4" s="982"/>
      <c r="H4" s="982"/>
      <c r="I4" s="982"/>
      <c r="J4" s="982"/>
      <c r="K4" s="982"/>
      <c r="L4" s="982"/>
      <c r="M4" s="982"/>
      <c r="N4" s="982"/>
      <c r="O4" s="982"/>
      <c r="P4" s="982"/>
      <c r="Q4" s="982"/>
      <c r="R4" s="982"/>
      <c r="S4" s="982"/>
      <c r="T4" s="982"/>
      <c r="U4" s="982"/>
      <c r="V4" s="982"/>
      <c r="W4" s="983"/>
    </row>
    <row r="5" spans="1:27" ht="24" x14ac:dyDescent="0.2">
      <c r="E5" s="1226"/>
      <c r="F5" s="553" t="s">
        <v>914</v>
      </c>
      <c r="G5" s="553" t="s">
        <v>915</v>
      </c>
      <c r="H5" s="553" t="s">
        <v>916</v>
      </c>
      <c r="I5" s="553" t="s">
        <v>852</v>
      </c>
      <c r="J5" s="762" t="s">
        <v>917</v>
      </c>
      <c r="K5" s="559" t="s">
        <v>918</v>
      </c>
      <c r="L5" s="559" t="s">
        <v>919</v>
      </c>
      <c r="M5" s="553" t="s">
        <v>374</v>
      </c>
      <c r="N5" s="984" t="s">
        <v>920</v>
      </c>
      <c r="O5" s="782" t="s">
        <v>921</v>
      </c>
      <c r="P5" s="782" t="s">
        <v>922</v>
      </c>
      <c r="Q5" s="782" t="s">
        <v>923</v>
      </c>
      <c r="R5" s="782" t="s">
        <v>924</v>
      </c>
      <c r="S5" s="782" t="s">
        <v>925</v>
      </c>
      <c r="T5" s="1228" t="s">
        <v>926</v>
      </c>
    </row>
    <row r="6" spans="1:27" ht="15.75" customHeight="1" x14ac:dyDescent="0.2">
      <c r="E6" s="1227"/>
      <c r="F6" s="553" t="s">
        <v>1</v>
      </c>
      <c r="G6" s="553" t="s">
        <v>4</v>
      </c>
      <c r="H6" s="553" t="s">
        <v>1</v>
      </c>
      <c r="I6" s="553" t="s">
        <v>4</v>
      </c>
      <c r="J6" s="553" t="s">
        <v>4</v>
      </c>
      <c r="K6" s="553" t="s">
        <v>4</v>
      </c>
      <c r="L6" s="553" t="s">
        <v>4</v>
      </c>
      <c r="M6" s="553" t="s">
        <v>1</v>
      </c>
      <c r="N6" s="553" t="s">
        <v>1</v>
      </c>
      <c r="O6" s="553" t="s">
        <v>4</v>
      </c>
      <c r="P6" s="553" t="s">
        <v>4</v>
      </c>
      <c r="Q6" s="553" t="s">
        <v>4</v>
      </c>
      <c r="R6" s="553" t="s">
        <v>4</v>
      </c>
      <c r="S6" s="553" t="s">
        <v>4</v>
      </c>
      <c r="T6" s="1229"/>
    </row>
    <row r="7" spans="1:27" ht="24.75" customHeight="1" x14ac:dyDescent="0.2">
      <c r="A7" s="7"/>
      <c r="B7" s="7"/>
      <c r="C7" s="7"/>
      <c r="E7" s="985" t="s">
        <v>927</v>
      </c>
      <c r="F7" s="985"/>
      <c r="G7" s="985">
        <f>L31+L64</f>
        <v>124.1361919508</v>
      </c>
      <c r="H7" s="985">
        <f t="shared" ref="H7:I7" si="0">M31+M64</f>
        <v>50.432390139999995</v>
      </c>
      <c r="I7" s="985">
        <f t="shared" si="0"/>
        <v>99.069708518666673</v>
      </c>
      <c r="J7" s="985">
        <f>O31+O64</f>
        <v>32.58642846177333</v>
      </c>
      <c r="K7" s="985">
        <f>Q31+Q64+Q89</f>
        <v>0</v>
      </c>
      <c r="L7" s="985">
        <f>R31</f>
        <v>1.2482000000000002</v>
      </c>
      <c r="M7" s="985">
        <f>S31+S64+S89</f>
        <v>184.97997284000002</v>
      </c>
      <c r="N7" s="985">
        <f>T31*0.5+T64</f>
        <v>141.69996297999998</v>
      </c>
      <c r="O7" s="985">
        <f>SUMIF($V$9:$V$91,O$5,$U$9:$U$91)</f>
        <v>0</v>
      </c>
      <c r="P7" s="985">
        <f>SUMIF($V$9:$V$91,P$5,$U$9:$U$91)</f>
        <v>25.476113432133335</v>
      </c>
      <c r="Q7" s="985">
        <f>SUMIF($V$9:$V$91,Q$5,$U$9:$U$91)</f>
        <v>0</v>
      </c>
      <c r="R7" s="985">
        <f>SUMIF($V$9:$V$91,R$5,$U$9:$U$91)</f>
        <v>0</v>
      </c>
      <c r="S7" s="985">
        <f>SUMIF($V$9:$V$91,S$5,$U$9:$U$91)</f>
        <v>0</v>
      </c>
      <c r="T7" s="985"/>
    </row>
    <row r="8" spans="1:2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11" spans="1:27" s="90" customFormat="1" ht="23.45" customHeight="1" x14ac:dyDescent="0.2">
      <c r="A11" s="1224" t="s">
        <v>843</v>
      </c>
      <c r="B11" s="1225"/>
      <c r="C11" s="1225"/>
      <c r="D11" s="1225"/>
      <c r="E11" s="1225"/>
      <c r="F11" s="1225"/>
      <c r="G11" s="1225"/>
      <c r="H11" s="1225"/>
      <c r="I11" s="1225"/>
      <c r="J11" s="1225"/>
      <c r="K11" s="1225"/>
      <c r="L11" s="1225"/>
      <c r="M11" s="1225"/>
      <c r="N11" s="1225"/>
      <c r="O11" s="1225"/>
      <c r="P11" s="1225"/>
      <c r="Q11" s="1225"/>
      <c r="R11" s="1225"/>
      <c r="S11" s="1225"/>
      <c r="T11" s="1225"/>
      <c r="U11" s="1225"/>
      <c r="V11" s="1225"/>
      <c r="W11" s="618"/>
      <c r="X11" s="4" t="s">
        <v>928</v>
      </c>
      <c r="Y11" s="4"/>
      <c r="Z11" s="4"/>
      <c r="AA11" s="4"/>
    </row>
    <row r="12" spans="1:27" s="252" customFormat="1" ht="15" customHeight="1" x14ac:dyDescent="0.2">
      <c r="A12" s="1230" t="s">
        <v>7</v>
      </c>
      <c r="B12" s="1233"/>
      <c r="C12" s="1233" t="s">
        <v>844</v>
      </c>
      <c r="D12" s="851" t="s">
        <v>845</v>
      </c>
      <c r="E12" s="852"/>
      <c r="F12" s="852"/>
      <c r="G12" s="852"/>
      <c r="H12" s="852"/>
      <c r="I12" s="852"/>
      <c r="J12" s="1236" t="s">
        <v>46</v>
      </c>
      <c r="K12" s="1237"/>
      <c r="L12" s="998" t="s">
        <v>846</v>
      </c>
      <c r="M12" s="999"/>
      <c r="N12" s="999"/>
      <c r="O12" s="999"/>
      <c r="P12" s="852"/>
      <c r="Q12" s="852"/>
      <c r="R12" s="852"/>
      <c r="S12" s="852"/>
      <c r="T12" s="853"/>
      <c r="U12" s="852"/>
      <c r="V12" s="852"/>
      <c r="X12" s="4"/>
      <c r="Y12" s="4"/>
      <c r="Z12" s="4"/>
      <c r="AA12" s="4"/>
    </row>
    <row r="13" spans="1:27" s="252" customFormat="1" ht="15" customHeight="1" x14ac:dyDescent="0.2">
      <c r="A13" s="1231"/>
      <c r="B13" s="1234"/>
      <c r="C13" s="1234"/>
      <c r="D13" s="854" t="s">
        <v>54</v>
      </c>
      <c r="E13" s="854" t="s">
        <v>55</v>
      </c>
      <c r="F13" s="854" t="s">
        <v>847</v>
      </c>
      <c r="G13" s="854" t="s">
        <v>56</v>
      </c>
      <c r="H13" s="854" t="s">
        <v>71</v>
      </c>
      <c r="I13" s="854" t="s">
        <v>848</v>
      </c>
      <c r="J13" s="855" t="s">
        <v>849</v>
      </c>
      <c r="K13" s="855" t="s">
        <v>181</v>
      </c>
      <c r="L13" s="854" t="s">
        <v>850</v>
      </c>
      <c r="M13" s="854" t="s">
        <v>851</v>
      </c>
      <c r="N13" s="854" t="s">
        <v>852</v>
      </c>
      <c r="O13" s="854" t="s">
        <v>853</v>
      </c>
      <c r="P13" s="1238" t="s">
        <v>929</v>
      </c>
      <c r="Q13" s="1239"/>
      <c r="R13" s="1240"/>
      <c r="S13" s="854" t="s">
        <v>854</v>
      </c>
      <c r="T13" s="854" t="s">
        <v>855</v>
      </c>
      <c r="U13" s="854" t="s">
        <v>347</v>
      </c>
      <c r="V13" s="854" t="s">
        <v>95</v>
      </c>
      <c r="X13" s="4"/>
      <c r="Y13" s="4"/>
      <c r="Z13" s="4"/>
      <c r="AA13" s="4"/>
    </row>
    <row r="14" spans="1:27" s="252" customFormat="1" ht="12.75" x14ac:dyDescent="0.2">
      <c r="A14" s="1232"/>
      <c r="B14" s="1235"/>
      <c r="C14" s="1235"/>
      <c r="D14" s="856" t="s">
        <v>3</v>
      </c>
      <c r="E14" s="856" t="s">
        <v>3</v>
      </c>
      <c r="F14" s="856" t="s">
        <v>3</v>
      </c>
      <c r="G14" s="978" t="s">
        <v>3</v>
      </c>
      <c r="H14" s="978" t="s">
        <v>3</v>
      </c>
      <c r="I14" s="978" t="s">
        <v>3</v>
      </c>
      <c r="J14" s="978" t="s">
        <v>3</v>
      </c>
      <c r="K14" s="978" t="s">
        <v>3</v>
      </c>
      <c r="L14" s="978" t="s">
        <v>4</v>
      </c>
      <c r="M14" s="978" t="s">
        <v>1</v>
      </c>
      <c r="N14" s="978" t="s">
        <v>4</v>
      </c>
      <c r="O14" s="978" t="s">
        <v>4</v>
      </c>
      <c r="P14" s="996" t="s">
        <v>856</v>
      </c>
      <c r="Q14" s="997" t="s">
        <v>4</v>
      </c>
      <c r="R14" s="997" t="s">
        <v>4</v>
      </c>
      <c r="S14" s="978" t="s">
        <v>1</v>
      </c>
      <c r="T14" s="978" t="s">
        <v>1</v>
      </c>
      <c r="U14" s="978" t="s">
        <v>4</v>
      </c>
      <c r="V14" s="978"/>
      <c r="X14" s="4"/>
      <c r="Y14" s="4"/>
      <c r="Z14" s="4"/>
      <c r="AA14" s="4"/>
    </row>
    <row r="15" spans="1:27" s="252" customFormat="1" ht="14.45" customHeight="1" x14ac:dyDescent="0.2">
      <c r="A15" s="857" t="s">
        <v>940</v>
      </c>
      <c r="B15" s="1000"/>
      <c r="C15" s="858"/>
      <c r="D15" s="859"/>
      <c r="E15" s="858"/>
      <c r="F15" s="860"/>
      <c r="G15" s="859"/>
      <c r="H15" s="858"/>
      <c r="I15" s="860"/>
      <c r="J15" s="859"/>
      <c r="K15" s="859"/>
      <c r="L15" s="858"/>
      <c r="M15" s="859"/>
      <c r="N15" s="859"/>
      <c r="O15" s="859"/>
      <c r="P15" s="858"/>
      <c r="Q15" s="710" t="s">
        <v>930</v>
      </c>
      <c r="R15" s="710" t="s">
        <v>347</v>
      </c>
      <c r="S15" s="859">
        <f t="shared" ref="S15:S30" si="1">(((($D15+$E15)*2)*$F15)*$C15)+(((K15-0.1)*4*G15)*C15)</f>
        <v>0</v>
      </c>
      <c r="T15" s="859"/>
      <c r="U15" s="859">
        <f>((($D15*$E15*$F15)+(($I15/6)*(($D15*$E15)+($G15*$H15)+(($D15+$G15)*($E15+$H15)))))*$C15)+((K15-0.1)*G15*H15*C15)</f>
        <v>0</v>
      </c>
      <c r="V15" s="859"/>
      <c r="X15" s="4"/>
      <c r="Y15" s="4"/>
      <c r="Z15" s="4"/>
      <c r="AA15" s="4"/>
    </row>
    <row r="16" spans="1:27" s="252" customFormat="1" ht="14.45" customHeight="1" x14ac:dyDescent="0.2">
      <c r="A16" s="861" t="s">
        <v>941</v>
      </c>
      <c r="B16" s="1001"/>
      <c r="C16" s="862">
        <v>1</v>
      </c>
      <c r="D16" s="863">
        <v>0.9</v>
      </c>
      <c r="E16" s="863">
        <v>0.6</v>
      </c>
      <c r="F16" s="863">
        <v>0.2</v>
      </c>
      <c r="G16" s="863">
        <v>0.14000000000000001</v>
      </c>
      <c r="H16" s="863">
        <v>0.5</v>
      </c>
      <c r="I16" s="863">
        <v>0.3</v>
      </c>
      <c r="J16" s="398">
        <f t="shared" ref="J16:J30" si="2">IF((D16+E16)&lt;=1,0.6,1.2)</f>
        <v>1.2</v>
      </c>
      <c r="K16" s="398"/>
      <c r="L16" s="398">
        <f t="shared" ref="L16:L30" si="3">(D16+J16)*(E16+J16)*(F16+I16+P16+K16)*C16</f>
        <v>2.0411999999999999</v>
      </c>
      <c r="M16" s="398">
        <f>$D16*$E16*$C16</f>
        <v>0.54</v>
      </c>
      <c r="N16" s="398">
        <f>$L16-$U16-R16</f>
        <v>1.8308999999999997</v>
      </c>
      <c r="O16" s="398">
        <f>(L16-N16)*1.3</f>
        <v>0.27339000000000019</v>
      </c>
      <c r="P16" s="864">
        <v>0.04</v>
      </c>
      <c r="Q16" s="398"/>
      <c r="R16" s="398">
        <f>($D16*$E16*$P16)*$C16</f>
        <v>2.1600000000000001E-2</v>
      </c>
      <c r="S16" s="398">
        <f t="shared" si="1"/>
        <v>0.54400000000000004</v>
      </c>
      <c r="T16" s="398"/>
      <c r="U16" s="398">
        <f t="shared" ref="U16:U30" si="4">((($D16*$E16*$F16)+(($I16/6)*(($D16*$E16)+($G16*$H16)+(($D16+$G16)*($E16+$H16)))))*$C16)+((K16-0.1)*G16*H16*C16)</f>
        <v>0.18870000000000001</v>
      </c>
      <c r="V16" s="693" t="s">
        <v>922</v>
      </c>
      <c r="X16" s="4"/>
      <c r="Y16" s="4"/>
      <c r="Z16" s="4"/>
      <c r="AA16" s="4"/>
    </row>
    <row r="17" spans="1:27" s="252" customFormat="1" ht="14.45" customHeight="1" x14ac:dyDescent="0.2">
      <c r="A17" s="861" t="s">
        <v>942</v>
      </c>
      <c r="B17" s="1001"/>
      <c r="C17" s="862">
        <v>1</v>
      </c>
      <c r="D17" s="863">
        <v>1.65</v>
      </c>
      <c r="E17" s="863">
        <v>1.35</v>
      </c>
      <c r="F17" s="863">
        <v>0.2</v>
      </c>
      <c r="G17" s="863">
        <v>0.3</v>
      </c>
      <c r="H17" s="863">
        <v>0.3</v>
      </c>
      <c r="I17" s="863">
        <v>0.45</v>
      </c>
      <c r="J17" s="398">
        <f t="shared" si="2"/>
        <v>1.2</v>
      </c>
      <c r="K17" s="398"/>
      <c r="L17" s="398">
        <f t="shared" si="3"/>
        <v>5.0145749999999989</v>
      </c>
      <c r="M17" s="398">
        <f>$D17*$E17*$C17</f>
        <v>2.2275</v>
      </c>
      <c r="N17" s="398">
        <f>$L17-$U17-R17</f>
        <v>4.0738499999999984</v>
      </c>
      <c r="O17" s="398">
        <f>(L17-N17)*1.3</f>
        <v>1.2229425000000007</v>
      </c>
      <c r="P17" s="864">
        <v>0.04</v>
      </c>
      <c r="Q17" s="398"/>
      <c r="R17" s="398">
        <f t="shared" ref="R17:R30" si="5">($D17*$E17*$P17)*$C17</f>
        <v>8.9099999999999999E-2</v>
      </c>
      <c r="S17" s="398">
        <f t="shared" si="1"/>
        <v>1.08</v>
      </c>
      <c r="T17" s="398"/>
      <c r="U17" s="398">
        <f t="shared" si="4"/>
        <v>0.85162499999999997</v>
      </c>
      <c r="V17" s="693" t="s">
        <v>922</v>
      </c>
      <c r="X17" s="4"/>
      <c r="Y17" s="4"/>
      <c r="Z17" s="4"/>
      <c r="AA17" s="4"/>
    </row>
    <row r="18" spans="1:27" s="252" customFormat="1" ht="14.45" customHeight="1" x14ac:dyDescent="0.2">
      <c r="A18" s="861" t="s">
        <v>943</v>
      </c>
      <c r="B18" s="1001"/>
      <c r="C18" s="862">
        <v>1</v>
      </c>
      <c r="D18" s="863">
        <v>2.1</v>
      </c>
      <c r="E18" s="863">
        <v>1.35</v>
      </c>
      <c r="F18" s="863">
        <v>0.2</v>
      </c>
      <c r="G18" s="863">
        <v>0.19</v>
      </c>
      <c r="H18" s="863">
        <v>0.6</v>
      </c>
      <c r="I18" s="863">
        <v>0.5</v>
      </c>
      <c r="J18" s="398">
        <f t="shared" si="2"/>
        <v>1.2</v>
      </c>
      <c r="K18" s="398"/>
      <c r="L18" s="398">
        <f t="shared" si="3"/>
        <v>6.2270999999999992</v>
      </c>
      <c r="M18" s="398">
        <f t="shared" ref="M18" si="6">$D18*$E18*$C18</f>
        <v>2.8350000000000004</v>
      </c>
      <c r="N18" s="398">
        <f t="shared" ref="N18" si="7">$L18-$U18-R18</f>
        <v>4.940224999999999</v>
      </c>
      <c r="O18" s="398">
        <f t="shared" ref="O18" si="8">(L18-N18)*1.3</f>
        <v>1.6729375000000004</v>
      </c>
      <c r="P18" s="864">
        <v>0.04</v>
      </c>
      <c r="Q18" s="398"/>
      <c r="R18" s="398">
        <f t="shared" si="5"/>
        <v>0.11340000000000001</v>
      </c>
      <c r="S18" s="398">
        <f t="shared" si="1"/>
        <v>1.304</v>
      </c>
      <c r="T18" s="398"/>
      <c r="U18" s="398">
        <f t="shared" si="4"/>
        <v>1.1734749999999998</v>
      </c>
      <c r="V18" s="693" t="s">
        <v>922</v>
      </c>
      <c r="X18" s="4"/>
      <c r="Y18" s="4"/>
      <c r="Z18" s="4"/>
      <c r="AA18" s="4"/>
    </row>
    <row r="19" spans="1:27" s="252" customFormat="1" ht="14.45" customHeight="1" x14ac:dyDescent="0.2">
      <c r="A19" s="861" t="s">
        <v>944</v>
      </c>
      <c r="B19" s="1001"/>
      <c r="C19" s="862">
        <v>1</v>
      </c>
      <c r="D19" s="863">
        <v>1</v>
      </c>
      <c r="E19" s="863">
        <v>0.75</v>
      </c>
      <c r="F19" s="863">
        <v>0.2</v>
      </c>
      <c r="G19" s="863">
        <v>0.14000000000000001</v>
      </c>
      <c r="H19" s="863">
        <v>0.4</v>
      </c>
      <c r="I19" s="863">
        <v>0.3</v>
      </c>
      <c r="J19" s="398">
        <f t="shared" si="2"/>
        <v>1.2</v>
      </c>
      <c r="K19" s="398"/>
      <c r="L19" s="398">
        <f t="shared" si="3"/>
        <v>2.3166000000000002</v>
      </c>
      <c r="M19" s="398">
        <f>$D19*$E19*$C19</f>
        <v>0.75</v>
      </c>
      <c r="N19" s="398">
        <f>$L19-$U19-R19</f>
        <v>2.0363500000000005</v>
      </c>
      <c r="O19" s="398">
        <f>(L19-N19)*1.3</f>
        <v>0.36432499999999957</v>
      </c>
      <c r="P19" s="864">
        <v>0.04</v>
      </c>
      <c r="Q19" s="398"/>
      <c r="R19" s="398">
        <f t="shared" si="5"/>
        <v>0.03</v>
      </c>
      <c r="S19" s="398">
        <f t="shared" si="1"/>
        <v>0.64400000000000002</v>
      </c>
      <c r="T19" s="398"/>
      <c r="U19" s="398">
        <f t="shared" si="4"/>
        <v>0.25025000000000003</v>
      </c>
      <c r="V19" s="693" t="s">
        <v>922</v>
      </c>
      <c r="X19" s="4"/>
      <c r="Y19" s="4"/>
      <c r="Z19" s="4"/>
      <c r="AA19" s="4"/>
    </row>
    <row r="20" spans="1:27" s="252" customFormat="1" ht="14.45" customHeight="1" x14ac:dyDescent="0.2">
      <c r="A20" s="861" t="s">
        <v>948</v>
      </c>
      <c r="B20" s="1001"/>
      <c r="C20" s="862">
        <v>2</v>
      </c>
      <c r="D20" s="863">
        <v>1.25</v>
      </c>
      <c r="E20" s="863">
        <v>1</v>
      </c>
      <c r="F20" s="863">
        <v>0.2</v>
      </c>
      <c r="G20" s="863">
        <v>0.14000000000000001</v>
      </c>
      <c r="H20" s="863">
        <v>0.4</v>
      </c>
      <c r="I20" s="863">
        <v>0.3</v>
      </c>
      <c r="J20" s="398">
        <f t="shared" si="2"/>
        <v>1.2</v>
      </c>
      <c r="K20" s="398"/>
      <c r="L20" s="398">
        <f t="shared" si="3"/>
        <v>5.821200000000001</v>
      </c>
      <c r="M20" s="398">
        <f t="shared" ref="M20:M23" si="9">$D20*$E20*$C20</f>
        <v>2.5</v>
      </c>
      <c r="N20" s="398">
        <f t="shared" ref="N20:N23" si="10">$L20-$U20-R20</f>
        <v>4.9072000000000013</v>
      </c>
      <c r="O20" s="398">
        <f t="shared" ref="O20:O23" si="11">(L20-N20)*1.3</f>
        <v>1.1881999999999997</v>
      </c>
      <c r="P20" s="864">
        <v>0.04</v>
      </c>
      <c r="Q20" s="398"/>
      <c r="R20" s="398">
        <f t="shared" si="5"/>
        <v>0.1</v>
      </c>
      <c r="S20" s="398">
        <f t="shared" si="1"/>
        <v>1.6879999999999999</v>
      </c>
      <c r="T20" s="398"/>
      <c r="U20" s="398">
        <f t="shared" si="4"/>
        <v>0.81399999999999995</v>
      </c>
      <c r="V20" s="693" t="s">
        <v>922</v>
      </c>
      <c r="X20" s="4"/>
      <c r="Y20" s="4"/>
      <c r="Z20" s="4"/>
      <c r="AA20" s="4"/>
    </row>
    <row r="21" spans="1:27" s="252" customFormat="1" ht="14.45" customHeight="1" x14ac:dyDescent="0.2">
      <c r="A21" s="861" t="s">
        <v>945</v>
      </c>
      <c r="B21" s="1001"/>
      <c r="C21" s="862">
        <v>1</v>
      </c>
      <c r="D21" s="863">
        <v>1.8</v>
      </c>
      <c r="E21" s="863">
        <v>1.35</v>
      </c>
      <c r="F21" s="863">
        <v>0.2</v>
      </c>
      <c r="G21" s="863">
        <v>0.14000000000000001</v>
      </c>
      <c r="H21" s="863">
        <v>0.6</v>
      </c>
      <c r="I21" s="863">
        <v>0.4</v>
      </c>
      <c r="J21" s="398">
        <f t="shared" si="2"/>
        <v>1.2</v>
      </c>
      <c r="K21" s="398"/>
      <c r="L21" s="398">
        <f t="shared" si="3"/>
        <v>4.8960000000000008</v>
      </c>
      <c r="M21" s="398">
        <f t="shared" si="9"/>
        <v>2.4300000000000002</v>
      </c>
      <c r="N21" s="398">
        <f t="shared" si="10"/>
        <v>3.9014000000000006</v>
      </c>
      <c r="O21" s="398">
        <f t="shared" si="11"/>
        <v>1.2929800000000002</v>
      </c>
      <c r="P21" s="864">
        <v>0.04</v>
      </c>
      <c r="Q21" s="398"/>
      <c r="R21" s="398">
        <f t="shared" si="5"/>
        <v>9.7200000000000009E-2</v>
      </c>
      <c r="S21" s="398">
        <f t="shared" si="1"/>
        <v>1.2040000000000002</v>
      </c>
      <c r="T21" s="398"/>
      <c r="U21" s="398">
        <f t="shared" si="4"/>
        <v>0.89740000000000009</v>
      </c>
      <c r="V21" s="693" t="s">
        <v>922</v>
      </c>
      <c r="X21" s="4"/>
      <c r="Y21" s="4"/>
      <c r="Z21" s="4"/>
      <c r="AA21" s="4"/>
    </row>
    <row r="22" spans="1:27" s="252" customFormat="1" ht="14.45" customHeight="1" x14ac:dyDescent="0.2">
      <c r="A22" s="861" t="s">
        <v>946</v>
      </c>
      <c r="B22" s="1001"/>
      <c r="C22" s="862">
        <v>1</v>
      </c>
      <c r="D22" s="863">
        <v>3.2</v>
      </c>
      <c r="E22" s="863">
        <v>1.35</v>
      </c>
      <c r="F22" s="1040">
        <v>0.45</v>
      </c>
      <c r="G22" s="863">
        <v>0.19</v>
      </c>
      <c r="H22" s="863">
        <v>1</v>
      </c>
      <c r="I22" s="863">
        <v>0.75</v>
      </c>
      <c r="J22" s="398">
        <f t="shared" si="2"/>
        <v>1.2</v>
      </c>
      <c r="K22" s="398"/>
      <c r="L22" s="398">
        <f t="shared" si="3"/>
        <v>13.912800000000001</v>
      </c>
      <c r="M22" s="398">
        <f t="shared" si="9"/>
        <v>4.32</v>
      </c>
      <c r="N22" s="398">
        <f t="shared" si="10"/>
        <v>10.255437500000001</v>
      </c>
      <c r="O22" s="398">
        <f t="shared" si="11"/>
        <v>4.7545712499999997</v>
      </c>
      <c r="P22" s="864">
        <v>0.04</v>
      </c>
      <c r="Q22" s="398"/>
      <c r="R22" s="398">
        <f t="shared" si="5"/>
        <v>0.17280000000000001</v>
      </c>
      <c r="S22" s="398">
        <f t="shared" si="1"/>
        <v>4.019000000000001</v>
      </c>
      <c r="T22" s="398"/>
      <c r="U22" s="398">
        <f t="shared" si="4"/>
        <v>3.4845625</v>
      </c>
      <c r="V22" s="693" t="s">
        <v>922</v>
      </c>
      <c r="X22" s="4"/>
      <c r="Y22" s="4"/>
      <c r="Z22" s="4"/>
      <c r="AA22" s="4"/>
    </row>
    <row r="23" spans="1:27" s="252" customFormat="1" ht="14.45" customHeight="1" x14ac:dyDescent="0.2">
      <c r="A23" s="861" t="s">
        <v>947</v>
      </c>
      <c r="B23" s="1001"/>
      <c r="C23" s="862">
        <v>1</v>
      </c>
      <c r="D23" s="863">
        <v>2.2000000000000002</v>
      </c>
      <c r="E23" s="863">
        <v>1.35</v>
      </c>
      <c r="F23" s="1040">
        <v>0.2</v>
      </c>
      <c r="G23" s="863">
        <v>0.14000000000000001</v>
      </c>
      <c r="H23" s="863">
        <v>0.75</v>
      </c>
      <c r="I23" s="1040">
        <v>0.5</v>
      </c>
      <c r="J23" s="398">
        <f t="shared" si="2"/>
        <v>1.2</v>
      </c>
      <c r="K23" s="398"/>
      <c r="L23" s="398">
        <f t="shared" si="3"/>
        <v>6.4157999999999999</v>
      </c>
      <c r="M23" s="398">
        <f t="shared" si="9"/>
        <v>2.9700000000000006</v>
      </c>
      <c r="N23" s="398">
        <f t="shared" si="10"/>
        <v>5.0477499999999988</v>
      </c>
      <c r="O23" s="398">
        <f t="shared" si="11"/>
        <v>1.7784650000000015</v>
      </c>
      <c r="P23" s="864">
        <v>0.04</v>
      </c>
      <c r="Q23" s="398"/>
      <c r="R23" s="398">
        <f t="shared" si="5"/>
        <v>0.11880000000000003</v>
      </c>
      <c r="S23" s="398">
        <f t="shared" si="1"/>
        <v>1.3640000000000001</v>
      </c>
      <c r="T23" s="398"/>
      <c r="U23" s="398">
        <f t="shared" si="4"/>
        <v>1.2492500000000004</v>
      </c>
      <c r="V23" s="693" t="s">
        <v>922</v>
      </c>
      <c r="X23" s="4"/>
      <c r="Y23" s="4"/>
      <c r="Z23" s="4"/>
      <c r="AA23" s="4"/>
    </row>
    <row r="24" spans="1:27" s="252" customFormat="1" ht="14.45" customHeight="1" x14ac:dyDescent="0.2">
      <c r="A24" s="861" t="s">
        <v>949</v>
      </c>
      <c r="B24" s="1001"/>
      <c r="C24" s="862">
        <v>1</v>
      </c>
      <c r="D24" s="863">
        <v>2.4</v>
      </c>
      <c r="E24" s="863">
        <v>1.35</v>
      </c>
      <c r="F24" s="1040">
        <v>0.3</v>
      </c>
      <c r="G24" s="863">
        <v>0.14000000000000001</v>
      </c>
      <c r="H24" s="863">
        <v>0.55000000000000004</v>
      </c>
      <c r="I24" s="1040">
        <v>0.65</v>
      </c>
      <c r="J24" s="398">
        <f t="shared" si="2"/>
        <v>1.2</v>
      </c>
      <c r="K24" s="398"/>
      <c r="L24" s="398">
        <f t="shared" si="3"/>
        <v>9.0881999999999987</v>
      </c>
      <c r="M24" s="398">
        <f t="shared" ref="M24:M30" si="12">$D24*$E24*$C24</f>
        <v>3.24</v>
      </c>
      <c r="N24" s="398">
        <f>$L24-$U24-R24</f>
        <v>7.1121416666666653</v>
      </c>
      <c r="O24" s="398">
        <f>(L24-N24)*1.3</f>
        <v>2.5688758333333337</v>
      </c>
      <c r="P24" s="864">
        <v>0.04</v>
      </c>
      <c r="Q24" s="398"/>
      <c r="R24" s="398">
        <f t="shared" si="5"/>
        <v>0.12960000000000002</v>
      </c>
      <c r="S24" s="398">
        <f t="shared" si="1"/>
        <v>2.194</v>
      </c>
      <c r="T24" s="398"/>
      <c r="U24" s="398">
        <f t="shared" si="4"/>
        <v>1.8464583333333333</v>
      </c>
      <c r="V24" s="693" t="s">
        <v>922</v>
      </c>
      <c r="X24" s="4"/>
      <c r="Y24" s="4"/>
      <c r="Z24" s="4"/>
      <c r="AA24" s="4"/>
    </row>
    <row r="25" spans="1:27" s="252" customFormat="1" ht="14.45" customHeight="1" x14ac:dyDescent="0.2">
      <c r="A25" s="861" t="s">
        <v>950</v>
      </c>
      <c r="B25" s="1001"/>
      <c r="C25" s="862">
        <v>1</v>
      </c>
      <c r="D25" s="863">
        <v>1.4</v>
      </c>
      <c r="E25" s="863">
        <v>1</v>
      </c>
      <c r="F25" s="863">
        <v>0.2</v>
      </c>
      <c r="G25" s="863">
        <v>0.14000000000000001</v>
      </c>
      <c r="H25" s="863">
        <v>0.5</v>
      </c>
      <c r="I25" s="863">
        <v>0.3</v>
      </c>
      <c r="J25" s="398">
        <f t="shared" si="2"/>
        <v>1.2</v>
      </c>
      <c r="K25" s="398"/>
      <c r="L25" s="398">
        <f t="shared" si="3"/>
        <v>3.0888</v>
      </c>
      <c r="M25" s="398">
        <f t="shared" si="12"/>
        <v>1.4</v>
      </c>
      <c r="N25" s="398">
        <f>$L25-$U25-R25</f>
        <v>2.5708000000000002</v>
      </c>
      <c r="O25" s="398">
        <f>(L25-N25)*1.3</f>
        <v>0.67339999999999978</v>
      </c>
      <c r="P25" s="864">
        <v>0.04</v>
      </c>
      <c r="Q25" s="398"/>
      <c r="R25" s="398">
        <f t="shared" si="5"/>
        <v>5.5999999999999994E-2</v>
      </c>
      <c r="S25" s="398">
        <f t="shared" si="1"/>
        <v>0.90399999999999991</v>
      </c>
      <c r="T25" s="398"/>
      <c r="U25" s="398">
        <f t="shared" si="4"/>
        <v>0.46199999999999997</v>
      </c>
      <c r="V25" s="693" t="s">
        <v>922</v>
      </c>
      <c r="X25" s="4"/>
      <c r="Y25" s="4"/>
      <c r="Z25" s="4"/>
      <c r="AA25" s="4"/>
    </row>
    <row r="26" spans="1:27" s="252" customFormat="1" ht="14.45" customHeight="1" x14ac:dyDescent="0.2">
      <c r="A26" s="861" t="s">
        <v>951</v>
      </c>
      <c r="B26" s="1001"/>
      <c r="C26" s="862">
        <v>1</v>
      </c>
      <c r="D26" s="863">
        <v>2.0499999999999998</v>
      </c>
      <c r="E26" s="863">
        <v>1.35</v>
      </c>
      <c r="F26" s="863">
        <v>0.2</v>
      </c>
      <c r="G26" s="863">
        <v>0.14000000000000001</v>
      </c>
      <c r="H26" s="863">
        <v>0.6</v>
      </c>
      <c r="I26" s="863">
        <v>0.5</v>
      </c>
      <c r="J26" s="398">
        <f t="shared" si="2"/>
        <v>1.2</v>
      </c>
      <c r="K26" s="398"/>
      <c r="L26" s="398">
        <f t="shared" si="3"/>
        <v>6.1327499999999997</v>
      </c>
      <c r="M26" s="398">
        <f t="shared" si="12"/>
        <v>2.7675000000000001</v>
      </c>
      <c r="N26" s="398">
        <f t="shared" ref="N26:N30" si="13">$L26-$U26-R26</f>
        <v>4.8834499999999998</v>
      </c>
      <c r="O26" s="398">
        <f t="shared" ref="O26:O30" si="14">(L26-N26)*1.3</f>
        <v>1.6240899999999998</v>
      </c>
      <c r="P26" s="864">
        <v>0.04</v>
      </c>
      <c r="Q26" s="398"/>
      <c r="R26" s="398">
        <f t="shared" si="5"/>
        <v>0.11070000000000001</v>
      </c>
      <c r="S26" s="398">
        <f t="shared" si="1"/>
        <v>1.304</v>
      </c>
      <c r="T26" s="398"/>
      <c r="U26" s="398">
        <f t="shared" si="4"/>
        <v>1.1385999999999998</v>
      </c>
      <c r="V26" s="693" t="s">
        <v>922</v>
      </c>
      <c r="X26" s="4"/>
      <c r="Y26" s="4"/>
      <c r="Z26" s="4"/>
      <c r="AA26" s="4"/>
    </row>
    <row r="27" spans="1:27" s="252" customFormat="1" ht="14.45" customHeight="1" x14ac:dyDescent="0.2">
      <c r="A27" s="861" t="s">
        <v>952</v>
      </c>
      <c r="B27" s="1001"/>
      <c r="C27" s="862">
        <v>1</v>
      </c>
      <c r="D27" s="863">
        <v>1.05</v>
      </c>
      <c r="E27" s="863">
        <v>0.85</v>
      </c>
      <c r="F27" s="863">
        <v>0.2</v>
      </c>
      <c r="G27" s="863">
        <v>0.14000000000000001</v>
      </c>
      <c r="H27" s="863">
        <v>0.4</v>
      </c>
      <c r="I27" s="863">
        <v>0.3</v>
      </c>
      <c r="J27" s="398">
        <f t="shared" si="2"/>
        <v>1.2</v>
      </c>
      <c r="K27" s="398"/>
      <c r="L27" s="398">
        <f t="shared" si="3"/>
        <v>2.4907500000000002</v>
      </c>
      <c r="M27" s="398">
        <f t="shared" si="12"/>
        <v>0.89249999999999996</v>
      </c>
      <c r="N27" s="398">
        <f t="shared" si="13"/>
        <v>2.1603500000000002</v>
      </c>
      <c r="O27" s="398">
        <f t="shared" si="14"/>
        <v>0.42952000000000007</v>
      </c>
      <c r="P27" s="864">
        <v>0.04</v>
      </c>
      <c r="Q27" s="398"/>
      <c r="R27" s="398">
        <f t="shared" si="5"/>
        <v>3.5700000000000003E-2</v>
      </c>
      <c r="S27" s="398">
        <f t="shared" si="1"/>
        <v>0.70399999999999996</v>
      </c>
      <c r="T27" s="398"/>
      <c r="U27" s="398">
        <f t="shared" si="4"/>
        <v>0.29470000000000002</v>
      </c>
      <c r="V27" s="693" t="s">
        <v>922</v>
      </c>
      <c r="X27" s="4"/>
      <c r="Y27" s="4"/>
      <c r="Z27" s="4"/>
      <c r="AA27" s="4"/>
    </row>
    <row r="28" spans="1:27" s="252" customFormat="1" ht="14.45" customHeight="1" x14ac:dyDescent="0.2">
      <c r="A28" s="861" t="s">
        <v>953</v>
      </c>
      <c r="B28" s="1001"/>
      <c r="C28" s="862">
        <v>1</v>
      </c>
      <c r="D28" s="863">
        <v>2.0499999999999998</v>
      </c>
      <c r="E28" s="863">
        <v>1.35</v>
      </c>
      <c r="F28" s="863">
        <v>0.2</v>
      </c>
      <c r="G28" s="863">
        <v>0.14000000000000001</v>
      </c>
      <c r="H28" s="863">
        <v>0.69</v>
      </c>
      <c r="I28" s="863">
        <v>0.45</v>
      </c>
      <c r="J28" s="398">
        <f t="shared" si="2"/>
        <v>1.2</v>
      </c>
      <c r="K28" s="398"/>
      <c r="L28" s="398">
        <f t="shared" si="3"/>
        <v>5.718375</v>
      </c>
      <c r="M28" s="398">
        <f t="shared" si="12"/>
        <v>2.7675000000000001</v>
      </c>
      <c r="N28" s="398">
        <f t="shared" si="13"/>
        <v>4.5139575000000001</v>
      </c>
      <c r="O28" s="398">
        <f t="shared" si="14"/>
        <v>1.5657427499999998</v>
      </c>
      <c r="P28" s="864">
        <v>0.04</v>
      </c>
      <c r="Q28" s="398"/>
      <c r="R28" s="398">
        <f t="shared" si="5"/>
        <v>0.11070000000000001</v>
      </c>
      <c r="S28" s="398">
        <f t="shared" si="1"/>
        <v>1.304</v>
      </c>
      <c r="T28" s="398"/>
      <c r="U28" s="398">
        <f t="shared" si="4"/>
        <v>1.0937174999999999</v>
      </c>
      <c r="V28" s="693" t="s">
        <v>922</v>
      </c>
      <c r="X28" s="4"/>
      <c r="Y28" s="4"/>
      <c r="Z28" s="4"/>
      <c r="AA28" s="4"/>
    </row>
    <row r="29" spans="1:27" s="252" customFormat="1" ht="14.45" customHeight="1" x14ac:dyDescent="0.2">
      <c r="A29" s="861" t="s">
        <v>954</v>
      </c>
      <c r="B29" s="1001"/>
      <c r="C29" s="862">
        <v>1</v>
      </c>
      <c r="D29" s="863">
        <v>0.8</v>
      </c>
      <c r="E29" s="863">
        <v>0.65</v>
      </c>
      <c r="F29" s="863">
        <v>0.2</v>
      </c>
      <c r="G29" s="863">
        <v>0.14000000000000001</v>
      </c>
      <c r="H29" s="863">
        <v>0.3</v>
      </c>
      <c r="I29" s="863">
        <v>0.3</v>
      </c>
      <c r="J29" s="398">
        <f t="shared" si="2"/>
        <v>1.2</v>
      </c>
      <c r="K29" s="398"/>
      <c r="L29" s="398">
        <f t="shared" si="3"/>
        <v>1.9980000000000002</v>
      </c>
      <c r="M29" s="398">
        <f t="shared" si="12"/>
        <v>0.52</v>
      </c>
      <c r="N29" s="398">
        <f t="shared" si="13"/>
        <v>1.8046500000000003</v>
      </c>
      <c r="O29" s="398">
        <f t="shared" si="14"/>
        <v>0.25135499999999988</v>
      </c>
      <c r="P29" s="864">
        <v>0.04</v>
      </c>
      <c r="Q29" s="398"/>
      <c r="R29" s="398">
        <f t="shared" si="5"/>
        <v>2.0800000000000003E-2</v>
      </c>
      <c r="S29" s="398">
        <f t="shared" si="1"/>
        <v>0.52400000000000002</v>
      </c>
      <c r="T29" s="398"/>
      <c r="U29" s="398">
        <f t="shared" si="4"/>
        <v>0.17255000000000001</v>
      </c>
      <c r="V29" s="693" t="s">
        <v>922</v>
      </c>
      <c r="X29" s="4"/>
      <c r="Y29" s="4"/>
      <c r="Z29" s="4"/>
      <c r="AA29" s="4"/>
    </row>
    <row r="30" spans="1:27" s="252" customFormat="1" ht="14.45" customHeight="1" thickBot="1" x14ac:dyDescent="0.25">
      <c r="A30" s="861" t="s">
        <v>955</v>
      </c>
      <c r="B30" s="1001"/>
      <c r="C30" s="862">
        <v>1</v>
      </c>
      <c r="D30" s="863">
        <v>1.1000000000000001</v>
      </c>
      <c r="E30" s="863">
        <v>0.95</v>
      </c>
      <c r="F30" s="863">
        <v>0.2</v>
      </c>
      <c r="G30" s="863">
        <v>0.19</v>
      </c>
      <c r="H30" s="863">
        <v>0.3</v>
      </c>
      <c r="I30" s="863">
        <v>0.3</v>
      </c>
      <c r="J30" s="398">
        <f t="shared" si="2"/>
        <v>1.2</v>
      </c>
      <c r="K30" s="398"/>
      <c r="L30" s="398">
        <f t="shared" si="3"/>
        <v>2.6702999999999997</v>
      </c>
      <c r="M30" s="398">
        <f t="shared" si="12"/>
        <v>1.0449999999999999</v>
      </c>
      <c r="N30" s="398">
        <f t="shared" si="13"/>
        <v>2.2894749999999999</v>
      </c>
      <c r="O30" s="398">
        <f t="shared" si="14"/>
        <v>0.49507249999999969</v>
      </c>
      <c r="P30" s="864">
        <v>0.04</v>
      </c>
      <c r="Q30" s="398"/>
      <c r="R30" s="398">
        <f t="shared" si="5"/>
        <v>4.1799999999999997E-2</v>
      </c>
      <c r="S30" s="398">
        <f t="shared" si="1"/>
        <v>0.74399999999999999</v>
      </c>
      <c r="T30" s="398"/>
      <c r="U30" s="398">
        <f t="shared" si="4"/>
        <v>0.33902499999999997</v>
      </c>
      <c r="V30" s="693" t="s">
        <v>922</v>
      </c>
      <c r="X30" s="4"/>
      <c r="Y30" s="4"/>
      <c r="Z30" s="4"/>
      <c r="AA30" s="4"/>
    </row>
    <row r="31" spans="1:27" s="252" customFormat="1" ht="14.45" customHeight="1" thickTop="1" thickBot="1" x14ac:dyDescent="0.25">
      <c r="A31" s="216" t="str">
        <f>"TOTAL GERAL - "&amp;A11</f>
        <v>TOTAL GERAL - SAPATAS</v>
      </c>
      <c r="B31" s="216"/>
      <c r="C31" s="408"/>
      <c r="D31" s="308"/>
      <c r="E31" s="308"/>
      <c r="F31" s="308"/>
      <c r="G31" s="308"/>
      <c r="H31" s="308"/>
      <c r="I31" s="310"/>
      <c r="J31" s="308"/>
      <c r="K31" s="308"/>
      <c r="L31" s="310">
        <f>SUM(L15:L30)</f>
        <v>77.832449999999994</v>
      </c>
      <c r="M31" s="310">
        <f>SUM(M15:M30)</f>
        <v>31.204999999999991</v>
      </c>
      <c r="N31" s="310">
        <f>SUM(N15:N30)</f>
        <v>62.327936666666673</v>
      </c>
      <c r="O31" s="310">
        <f>SUM(O15:O30)</f>
        <v>20.155867333333333</v>
      </c>
      <c r="P31" s="310"/>
      <c r="Q31" s="310">
        <f>SUM(Q15:Q25)</f>
        <v>0</v>
      </c>
      <c r="R31" s="310">
        <f>SUM(R15:R30)</f>
        <v>1.2482000000000002</v>
      </c>
      <c r="S31" s="310">
        <f>SUM(S15:S30)</f>
        <v>19.524999999999999</v>
      </c>
      <c r="T31" s="310">
        <f>SUM(T15:T30)</f>
        <v>0</v>
      </c>
      <c r="U31" s="310">
        <f>SUM(U15:U30)</f>
        <v>14.256313333333333</v>
      </c>
      <c r="V31" s="410"/>
      <c r="X31" s="4"/>
      <c r="Y31" s="4"/>
      <c r="Z31" s="4"/>
      <c r="AA31" s="4"/>
    </row>
    <row r="32" spans="1:27" s="252" customFormat="1" ht="12.75" thickTop="1" x14ac:dyDescent="0.2">
      <c r="C32" s="300"/>
      <c r="D32" s="300"/>
      <c r="E32" s="300"/>
      <c r="F32" s="300"/>
      <c r="G32" s="300"/>
      <c r="H32" s="300"/>
      <c r="I32" s="300"/>
      <c r="J32" s="300"/>
      <c r="K32" s="865" t="s">
        <v>857</v>
      </c>
      <c r="L32" s="300"/>
      <c r="M32" s="300"/>
      <c r="N32" s="300"/>
      <c r="O32" s="300"/>
      <c r="P32" s="300"/>
      <c r="Q32" s="300"/>
      <c r="R32" s="300"/>
      <c r="S32" s="300"/>
      <c r="T32" s="300"/>
      <c r="U32" s="866"/>
    </row>
    <row r="33" spans="1:31" s="252" customFormat="1" ht="12" x14ac:dyDescent="0.2">
      <c r="C33" s="300"/>
      <c r="D33" s="300"/>
      <c r="E33" s="300"/>
      <c r="F33" s="300"/>
      <c r="G33" s="300"/>
      <c r="H33" s="300"/>
      <c r="I33" s="300"/>
      <c r="J33" s="300"/>
      <c r="K33" s="865"/>
      <c r="L33" s="300"/>
      <c r="M33" s="300"/>
      <c r="N33" s="300"/>
      <c r="O33" s="300"/>
      <c r="P33" s="300"/>
      <c r="Q33" s="300"/>
      <c r="R33" s="300"/>
      <c r="S33" s="300"/>
      <c r="T33" s="300"/>
      <c r="U33" s="866"/>
    </row>
    <row r="34" spans="1:31" s="252" customFormat="1" ht="12" x14ac:dyDescent="0.2">
      <c r="C34" s="300"/>
      <c r="D34" s="300"/>
      <c r="E34" s="300"/>
      <c r="F34" s="300"/>
      <c r="G34" s="300"/>
      <c r="H34" s="300"/>
      <c r="I34" s="300"/>
      <c r="J34" s="300"/>
      <c r="K34" s="865"/>
      <c r="L34" s="300"/>
      <c r="M34" s="300"/>
      <c r="N34" s="300"/>
      <c r="O34" s="300"/>
      <c r="P34" s="300"/>
      <c r="Q34" s="300"/>
      <c r="R34" s="300"/>
      <c r="S34" s="300"/>
      <c r="T34" s="300"/>
      <c r="U34" s="866"/>
    </row>
    <row r="35" spans="1:31" ht="18.75" x14ac:dyDescent="0.2">
      <c r="A35" s="1002" t="s">
        <v>396</v>
      </c>
      <c r="B35" s="1002"/>
      <c r="C35" s="1002"/>
      <c r="D35" s="1002"/>
      <c r="E35" s="1002"/>
      <c r="F35" s="1002"/>
      <c r="G35" s="1002"/>
      <c r="H35" s="1002"/>
      <c r="I35" s="1002"/>
      <c r="J35" s="1002"/>
      <c r="K35" s="1002"/>
      <c r="L35" s="1002"/>
      <c r="M35" s="1002"/>
      <c r="N35" s="1002"/>
      <c r="O35" s="1002"/>
      <c r="P35" s="1002"/>
      <c r="Q35" s="1002"/>
      <c r="R35" s="1002"/>
      <c r="S35" s="1002"/>
      <c r="T35" s="1002"/>
      <c r="U35" s="1002"/>
      <c r="V35" s="1002"/>
      <c r="W35" s="252"/>
      <c r="X35" s="252"/>
      <c r="Y35" s="252"/>
      <c r="Z35" s="252"/>
    </row>
    <row r="36" spans="1:31" ht="12.75" x14ac:dyDescent="0.2">
      <c r="A36" s="1230" t="s">
        <v>7</v>
      </c>
      <c r="B36" s="1243"/>
      <c r="C36" s="1243"/>
      <c r="D36" s="1243"/>
      <c r="E36" s="1246" t="s">
        <v>844</v>
      </c>
      <c r="F36" s="987" t="s">
        <v>845</v>
      </c>
      <c r="G36" s="987"/>
      <c r="H36" s="987"/>
      <c r="I36" s="1003"/>
      <c r="J36" s="1241" t="s">
        <v>46</v>
      </c>
      <c r="K36" s="1242"/>
      <c r="L36" s="986" t="s">
        <v>846</v>
      </c>
      <c r="M36" s="987"/>
      <c r="N36" s="987"/>
      <c r="O36" s="987"/>
      <c r="P36" s="987"/>
      <c r="Q36" s="987"/>
      <c r="R36" s="987"/>
      <c r="S36" s="987"/>
      <c r="T36" s="988"/>
      <c r="U36" s="987"/>
      <c r="V36" s="987"/>
      <c r="X36" s="867"/>
      <c r="Y36" s="867"/>
      <c r="AE36" s="252"/>
    </row>
    <row r="37" spans="1:31" ht="12.75" x14ac:dyDescent="0.2">
      <c r="A37" s="1231"/>
      <c r="B37" s="1244"/>
      <c r="C37" s="1244"/>
      <c r="D37" s="1244"/>
      <c r="E37" s="1247"/>
      <c r="F37" s="989" t="s">
        <v>62</v>
      </c>
      <c r="G37" s="990" t="s">
        <v>66</v>
      </c>
      <c r="H37" s="990" t="s">
        <v>64</v>
      </c>
      <c r="I37" s="1004"/>
      <c r="J37" s="991" t="s">
        <v>849</v>
      </c>
      <c r="K37" s="991" t="s">
        <v>181</v>
      </c>
      <c r="L37" s="992" t="s">
        <v>850</v>
      </c>
      <c r="M37" s="992" t="s">
        <v>851</v>
      </c>
      <c r="N37" s="992" t="s">
        <v>852</v>
      </c>
      <c r="O37" s="992" t="s">
        <v>853</v>
      </c>
      <c r="P37" s="1238" t="s">
        <v>929</v>
      </c>
      <c r="Q37" s="1239"/>
      <c r="R37" s="1240"/>
      <c r="S37" s="992" t="s">
        <v>854</v>
      </c>
      <c r="T37" s="992" t="s">
        <v>855</v>
      </c>
      <c r="U37" s="992" t="s">
        <v>347</v>
      </c>
      <c r="V37" s="992" t="s">
        <v>95</v>
      </c>
      <c r="X37" s="867"/>
      <c r="Y37" s="867"/>
      <c r="AE37" s="252"/>
    </row>
    <row r="38" spans="1:31" ht="12.75" x14ac:dyDescent="0.2">
      <c r="A38" s="1232"/>
      <c r="B38" s="1245"/>
      <c r="C38" s="1245"/>
      <c r="D38" s="1245"/>
      <c r="E38" s="1248"/>
      <c r="F38" s="993" t="s">
        <v>54</v>
      </c>
      <c r="G38" s="994" t="s">
        <v>56</v>
      </c>
      <c r="H38" s="994" t="s">
        <v>55</v>
      </c>
      <c r="I38" s="994" t="s">
        <v>57</v>
      </c>
      <c r="J38" s="995" t="s">
        <v>3</v>
      </c>
      <c r="K38" s="995" t="s">
        <v>3</v>
      </c>
      <c r="L38" s="995" t="s">
        <v>4</v>
      </c>
      <c r="M38" s="995" t="s">
        <v>1</v>
      </c>
      <c r="N38" s="995" t="s">
        <v>4</v>
      </c>
      <c r="O38" s="995" t="s">
        <v>4</v>
      </c>
      <c r="P38" s="996" t="s">
        <v>856</v>
      </c>
      <c r="Q38" s="997" t="s">
        <v>4</v>
      </c>
      <c r="R38" s="997" t="s">
        <v>4</v>
      </c>
      <c r="S38" s="995" t="s">
        <v>1</v>
      </c>
      <c r="T38" s="995" t="s">
        <v>1</v>
      </c>
      <c r="U38" s="995" t="s">
        <v>4</v>
      </c>
      <c r="V38" s="995"/>
    </row>
    <row r="39" spans="1:31" ht="12" x14ac:dyDescent="0.2">
      <c r="A39" s="701" t="s">
        <v>998</v>
      </c>
      <c r="B39" s="703"/>
      <c r="C39" s="703"/>
      <c r="D39" s="703"/>
      <c r="E39" s="703"/>
      <c r="F39" s="702"/>
      <c r="G39" s="702"/>
      <c r="H39" s="702"/>
      <c r="I39" s="703"/>
      <c r="J39" s="702"/>
      <c r="K39" s="703"/>
      <c r="L39" s="703"/>
      <c r="M39" s="703"/>
      <c r="N39" s="703"/>
      <c r="O39" s="703"/>
      <c r="P39" s="858"/>
      <c r="Q39" s="710" t="s">
        <v>930</v>
      </c>
      <c r="R39" s="710" t="s">
        <v>347</v>
      </c>
      <c r="S39" s="703"/>
      <c r="T39" s="705"/>
      <c r="U39" s="703"/>
      <c r="V39" s="702"/>
    </row>
    <row r="40" spans="1:31" ht="12" x14ac:dyDescent="0.2">
      <c r="A40" s="407" t="s">
        <v>978</v>
      </c>
      <c r="B40" s="407"/>
      <c r="C40" s="407"/>
      <c r="D40" s="407"/>
      <c r="E40" s="404">
        <v>1</v>
      </c>
      <c r="F40" s="402">
        <v>0.14000000000000001</v>
      </c>
      <c r="G40" s="403">
        <v>0.61</v>
      </c>
      <c r="H40" s="402">
        <v>0.42</v>
      </c>
      <c r="I40" s="405">
        <v>2</v>
      </c>
      <c r="J40" s="398">
        <f t="shared" ref="J40:J60" si="15">IF(H40&lt;=1,0.6,1.2)</f>
        <v>0.6</v>
      </c>
      <c r="K40" s="398"/>
      <c r="L40" s="398">
        <f t="shared" ref="L40:L60" si="16">((F40+J40)*(H40+K40)*G40)*E40</f>
        <v>0.18958799999999998</v>
      </c>
      <c r="M40" s="398">
        <f t="shared" ref="M40:M60" si="17">(F40)*(G40)*E40</f>
        <v>8.5400000000000004E-2</v>
      </c>
      <c r="N40" s="398">
        <f t="shared" ref="N40:N60" si="18">L40-U40</f>
        <v>0.15371999999999997</v>
      </c>
      <c r="O40" s="398">
        <f t="shared" ref="O40:O60" si="19">(L40-N40)*1.3</f>
        <v>4.6628400000000014E-2</v>
      </c>
      <c r="P40" s="864">
        <v>0.1</v>
      </c>
      <c r="Q40" s="398"/>
      <c r="R40" s="398">
        <f t="shared" ref="R40:R44" si="20">M40*$P40</f>
        <v>8.5400000000000007E-3</v>
      </c>
      <c r="S40" s="398">
        <f t="shared" ref="S40:S60" si="21">((G40*H40*I40))*E40</f>
        <v>0.51239999999999997</v>
      </c>
      <c r="T40" s="706">
        <f t="shared" ref="T40:T60" si="22">S40+G40*F40</f>
        <v>0.5978</v>
      </c>
      <c r="U40" s="398">
        <f t="shared" ref="U40:U60" si="23">F40*H40*G40*E40</f>
        <v>3.5868000000000004E-2</v>
      </c>
      <c r="V40" s="693" t="s">
        <v>922</v>
      </c>
    </row>
    <row r="41" spans="1:31" ht="12" x14ac:dyDescent="0.2">
      <c r="A41" s="407" t="s">
        <v>966</v>
      </c>
      <c r="B41" s="407"/>
      <c r="C41" s="407"/>
      <c r="D41" s="407"/>
      <c r="E41" s="404">
        <v>1</v>
      </c>
      <c r="F41" s="402">
        <v>0.19</v>
      </c>
      <c r="G41" s="403">
        <v>9.3436000000000003</v>
      </c>
      <c r="H41" s="402">
        <v>0.5</v>
      </c>
      <c r="I41" s="405">
        <v>2</v>
      </c>
      <c r="J41" s="398">
        <f t="shared" si="15"/>
        <v>0.6</v>
      </c>
      <c r="K41" s="398"/>
      <c r="L41" s="398">
        <f t="shared" si="16"/>
        <v>3.6907220000000005</v>
      </c>
      <c r="M41" s="398">
        <f t="shared" si="17"/>
        <v>1.7752840000000001</v>
      </c>
      <c r="N41" s="398">
        <f t="shared" si="18"/>
        <v>2.8030800000000005</v>
      </c>
      <c r="O41" s="398">
        <f t="shared" si="19"/>
        <v>1.1539346000000001</v>
      </c>
      <c r="P41" s="864">
        <v>0.1</v>
      </c>
      <c r="Q41" s="398"/>
      <c r="R41" s="398">
        <f t="shared" si="20"/>
        <v>0.17752840000000003</v>
      </c>
      <c r="S41" s="398">
        <f t="shared" si="21"/>
        <v>9.3436000000000003</v>
      </c>
      <c r="T41" s="706">
        <f t="shared" si="22"/>
        <v>11.118884000000001</v>
      </c>
      <c r="U41" s="398">
        <f t="shared" si="23"/>
        <v>0.88764200000000004</v>
      </c>
      <c r="V41" s="693" t="s">
        <v>922</v>
      </c>
    </row>
    <row r="42" spans="1:31" ht="12" x14ac:dyDescent="0.2">
      <c r="A42" s="407" t="s">
        <v>962</v>
      </c>
      <c r="B42" s="407"/>
      <c r="C42" s="407"/>
      <c r="D42" s="407"/>
      <c r="E42" s="404">
        <v>1</v>
      </c>
      <c r="F42" s="402">
        <v>0.14000000000000001</v>
      </c>
      <c r="G42" s="403">
        <v>0.1535</v>
      </c>
      <c r="H42" s="402">
        <v>0.42</v>
      </c>
      <c r="I42" s="405">
        <v>2</v>
      </c>
      <c r="J42" s="398">
        <f t="shared" si="15"/>
        <v>0.6</v>
      </c>
      <c r="K42" s="398"/>
      <c r="L42" s="398">
        <f t="shared" si="16"/>
        <v>4.7707799999999995E-2</v>
      </c>
      <c r="M42" s="398">
        <f t="shared" si="17"/>
        <v>2.1490000000000002E-2</v>
      </c>
      <c r="N42" s="398">
        <f t="shared" si="18"/>
        <v>3.8681999999999994E-2</v>
      </c>
      <c r="O42" s="398">
        <f t="shared" si="19"/>
        <v>1.1733540000000001E-2</v>
      </c>
      <c r="P42" s="864">
        <v>0.1</v>
      </c>
      <c r="Q42" s="398"/>
      <c r="R42" s="398">
        <f t="shared" si="20"/>
        <v>2.1490000000000003E-3</v>
      </c>
      <c r="S42" s="398">
        <f t="shared" si="21"/>
        <v>0.12894</v>
      </c>
      <c r="T42" s="706">
        <f t="shared" si="22"/>
        <v>0.15043000000000001</v>
      </c>
      <c r="U42" s="398">
        <f t="shared" si="23"/>
        <v>9.0258000000000005E-3</v>
      </c>
      <c r="V42" s="693" t="s">
        <v>922</v>
      </c>
    </row>
    <row r="43" spans="1:31" ht="12" x14ac:dyDescent="0.2">
      <c r="A43" s="407" t="s">
        <v>961</v>
      </c>
      <c r="B43" s="407"/>
      <c r="C43" s="407"/>
      <c r="D43" s="407"/>
      <c r="E43" s="404">
        <v>1</v>
      </c>
      <c r="F43" s="402">
        <v>0.19</v>
      </c>
      <c r="G43" s="403">
        <v>9.5035000000000007</v>
      </c>
      <c r="H43" s="402">
        <v>0.5</v>
      </c>
      <c r="I43" s="405">
        <v>2</v>
      </c>
      <c r="J43" s="398">
        <f t="shared" si="15"/>
        <v>0.6</v>
      </c>
      <c r="K43" s="398"/>
      <c r="L43" s="398">
        <f t="shared" si="16"/>
        <v>3.7538825000000005</v>
      </c>
      <c r="M43" s="398">
        <f t="shared" si="17"/>
        <v>1.8056650000000001</v>
      </c>
      <c r="N43" s="398">
        <f t="shared" si="18"/>
        <v>2.8510500000000003</v>
      </c>
      <c r="O43" s="398">
        <f t="shared" si="19"/>
        <v>1.1736822500000001</v>
      </c>
      <c r="P43" s="864">
        <v>0.1</v>
      </c>
      <c r="Q43" s="398"/>
      <c r="R43" s="398">
        <f t="shared" si="20"/>
        <v>0.18056650000000002</v>
      </c>
      <c r="S43" s="398">
        <f t="shared" si="21"/>
        <v>9.5035000000000007</v>
      </c>
      <c r="T43" s="706">
        <f t="shared" si="22"/>
        <v>11.309165</v>
      </c>
      <c r="U43" s="398">
        <f t="shared" si="23"/>
        <v>0.90283250000000004</v>
      </c>
      <c r="V43" s="693" t="s">
        <v>922</v>
      </c>
    </row>
    <row r="44" spans="1:31" ht="12" x14ac:dyDescent="0.2">
      <c r="A44" s="407" t="s">
        <v>960</v>
      </c>
      <c r="B44" s="407"/>
      <c r="C44" s="407"/>
      <c r="D44" s="407"/>
      <c r="E44" s="404">
        <v>1</v>
      </c>
      <c r="F44" s="402">
        <v>0.19</v>
      </c>
      <c r="G44" s="403">
        <v>9.3535000000000004</v>
      </c>
      <c r="H44" s="402">
        <v>0.5</v>
      </c>
      <c r="I44" s="405">
        <v>2</v>
      </c>
      <c r="J44" s="398">
        <f t="shared" si="15"/>
        <v>0.6</v>
      </c>
      <c r="K44" s="398"/>
      <c r="L44" s="398">
        <f t="shared" si="16"/>
        <v>3.6946325000000004</v>
      </c>
      <c r="M44" s="398">
        <f t="shared" si="17"/>
        <v>1.7771650000000001</v>
      </c>
      <c r="N44" s="398">
        <f t="shared" si="18"/>
        <v>2.8060500000000004</v>
      </c>
      <c r="O44" s="398">
        <f t="shared" si="19"/>
        <v>1.15515725</v>
      </c>
      <c r="P44" s="864">
        <v>0.1</v>
      </c>
      <c r="Q44" s="398"/>
      <c r="R44" s="398">
        <f t="shared" si="20"/>
        <v>0.17771650000000003</v>
      </c>
      <c r="S44" s="398">
        <f t="shared" si="21"/>
        <v>9.3535000000000004</v>
      </c>
      <c r="T44" s="706">
        <f t="shared" si="22"/>
        <v>11.130665</v>
      </c>
      <c r="U44" s="398">
        <f t="shared" si="23"/>
        <v>0.88858250000000005</v>
      </c>
      <c r="V44" s="693" t="s">
        <v>922</v>
      </c>
    </row>
    <row r="45" spans="1:31" ht="12" x14ac:dyDescent="0.2">
      <c r="A45" s="407" t="s">
        <v>959</v>
      </c>
      <c r="B45" s="407"/>
      <c r="C45" s="407"/>
      <c r="D45" s="407"/>
      <c r="E45" s="404">
        <v>1</v>
      </c>
      <c r="F45" s="402">
        <v>0.14000000000000001</v>
      </c>
      <c r="G45" s="403">
        <v>0.15</v>
      </c>
      <c r="H45" s="402">
        <v>0.5</v>
      </c>
      <c r="I45" s="405">
        <v>2</v>
      </c>
      <c r="J45" s="398">
        <f t="shared" si="15"/>
        <v>0.6</v>
      </c>
      <c r="K45" s="398"/>
      <c r="L45" s="398">
        <f t="shared" si="16"/>
        <v>5.5500000000000001E-2</v>
      </c>
      <c r="M45" s="398">
        <f t="shared" si="17"/>
        <v>2.1000000000000001E-2</v>
      </c>
      <c r="N45" s="398">
        <f t="shared" si="18"/>
        <v>4.4999999999999998E-2</v>
      </c>
      <c r="O45" s="398">
        <f t="shared" si="19"/>
        <v>1.3650000000000004E-2</v>
      </c>
      <c r="P45" s="864">
        <v>0.1</v>
      </c>
      <c r="Q45" s="398"/>
      <c r="R45" s="398">
        <f t="shared" ref="R45:R60" si="24">M45*$P45</f>
        <v>2.1000000000000003E-3</v>
      </c>
      <c r="S45" s="398">
        <f t="shared" si="21"/>
        <v>0.15</v>
      </c>
      <c r="T45" s="706">
        <f t="shared" si="22"/>
        <v>0.17099999999999999</v>
      </c>
      <c r="U45" s="398">
        <f t="shared" si="23"/>
        <v>1.0500000000000001E-2</v>
      </c>
      <c r="V45" s="693" t="s">
        <v>922</v>
      </c>
    </row>
    <row r="46" spans="1:31" ht="12" x14ac:dyDescent="0.2">
      <c r="A46" s="407" t="s">
        <v>958</v>
      </c>
      <c r="B46" s="407"/>
      <c r="C46" s="407"/>
      <c r="D46" s="407"/>
      <c r="E46" s="404">
        <v>1</v>
      </c>
      <c r="F46" s="402">
        <v>0.14000000000000001</v>
      </c>
      <c r="G46" s="403">
        <v>9.3535000000000004</v>
      </c>
      <c r="H46" s="402">
        <v>0.5</v>
      </c>
      <c r="I46" s="405">
        <v>2</v>
      </c>
      <c r="J46" s="398">
        <f t="shared" si="15"/>
        <v>0.6</v>
      </c>
      <c r="K46" s="398"/>
      <c r="L46" s="398">
        <f t="shared" si="16"/>
        <v>3.4607950000000001</v>
      </c>
      <c r="M46" s="398">
        <f t="shared" si="17"/>
        <v>1.3094900000000003</v>
      </c>
      <c r="N46" s="398">
        <f t="shared" si="18"/>
        <v>2.8060499999999999</v>
      </c>
      <c r="O46" s="398">
        <f t="shared" si="19"/>
        <v>0.85116850000000022</v>
      </c>
      <c r="P46" s="864">
        <v>0.1</v>
      </c>
      <c r="Q46" s="398"/>
      <c r="R46" s="398">
        <f t="shared" si="24"/>
        <v>0.13094900000000004</v>
      </c>
      <c r="S46" s="398">
        <f t="shared" si="21"/>
        <v>9.3535000000000004</v>
      </c>
      <c r="T46" s="706">
        <f t="shared" si="22"/>
        <v>10.662990000000001</v>
      </c>
      <c r="U46" s="398">
        <f t="shared" si="23"/>
        <v>0.65474500000000013</v>
      </c>
      <c r="V46" s="693" t="s">
        <v>922</v>
      </c>
    </row>
    <row r="47" spans="1:31" ht="12" x14ac:dyDescent="0.2">
      <c r="A47" s="407" t="s">
        <v>957</v>
      </c>
      <c r="B47" s="407"/>
      <c r="C47" s="407"/>
      <c r="D47" s="407"/>
      <c r="E47" s="404">
        <v>1</v>
      </c>
      <c r="F47" s="402">
        <v>0.14000000000000001</v>
      </c>
      <c r="G47" s="403">
        <v>3.3694999999999999</v>
      </c>
      <c r="H47" s="402">
        <v>0.5</v>
      </c>
      <c r="I47" s="405">
        <v>2</v>
      </c>
      <c r="J47" s="398">
        <f t="shared" si="15"/>
        <v>0.6</v>
      </c>
      <c r="K47" s="398"/>
      <c r="L47" s="398">
        <f t="shared" si="16"/>
        <v>1.246715</v>
      </c>
      <c r="M47" s="398">
        <f t="shared" si="17"/>
        <v>0.47173000000000004</v>
      </c>
      <c r="N47" s="398">
        <f t="shared" si="18"/>
        <v>1.01085</v>
      </c>
      <c r="O47" s="398">
        <f t="shared" si="19"/>
        <v>0.30662450000000002</v>
      </c>
      <c r="P47" s="864">
        <v>0.1</v>
      </c>
      <c r="Q47" s="398"/>
      <c r="R47" s="398">
        <f t="shared" si="24"/>
        <v>4.7173000000000007E-2</v>
      </c>
      <c r="S47" s="398">
        <f t="shared" si="21"/>
        <v>3.3694999999999999</v>
      </c>
      <c r="T47" s="706">
        <f t="shared" si="22"/>
        <v>3.8412299999999999</v>
      </c>
      <c r="U47" s="398">
        <f t="shared" si="23"/>
        <v>0.23586500000000002</v>
      </c>
      <c r="V47" s="693" t="s">
        <v>922</v>
      </c>
    </row>
    <row r="48" spans="1:31" ht="12" x14ac:dyDescent="0.2">
      <c r="A48" s="407" t="s">
        <v>956</v>
      </c>
      <c r="B48" s="407"/>
      <c r="C48" s="407"/>
      <c r="D48" s="407"/>
      <c r="E48" s="404">
        <v>1</v>
      </c>
      <c r="F48" s="402">
        <v>0.14000000000000001</v>
      </c>
      <c r="G48" s="403">
        <v>5.56</v>
      </c>
      <c r="H48" s="402">
        <v>0.5</v>
      </c>
      <c r="I48" s="405">
        <v>2</v>
      </c>
      <c r="J48" s="398">
        <f t="shared" si="15"/>
        <v>0.6</v>
      </c>
      <c r="K48" s="398"/>
      <c r="L48" s="398">
        <f t="shared" si="16"/>
        <v>2.0571999999999999</v>
      </c>
      <c r="M48" s="398">
        <f t="shared" si="17"/>
        <v>0.77839999999999998</v>
      </c>
      <c r="N48" s="398">
        <f t="shared" si="18"/>
        <v>1.6679999999999999</v>
      </c>
      <c r="O48" s="398">
        <f t="shared" si="19"/>
        <v>0.50595999999999997</v>
      </c>
      <c r="P48" s="864">
        <v>0.1</v>
      </c>
      <c r="Q48" s="398"/>
      <c r="R48" s="398">
        <f t="shared" si="24"/>
        <v>7.7840000000000006E-2</v>
      </c>
      <c r="S48" s="398">
        <f t="shared" si="21"/>
        <v>5.56</v>
      </c>
      <c r="T48" s="706">
        <f t="shared" si="22"/>
        <v>6.3384</v>
      </c>
      <c r="U48" s="398">
        <f t="shared" si="23"/>
        <v>0.38919999999999999</v>
      </c>
      <c r="V48" s="693" t="s">
        <v>922</v>
      </c>
    </row>
    <row r="49" spans="1:22" ht="12" x14ac:dyDescent="0.2">
      <c r="A49" s="407" t="s">
        <v>977</v>
      </c>
      <c r="B49" s="407"/>
      <c r="C49" s="407"/>
      <c r="D49" s="407"/>
      <c r="E49" s="404">
        <v>1</v>
      </c>
      <c r="F49" s="402">
        <v>0.14000000000000001</v>
      </c>
      <c r="G49" s="403">
        <v>9.0694999999999997</v>
      </c>
      <c r="H49" s="402">
        <v>0.5</v>
      </c>
      <c r="I49" s="405">
        <v>2</v>
      </c>
      <c r="J49" s="398">
        <f t="shared" si="15"/>
        <v>0.6</v>
      </c>
      <c r="K49" s="398"/>
      <c r="L49" s="398">
        <f t="shared" si="16"/>
        <v>3.355715</v>
      </c>
      <c r="M49" s="398">
        <f t="shared" si="17"/>
        <v>1.26973</v>
      </c>
      <c r="N49" s="398">
        <f t="shared" si="18"/>
        <v>2.72085</v>
      </c>
      <c r="O49" s="398">
        <f t="shared" si="19"/>
        <v>0.82532450000000002</v>
      </c>
      <c r="P49" s="864">
        <v>0.1</v>
      </c>
      <c r="Q49" s="398"/>
      <c r="R49" s="398">
        <f t="shared" si="24"/>
        <v>0.126973</v>
      </c>
      <c r="S49" s="398">
        <f t="shared" si="21"/>
        <v>9.0694999999999997</v>
      </c>
      <c r="T49" s="706">
        <f t="shared" si="22"/>
        <v>10.339230000000001</v>
      </c>
      <c r="U49" s="398">
        <f t="shared" si="23"/>
        <v>0.63486500000000001</v>
      </c>
      <c r="V49" s="693" t="s">
        <v>922</v>
      </c>
    </row>
    <row r="50" spans="1:22" ht="12" x14ac:dyDescent="0.2">
      <c r="A50" s="407" t="s">
        <v>976</v>
      </c>
      <c r="B50" s="407"/>
      <c r="C50" s="407"/>
      <c r="D50" s="407"/>
      <c r="E50" s="404">
        <v>1</v>
      </c>
      <c r="F50" s="402">
        <v>0.14000000000000001</v>
      </c>
      <c r="G50" s="403">
        <v>5.37</v>
      </c>
      <c r="H50" s="402">
        <v>0.5</v>
      </c>
      <c r="I50" s="405">
        <v>2</v>
      </c>
      <c r="J50" s="398">
        <f t="shared" si="15"/>
        <v>0.6</v>
      </c>
      <c r="K50" s="398"/>
      <c r="L50" s="398">
        <f t="shared" si="16"/>
        <v>1.9869000000000001</v>
      </c>
      <c r="M50" s="398">
        <f t="shared" si="17"/>
        <v>0.75180000000000013</v>
      </c>
      <c r="N50" s="398">
        <f t="shared" si="18"/>
        <v>1.611</v>
      </c>
      <c r="O50" s="398">
        <f t="shared" si="19"/>
        <v>0.48867000000000016</v>
      </c>
      <c r="P50" s="864">
        <v>0.1</v>
      </c>
      <c r="Q50" s="398"/>
      <c r="R50" s="398">
        <f t="shared" si="24"/>
        <v>7.5180000000000025E-2</v>
      </c>
      <c r="S50" s="398">
        <f t="shared" si="21"/>
        <v>5.37</v>
      </c>
      <c r="T50" s="706">
        <f t="shared" si="22"/>
        <v>6.1218000000000004</v>
      </c>
      <c r="U50" s="398">
        <f t="shared" si="23"/>
        <v>0.37590000000000007</v>
      </c>
      <c r="V50" s="693" t="s">
        <v>922</v>
      </c>
    </row>
    <row r="51" spans="1:22" ht="12" x14ac:dyDescent="0.2">
      <c r="A51" s="407" t="s">
        <v>974</v>
      </c>
      <c r="B51" s="407"/>
      <c r="C51" s="407"/>
      <c r="D51" s="407"/>
      <c r="E51" s="404">
        <v>1</v>
      </c>
      <c r="F51" s="402">
        <v>0.14000000000000001</v>
      </c>
      <c r="G51" s="403">
        <v>15.693</v>
      </c>
      <c r="H51" s="402">
        <v>0.5</v>
      </c>
      <c r="I51" s="405">
        <v>2</v>
      </c>
      <c r="J51" s="398">
        <f t="shared" si="15"/>
        <v>0.6</v>
      </c>
      <c r="K51" s="398"/>
      <c r="L51" s="398">
        <f t="shared" si="16"/>
        <v>5.8064099999999996</v>
      </c>
      <c r="M51" s="398">
        <f t="shared" si="17"/>
        <v>2.1970200000000002</v>
      </c>
      <c r="N51" s="398">
        <f t="shared" si="18"/>
        <v>4.7078999999999995</v>
      </c>
      <c r="O51" s="398">
        <f t="shared" si="19"/>
        <v>1.4280630000000001</v>
      </c>
      <c r="P51" s="864">
        <v>0.1</v>
      </c>
      <c r="Q51" s="398"/>
      <c r="R51" s="398">
        <f t="shared" si="24"/>
        <v>0.21970200000000004</v>
      </c>
      <c r="S51" s="398">
        <f t="shared" si="21"/>
        <v>15.693</v>
      </c>
      <c r="T51" s="706">
        <f t="shared" si="22"/>
        <v>17.89002</v>
      </c>
      <c r="U51" s="398">
        <f t="shared" si="23"/>
        <v>1.0985100000000001</v>
      </c>
      <c r="V51" s="693" t="s">
        <v>922</v>
      </c>
    </row>
    <row r="52" spans="1:22" ht="12" x14ac:dyDescent="0.2">
      <c r="A52" s="407" t="s">
        <v>975</v>
      </c>
      <c r="B52" s="407"/>
      <c r="C52" s="407"/>
      <c r="D52" s="407"/>
      <c r="E52" s="404">
        <v>1</v>
      </c>
      <c r="F52" s="402">
        <v>0.14000000000000001</v>
      </c>
      <c r="G52" s="403">
        <v>1.23</v>
      </c>
      <c r="H52" s="402">
        <v>0.42</v>
      </c>
      <c r="I52" s="405">
        <v>2</v>
      </c>
      <c r="J52" s="398">
        <f t="shared" si="15"/>
        <v>0.6</v>
      </c>
      <c r="K52" s="398"/>
      <c r="L52" s="398">
        <f t="shared" si="16"/>
        <v>0.38228399999999996</v>
      </c>
      <c r="M52" s="398">
        <f t="shared" si="17"/>
        <v>0.17220000000000002</v>
      </c>
      <c r="N52" s="398">
        <f t="shared" si="18"/>
        <v>0.30995999999999996</v>
      </c>
      <c r="O52" s="398">
        <f t="shared" si="19"/>
        <v>9.4021199999999999E-2</v>
      </c>
      <c r="P52" s="864">
        <v>0.1</v>
      </c>
      <c r="Q52" s="398"/>
      <c r="R52" s="398">
        <f t="shared" si="24"/>
        <v>1.7220000000000003E-2</v>
      </c>
      <c r="S52" s="398">
        <f t="shared" si="21"/>
        <v>1.0331999999999999</v>
      </c>
      <c r="T52" s="706">
        <f t="shared" si="22"/>
        <v>1.2054</v>
      </c>
      <c r="U52" s="398">
        <f t="shared" si="23"/>
        <v>7.2323999999999999E-2</v>
      </c>
      <c r="V52" s="693" t="s">
        <v>922</v>
      </c>
    </row>
    <row r="53" spans="1:22" ht="12" x14ac:dyDescent="0.2">
      <c r="A53" s="407" t="s">
        <v>973</v>
      </c>
      <c r="B53" s="407"/>
      <c r="C53" s="407"/>
      <c r="D53" s="407"/>
      <c r="E53" s="404">
        <v>1</v>
      </c>
      <c r="F53" s="402">
        <v>0.14000000000000001</v>
      </c>
      <c r="G53" s="403">
        <v>0.60950000000000004</v>
      </c>
      <c r="H53" s="402">
        <v>0.5</v>
      </c>
      <c r="I53" s="405">
        <v>2</v>
      </c>
      <c r="J53" s="398">
        <f t="shared" si="15"/>
        <v>0.6</v>
      </c>
      <c r="K53" s="398"/>
      <c r="L53" s="398">
        <f t="shared" si="16"/>
        <v>0.22551500000000002</v>
      </c>
      <c r="M53" s="398">
        <f t="shared" si="17"/>
        <v>8.5330000000000017E-2</v>
      </c>
      <c r="N53" s="398">
        <f t="shared" si="18"/>
        <v>0.18285000000000001</v>
      </c>
      <c r="O53" s="398">
        <f t="shared" si="19"/>
        <v>5.5464500000000014E-2</v>
      </c>
      <c r="P53" s="864">
        <v>0.1</v>
      </c>
      <c r="Q53" s="398"/>
      <c r="R53" s="398">
        <f t="shared" si="24"/>
        <v>8.5330000000000024E-3</v>
      </c>
      <c r="S53" s="398">
        <f t="shared" si="21"/>
        <v>0.60950000000000004</v>
      </c>
      <c r="T53" s="706">
        <f t="shared" si="22"/>
        <v>0.69483000000000006</v>
      </c>
      <c r="U53" s="398">
        <f t="shared" si="23"/>
        <v>4.2665000000000008E-2</v>
      </c>
      <c r="V53" s="693" t="s">
        <v>922</v>
      </c>
    </row>
    <row r="54" spans="1:22" ht="12" x14ac:dyDescent="0.2">
      <c r="A54" s="407" t="s">
        <v>972</v>
      </c>
      <c r="B54" s="407"/>
      <c r="C54" s="407"/>
      <c r="D54" s="407"/>
      <c r="E54" s="404">
        <v>1</v>
      </c>
      <c r="F54" s="402">
        <v>0.14000000000000001</v>
      </c>
      <c r="G54" s="403">
        <v>8.5616000000000003</v>
      </c>
      <c r="H54" s="402">
        <v>0.5</v>
      </c>
      <c r="I54" s="405">
        <v>2</v>
      </c>
      <c r="J54" s="398">
        <f t="shared" si="15"/>
        <v>0.6</v>
      </c>
      <c r="K54" s="398"/>
      <c r="L54" s="398">
        <f t="shared" si="16"/>
        <v>3.1677919999999999</v>
      </c>
      <c r="M54" s="398">
        <f t="shared" si="17"/>
        <v>1.1986240000000001</v>
      </c>
      <c r="N54" s="398">
        <f t="shared" si="18"/>
        <v>2.5684800000000001</v>
      </c>
      <c r="O54" s="398">
        <f t="shared" si="19"/>
        <v>0.77910559999999984</v>
      </c>
      <c r="P54" s="864">
        <v>0.1</v>
      </c>
      <c r="Q54" s="398"/>
      <c r="R54" s="398">
        <f t="shared" si="24"/>
        <v>0.11986240000000002</v>
      </c>
      <c r="S54" s="398">
        <f t="shared" si="21"/>
        <v>8.5616000000000003</v>
      </c>
      <c r="T54" s="706">
        <f t="shared" si="22"/>
        <v>9.7602240000000009</v>
      </c>
      <c r="U54" s="398">
        <f t="shared" si="23"/>
        <v>0.59931200000000007</v>
      </c>
      <c r="V54" s="693" t="s">
        <v>922</v>
      </c>
    </row>
    <row r="55" spans="1:22" ht="12" x14ac:dyDescent="0.2">
      <c r="A55" s="407" t="s">
        <v>971</v>
      </c>
      <c r="B55" s="407"/>
      <c r="C55" s="407"/>
      <c r="D55" s="407"/>
      <c r="E55" s="404">
        <v>1</v>
      </c>
      <c r="F55" s="402">
        <v>0.2</v>
      </c>
      <c r="G55" s="403">
        <v>9.4625000000000004</v>
      </c>
      <c r="H55" s="402">
        <v>0.5</v>
      </c>
      <c r="I55" s="405">
        <v>2</v>
      </c>
      <c r="J55" s="398">
        <f t="shared" si="15"/>
        <v>0.6</v>
      </c>
      <c r="K55" s="398"/>
      <c r="L55" s="398">
        <f t="shared" si="16"/>
        <v>3.7850000000000001</v>
      </c>
      <c r="M55" s="398">
        <f t="shared" si="17"/>
        <v>1.8925000000000001</v>
      </c>
      <c r="N55" s="398">
        <f t="shared" si="18"/>
        <v>2.8387500000000001</v>
      </c>
      <c r="O55" s="398">
        <f t="shared" si="19"/>
        <v>1.2301250000000001</v>
      </c>
      <c r="P55" s="864">
        <v>0.1</v>
      </c>
      <c r="Q55" s="398"/>
      <c r="R55" s="398">
        <f t="shared" si="24"/>
        <v>0.18925000000000003</v>
      </c>
      <c r="S55" s="398">
        <f t="shared" si="21"/>
        <v>9.4625000000000004</v>
      </c>
      <c r="T55" s="706">
        <f t="shared" si="22"/>
        <v>11.355</v>
      </c>
      <c r="U55" s="398">
        <f t="shared" si="23"/>
        <v>0.94625000000000004</v>
      </c>
      <c r="V55" s="693" t="s">
        <v>922</v>
      </c>
    </row>
    <row r="56" spans="1:22" ht="12" x14ac:dyDescent="0.2">
      <c r="A56" s="407" t="s">
        <v>970</v>
      </c>
      <c r="B56" s="407"/>
      <c r="C56" s="407"/>
      <c r="D56" s="407"/>
      <c r="E56" s="404">
        <v>1</v>
      </c>
      <c r="F56" s="402">
        <v>0.14000000000000001</v>
      </c>
      <c r="G56" s="403">
        <v>2.661</v>
      </c>
      <c r="H56" s="402">
        <v>0.5</v>
      </c>
      <c r="I56" s="405">
        <v>2</v>
      </c>
      <c r="J56" s="398">
        <f t="shared" si="15"/>
        <v>0.6</v>
      </c>
      <c r="K56" s="398"/>
      <c r="L56" s="398">
        <f t="shared" si="16"/>
        <v>0.98456999999999995</v>
      </c>
      <c r="M56" s="398">
        <f t="shared" si="17"/>
        <v>0.37254000000000004</v>
      </c>
      <c r="N56" s="398">
        <f t="shared" si="18"/>
        <v>0.7982999999999999</v>
      </c>
      <c r="O56" s="398">
        <f t="shared" si="19"/>
        <v>0.24215100000000006</v>
      </c>
      <c r="P56" s="864">
        <v>0.1</v>
      </c>
      <c r="Q56" s="398"/>
      <c r="R56" s="398">
        <f t="shared" si="24"/>
        <v>3.7254000000000002E-2</v>
      </c>
      <c r="S56" s="398">
        <f t="shared" si="21"/>
        <v>2.661</v>
      </c>
      <c r="T56" s="706">
        <f t="shared" si="22"/>
        <v>3.0335399999999999</v>
      </c>
      <c r="U56" s="398">
        <f t="shared" si="23"/>
        <v>0.18627000000000002</v>
      </c>
      <c r="V56" s="693" t="s">
        <v>922</v>
      </c>
    </row>
    <row r="57" spans="1:22" ht="12" x14ac:dyDescent="0.2">
      <c r="A57" s="407" t="s">
        <v>969</v>
      </c>
      <c r="B57" s="407"/>
      <c r="C57" s="407"/>
      <c r="D57" s="407"/>
      <c r="E57" s="404">
        <v>1</v>
      </c>
      <c r="F57" s="402">
        <v>0.14000000000000001</v>
      </c>
      <c r="G57" s="403">
        <v>6.51</v>
      </c>
      <c r="H57" s="402">
        <v>0.5</v>
      </c>
      <c r="I57" s="405">
        <v>2</v>
      </c>
      <c r="J57" s="398">
        <f t="shared" si="15"/>
        <v>0.6</v>
      </c>
      <c r="K57" s="398"/>
      <c r="L57" s="398">
        <f t="shared" si="16"/>
        <v>2.4087000000000001</v>
      </c>
      <c r="M57" s="398">
        <f t="shared" si="17"/>
        <v>0.9114000000000001</v>
      </c>
      <c r="N57" s="398">
        <f t="shared" si="18"/>
        <v>1.9530000000000001</v>
      </c>
      <c r="O57" s="398">
        <f t="shared" si="19"/>
        <v>0.59240999999999999</v>
      </c>
      <c r="P57" s="864">
        <v>0.1</v>
      </c>
      <c r="Q57" s="398"/>
      <c r="R57" s="398">
        <f t="shared" si="24"/>
        <v>9.1140000000000013E-2</v>
      </c>
      <c r="S57" s="398">
        <f t="shared" si="21"/>
        <v>6.51</v>
      </c>
      <c r="T57" s="706">
        <f t="shared" si="22"/>
        <v>7.4214000000000002</v>
      </c>
      <c r="U57" s="398">
        <f t="shared" si="23"/>
        <v>0.45570000000000005</v>
      </c>
      <c r="V57" s="693" t="s">
        <v>922</v>
      </c>
    </row>
    <row r="58" spans="1:22" ht="12" x14ac:dyDescent="0.2">
      <c r="A58" s="407" t="s">
        <v>968</v>
      </c>
      <c r="B58" s="407"/>
      <c r="C58" s="407"/>
      <c r="D58" s="407"/>
      <c r="E58" s="404">
        <v>1</v>
      </c>
      <c r="F58" s="402">
        <v>0.14000000000000001</v>
      </c>
      <c r="G58" s="403">
        <v>3.3305000000000002</v>
      </c>
      <c r="H58" s="402">
        <v>0.5</v>
      </c>
      <c r="I58" s="405">
        <v>2</v>
      </c>
      <c r="J58" s="398">
        <f t="shared" si="15"/>
        <v>0.6</v>
      </c>
      <c r="K58" s="398"/>
      <c r="L58" s="398">
        <f t="shared" si="16"/>
        <v>1.2322850000000001</v>
      </c>
      <c r="M58" s="398">
        <f t="shared" si="17"/>
        <v>0.46627000000000007</v>
      </c>
      <c r="N58" s="398">
        <f t="shared" si="18"/>
        <v>0.99914999999999998</v>
      </c>
      <c r="O58" s="398">
        <f t="shared" si="19"/>
        <v>0.30307550000000011</v>
      </c>
      <c r="P58" s="864">
        <v>0.1</v>
      </c>
      <c r="Q58" s="398"/>
      <c r="R58" s="398">
        <f t="shared" si="24"/>
        <v>4.6627000000000009E-2</v>
      </c>
      <c r="S58" s="398">
        <f t="shared" si="21"/>
        <v>3.3305000000000002</v>
      </c>
      <c r="T58" s="706">
        <f t="shared" si="22"/>
        <v>3.7967700000000004</v>
      </c>
      <c r="U58" s="398">
        <f t="shared" si="23"/>
        <v>0.23313500000000004</v>
      </c>
      <c r="V58" s="693" t="s">
        <v>922</v>
      </c>
    </row>
    <row r="59" spans="1:22" ht="12" x14ac:dyDescent="0.2">
      <c r="A59" s="407" t="s">
        <v>967</v>
      </c>
      <c r="B59" s="407"/>
      <c r="C59" s="407"/>
      <c r="D59" s="407"/>
      <c r="E59" s="404">
        <v>1</v>
      </c>
      <c r="F59" s="402">
        <v>0.14000000000000001</v>
      </c>
      <c r="G59" s="403">
        <v>6.6020000000000003</v>
      </c>
      <c r="H59" s="402">
        <v>0.5</v>
      </c>
      <c r="I59" s="405">
        <v>2</v>
      </c>
      <c r="J59" s="398">
        <f t="shared" si="15"/>
        <v>0.6</v>
      </c>
      <c r="K59" s="398"/>
      <c r="L59" s="398">
        <f t="shared" si="16"/>
        <v>2.4427400000000001</v>
      </c>
      <c r="M59" s="398">
        <f t="shared" si="17"/>
        <v>0.9242800000000001</v>
      </c>
      <c r="N59" s="398">
        <f t="shared" si="18"/>
        <v>1.9806000000000001</v>
      </c>
      <c r="O59" s="398">
        <f t="shared" si="19"/>
        <v>0.60078200000000004</v>
      </c>
      <c r="P59" s="864">
        <v>0.1</v>
      </c>
      <c r="Q59" s="398"/>
      <c r="R59" s="398">
        <f t="shared" si="24"/>
        <v>9.242800000000001E-2</v>
      </c>
      <c r="S59" s="398">
        <f t="shared" si="21"/>
        <v>6.6020000000000003</v>
      </c>
      <c r="T59" s="706">
        <f t="shared" si="22"/>
        <v>7.5262800000000007</v>
      </c>
      <c r="U59" s="398">
        <f t="shared" si="23"/>
        <v>0.46214000000000005</v>
      </c>
      <c r="V59" s="693" t="s">
        <v>922</v>
      </c>
    </row>
    <row r="60" spans="1:22" ht="12" x14ac:dyDescent="0.2">
      <c r="A60" s="407" t="s">
        <v>965</v>
      </c>
      <c r="B60" s="407"/>
      <c r="C60" s="407"/>
      <c r="D60" s="407"/>
      <c r="E60" s="404">
        <v>1</v>
      </c>
      <c r="F60" s="402">
        <v>0.14000000000000001</v>
      </c>
      <c r="G60" s="403">
        <v>1.2</v>
      </c>
      <c r="H60" s="402">
        <v>0.5</v>
      </c>
      <c r="I60" s="405">
        <v>2</v>
      </c>
      <c r="J60" s="398">
        <f t="shared" si="15"/>
        <v>0.6</v>
      </c>
      <c r="K60" s="398"/>
      <c r="L60" s="398">
        <f t="shared" si="16"/>
        <v>0.44400000000000001</v>
      </c>
      <c r="M60" s="398">
        <f t="shared" si="17"/>
        <v>0.16800000000000001</v>
      </c>
      <c r="N60" s="398">
        <f t="shared" si="18"/>
        <v>0.36</v>
      </c>
      <c r="O60" s="398">
        <f t="shared" si="19"/>
        <v>0.10920000000000003</v>
      </c>
      <c r="P60" s="864">
        <v>0.1</v>
      </c>
      <c r="Q60" s="398"/>
      <c r="R60" s="398">
        <f t="shared" si="24"/>
        <v>1.6800000000000002E-2</v>
      </c>
      <c r="S60" s="398">
        <f t="shared" si="21"/>
        <v>1.2</v>
      </c>
      <c r="T60" s="706">
        <f t="shared" si="22"/>
        <v>1.3679999999999999</v>
      </c>
      <c r="U60" s="398">
        <f t="shared" si="23"/>
        <v>8.4000000000000005E-2</v>
      </c>
      <c r="V60" s="693" t="s">
        <v>922</v>
      </c>
    </row>
    <row r="61" spans="1:22" ht="12" x14ac:dyDescent="0.2">
      <c r="A61" s="407" t="s">
        <v>964</v>
      </c>
      <c r="B61" s="407"/>
      <c r="C61" s="407"/>
      <c r="D61" s="407"/>
      <c r="E61" s="404">
        <v>1</v>
      </c>
      <c r="F61" s="402">
        <v>0.14000000000000001</v>
      </c>
      <c r="G61" s="403">
        <v>2.89</v>
      </c>
      <c r="H61" s="402">
        <v>0.5</v>
      </c>
      <c r="I61" s="405">
        <v>2</v>
      </c>
      <c r="J61" s="398">
        <f t="shared" ref="J61" si="25">IF(H61&lt;=1,0.6,1.2)</f>
        <v>0.6</v>
      </c>
      <c r="K61" s="398"/>
      <c r="L61" s="398">
        <f t="shared" ref="L61" si="26">((F61+J61)*(H61+K61)*G61)*E61</f>
        <v>1.0693000000000001</v>
      </c>
      <c r="M61" s="398">
        <f t="shared" ref="M61" si="27">(F61)*(G61)*E61</f>
        <v>0.40460000000000007</v>
      </c>
      <c r="N61" s="398">
        <f t="shared" ref="N61" si="28">L61-U61</f>
        <v>0.8670000000000001</v>
      </c>
      <c r="O61" s="398">
        <f t="shared" ref="O61" si="29">(L61-N61)*1.3</f>
        <v>0.26299000000000006</v>
      </c>
      <c r="P61" s="864">
        <v>0.1</v>
      </c>
      <c r="Q61" s="398"/>
      <c r="R61" s="398">
        <f t="shared" ref="R61" si="30">M61*$P61</f>
        <v>4.046000000000001E-2</v>
      </c>
      <c r="S61" s="398">
        <f t="shared" ref="S61" si="31">((G61*H61*I61))*E61</f>
        <v>2.89</v>
      </c>
      <c r="T61" s="706">
        <f t="shared" ref="T61" si="32">S61+G61*F61</f>
        <v>3.2946</v>
      </c>
      <c r="U61" s="398">
        <f t="shared" ref="U61" si="33">F61*H61*G61*E61</f>
        <v>0.20230000000000004</v>
      </c>
      <c r="V61" s="693" t="s">
        <v>922</v>
      </c>
    </row>
    <row r="62" spans="1:22" ht="12" x14ac:dyDescent="0.2">
      <c r="A62" s="407" t="s">
        <v>963</v>
      </c>
      <c r="B62" s="407"/>
      <c r="C62" s="407"/>
      <c r="D62" s="407"/>
      <c r="E62" s="404">
        <v>1</v>
      </c>
      <c r="F62" s="402">
        <v>0.14000000000000001</v>
      </c>
      <c r="G62" s="403">
        <v>0.32740200000000003</v>
      </c>
      <c r="H62" s="402">
        <v>0.42</v>
      </c>
      <c r="I62" s="405">
        <v>2</v>
      </c>
      <c r="J62" s="398">
        <f t="shared" ref="J62:J63" si="34">IF(H62&lt;=1,0.6,1.2)</f>
        <v>0.6</v>
      </c>
      <c r="K62" s="398"/>
      <c r="L62" s="398">
        <f t="shared" ref="L62:L63" si="35">((F62+J62)*(H62+K62)*G62)*E62</f>
        <v>0.1017565416</v>
      </c>
      <c r="M62" s="398">
        <f t="shared" ref="M62:M63" si="36">(F62)*(G62)*E62</f>
        <v>4.5836280000000007E-2</v>
      </c>
      <c r="N62" s="398">
        <f t="shared" ref="N62:N63" si="37">L62-U62</f>
        <v>8.2505304000000002E-2</v>
      </c>
      <c r="O62" s="398">
        <f t="shared" ref="O62:O63" si="38">(L62-N62)*1.3</f>
        <v>2.5026608879999999E-2</v>
      </c>
      <c r="P62" s="864">
        <v>0.1</v>
      </c>
      <c r="Q62" s="398"/>
      <c r="R62" s="398">
        <f t="shared" ref="R62:R63" si="39">M62*$P62</f>
        <v>4.583628000000001E-3</v>
      </c>
      <c r="S62" s="398">
        <f t="shared" ref="S62:S63" si="40">((G62*H62*I62))*E62</f>
        <v>0.27501767999999999</v>
      </c>
      <c r="T62" s="706">
        <f t="shared" ref="T62:T63" si="41">S62+G62*F62</f>
        <v>0.32085395999999999</v>
      </c>
      <c r="U62" s="398">
        <f t="shared" ref="U62:U63" si="42">F62*H62*G62*E62</f>
        <v>1.9251237600000002E-2</v>
      </c>
      <c r="V62" s="693" t="s">
        <v>922</v>
      </c>
    </row>
    <row r="63" spans="1:22" ht="12.75" thickBot="1" x14ac:dyDescent="0.25">
      <c r="A63" s="407" t="s">
        <v>963</v>
      </c>
      <c r="B63" s="407"/>
      <c r="C63" s="407"/>
      <c r="D63" s="407"/>
      <c r="E63" s="404">
        <v>1</v>
      </c>
      <c r="F63" s="402">
        <v>0.14000000000000001</v>
      </c>
      <c r="G63" s="403">
        <v>2.297399</v>
      </c>
      <c r="H63" s="402">
        <v>0.42</v>
      </c>
      <c r="I63" s="405">
        <v>2</v>
      </c>
      <c r="J63" s="398">
        <f t="shared" si="34"/>
        <v>0.6</v>
      </c>
      <c r="K63" s="398"/>
      <c r="L63" s="398">
        <f t="shared" si="35"/>
        <v>0.71403160919999986</v>
      </c>
      <c r="M63" s="398">
        <f t="shared" si="36"/>
        <v>0.32163586000000005</v>
      </c>
      <c r="N63" s="398">
        <f t="shared" si="37"/>
        <v>0.57894454799999984</v>
      </c>
      <c r="O63" s="398">
        <f t="shared" si="38"/>
        <v>0.17561317956000003</v>
      </c>
      <c r="P63" s="864">
        <v>0.1</v>
      </c>
      <c r="Q63" s="398"/>
      <c r="R63" s="398">
        <f t="shared" si="39"/>
        <v>3.2163586000000008E-2</v>
      </c>
      <c r="S63" s="398">
        <f t="shared" si="40"/>
        <v>1.92981516</v>
      </c>
      <c r="T63" s="706">
        <f t="shared" si="41"/>
        <v>2.2514510200000002</v>
      </c>
      <c r="U63" s="398">
        <f t="shared" si="42"/>
        <v>0.1350870612</v>
      </c>
      <c r="V63" s="693" t="s">
        <v>922</v>
      </c>
    </row>
    <row r="64" spans="1:22" ht="13.5" thickTop="1" thickBot="1" x14ac:dyDescent="0.25">
      <c r="A64" s="216" t="str">
        <f>"TOTAL GERAL - "&amp;A35</f>
        <v>TOTAL GERAL - VIGAS  FUNDAÇÃO</v>
      </c>
      <c r="B64" s="216"/>
      <c r="C64" s="408"/>
      <c r="D64" s="308"/>
      <c r="E64" s="308"/>
      <c r="F64" s="308"/>
      <c r="G64" s="308"/>
      <c r="H64" s="308"/>
      <c r="I64" s="310"/>
      <c r="J64" s="308"/>
      <c r="K64" s="308"/>
      <c r="L64" s="310">
        <f>SUM(L39:L63)</f>
        <v>46.303741950800003</v>
      </c>
      <c r="M64" s="310">
        <f>SUM(M39:M63)</f>
        <v>19.227390140000001</v>
      </c>
      <c r="N64" s="310">
        <f>SUM(N39:N63)</f>
        <v>36.741771851999999</v>
      </c>
      <c r="O64" s="310">
        <f>SUM(O39:O63)</f>
        <v>12.430561128439999</v>
      </c>
      <c r="P64" s="310"/>
      <c r="Q64" s="310">
        <f>SUM(Q39:Q60)</f>
        <v>0</v>
      </c>
      <c r="R64" s="310">
        <f>SUM(R39:R63)</f>
        <v>1.922739014</v>
      </c>
      <c r="S64" s="310">
        <f>SUM(S39:S63)</f>
        <v>122.47257284000001</v>
      </c>
      <c r="T64" s="310">
        <f>SUM(T39:T63)</f>
        <v>141.69996297999998</v>
      </c>
      <c r="U64" s="310">
        <f>SUM(U39:U63)</f>
        <v>9.5619700988000016</v>
      </c>
      <c r="V64" s="410"/>
    </row>
    <row r="65" spans="1:22" ht="12" thickTop="1" x14ac:dyDescent="0.2"/>
    <row r="67" spans="1:22" ht="18.75" x14ac:dyDescent="0.2">
      <c r="A67" s="1225" t="s">
        <v>931</v>
      </c>
      <c r="B67" s="1225"/>
      <c r="C67" s="1225"/>
      <c r="D67" s="1225"/>
      <c r="E67" s="1225"/>
      <c r="F67" s="1225"/>
      <c r="G67" s="1225"/>
      <c r="H67" s="1225"/>
      <c r="I67" s="1225"/>
      <c r="J67" s="1225"/>
      <c r="K67" s="1225"/>
      <c r="L67" s="1225"/>
      <c r="M67" s="1225"/>
      <c r="N67" s="1225"/>
      <c r="O67" s="1225"/>
      <c r="P67" s="1225"/>
      <c r="Q67" s="1225"/>
      <c r="R67" s="1225"/>
      <c r="S67" s="1225"/>
      <c r="T67" s="1225"/>
      <c r="U67" s="1225"/>
      <c r="V67" s="1225"/>
    </row>
    <row r="68" spans="1:22" ht="12.75" x14ac:dyDescent="0.2">
      <c r="A68" s="1230" t="s">
        <v>7</v>
      </c>
      <c r="B68" s="1230"/>
      <c r="C68" s="1243"/>
      <c r="D68" s="1243"/>
      <c r="E68" s="1246" t="s">
        <v>844</v>
      </c>
      <c r="F68" s="987" t="s">
        <v>845</v>
      </c>
      <c r="G68" s="987"/>
      <c r="H68" s="987"/>
      <c r="I68" s="1003"/>
      <c r="J68" s="1241" t="s">
        <v>46</v>
      </c>
      <c r="K68" s="1242"/>
      <c r="L68" s="986" t="s">
        <v>846</v>
      </c>
      <c r="M68" s="987"/>
      <c r="N68" s="987"/>
      <c r="O68" s="987"/>
      <c r="P68" s="987"/>
      <c r="Q68" s="987"/>
      <c r="R68" s="987"/>
      <c r="S68" s="987"/>
      <c r="T68" s="988"/>
      <c r="U68" s="987"/>
      <c r="V68" s="987"/>
    </row>
    <row r="69" spans="1:22" ht="12.75" x14ac:dyDescent="0.2">
      <c r="A69" s="1231"/>
      <c r="B69" s="1231"/>
      <c r="C69" s="1244"/>
      <c r="D69" s="1244"/>
      <c r="E69" s="1247"/>
      <c r="F69" s="989" t="s">
        <v>62</v>
      </c>
      <c r="G69" s="990" t="s">
        <v>66</v>
      </c>
      <c r="H69" s="990" t="s">
        <v>64</v>
      </c>
      <c r="I69" s="1005" t="s">
        <v>511</v>
      </c>
      <c r="J69" s="991" t="s">
        <v>849</v>
      </c>
      <c r="K69" s="991" t="s">
        <v>181</v>
      </c>
      <c r="L69" s="992" t="s">
        <v>850</v>
      </c>
      <c r="M69" s="992" t="s">
        <v>851</v>
      </c>
      <c r="N69" s="992" t="s">
        <v>852</v>
      </c>
      <c r="O69" s="992" t="s">
        <v>853</v>
      </c>
      <c r="P69" s="1238" t="s">
        <v>929</v>
      </c>
      <c r="Q69" s="1239"/>
      <c r="R69" s="1240"/>
      <c r="S69" s="992" t="s">
        <v>854</v>
      </c>
      <c r="T69" s="992" t="s">
        <v>855</v>
      </c>
      <c r="U69" s="992" t="s">
        <v>347</v>
      </c>
      <c r="V69" s="992" t="s">
        <v>95</v>
      </c>
    </row>
    <row r="70" spans="1:22" ht="12.75" x14ac:dyDescent="0.2">
      <c r="A70" s="1232"/>
      <c r="B70" s="1232"/>
      <c r="C70" s="1245"/>
      <c r="D70" s="1245"/>
      <c r="E70" s="1248"/>
      <c r="F70" s="993" t="s">
        <v>54</v>
      </c>
      <c r="G70" s="994" t="s">
        <v>56</v>
      </c>
      <c r="H70" s="994" t="s">
        <v>55</v>
      </c>
      <c r="I70" s="994" t="s">
        <v>57</v>
      </c>
      <c r="J70" s="995" t="s">
        <v>3</v>
      </c>
      <c r="K70" s="995" t="s">
        <v>3</v>
      </c>
      <c r="L70" s="995" t="s">
        <v>4</v>
      </c>
      <c r="M70" s="995" t="s">
        <v>1</v>
      </c>
      <c r="N70" s="995" t="s">
        <v>4</v>
      </c>
      <c r="O70" s="995" t="s">
        <v>4</v>
      </c>
      <c r="P70" s="996" t="s">
        <v>856</v>
      </c>
      <c r="Q70" s="997" t="s">
        <v>4</v>
      </c>
      <c r="R70" s="997" t="s">
        <v>4</v>
      </c>
      <c r="S70" s="995" t="s">
        <v>1</v>
      </c>
      <c r="T70" s="995" t="s">
        <v>1</v>
      </c>
      <c r="U70" s="995" t="s">
        <v>4</v>
      </c>
      <c r="V70" s="995"/>
    </row>
    <row r="71" spans="1:22" ht="12" x14ac:dyDescent="0.2">
      <c r="A71" s="701" t="s">
        <v>999</v>
      </c>
      <c r="B71" s="703"/>
      <c r="C71" s="703"/>
      <c r="D71" s="703"/>
      <c r="E71" s="703"/>
      <c r="F71" s="702"/>
      <c r="G71" s="702"/>
      <c r="H71" s="702"/>
      <c r="I71" s="703"/>
      <c r="J71" s="702"/>
      <c r="K71" s="703"/>
      <c r="L71" s="703"/>
      <c r="M71" s="703"/>
      <c r="N71" s="703"/>
      <c r="O71" s="703"/>
      <c r="P71" s="858"/>
      <c r="Q71" s="710" t="s">
        <v>930</v>
      </c>
      <c r="R71" s="710" t="s">
        <v>347</v>
      </c>
      <c r="S71" s="703"/>
      <c r="T71" s="705"/>
      <c r="U71" s="703"/>
      <c r="V71" s="702"/>
    </row>
    <row r="72" spans="1:22" ht="12" x14ac:dyDescent="0.2">
      <c r="A72" s="728" t="s">
        <v>979</v>
      </c>
      <c r="B72" s="407"/>
      <c r="C72" s="407"/>
      <c r="D72" s="407"/>
      <c r="E72" s="404">
        <v>1</v>
      </c>
      <c r="F72" s="402">
        <v>0.14000000000000001</v>
      </c>
      <c r="G72" s="403">
        <v>0.5</v>
      </c>
      <c r="H72" s="403">
        <v>1.46</v>
      </c>
      <c r="I72" s="405">
        <v>4</v>
      </c>
      <c r="J72" s="398">
        <f t="shared" ref="J72:J88" si="43">IF(H72&lt;=1,0.6,1.2)</f>
        <v>1.2</v>
      </c>
      <c r="K72" s="398"/>
      <c r="L72" s="398">
        <f t="shared" ref="L72:L88" si="44">((F72+J72)*(H72+K72)*G72)*E72</f>
        <v>0.97819999999999985</v>
      </c>
      <c r="M72" s="398">
        <f t="shared" ref="M72:M88" si="45">(F72)*(G72)*E72</f>
        <v>7.0000000000000007E-2</v>
      </c>
      <c r="N72" s="398">
        <f t="shared" ref="N72:N88" si="46">L72-U72</f>
        <v>0.87599999999999989</v>
      </c>
      <c r="O72" s="398">
        <f>(L72-N72)*1.3</f>
        <v>0.13285999999999995</v>
      </c>
      <c r="P72" s="864">
        <v>0.1</v>
      </c>
      <c r="Q72" s="398"/>
      <c r="R72" s="398">
        <f t="shared" ref="R72:R88" si="47">M72*$P72</f>
        <v>7.000000000000001E-3</v>
      </c>
      <c r="S72" s="398">
        <f t="shared" ref="S72:S88" si="48">((G72*H72*I72))*E72</f>
        <v>2.92</v>
      </c>
      <c r="T72" s="706">
        <f t="shared" ref="T72:T88" si="49">S72+G72*F72</f>
        <v>2.9899999999999998</v>
      </c>
      <c r="U72" s="398">
        <f t="shared" ref="U72:U88" si="50">F72*H72*G72*E72</f>
        <v>0.10220000000000001</v>
      </c>
      <c r="V72" s="693" t="s">
        <v>922</v>
      </c>
    </row>
    <row r="73" spans="1:22" ht="12" x14ac:dyDescent="0.2">
      <c r="A73" s="728" t="s">
        <v>980</v>
      </c>
      <c r="B73" s="407"/>
      <c r="C73" s="407"/>
      <c r="D73" s="407"/>
      <c r="E73" s="404">
        <v>1</v>
      </c>
      <c r="F73" s="402">
        <v>0.27</v>
      </c>
      <c r="G73" s="403">
        <v>0.27</v>
      </c>
      <c r="H73" s="403">
        <v>1.46</v>
      </c>
      <c r="I73" s="405">
        <v>4</v>
      </c>
      <c r="J73" s="398">
        <f t="shared" si="43"/>
        <v>1.2</v>
      </c>
      <c r="K73" s="398"/>
      <c r="L73" s="398">
        <f t="shared" si="44"/>
        <v>0.57947400000000004</v>
      </c>
      <c r="M73" s="398">
        <f t="shared" si="45"/>
        <v>7.2900000000000006E-2</v>
      </c>
      <c r="N73" s="398">
        <f t="shared" si="46"/>
        <v>0.47304000000000002</v>
      </c>
      <c r="O73" s="398">
        <f>(L73-N73)*1.3</f>
        <v>0.13836420000000005</v>
      </c>
      <c r="P73" s="864">
        <v>0.1</v>
      </c>
      <c r="Q73" s="398"/>
      <c r="R73" s="398">
        <f t="shared" si="47"/>
        <v>7.2900000000000013E-3</v>
      </c>
      <c r="S73" s="398">
        <f t="shared" si="48"/>
        <v>1.5768</v>
      </c>
      <c r="T73" s="706">
        <f t="shared" si="49"/>
        <v>1.6496999999999999</v>
      </c>
      <c r="U73" s="398">
        <f t="shared" si="50"/>
        <v>0.106434</v>
      </c>
      <c r="V73" s="693" t="s">
        <v>922</v>
      </c>
    </row>
    <row r="74" spans="1:22" ht="12" x14ac:dyDescent="0.2">
      <c r="A74" s="728" t="s">
        <v>981</v>
      </c>
      <c r="B74" s="407"/>
      <c r="C74" s="407"/>
      <c r="D74" s="407"/>
      <c r="E74" s="404">
        <v>1</v>
      </c>
      <c r="F74" s="402">
        <v>0.19</v>
      </c>
      <c r="G74" s="403">
        <v>0.6</v>
      </c>
      <c r="H74" s="403">
        <v>1.46</v>
      </c>
      <c r="I74" s="405">
        <v>4</v>
      </c>
      <c r="J74" s="398">
        <f t="shared" si="43"/>
        <v>1.2</v>
      </c>
      <c r="K74" s="398"/>
      <c r="L74" s="398">
        <f t="shared" si="44"/>
        <v>1.2176399999999998</v>
      </c>
      <c r="M74" s="398">
        <f t="shared" si="45"/>
        <v>0.11399999999999999</v>
      </c>
      <c r="N74" s="398">
        <f t="shared" si="46"/>
        <v>1.0511999999999999</v>
      </c>
      <c r="O74" s="398">
        <f t="shared" ref="O74:O88" si="51">(L74-N74)*1.3</f>
        <v>0.2163719999999999</v>
      </c>
      <c r="P74" s="864">
        <v>0.1</v>
      </c>
      <c r="Q74" s="398"/>
      <c r="R74" s="398">
        <f t="shared" si="47"/>
        <v>1.14E-2</v>
      </c>
      <c r="S74" s="398">
        <f t="shared" si="48"/>
        <v>3.504</v>
      </c>
      <c r="T74" s="706">
        <f t="shared" si="49"/>
        <v>3.6179999999999999</v>
      </c>
      <c r="U74" s="398">
        <f t="shared" si="50"/>
        <v>0.16643999999999998</v>
      </c>
      <c r="V74" s="693" t="s">
        <v>922</v>
      </c>
    </row>
    <row r="75" spans="1:22" ht="12" x14ac:dyDescent="0.2">
      <c r="A75" s="728" t="s">
        <v>982</v>
      </c>
      <c r="B75" s="407"/>
      <c r="C75" s="407"/>
      <c r="D75" s="407"/>
      <c r="E75" s="404">
        <v>1</v>
      </c>
      <c r="F75" s="402">
        <v>0.14000000000000001</v>
      </c>
      <c r="G75" s="403">
        <v>0.42</v>
      </c>
      <c r="H75" s="403">
        <v>1.46</v>
      </c>
      <c r="I75" s="405">
        <v>4</v>
      </c>
      <c r="J75" s="398">
        <f t="shared" si="43"/>
        <v>1.2</v>
      </c>
      <c r="K75" s="398"/>
      <c r="L75" s="398">
        <f t="shared" si="44"/>
        <v>0.82168799999999986</v>
      </c>
      <c r="M75" s="398">
        <f t="shared" si="45"/>
        <v>5.8800000000000005E-2</v>
      </c>
      <c r="N75" s="398">
        <f t="shared" si="46"/>
        <v>0.73583999999999983</v>
      </c>
      <c r="O75" s="398">
        <f t="shared" si="51"/>
        <v>0.11160240000000005</v>
      </c>
      <c r="P75" s="864">
        <v>0.1</v>
      </c>
      <c r="Q75" s="398"/>
      <c r="R75" s="398">
        <f t="shared" si="47"/>
        <v>5.8800000000000007E-3</v>
      </c>
      <c r="S75" s="398">
        <f t="shared" si="48"/>
        <v>2.4527999999999999</v>
      </c>
      <c r="T75" s="706">
        <f t="shared" si="49"/>
        <v>2.5116000000000001</v>
      </c>
      <c r="U75" s="398">
        <f t="shared" si="50"/>
        <v>8.5848000000000008E-2</v>
      </c>
      <c r="V75" s="693" t="s">
        <v>922</v>
      </c>
    </row>
    <row r="76" spans="1:22" ht="12" x14ac:dyDescent="0.2">
      <c r="A76" s="728" t="s">
        <v>983</v>
      </c>
      <c r="B76" s="407"/>
      <c r="C76" s="407"/>
      <c r="D76" s="407"/>
      <c r="E76" s="404">
        <v>1</v>
      </c>
      <c r="F76" s="402">
        <v>0.14000000000000001</v>
      </c>
      <c r="G76" s="403">
        <v>0.4</v>
      </c>
      <c r="H76" s="403">
        <v>1.46</v>
      </c>
      <c r="I76" s="405">
        <v>4</v>
      </c>
      <c r="J76" s="398">
        <f t="shared" si="43"/>
        <v>1.2</v>
      </c>
      <c r="K76" s="398"/>
      <c r="L76" s="398">
        <f t="shared" si="44"/>
        <v>0.78255999999999992</v>
      </c>
      <c r="M76" s="398">
        <f t="shared" si="45"/>
        <v>5.6000000000000008E-2</v>
      </c>
      <c r="N76" s="398">
        <f t="shared" si="46"/>
        <v>0.70079999999999987</v>
      </c>
      <c r="O76" s="398">
        <f t="shared" si="51"/>
        <v>0.10628800000000008</v>
      </c>
      <c r="P76" s="864">
        <v>0.1</v>
      </c>
      <c r="Q76" s="398"/>
      <c r="R76" s="398">
        <f t="shared" si="47"/>
        <v>5.6000000000000008E-3</v>
      </c>
      <c r="S76" s="398">
        <f t="shared" si="48"/>
        <v>2.3359999999999999</v>
      </c>
      <c r="T76" s="706">
        <f t="shared" si="49"/>
        <v>2.3919999999999999</v>
      </c>
      <c r="U76" s="398">
        <f t="shared" si="50"/>
        <v>8.1760000000000013E-2</v>
      </c>
      <c r="V76" s="693" t="s">
        <v>922</v>
      </c>
    </row>
    <row r="77" spans="1:22" ht="12" x14ac:dyDescent="0.2">
      <c r="A77" s="728" t="s">
        <v>984</v>
      </c>
      <c r="B77" s="407"/>
      <c r="C77" s="407"/>
      <c r="D77" s="407"/>
      <c r="E77" s="404">
        <v>1</v>
      </c>
      <c r="F77" s="402">
        <v>0.14000000000000001</v>
      </c>
      <c r="G77" s="403">
        <v>0.6</v>
      </c>
      <c r="H77" s="403">
        <v>1.46</v>
      </c>
      <c r="I77" s="405">
        <v>4</v>
      </c>
      <c r="J77" s="398">
        <f t="shared" si="43"/>
        <v>1.2</v>
      </c>
      <c r="K77" s="398"/>
      <c r="L77" s="398">
        <f t="shared" si="44"/>
        <v>1.1738399999999998</v>
      </c>
      <c r="M77" s="398">
        <f t="shared" si="45"/>
        <v>8.4000000000000005E-2</v>
      </c>
      <c r="N77" s="398">
        <f t="shared" si="46"/>
        <v>1.0511999999999997</v>
      </c>
      <c r="O77" s="398">
        <f t="shared" si="51"/>
        <v>0.1594320000000001</v>
      </c>
      <c r="P77" s="864">
        <v>0.1</v>
      </c>
      <c r="Q77" s="398"/>
      <c r="R77" s="398">
        <f t="shared" si="47"/>
        <v>8.4000000000000012E-3</v>
      </c>
      <c r="S77" s="398">
        <f t="shared" si="48"/>
        <v>3.504</v>
      </c>
      <c r="T77" s="706">
        <f t="shared" si="49"/>
        <v>3.5880000000000001</v>
      </c>
      <c r="U77" s="398">
        <f t="shared" si="50"/>
        <v>0.12264000000000001</v>
      </c>
      <c r="V77" s="693" t="s">
        <v>922</v>
      </c>
    </row>
    <row r="78" spans="1:22" ht="12" x14ac:dyDescent="0.2">
      <c r="A78" s="728" t="s">
        <v>985</v>
      </c>
      <c r="B78" s="407"/>
      <c r="C78" s="407"/>
      <c r="D78" s="407"/>
      <c r="E78" s="404">
        <v>1</v>
      </c>
      <c r="F78" s="402">
        <v>0.19</v>
      </c>
      <c r="G78" s="403">
        <v>0.5</v>
      </c>
      <c r="H78" s="403">
        <v>1.46</v>
      </c>
      <c r="I78" s="405">
        <v>4</v>
      </c>
      <c r="J78" s="398">
        <f t="shared" si="43"/>
        <v>1.2</v>
      </c>
      <c r="K78" s="398"/>
      <c r="L78" s="398">
        <f t="shared" si="44"/>
        <v>1.0146999999999999</v>
      </c>
      <c r="M78" s="398">
        <f t="shared" si="45"/>
        <v>9.5000000000000001E-2</v>
      </c>
      <c r="N78" s="398">
        <f t="shared" si="46"/>
        <v>0.87599999999999989</v>
      </c>
      <c r="O78" s="398">
        <f t="shared" si="51"/>
        <v>0.18031000000000005</v>
      </c>
      <c r="P78" s="864">
        <v>0.1</v>
      </c>
      <c r="Q78" s="398"/>
      <c r="R78" s="398">
        <f t="shared" si="47"/>
        <v>9.5000000000000015E-3</v>
      </c>
      <c r="S78" s="398">
        <f t="shared" si="48"/>
        <v>2.92</v>
      </c>
      <c r="T78" s="706">
        <f t="shared" si="49"/>
        <v>3.0150000000000001</v>
      </c>
      <c r="U78" s="398">
        <f t="shared" si="50"/>
        <v>0.13869999999999999</v>
      </c>
      <c r="V78" s="693" t="s">
        <v>922</v>
      </c>
    </row>
    <row r="79" spans="1:22" ht="12" x14ac:dyDescent="0.2">
      <c r="A79" s="728" t="s">
        <v>986</v>
      </c>
      <c r="B79" s="407"/>
      <c r="C79" s="407"/>
      <c r="D79" s="407"/>
      <c r="E79" s="404">
        <v>1</v>
      </c>
      <c r="F79" s="402">
        <v>0.14000000000000001</v>
      </c>
      <c r="G79" s="403">
        <v>0.4</v>
      </c>
      <c r="H79" s="403">
        <v>1.46</v>
      </c>
      <c r="I79" s="405">
        <v>4</v>
      </c>
      <c r="J79" s="398">
        <f t="shared" si="43"/>
        <v>1.2</v>
      </c>
      <c r="K79" s="398"/>
      <c r="L79" s="398">
        <f t="shared" si="44"/>
        <v>0.78255999999999992</v>
      </c>
      <c r="M79" s="398">
        <f t="shared" si="45"/>
        <v>5.6000000000000008E-2</v>
      </c>
      <c r="N79" s="398">
        <f t="shared" si="46"/>
        <v>0.70079999999999987</v>
      </c>
      <c r="O79" s="398">
        <f t="shared" si="51"/>
        <v>0.10628800000000008</v>
      </c>
      <c r="P79" s="864">
        <v>0.1</v>
      </c>
      <c r="Q79" s="398"/>
      <c r="R79" s="398">
        <f t="shared" si="47"/>
        <v>5.6000000000000008E-3</v>
      </c>
      <c r="S79" s="398">
        <f t="shared" si="48"/>
        <v>2.3359999999999999</v>
      </c>
      <c r="T79" s="706">
        <f t="shared" si="49"/>
        <v>2.3919999999999999</v>
      </c>
      <c r="U79" s="398">
        <f t="shared" si="50"/>
        <v>8.1760000000000013E-2</v>
      </c>
      <c r="V79" s="693" t="s">
        <v>922</v>
      </c>
    </row>
    <row r="80" spans="1:22" ht="12" x14ac:dyDescent="0.2">
      <c r="A80" s="728" t="s">
        <v>987</v>
      </c>
      <c r="B80" s="407"/>
      <c r="C80" s="407"/>
      <c r="D80" s="407"/>
      <c r="E80" s="404">
        <v>1</v>
      </c>
      <c r="F80" s="402">
        <v>0.14000000000000001</v>
      </c>
      <c r="G80" s="403">
        <v>0.26</v>
      </c>
      <c r="H80" s="403">
        <v>1.46</v>
      </c>
      <c r="I80" s="405">
        <v>4</v>
      </c>
      <c r="J80" s="398">
        <f t="shared" si="43"/>
        <v>1.2</v>
      </c>
      <c r="K80" s="398"/>
      <c r="L80" s="398">
        <f t="shared" si="44"/>
        <v>0.50866399999999989</v>
      </c>
      <c r="M80" s="398">
        <f t="shared" si="45"/>
        <v>3.6400000000000002E-2</v>
      </c>
      <c r="N80" s="398">
        <f t="shared" si="46"/>
        <v>0.45551999999999987</v>
      </c>
      <c r="O80" s="398">
        <f t="shared" si="51"/>
        <v>6.9087200000000029E-2</v>
      </c>
      <c r="P80" s="864">
        <v>0.1</v>
      </c>
      <c r="Q80" s="398"/>
      <c r="R80" s="398">
        <f t="shared" si="47"/>
        <v>3.6400000000000004E-3</v>
      </c>
      <c r="S80" s="398">
        <f t="shared" si="48"/>
        <v>1.5184</v>
      </c>
      <c r="T80" s="706">
        <f t="shared" si="49"/>
        <v>1.5548</v>
      </c>
      <c r="U80" s="398">
        <f t="shared" si="50"/>
        <v>5.3144000000000011E-2</v>
      </c>
      <c r="V80" s="693" t="s">
        <v>922</v>
      </c>
    </row>
    <row r="81" spans="1:22" ht="12" x14ac:dyDescent="0.2">
      <c r="A81" s="728" t="s">
        <v>988</v>
      </c>
      <c r="B81" s="407"/>
      <c r="C81" s="407"/>
      <c r="D81" s="407"/>
      <c r="E81" s="404">
        <v>1</v>
      </c>
      <c r="F81" s="402">
        <v>0.14000000000000001</v>
      </c>
      <c r="G81" s="403">
        <v>0.5</v>
      </c>
      <c r="H81" s="403">
        <v>1.46</v>
      </c>
      <c r="I81" s="405">
        <v>4</v>
      </c>
      <c r="J81" s="398">
        <f t="shared" si="43"/>
        <v>1.2</v>
      </c>
      <c r="K81" s="398"/>
      <c r="L81" s="398">
        <f t="shared" si="44"/>
        <v>0.97819999999999985</v>
      </c>
      <c r="M81" s="398">
        <f t="shared" si="45"/>
        <v>7.0000000000000007E-2</v>
      </c>
      <c r="N81" s="398">
        <f t="shared" si="46"/>
        <v>0.87599999999999989</v>
      </c>
      <c r="O81" s="398">
        <f t="shared" si="51"/>
        <v>0.13285999999999995</v>
      </c>
      <c r="P81" s="864">
        <v>0.1</v>
      </c>
      <c r="Q81" s="398"/>
      <c r="R81" s="398">
        <f t="shared" si="47"/>
        <v>7.000000000000001E-3</v>
      </c>
      <c r="S81" s="398">
        <f t="shared" si="48"/>
        <v>2.92</v>
      </c>
      <c r="T81" s="706">
        <f t="shared" si="49"/>
        <v>2.9899999999999998</v>
      </c>
      <c r="U81" s="398">
        <f t="shared" si="50"/>
        <v>0.10220000000000001</v>
      </c>
      <c r="V81" s="693" t="s">
        <v>922</v>
      </c>
    </row>
    <row r="82" spans="1:22" ht="12" x14ac:dyDescent="0.2">
      <c r="A82" s="728" t="s">
        <v>989</v>
      </c>
      <c r="B82" s="407"/>
      <c r="C82" s="407"/>
      <c r="D82" s="407"/>
      <c r="E82" s="404">
        <v>1</v>
      </c>
      <c r="F82" s="402">
        <v>0.14000000000000001</v>
      </c>
      <c r="G82" s="403">
        <v>0.55000000000000004</v>
      </c>
      <c r="H82" s="403">
        <v>1.46</v>
      </c>
      <c r="I82" s="405">
        <v>4</v>
      </c>
      <c r="J82" s="398">
        <f t="shared" si="43"/>
        <v>1.2</v>
      </c>
      <c r="K82" s="398"/>
      <c r="L82" s="398">
        <f t="shared" si="44"/>
        <v>1.07602</v>
      </c>
      <c r="M82" s="398">
        <f t="shared" si="45"/>
        <v>7.7000000000000013E-2</v>
      </c>
      <c r="N82" s="398">
        <f t="shared" si="46"/>
        <v>0.96360000000000001</v>
      </c>
      <c r="O82" s="398">
        <f t="shared" si="51"/>
        <v>0.14614599999999997</v>
      </c>
      <c r="P82" s="864">
        <v>0.1</v>
      </c>
      <c r="Q82" s="398"/>
      <c r="R82" s="398">
        <f t="shared" si="47"/>
        <v>7.700000000000002E-3</v>
      </c>
      <c r="S82" s="398">
        <f t="shared" si="48"/>
        <v>3.2120000000000002</v>
      </c>
      <c r="T82" s="706">
        <f t="shared" si="49"/>
        <v>3.2890000000000001</v>
      </c>
      <c r="U82" s="398">
        <f t="shared" si="50"/>
        <v>0.11242000000000002</v>
      </c>
      <c r="V82" s="693" t="s">
        <v>922</v>
      </c>
    </row>
    <row r="83" spans="1:22" ht="12" x14ac:dyDescent="0.2">
      <c r="A83" s="728" t="s">
        <v>990</v>
      </c>
      <c r="B83" s="407"/>
      <c r="C83" s="407"/>
      <c r="D83" s="407"/>
      <c r="E83" s="404">
        <v>1</v>
      </c>
      <c r="F83" s="402">
        <v>0.14000000000000001</v>
      </c>
      <c r="G83" s="403">
        <v>0.5</v>
      </c>
      <c r="H83" s="403">
        <v>1.46</v>
      </c>
      <c r="I83" s="405">
        <v>4</v>
      </c>
      <c r="J83" s="398">
        <f t="shared" si="43"/>
        <v>1.2</v>
      </c>
      <c r="K83" s="398"/>
      <c r="L83" s="398">
        <f t="shared" si="44"/>
        <v>0.97819999999999985</v>
      </c>
      <c r="M83" s="398">
        <f t="shared" si="45"/>
        <v>7.0000000000000007E-2</v>
      </c>
      <c r="N83" s="398">
        <f t="shared" si="46"/>
        <v>0.87599999999999989</v>
      </c>
      <c r="O83" s="398">
        <f t="shared" si="51"/>
        <v>0.13285999999999995</v>
      </c>
      <c r="P83" s="864">
        <v>0.1</v>
      </c>
      <c r="Q83" s="398"/>
      <c r="R83" s="398">
        <f t="shared" si="47"/>
        <v>7.000000000000001E-3</v>
      </c>
      <c r="S83" s="398">
        <f t="shared" si="48"/>
        <v>2.92</v>
      </c>
      <c r="T83" s="706">
        <f t="shared" si="49"/>
        <v>2.9899999999999998</v>
      </c>
      <c r="U83" s="398">
        <f t="shared" si="50"/>
        <v>0.10220000000000001</v>
      </c>
      <c r="V83" s="693" t="s">
        <v>922</v>
      </c>
    </row>
    <row r="84" spans="1:22" ht="12" x14ac:dyDescent="0.2">
      <c r="A84" s="728" t="s">
        <v>991</v>
      </c>
      <c r="B84" s="407"/>
      <c r="C84" s="407"/>
      <c r="D84" s="407"/>
      <c r="E84" s="404">
        <v>1</v>
      </c>
      <c r="F84" s="402">
        <v>0.14000000000000001</v>
      </c>
      <c r="G84" s="403">
        <v>0.26</v>
      </c>
      <c r="H84" s="403">
        <v>1.46</v>
      </c>
      <c r="I84" s="405">
        <v>4</v>
      </c>
      <c r="J84" s="398">
        <f t="shared" ref="J84:J87" si="52">IF(H84&lt;=1,0.6,1.2)</f>
        <v>1.2</v>
      </c>
      <c r="K84" s="398"/>
      <c r="L84" s="398">
        <f t="shared" ref="L84:L87" si="53">((F84+J84)*(H84+K84)*G84)*E84</f>
        <v>0.50866399999999989</v>
      </c>
      <c r="M84" s="398">
        <f t="shared" ref="M84:M87" si="54">(F84)*(G84)*E84</f>
        <v>3.6400000000000002E-2</v>
      </c>
      <c r="N84" s="398">
        <f t="shared" ref="N84:N87" si="55">L84-U84</f>
        <v>0.45551999999999987</v>
      </c>
      <c r="O84" s="398">
        <f t="shared" ref="O84:O87" si="56">(L84-N84)*1.3</f>
        <v>6.9087200000000029E-2</v>
      </c>
      <c r="P84" s="864">
        <v>0.1</v>
      </c>
      <c r="Q84" s="398"/>
      <c r="R84" s="398">
        <f t="shared" ref="R84:R87" si="57">M84*$P84</f>
        <v>3.6400000000000004E-3</v>
      </c>
      <c r="S84" s="398">
        <f t="shared" ref="S84:S87" si="58">((G84*H84*I84))*E84</f>
        <v>1.5184</v>
      </c>
      <c r="T84" s="706">
        <f t="shared" ref="T84:T87" si="59">S84+G84*F84</f>
        <v>1.5548</v>
      </c>
      <c r="U84" s="398">
        <f t="shared" ref="U84:U87" si="60">F84*H84*G84*E84</f>
        <v>5.3144000000000011E-2</v>
      </c>
      <c r="V84" s="693" t="s">
        <v>922</v>
      </c>
    </row>
    <row r="85" spans="1:22" ht="12" x14ac:dyDescent="0.2">
      <c r="A85" s="728" t="s">
        <v>992</v>
      </c>
      <c r="B85" s="407"/>
      <c r="C85" s="407"/>
      <c r="D85" s="407"/>
      <c r="E85" s="404">
        <v>1</v>
      </c>
      <c r="F85" s="402">
        <v>0.14000000000000001</v>
      </c>
      <c r="G85" s="403">
        <v>0.4</v>
      </c>
      <c r="H85" s="403">
        <v>1.46</v>
      </c>
      <c r="I85" s="405">
        <v>4</v>
      </c>
      <c r="J85" s="398">
        <f t="shared" si="52"/>
        <v>1.2</v>
      </c>
      <c r="K85" s="398"/>
      <c r="L85" s="398">
        <f t="shared" si="53"/>
        <v>0.78255999999999992</v>
      </c>
      <c r="M85" s="398">
        <f t="shared" si="54"/>
        <v>5.6000000000000008E-2</v>
      </c>
      <c r="N85" s="398">
        <f t="shared" si="55"/>
        <v>0.70079999999999987</v>
      </c>
      <c r="O85" s="398">
        <f t="shared" si="56"/>
        <v>0.10628800000000008</v>
      </c>
      <c r="P85" s="864">
        <v>0.1</v>
      </c>
      <c r="Q85" s="398"/>
      <c r="R85" s="398">
        <f t="shared" si="57"/>
        <v>5.6000000000000008E-3</v>
      </c>
      <c r="S85" s="398">
        <f t="shared" si="58"/>
        <v>2.3359999999999999</v>
      </c>
      <c r="T85" s="706">
        <f t="shared" si="59"/>
        <v>2.3919999999999999</v>
      </c>
      <c r="U85" s="398">
        <f t="shared" si="60"/>
        <v>8.1760000000000013E-2</v>
      </c>
      <c r="V85" s="693" t="s">
        <v>922</v>
      </c>
    </row>
    <row r="86" spans="1:22" ht="12" x14ac:dyDescent="0.2">
      <c r="A86" s="728" t="s">
        <v>993</v>
      </c>
      <c r="B86" s="407"/>
      <c r="C86" s="407"/>
      <c r="D86" s="407"/>
      <c r="E86" s="404">
        <v>1</v>
      </c>
      <c r="F86" s="402">
        <v>0.14000000000000001</v>
      </c>
      <c r="G86" s="403">
        <v>0.4</v>
      </c>
      <c r="H86" s="403">
        <v>1.46</v>
      </c>
      <c r="I86" s="405">
        <v>4</v>
      </c>
      <c r="J86" s="398">
        <f t="shared" si="52"/>
        <v>1.2</v>
      </c>
      <c r="K86" s="398"/>
      <c r="L86" s="398">
        <f t="shared" si="53"/>
        <v>0.78255999999999992</v>
      </c>
      <c r="M86" s="398">
        <f t="shared" si="54"/>
        <v>5.6000000000000008E-2</v>
      </c>
      <c r="N86" s="398">
        <f t="shared" si="55"/>
        <v>0.70079999999999987</v>
      </c>
      <c r="O86" s="398">
        <f t="shared" si="56"/>
        <v>0.10628800000000008</v>
      </c>
      <c r="P86" s="864">
        <v>0.1</v>
      </c>
      <c r="Q86" s="398"/>
      <c r="R86" s="398">
        <f t="shared" si="57"/>
        <v>5.6000000000000008E-3</v>
      </c>
      <c r="S86" s="398">
        <f t="shared" si="58"/>
        <v>2.3359999999999999</v>
      </c>
      <c r="T86" s="706">
        <f t="shared" si="59"/>
        <v>2.3919999999999999</v>
      </c>
      <c r="U86" s="398">
        <f t="shared" si="60"/>
        <v>8.1760000000000013E-2</v>
      </c>
      <c r="V86" s="693" t="s">
        <v>922</v>
      </c>
    </row>
    <row r="87" spans="1:22" ht="12" x14ac:dyDescent="0.2">
      <c r="A87" s="728" t="s">
        <v>994</v>
      </c>
      <c r="B87" s="407"/>
      <c r="C87" s="407"/>
      <c r="D87" s="407"/>
      <c r="E87" s="404">
        <v>1</v>
      </c>
      <c r="F87" s="402">
        <v>0.14000000000000001</v>
      </c>
      <c r="G87" s="403">
        <v>0.5</v>
      </c>
      <c r="H87" s="403">
        <v>1.46</v>
      </c>
      <c r="I87" s="405">
        <v>4</v>
      </c>
      <c r="J87" s="398">
        <f t="shared" si="52"/>
        <v>1.2</v>
      </c>
      <c r="K87" s="398"/>
      <c r="L87" s="398">
        <f t="shared" si="53"/>
        <v>0.97819999999999985</v>
      </c>
      <c r="M87" s="398">
        <f t="shared" si="54"/>
        <v>7.0000000000000007E-2</v>
      </c>
      <c r="N87" s="398">
        <f t="shared" si="55"/>
        <v>0.87599999999999989</v>
      </c>
      <c r="O87" s="398">
        <f t="shared" si="56"/>
        <v>0.13285999999999995</v>
      </c>
      <c r="P87" s="864">
        <v>0.1</v>
      </c>
      <c r="Q87" s="398"/>
      <c r="R87" s="398">
        <f t="shared" si="57"/>
        <v>7.000000000000001E-3</v>
      </c>
      <c r="S87" s="398">
        <f t="shared" si="58"/>
        <v>2.92</v>
      </c>
      <c r="T87" s="706">
        <f t="shared" si="59"/>
        <v>2.9899999999999998</v>
      </c>
      <c r="U87" s="398">
        <f t="shared" si="60"/>
        <v>0.10220000000000001</v>
      </c>
      <c r="V87" s="693" t="s">
        <v>922</v>
      </c>
    </row>
    <row r="88" spans="1:22" ht="12.75" thickBot="1" x14ac:dyDescent="0.25">
      <c r="A88" s="728" t="s">
        <v>995</v>
      </c>
      <c r="B88" s="407"/>
      <c r="C88" s="407"/>
      <c r="D88" s="407"/>
      <c r="E88" s="404">
        <v>1</v>
      </c>
      <c r="F88" s="402">
        <v>0.19</v>
      </c>
      <c r="G88" s="403">
        <v>0.3</v>
      </c>
      <c r="H88" s="403">
        <v>1.46</v>
      </c>
      <c r="I88" s="405">
        <v>4</v>
      </c>
      <c r="J88" s="398">
        <f t="shared" si="43"/>
        <v>1.2</v>
      </c>
      <c r="K88" s="398"/>
      <c r="L88" s="398">
        <f t="shared" si="44"/>
        <v>0.60881999999999992</v>
      </c>
      <c r="M88" s="398">
        <f t="shared" si="45"/>
        <v>5.6999999999999995E-2</v>
      </c>
      <c r="N88" s="398">
        <f t="shared" si="46"/>
        <v>0.52559999999999996</v>
      </c>
      <c r="O88" s="398">
        <f t="shared" si="51"/>
        <v>0.10818599999999995</v>
      </c>
      <c r="P88" s="864">
        <v>0.1</v>
      </c>
      <c r="Q88" s="398"/>
      <c r="R88" s="398">
        <f t="shared" si="47"/>
        <v>5.7000000000000002E-3</v>
      </c>
      <c r="S88" s="398">
        <f t="shared" si="48"/>
        <v>1.752</v>
      </c>
      <c r="T88" s="706">
        <f t="shared" si="49"/>
        <v>1.8089999999999999</v>
      </c>
      <c r="U88" s="398">
        <f t="shared" si="50"/>
        <v>8.3219999999999988E-2</v>
      </c>
      <c r="V88" s="693" t="s">
        <v>922</v>
      </c>
    </row>
    <row r="89" spans="1:22" ht="13.5" thickTop="1" thickBot="1" x14ac:dyDescent="0.25">
      <c r="A89" s="216" t="str">
        <f>"TOTAL GERAL - "&amp;A67</f>
        <v>TOTAL GERAL - PILARS  FUNDAÇÃO</v>
      </c>
      <c r="B89" s="216"/>
      <c r="C89" s="408"/>
      <c r="D89" s="308"/>
      <c r="E89" s="308"/>
      <c r="F89" s="308"/>
      <c r="G89" s="308"/>
      <c r="H89" s="308"/>
      <c r="I89" s="310"/>
      <c r="J89" s="308"/>
      <c r="K89" s="308"/>
      <c r="L89" s="310">
        <f>SUM(L71:L88)</f>
        <v>14.552549999999997</v>
      </c>
      <c r="M89" s="310">
        <f>SUM(M71:M88)</f>
        <v>1.1355000000000002</v>
      </c>
      <c r="N89" s="310">
        <f>SUM(N71:N88)</f>
        <v>12.894719999999998</v>
      </c>
      <c r="O89" s="310">
        <f>SUM(O71:O88)</f>
        <v>2.1551790000000004</v>
      </c>
      <c r="P89" s="310"/>
      <c r="Q89" s="310">
        <f>SUM(Q71:Q88)</f>
        <v>0</v>
      </c>
      <c r="R89" s="310">
        <f>SUM(R71:R88)</f>
        <v>0.11355000000000003</v>
      </c>
      <c r="S89" s="310">
        <f>SUM(S71:S88)</f>
        <v>42.982399999999998</v>
      </c>
      <c r="T89" s="310">
        <f>SUM(T71:T88)</f>
        <v>44.117900000000006</v>
      </c>
      <c r="U89" s="310">
        <f>SUM(U71:U88)</f>
        <v>1.6578300000000004</v>
      </c>
      <c r="V89" s="410"/>
    </row>
    <row r="90" spans="1:22" ht="12" thickTop="1" x14ac:dyDescent="0.2"/>
  </sheetData>
  <autoFilter ref="A8:Y91" xr:uid="{E10C6A1D-7C45-46C6-B9DD-64DD29C68CFB}"/>
  <mergeCells count="23">
    <mergeCell ref="J36:K36"/>
    <mergeCell ref="P37:R37"/>
    <mergeCell ref="A67:V67"/>
    <mergeCell ref="A68:A70"/>
    <mergeCell ref="B68:B70"/>
    <mergeCell ref="C68:C70"/>
    <mergeCell ref="D68:D70"/>
    <mergeCell ref="E68:E70"/>
    <mergeCell ref="J68:K68"/>
    <mergeCell ref="P69:R69"/>
    <mergeCell ref="A36:A38"/>
    <mergeCell ref="B36:B38"/>
    <mergeCell ref="C36:C38"/>
    <mergeCell ref="D36:D38"/>
    <mergeCell ref="E36:E38"/>
    <mergeCell ref="A11:V11"/>
    <mergeCell ref="E5:E6"/>
    <mergeCell ref="T5:T6"/>
    <mergeCell ref="A12:A14"/>
    <mergeCell ref="B12:B14"/>
    <mergeCell ref="C12:C14"/>
    <mergeCell ref="J12:K12"/>
    <mergeCell ref="P13:R13"/>
  </mergeCells>
  <phoneticPr fontId="179" type="noConversion"/>
  <dataValidations count="2">
    <dataValidation type="list" allowBlank="1" showInputMessage="1" showErrorMessage="1" sqref="V40:V63 V16:V30 V72:V88" xr:uid="{2FC9A055-8B21-4E0E-9282-14B595D16D70}">
      <formula1>$O$5:$S$5</formula1>
    </dataValidation>
    <dataValidation type="list" allowBlank="1" showInputMessage="1" showErrorMessage="1" sqref="V15" xr:uid="{CC79FAD1-D9F3-4CA1-9E54-FC86AD554D7B}">
      <formula1>#REF!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31" orientation="portrait" verticalDpi="300" r:id="rId1"/>
  <headerFooter alignWithMargins="0">
    <oddFooter>&amp;L&amp;F - &amp;A&amp;R&amp;P / &amp;N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9">
    <tabColor rgb="FF1851D6"/>
    <pageSetUpPr fitToPage="1"/>
  </sheetPr>
  <dimension ref="A1:X17"/>
  <sheetViews>
    <sheetView showGridLines="0" view="pageBreakPreview" zoomScaleNormal="100" zoomScaleSheetLayoutView="100" workbookViewId="0">
      <pane ySplit="6" topLeftCell="A7" activePane="bottomLeft" state="frozen"/>
      <selection sqref="A1:XFD3"/>
      <selection pane="bottomLeft" activeCell="O21" sqref="O21"/>
    </sheetView>
  </sheetViews>
  <sheetFormatPr defaultRowHeight="11.25" x14ac:dyDescent="0.2"/>
  <cols>
    <col min="1" max="1" width="28.85546875" style="4" customWidth="1"/>
    <col min="2" max="2" width="10.28515625" style="4" customWidth="1"/>
    <col min="3" max="3" width="7.5703125" style="4" customWidth="1"/>
    <col min="4" max="14" width="8.140625" style="4" customWidth="1"/>
    <col min="15" max="16" width="9.140625" style="4" customWidth="1"/>
    <col min="17" max="17" width="7.42578125" style="4" customWidth="1"/>
    <col min="18" max="18" width="21.42578125" style="4" bestFit="1" customWidth="1"/>
    <col min="19" max="19" width="10.28515625" style="4" bestFit="1" customWidth="1"/>
    <col min="20" max="251" width="9.140625" style="4"/>
    <col min="252" max="252" width="14.5703125" style="4" customWidth="1"/>
    <col min="253" max="253" width="20.7109375" style="4" customWidth="1"/>
    <col min="254" max="254" width="9.140625" style="4"/>
    <col min="255" max="266" width="8.42578125" style="4" customWidth="1"/>
    <col min="267" max="507" width="9.140625" style="4"/>
    <col min="508" max="508" width="14.5703125" style="4" customWidth="1"/>
    <col min="509" max="509" width="20.7109375" style="4" customWidth="1"/>
    <col min="510" max="510" width="9.140625" style="4"/>
    <col min="511" max="522" width="8.42578125" style="4" customWidth="1"/>
    <col min="523" max="763" width="9.140625" style="4"/>
    <col min="764" max="764" width="14.5703125" style="4" customWidth="1"/>
    <col min="765" max="765" width="20.7109375" style="4" customWidth="1"/>
    <col min="766" max="766" width="9.140625" style="4"/>
    <col min="767" max="778" width="8.42578125" style="4" customWidth="1"/>
    <col min="779" max="1019" width="9.140625" style="4"/>
    <col min="1020" max="1020" width="14.5703125" style="4" customWidth="1"/>
    <col min="1021" max="1021" width="20.7109375" style="4" customWidth="1"/>
    <col min="1022" max="1022" width="9.140625" style="4"/>
    <col min="1023" max="1034" width="8.42578125" style="4" customWidth="1"/>
    <col min="1035" max="1275" width="9.140625" style="4"/>
    <col min="1276" max="1276" width="14.5703125" style="4" customWidth="1"/>
    <col min="1277" max="1277" width="20.7109375" style="4" customWidth="1"/>
    <col min="1278" max="1278" width="9.140625" style="4"/>
    <col min="1279" max="1290" width="8.42578125" style="4" customWidth="1"/>
    <col min="1291" max="1531" width="9.140625" style="4"/>
    <col min="1532" max="1532" width="14.5703125" style="4" customWidth="1"/>
    <col min="1533" max="1533" width="20.7109375" style="4" customWidth="1"/>
    <col min="1534" max="1534" width="9.140625" style="4"/>
    <col min="1535" max="1546" width="8.42578125" style="4" customWidth="1"/>
    <col min="1547" max="1787" width="9.140625" style="4"/>
    <col min="1788" max="1788" width="14.5703125" style="4" customWidth="1"/>
    <col min="1789" max="1789" width="20.7109375" style="4" customWidth="1"/>
    <col min="1790" max="1790" width="9.140625" style="4"/>
    <col min="1791" max="1802" width="8.42578125" style="4" customWidth="1"/>
    <col min="1803" max="2043" width="9.140625" style="4"/>
    <col min="2044" max="2044" width="14.5703125" style="4" customWidth="1"/>
    <col min="2045" max="2045" width="20.7109375" style="4" customWidth="1"/>
    <col min="2046" max="2046" width="9.140625" style="4"/>
    <col min="2047" max="2058" width="8.42578125" style="4" customWidth="1"/>
    <col min="2059" max="2299" width="9.140625" style="4"/>
    <col min="2300" max="2300" width="14.5703125" style="4" customWidth="1"/>
    <col min="2301" max="2301" width="20.7109375" style="4" customWidth="1"/>
    <col min="2302" max="2302" width="9.140625" style="4"/>
    <col min="2303" max="2314" width="8.42578125" style="4" customWidth="1"/>
    <col min="2315" max="2555" width="9.140625" style="4"/>
    <col min="2556" max="2556" width="14.5703125" style="4" customWidth="1"/>
    <col min="2557" max="2557" width="20.7109375" style="4" customWidth="1"/>
    <col min="2558" max="2558" width="9.140625" style="4"/>
    <col min="2559" max="2570" width="8.42578125" style="4" customWidth="1"/>
    <col min="2571" max="2811" width="9.140625" style="4"/>
    <col min="2812" max="2812" width="14.5703125" style="4" customWidth="1"/>
    <col min="2813" max="2813" width="20.7109375" style="4" customWidth="1"/>
    <col min="2814" max="2814" width="9.140625" style="4"/>
    <col min="2815" max="2826" width="8.42578125" style="4" customWidth="1"/>
    <col min="2827" max="3067" width="9.140625" style="4"/>
    <col min="3068" max="3068" width="14.5703125" style="4" customWidth="1"/>
    <col min="3069" max="3069" width="20.7109375" style="4" customWidth="1"/>
    <col min="3070" max="3070" width="9.140625" style="4"/>
    <col min="3071" max="3082" width="8.42578125" style="4" customWidth="1"/>
    <col min="3083" max="3323" width="9.140625" style="4"/>
    <col min="3324" max="3324" width="14.5703125" style="4" customWidth="1"/>
    <col min="3325" max="3325" width="20.7109375" style="4" customWidth="1"/>
    <col min="3326" max="3326" width="9.140625" style="4"/>
    <col min="3327" max="3338" width="8.42578125" style="4" customWidth="1"/>
    <col min="3339" max="3579" width="9.140625" style="4"/>
    <col min="3580" max="3580" width="14.5703125" style="4" customWidth="1"/>
    <col min="3581" max="3581" width="20.7109375" style="4" customWidth="1"/>
    <col min="3582" max="3582" width="9.140625" style="4"/>
    <col min="3583" max="3594" width="8.42578125" style="4" customWidth="1"/>
    <col min="3595" max="3835" width="9.140625" style="4"/>
    <col min="3836" max="3836" width="14.5703125" style="4" customWidth="1"/>
    <col min="3837" max="3837" width="20.7109375" style="4" customWidth="1"/>
    <col min="3838" max="3838" width="9.140625" style="4"/>
    <col min="3839" max="3850" width="8.42578125" style="4" customWidth="1"/>
    <col min="3851" max="4091" width="9.140625" style="4"/>
    <col min="4092" max="4092" width="14.5703125" style="4" customWidth="1"/>
    <col min="4093" max="4093" width="20.7109375" style="4" customWidth="1"/>
    <col min="4094" max="4094" width="9.140625" style="4"/>
    <col min="4095" max="4106" width="8.42578125" style="4" customWidth="1"/>
    <col min="4107" max="4347" width="9.140625" style="4"/>
    <col min="4348" max="4348" width="14.5703125" style="4" customWidth="1"/>
    <col min="4349" max="4349" width="20.7109375" style="4" customWidth="1"/>
    <col min="4350" max="4350" width="9.140625" style="4"/>
    <col min="4351" max="4362" width="8.42578125" style="4" customWidth="1"/>
    <col min="4363" max="4603" width="9.140625" style="4"/>
    <col min="4604" max="4604" width="14.5703125" style="4" customWidth="1"/>
    <col min="4605" max="4605" width="20.7109375" style="4" customWidth="1"/>
    <col min="4606" max="4606" width="9.140625" style="4"/>
    <col min="4607" max="4618" width="8.42578125" style="4" customWidth="1"/>
    <col min="4619" max="4859" width="9.140625" style="4"/>
    <col min="4860" max="4860" width="14.5703125" style="4" customWidth="1"/>
    <col min="4861" max="4861" width="20.7109375" style="4" customWidth="1"/>
    <col min="4862" max="4862" width="9.140625" style="4"/>
    <col min="4863" max="4874" width="8.42578125" style="4" customWidth="1"/>
    <col min="4875" max="5115" width="9.140625" style="4"/>
    <col min="5116" max="5116" width="14.5703125" style="4" customWidth="1"/>
    <col min="5117" max="5117" width="20.7109375" style="4" customWidth="1"/>
    <col min="5118" max="5118" width="9.140625" style="4"/>
    <col min="5119" max="5130" width="8.42578125" style="4" customWidth="1"/>
    <col min="5131" max="5371" width="9.140625" style="4"/>
    <col min="5372" max="5372" width="14.5703125" style="4" customWidth="1"/>
    <col min="5373" max="5373" width="20.7109375" style="4" customWidth="1"/>
    <col min="5374" max="5374" width="9.140625" style="4"/>
    <col min="5375" max="5386" width="8.42578125" style="4" customWidth="1"/>
    <col min="5387" max="5627" width="9.140625" style="4"/>
    <col min="5628" max="5628" width="14.5703125" style="4" customWidth="1"/>
    <col min="5629" max="5629" width="20.7109375" style="4" customWidth="1"/>
    <col min="5630" max="5630" width="9.140625" style="4"/>
    <col min="5631" max="5642" width="8.42578125" style="4" customWidth="1"/>
    <col min="5643" max="5883" width="9.140625" style="4"/>
    <col min="5884" max="5884" width="14.5703125" style="4" customWidth="1"/>
    <col min="5885" max="5885" width="20.7109375" style="4" customWidth="1"/>
    <col min="5886" max="5886" width="9.140625" style="4"/>
    <col min="5887" max="5898" width="8.42578125" style="4" customWidth="1"/>
    <col min="5899" max="6139" width="9.140625" style="4"/>
    <col min="6140" max="6140" width="14.5703125" style="4" customWidth="1"/>
    <col min="6141" max="6141" width="20.7109375" style="4" customWidth="1"/>
    <col min="6142" max="6142" width="9.140625" style="4"/>
    <col min="6143" max="6154" width="8.42578125" style="4" customWidth="1"/>
    <col min="6155" max="6395" width="9.140625" style="4"/>
    <col min="6396" max="6396" width="14.5703125" style="4" customWidth="1"/>
    <col min="6397" max="6397" width="20.7109375" style="4" customWidth="1"/>
    <col min="6398" max="6398" width="9.140625" style="4"/>
    <col min="6399" max="6410" width="8.42578125" style="4" customWidth="1"/>
    <col min="6411" max="6651" width="9.140625" style="4"/>
    <col min="6652" max="6652" width="14.5703125" style="4" customWidth="1"/>
    <col min="6653" max="6653" width="20.7109375" style="4" customWidth="1"/>
    <col min="6654" max="6654" width="9.140625" style="4"/>
    <col min="6655" max="6666" width="8.42578125" style="4" customWidth="1"/>
    <col min="6667" max="6907" width="9.140625" style="4"/>
    <col min="6908" max="6908" width="14.5703125" style="4" customWidth="1"/>
    <col min="6909" max="6909" width="20.7109375" style="4" customWidth="1"/>
    <col min="6910" max="6910" width="9.140625" style="4"/>
    <col min="6911" max="6922" width="8.42578125" style="4" customWidth="1"/>
    <col min="6923" max="7163" width="9.140625" style="4"/>
    <col min="7164" max="7164" width="14.5703125" style="4" customWidth="1"/>
    <col min="7165" max="7165" width="20.7109375" style="4" customWidth="1"/>
    <col min="7166" max="7166" width="9.140625" style="4"/>
    <col min="7167" max="7178" width="8.42578125" style="4" customWidth="1"/>
    <col min="7179" max="7419" width="9.140625" style="4"/>
    <col min="7420" max="7420" width="14.5703125" style="4" customWidth="1"/>
    <col min="7421" max="7421" width="20.7109375" style="4" customWidth="1"/>
    <col min="7422" max="7422" width="9.140625" style="4"/>
    <col min="7423" max="7434" width="8.42578125" style="4" customWidth="1"/>
    <col min="7435" max="7675" width="9.140625" style="4"/>
    <col min="7676" max="7676" width="14.5703125" style="4" customWidth="1"/>
    <col min="7677" max="7677" width="20.7109375" style="4" customWidth="1"/>
    <col min="7678" max="7678" width="9.140625" style="4"/>
    <col min="7679" max="7690" width="8.42578125" style="4" customWidth="1"/>
    <col min="7691" max="7931" width="9.140625" style="4"/>
    <col min="7932" max="7932" width="14.5703125" style="4" customWidth="1"/>
    <col min="7933" max="7933" width="20.7109375" style="4" customWidth="1"/>
    <col min="7934" max="7934" width="9.140625" style="4"/>
    <col min="7935" max="7946" width="8.42578125" style="4" customWidth="1"/>
    <col min="7947" max="8187" width="9.140625" style="4"/>
    <col min="8188" max="8188" width="14.5703125" style="4" customWidth="1"/>
    <col min="8189" max="8189" width="20.7109375" style="4" customWidth="1"/>
    <col min="8190" max="8190" width="9.140625" style="4"/>
    <col min="8191" max="8202" width="8.42578125" style="4" customWidth="1"/>
    <col min="8203" max="8443" width="9.140625" style="4"/>
    <col min="8444" max="8444" width="14.5703125" style="4" customWidth="1"/>
    <col min="8445" max="8445" width="20.7109375" style="4" customWidth="1"/>
    <col min="8446" max="8446" width="9.140625" style="4"/>
    <col min="8447" max="8458" width="8.42578125" style="4" customWidth="1"/>
    <col min="8459" max="8699" width="9.140625" style="4"/>
    <col min="8700" max="8700" width="14.5703125" style="4" customWidth="1"/>
    <col min="8701" max="8701" width="20.7109375" style="4" customWidth="1"/>
    <col min="8702" max="8702" width="9.140625" style="4"/>
    <col min="8703" max="8714" width="8.42578125" style="4" customWidth="1"/>
    <col min="8715" max="8955" width="9.140625" style="4"/>
    <col min="8956" max="8956" width="14.5703125" style="4" customWidth="1"/>
    <col min="8957" max="8957" width="20.7109375" style="4" customWidth="1"/>
    <col min="8958" max="8958" width="9.140625" style="4"/>
    <col min="8959" max="8970" width="8.42578125" style="4" customWidth="1"/>
    <col min="8971" max="9211" width="9.140625" style="4"/>
    <col min="9212" max="9212" width="14.5703125" style="4" customWidth="1"/>
    <col min="9213" max="9213" width="20.7109375" style="4" customWidth="1"/>
    <col min="9214" max="9214" width="9.140625" style="4"/>
    <col min="9215" max="9226" width="8.42578125" style="4" customWidth="1"/>
    <col min="9227" max="9467" width="9.140625" style="4"/>
    <col min="9468" max="9468" width="14.5703125" style="4" customWidth="1"/>
    <col min="9469" max="9469" width="20.7109375" style="4" customWidth="1"/>
    <col min="9470" max="9470" width="9.140625" style="4"/>
    <col min="9471" max="9482" width="8.42578125" style="4" customWidth="1"/>
    <col min="9483" max="9723" width="9.140625" style="4"/>
    <col min="9724" max="9724" width="14.5703125" style="4" customWidth="1"/>
    <col min="9725" max="9725" width="20.7109375" style="4" customWidth="1"/>
    <col min="9726" max="9726" width="9.140625" style="4"/>
    <col min="9727" max="9738" width="8.42578125" style="4" customWidth="1"/>
    <col min="9739" max="9979" width="9.140625" style="4"/>
    <col min="9980" max="9980" width="14.5703125" style="4" customWidth="1"/>
    <col min="9981" max="9981" width="20.7109375" style="4" customWidth="1"/>
    <col min="9982" max="9982" width="9.140625" style="4"/>
    <col min="9983" max="9994" width="8.42578125" style="4" customWidth="1"/>
    <col min="9995" max="10235" width="9.140625" style="4"/>
    <col min="10236" max="10236" width="14.5703125" style="4" customWidth="1"/>
    <col min="10237" max="10237" width="20.7109375" style="4" customWidth="1"/>
    <col min="10238" max="10238" width="9.140625" style="4"/>
    <col min="10239" max="10250" width="8.42578125" style="4" customWidth="1"/>
    <col min="10251" max="10491" width="9.140625" style="4"/>
    <col min="10492" max="10492" width="14.5703125" style="4" customWidth="1"/>
    <col min="10493" max="10493" width="20.7109375" style="4" customWidth="1"/>
    <col min="10494" max="10494" width="9.140625" style="4"/>
    <col min="10495" max="10506" width="8.42578125" style="4" customWidth="1"/>
    <col min="10507" max="10747" width="9.140625" style="4"/>
    <col min="10748" max="10748" width="14.5703125" style="4" customWidth="1"/>
    <col min="10749" max="10749" width="20.7109375" style="4" customWidth="1"/>
    <col min="10750" max="10750" width="9.140625" style="4"/>
    <col min="10751" max="10762" width="8.42578125" style="4" customWidth="1"/>
    <col min="10763" max="11003" width="9.140625" style="4"/>
    <col min="11004" max="11004" width="14.5703125" style="4" customWidth="1"/>
    <col min="11005" max="11005" width="20.7109375" style="4" customWidth="1"/>
    <col min="11006" max="11006" width="9.140625" style="4"/>
    <col min="11007" max="11018" width="8.42578125" style="4" customWidth="1"/>
    <col min="11019" max="11259" width="9.140625" style="4"/>
    <col min="11260" max="11260" width="14.5703125" style="4" customWidth="1"/>
    <col min="11261" max="11261" width="20.7109375" style="4" customWidth="1"/>
    <col min="11262" max="11262" width="9.140625" style="4"/>
    <col min="11263" max="11274" width="8.42578125" style="4" customWidth="1"/>
    <col min="11275" max="11515" width="9.140625" style="4"/>
    <col min="11516" max="11516" width="14.5703125" style="4" customWidth="1"/>
    <col min="11517" max="11517" width="20.7109375" style="4" customWidth="1"/>
    <col min="11518" max="11518" width="9.140625" style="4"/>
    <col min="11519" max="11530" width="8.42578125" style="4" customWidth="1"/>
    <col min="11531" max="11771" width="9.140625" style="4"/>
    <col min="11772" max="11772" width="14.5703125" style="4" customWidth="1"/>
    <col min="11773" max="11773" width="20.7109375" style="4" customWidth="1"/>
    <col min="11774" max="11774" width="9.140625" style="4"/>
    <col min="11775" max="11786" width="8.42578125" style="4" customWidth="1"/>
    <col min="11787" max="12027" width="9.140625" style="4"/>
    <col min="12028" max="12028" width="14.5703125" style="4" customWidth="1"/>
    <col min="12029" max="12029" width="20.7109375" style="4" customWidth="1"/>
    <col min="12030" max="12030" width="9.140625" style="4"/>
    <col min="12031" max="12042" width="8.42578125" style="4" customWidth="1"/>
    <col min="12043" max="12283" width="9.140625" style="4"/>
    <col min="12284" max="12284" width="14.5703125" style="4" customWidth="1"/>
    <col min="12285" max="12285" width="20.7109375" style="4" customWidth="1"/>
    <col min="12286" max="12286" width="9.140625" style="4"/>
    <col min="12287" max="12298" width="8.42578125" style="4" customWidth="1"/>
    <col min="12299" max="12539" width="9.140625" style="4"/>
    <col min="12540" max="12540" width="14.5703125" style="4" customWidth="1"/>
    <col min="12541" max="12541" width="20.7109375" style="4" customWidth="1"/>
    <col min="12542" max="12542" width="9.140625" style="4"/>
    <col min="12543" max="12554" width="8.42578125" style="4" customWidth="1"/>
    <col min="12555" max="12795" width="9.140625" style="4"/>
    <col min="12796" max="12796" width="14.5703125" style="4" customWidth="1"/>
    <col min="12797" max="12797" width="20.7109375" style="4" customWidth="1"/>
    <col min="12798" max="12798" width="9.140625" style="4"/>
    <col min="12799" max="12810" width="8.42578125" style="4" customWidth="1"/>
    <col min="12811" max="13051" width="9.140625" style="4"/>
    <col min="13052" max="13052" width="14.5703125" style="4" customWidth="1"/>
    <col min="13053" max="13053" width="20.7109375" style="4" customWidth="1"/>
    <col min="13054" max="13054" width="9.140625" style="4"/>
    <col min="13055" max="13066" width="8.42578125" style="4" customWidth="1"/>
    <col min="13067" max="13307" width="9.140625" style="4"/>
    <col min="13308" max="13308" width="14.5703125" style="4" customWidth="1"/>
    <col min="13309" max="13309" width="20.7109375" style="4" customWidth="1"/>
    <col min="13310" max="13310" width="9.140625" style="4"/>
    <col min="13311" max="13322" width="8.42578125" style="4" customWidth="1"/>
    <col min="13323" max="13563" width="9.140625" style="4"/>
    <col min="13564" max="13564" width="14.5703125" style="4" customWidth="1"/>
    <col min="13565" max="13565" width="20.7109375" style="4" customWidth="1"/>
    <col min="13566" max="13566" width="9.140625" style="4"/>
    <col min="13567" max="13578" width="8.42578125" style="4" customWidth="1"/>
    <col min="13579" max="13819" width="9.140625" style="4"/>
    <col min="13820" max="13820" width="14.5703125" style="4" customWidth="1"/>
    <col min="13821" max="13821" width="20.7109375" style="4" customWidth="1"/>
    <col min="13822" max="13822" width="9.140625" style="4"/>
    <col min="13823" max="13834" width="8.42578125" style="4" customWidth="1"/>
    <col min="13835" max="14075" width="9.140625" style="4"/>
    <col min="14076" max="14076" width="14.5703125" style="4" customWidth="1"/>
    <col min="14077" max="14077" width="20.7109375" style="4" customWidth="1"/>
    <col min="14078" max="14078" width="9.140625" style="4"/>
    <col min="14079" max="14090" width="8.42578125" style="4" customWidth="1"/>
    <col min="14091" max="14331" width="9.140625" style="4"/>
    <col min="14332" max="14332" width="14.5703125" style="4" customWidth="1"/>
    <col min="14333" max="14333" width="20.7109375" style="4" customWidth="1"/>
    <col min="14334" max="14334" width="9.140625" style="4"/>
    <col min="14335" max="14346" width="8.42578125" style="4" customWidth="1"/>
    <col min="14347" max="14587" width="9.140625" style="4"/>
    <col min="14588" max="14588" width="14.5703125" style="4" customWidth="1"/>
    <col min="14589" max="14589" width="20.7109375" style="4" customWidth="1"/>
    <col min="14590" max="14590" width="9.140625" style="4"/>
    <col min="14591" max="14602" width="8.42578125" style="4" customWidth="1"/>
    <col min="14603" max="14843" width="9.140625" style="4"/>
    <col min="14844" max="14844" width="14.5703125" style="4" customWidth="1"/>
    <col min="14845" max="14845" width="20.7109375" style="4" customWidth="1"/>
    <col min="14846" max="14846" width="9.140625" style="4"/>
    <col min="14847" max="14858" width="8.42578125" style="4" customWidth="1"/>
    <col min="14859" max="15099" width="9.140625" style="4"/>
    <col min="15100" max="15100" width="14.5703125" style="4" customWidth="1"/>
    <col min="15101" max="15101" width="20.7109375" style="4" customWidth="1"/>
    <col min="15102" max="15102" width="9.140625" style="4"/>
    <col min="15103" max="15114" width="8.42578125" style="4" customWidth="1"/>
    <col min="15115" max="15355" width="9.140625" style="4"/>
    <col min="15356" max="15356" width="14.5703125" style="4" customWidth="1"/>
    <col min="15357" max="15357" width="20.7109375" style="4" customWidth="1"/>
    <col min="15358" max="15358" width="9.140625" style="4"/>
    <col min="15359" max="15370" width="8.42578125" style="4" customWidth="1"/>
    <col min="15371" max="15611" width="9.140625" style="4"/>
    <col min="15612" max="15612" width="14.5703125" style="4" customWidth="1"/>
    <col min="15613" max="15613" width="20.7109375" style="4" customWidth="1"/>
    <col min="15614" max="15614" width="9.140625" style="4"/>
    <col min="15615" max="15626" width="8.42578125" style="4" customWidth="1"/>
    <col min="15627" max="15867" width="9.140625" style="4"/>
    <col min="15868" max="15868" width="14.5703125" style="4" customWidth="1"/>
    <col min="15869" max="15869" width="20.7109375" style="4" customWidth="1"/>
    <col min="15870" max="15870" width="9.140625" style="4"/>
    <col min="15871" max="15882" width="8.42578125" style="4" customWidth="1"/>
    <col min="15883" max="16123" width="9.140625" style="4"/>
    <col min="16124" max="16124" width="14.5703125" style="4" customWidth="1"/>
    <col min="16125" max="16125" width="20.7109375" style="4" customWidth="1"/>
    <col min="16126" max="16126" width="9.140625" style="4"/>
    <col min="16127" max="16138" width="8.42578125" style="4" customWidth="1"/>
    <col min="16139" max="16379" width="9.140625" style="4"/>
    <col min="16380" max="16383" width="9.140625" style="4" customWidth="1"/>
    <col min="16384" max="16384" width="9.140625" style="4"/>
  </cols>
  <sheetData>
    <row r="1" spans="1:24" s="71" customFormat="1" ht="15" customHeight="1" x14ac:dyDescent="0.2">
      <c r="A1" s="598"/>
      <c r="B1" s="623" t="s">
        <v>388</v>
      </c>
      <c r="C1" s="594" t="e">
        <f>#REF!</f>
        <v>#REF!</v>
      </c>
      <c r="D1" s="590"/>
      <c r="E1" s="590"/>
      <c r="F1" s="590"/>
      <c r="G1" s="590"/>
      <c r="H1" s="590"/>
      <c r="I1" s="590"/>
      <c r="J1" s="590"/>
      <c r="K1" s="590"/>
      <c r="L1" s="594"/>
      <c r="M1" s="595"/>
      <c r="N1" s="601"/>
      <c r="P1" s="602"/>
      <c r="Q1" s="692"/>
    </row>
    <row r="2" spans="1:24" s="348" customFormat="1" ht="15" customHeight="1" x14ac:dyDescent="0.2">
      <c r="A2" s="672"/>
      <c r="B2" s="623" t="s">
        <v>358</v>
      </c>
      <c r="C2" s="635" t="e">
        <f>#REF!</f>
        <v>#REF!</v>
      </c>
      <c r="D2" s="594"/>
      <c r="E2" s="594"/>
      <c r="F2" s="594"/>
      <c r="G2" s="594"/>
      <c r="H2" s="594"/>
      <c r="I2" s="594"/>
      <c r="J2" s="594"/>
      <c r="K2" s="594"/>
      <c r="L2" s="674"/>
      <c r="M2" s="673"/>
      <c r="N2" s="603"/>
      <c r="P2" s="604"/>
      <c r="Q2" s="690"/>
    </row>
    <row r="3" spans="1:24" s="71" customFormat="1" ht="15" customHeight="1" x14ac:dyDescent="0.2">
      <c r="A3" s="600"/>
      <c r="B3" s="623" t="s">
        <v>359</v>
      </c>
      <c r="C3" s="594" t="s">
        <v>769</v>
      </c>
      <c r="D3" s="594"/>
      <c r="E3" s="594"/>
      <c r="F3" s="594"/>
      <c r="G3" s="594"/>
      <c r="H3" s="594"/>
      <c r="I3" s="594"/>
      <c r="J3" s="594"/>
      <c r="K3" s="596"/>
      <c r="L3" s="594"/>
      <c r="M3" s="595"/>
      <c r="N3" s="605"/>
      <c r="P3" s="606"/>
      <c r="Q3" s="691"/>
      <c r="R3" s="691"/>
    </row>
    <row r="4" spans="1:24" s="2" customFormat="1" ht="21.6" customHeight="1" x14ac:dyDescent="0.2">
      <c r="A4" s="1255" t="s">
        <v>364</v>
      </c>
      <c r="B4" s="1255"/>
      <c r="C4" s="1255"/>
      <c r="D4" s="1255"/>
      <c r="E4" s="1255"/>
      <c r="F4" s="1255"/>
      <c r="G4" s="1255"/>
      <c r="H4" s="1255"/>
      <c r="I4" s="1255"/>
      <c r="J4" s="1255"/>
      <c r="K4" s="1255"/>
      <c r="L4" s="1255"/>
      <c r="M4" s="1255"/>
      <c r="N4" s="1255"/>
      <c r="O4" s="1255"/>
      <c r="P4" s="832"/>
      <c r="Q4" s="691"/>
      <c r="R4" s="319"/>
      <c r="S4" s="1"/>
      <c r="T4" s="1"/>
      <c r="U4" s="1"/>
      <c r="V4" s="1"/>
      <c r="W4" s="1"/>
      <c r="X4" s="1"/>
    </row>
    <row r="5" spans="1:24" s="2" customFormat="1" ht="15" customHeight="1" x14ac:dyDescent="0.2">
      <c r="A5" s="1249" t="s">
        <v>7</v>
      </c>
      <c r="B5" s="1250"/>
      <c r="C5" s="1253" t="s">
        <v>22</v>
      </c>
      <c r="D5" s="569" t="s">
        <v>771</v>
      </c>
      <c r="E5" s="570"/>
      <c r="F5" s="571"/>
      <c r="G5" s="571"/>
      <c r="H5" s="571"/>
      <c r="I5" s="571"/>
      <c r="J5" s="572"/>
      <c r="K5" s="569" t="s">
        <v>30</v>
      </c>
      <c r="L5" s="571"/>
      <c r="M5" s="572"/>
      <c r="N5" s="729" t="s">
        <v>511</v>
      </c>
      <c r="O5" s="571" t="s">
        <v>347</v>
      </c>
      <c r="P5" s="1256" t="s">
        <v>11</v>
      </c>
      <c r="Q5" s="319"/>
      <c r="R5" s="319"/>
      <c r="S5" s="1"/>
      <c r="T5" s="1"/>
      <c r="U5" s="1"/>
      <c r="V5" s="1"/>
      <c r="W5" s="1"/>
      <c r="X5" s="1"/>
    </row>
    <row r="6" spans="1:24" s="3" customFormat="1" ht="16.899999999999999" customHeight="1" x14ac:dyDescent="0.2">
      <c r="A6" s="1251"/>
      <c r="B6" s="1252"/>
      <c r="C6" s="1254"/>
      <c r="D6" s="568">
        <v>6.3</v>
      </c>
      <c r="E6" s="568">
        <v>8</v>
      </c>
      <c r="F6" s="568">
        <v>10</v>
      </c>
      <c r="G6" s="568">
        <v>12.5</v>
      </c>
      <c r="H6" s="568">
        <v>16</v>
      </c>
      <c r="I6" s="568">
        <v>20</v>
      </c>
      <c r="J6" s="568">
        <v>25</v>
      </c>
      <c r="K6" s="568">
        <v>5</v>
      </c>
      <c r="L6" s="568" t="s">
        <v>774</v>
      </c>
      <c r="M6" s="568">
        <v>0</v>
      </c>
      <c r="N6" s="579" t="s">
        <v>15</v>
      </c>
      <c r="O6" s="833" t="s">
        <v>91</v>
      </c>
      <c r="P6" s="1257"/>
      <c r="Q6" s="69"/>
      <c r="R6" s="1"/>
      <c r="S6" s="1"/>
      <c r="T6" s="1"/>
      <c r="U6" s="1"/>
      <c r="V6" s="1"/>
      <c r="W6" s="1"/>
      <c r="X6" s="1"/>
    </row>
    <row r="7" spans="1:24" s="58" customFormat="1" ht="13.9" customHeight="1" x14ac:dyDescent="0.2">
      <c r="A7" s="576" t="s">
        <v>939</v>
      </c>
      <c r="B7" s="577"/>
      <c r="C7" s="577"/>
      <c r="D7" s="577"/>
      <c r="E7" s="577"/>
      <c r="F7" s="578"/>
      <c r="G7" s="578"/>
      <c r="H7" s="578"/>
      <c r="I7" s="578"/>
      <c r="J7" s="578"/>
      <c r="K7" s="578"/>
      <c r="L7" s="578"/>
      <c r="M7" s="578"/>
      <c r="N7" s="835">
        <f>SUM(N8:N8)</f>
        <v>20.55</v>
      </c>
      <c r="O7" s="835">
        <f>SUM(O8:O8)</f>
        <v>10.72</v>
      </c>
      <c r="P7" s="834"/>
      <c r="Q7" s="69"/>
      <c r="R7" s="57"/>
      <c r="S7" s="57"/>
      <c r="T7" s="57"/>
      <c r="U7" s="57"/>
      <c r="V7" s="57"/>
      <c r="W7" s="57"/>
      <c r="X7" s="57"/>
    </row>
    <row r="8" spans="1:24" s="58" customFormat="1" ht="13.9" customHeight="1" x14ac:dyDescent="0.2">
      <c r="A8" s="728" t="s">
        <v>843</v>
      </c>
      <c r="B8" s="721"/>
      <c r="C8" s="697">
        <v>1</v>
      </c>
      <c r="D8" s="297"/>
      <c r="E8" s="297">
        <v>187.6</v>
      </c>
      <c r="F8" s="297">
        <v>99.4</v>
      </c>
      <c r="G8" s="297"/>
      <c r="H8" s="297"/>
      <c r="I8" s="297"/>
      <c r="J8" s="297"/>
      <c r="K8" s="697"/>
      <c r="L8" s="297"/>
      <c r="M8" s="297"/>
      <c r="N8" s="297">
        <v>20.55</v>
      </c>
      <c r="O8" s="297">
        <v>10.72</v>
      </c>
      <c r="P8" s="693" t="s">
        <v>321</v>
      </c>
      <c r="Q8" s="69"/>
      <c r="R8" s="57"/>
      <c r="S8" s="57"/>
      <c r="T8" s="57"/>
      <c r="U8" s="57"/>
      <c r="V8" s="57"/>
      <c r="W8" s="57"/>
      <c r="X8" s="57"/>
    </row>
    <row r="9" spans="1:24" s="58" customFormat="1" ht="13.9" customHeight="1" x14ac:dyDescent="0.2">
      <c r="A9" s="576" t="s">
        <v>937</v>
      </c>
      <c r="B9" s="577"/>
      <c r="C9" s="577"/>
      <c r="D9" s="577"/>
      <c r="E9" s="577"/>
      <c r="F9" s="578"/>
      <c r="G9" s="578"/>
      <c r="H9" s="578"/>
      <c r="I9" s="578"/>
      <c r="J9" s="578"/>
      <c r="K9" s="578"/>
      <c r="L9" s="578"/>
      <c r="M9" s="578"/>
      <c r="N9" s="835">
        <f>SUM(N10:N10)</f>
        <v>22.92</v>
      </c>
      <c r="O9" s="835">
        <f>SUM(O10:O10)</f>
        <v>1.35</v>
      </c>
      <c r="P9" s="585"/>
      <c r="Q9" s="69"/>
      <c r="R9" s="57"/>
      <c r="S9" s="57"/>
      <c r="T9" s="57"/>
      <c r="U9" s="57"/>
      <c r="V9" s="57"/>
      <c r="W9" s="57"/>
      <c r="X9" s="57"/>
    </row>
    <row r="10" spans="1:24" s="3" customFormat="1" ht="13.9" customHeight="1" x14ac:dyDescent="0.2">
      <c r="A10" s="728" t="s">
        <v>772</v>
      </c>
      <c r="B10" s="721"/>
      <c r="C10" s="697">
        <v>1</v>
      </c>
      <c r="D10" s="297"/>
      <c r="E10" s="297"/>
      <c r="F10" s="297">
        <v>93.3</v>
      </c>
      <c r="G10" s="297">
        <v>96.6</v>
      </c>
      <c r="H10" s="297">
        <v>24.9</v>
      </c>
      <c r="I10" s="297"/>
      <c r="J10" s="297"/>
      <c r="K10" s="1039">
        <v>57.1</v>
      </c>
      <c r="L10" s="297"/>
      <c r="M10" s="297"/>
      <c r="N10" s="297">
        <v>22.92</v>
      </c>
      <c r="O10" s="297">
        <v>1.35</v>
      </c>
      <c r="P10" s="693" t="s">
        <v>321</v>
      </c>
      <c r="Q10" s="69"/>
      <c r="R10" s="1"/>
      <c r="S10" s="1"/>
      <c r="T10" s="1"/>
      <c r="U10" s="1"/>
      <c r="V10" s="1"/>
      <c r="W10" s="1"/>
      <c r="X10" s="1"/>
    </row>
    <row r="11" spans="1:24" s="58" customFormat="1" ht="13.9" customHeight="1" x14ac:dyDescent="0.2">
      <c r="A11" s="576" t="s">
        <v>938</v>
      </c>
      <c r="B11" s="577"/>
      <c r="C11" s="577"/>
      <c r="D11" s="577"/>
      <c r="E11" s="577"/>
      <c r="F11" s="578"/>
      <c r="G11" s="578"/>
      <c r="H11" s="578"/>
      <c r="I11" s="578"/>
      <c r="J11" s="578"/>
      <c r="K11" s="578"/>
      <c r="L11" s="578"/>
      <c r="M11" s="578"/>
      <c r="N11" s="835">
        <f>N12</f>
        <v>0</v>
      </c>
      <c r="O11" s="836">
        <f>O12</f>
        <v>6.86</v>
      </c>
      <c r="P11" s="836"/>
      <c r="Q11" s="69"/>
      <c r="R11" s="57"/>
      <c r="S11" s="57"/>
      <c r="T11" s="57"/>
      <c r="U11" s="57"/>
      <c r="V11" s="57"/>
      <c r="W11" s="57"/>
      <c r="X11" s="57"/>
    </row>
    <row r="12" spans="1:24" s="3" customFormat="1" ht="13.9" customHeight="1" x14ac:dyDescent="0.2">
      <c r="A12" s="744" t="s">
        <v>773</v>
      </c>
      <c r="B12" s="745"/>
      <c r="C12" s="746">
        <v>1</v>
      </c>
      <c r="D12" s="747">
        <v>203.8</v>
      </c>
      <c r="E12" s="747"/>
      <c r="F12" s="747"/>
      <c r="G12" s="747"/>
      <c r="H12" s="747"/>
      <c r="I12" s="747"/>
      <c r="J12" s="747"/>
      <c r="K12" s="747">
        <v>217</v>
      </c>
      <c r="L12" s="747"/>
      <c r="M12" s="747"/>
      <c r="N12" s="1041"/>
      <c r="O12" s="748">
        <v>6.86</v>
      </c>
      <c r="P12" s="693" t="s">
        <v>321</v>
      </c>
      <c r="Q12" s="69"/>
      <c r="R12" s="1"/>
      <c r="S12" s="1"/>
      <c r="T12" s="1"/>
      <c r="U12" s="1"/>
      <c r="V12" s="1"/>
      <c r="W12" s="1"/>
      <c r="X12" s="1"/>
    </row>
    <row r="13" spans="1:24" ht="15" customHeight="1" x14ac:dyDescent="0.2">
      <c r="A13" s="576" t="s">
        <v>198</v>
      </c>
      <c r="B13" s="719"/>
      <c r="C13" s="719"/>
      <c r="D13" s="719"/>
      <c r="E13" s="719"/>
      <c r="F13" s="720"/>
      <c r="G13" s="720"/>
      <c r="H13" s="720"/>
      <c r="I13" s="720"/>
      <c r="J13" s="720"/>
      <c r="K13" s="720"/>
      <c r="L13" s="578"/>
      <c r="M13" s="578"/>
      <c r="N13" s="835">
        <f>SUM(N14:N15)</f>
        <v>118.97</v>
      </c>
      <c r="O13" s="835">
        <f>SUM(O14:O15)</f>
        <v>9.58</v>
      </c>
      <c r="P13" s="585"/>
    </row>
    <row r="14" spans="1:24" s="3" customFormat="1" ht="13.9" customHeight="1" x14ac:dyDescent="0.2">
      <c r="A14" s="728" t="s">
        <v>935</v>
      </c>
      <c r="B14" s="721"/>
      <c r="C14" s="697">
        <v>1</v>
      </c>
      <c r="D14" s="297">
        <v>17.399999999999999</v>
      </c>
      <c r="E14" s="297">
        <v>66.099999999999994</v>
      </c>
      <c r="F14" s="297">
        <v>41.8</v>
      </c>
      <c r="G14" s="297">
        <v>133.19999999999999</v>
      </c>
      <c r="H14" s="297">
        <v>179.1</v>
      </c>
      <c r="I14" s="297"/>
      <c r="J14" s="297"/>
      <c r="K14" s="297">
        <v>113.3</v>
      </c>
      <c r="L14" s="297"/>
      <c r="M14" s="297"/>
      <c r="N14" s="297">
        <v>70.94</v>
      </c>
      <c r="O14" s="297">
        <v>5.86</v>
      </c>
      <c r="P14" s="693" t="s">
        <v>321</v>
      </c>
      <c r="Q14" s="69"/>
      <c r="R14" s="1"/>
      <c r="S14" s="1"/>
      <c r="T14" s="1"/>
      <c r="U14" s="1"/>
      <c r="V14" s="1"/>
      <c r="W14" s="1"/>
      <c r="X14" s="1"/>
    </row>
    <row r="15" spans="1:24" s="3" customFormat="1" ht="13.9" customHeight="1" thickBot="1" x14ac:dyDescent="0.25">
      <c r="A15" s="728" t="s">
        <v>936</v>
      </c>
      <c r="B15" s="721"/>
      <c r="C15" s="697">
        <v>1</v>
      </c>
      <c r="D15" s="297">
        <v>24.6</v>
      </c>
      <c r="E15" s="297">
        <v>31.5</v>
      </c>
      <c r="F15" s="297">
        <v>69</v>
      </c>
      <c r="G15" s="297">
        <v>30.8</v>
      </c>
      <c r="H15" s="297">
        <v>18.2</v>
      </c>
      <c r="I15" s="297"/>
      <c r="J15" s="297"/>
      <c r="K15" s="297">
        <v>54.2</v>
      </c>
      <c r="L15" s="297"/>
      <c r="M15" s="297"/>
      <c r="N15" s="297">
        <v>48.03</v>
      </c>
      <c r="O15" s="297">
        <v>3.72</v>
      </c>
      <c r="P15" s="693" t="s">
        <v>321</v>
      </c>
      <c r="Q15" s="69"/>
      <c r="R15" s="1"/>
      <c r="S15" s="1"/>
      <c r="T15" s="1"/>
      <c r="U15" s="1"/>
      <c r="V15" s="1"/>
      <c r="W15" s="1"/>
      <c r="X15" s="1"/>
    </row>
    <row r="16" spans="1:24" ht="15" customHeight="1" thickTop="1" thickBot="1" x14ac:dyDescent="0.25">
      <c r="A16" s="216"/>
      <c r="B16" s="216" t="s">
        <v>10</v>
      </c>
      <c r="C16" s="324">
        <f>SUM(D16:M16)</f>
        <v>1758.9</v>
      </c>
      <c r="D16" s="324">
        <f t="shared" ref="D16:M16" si="0">SUMPRODUCT(D8:D15,$C8:$C15)</f>
        <v>245.8</v>
      </c>
      <c r="E16" s="324">
        <f t="shared" si="0"/>
        <v>285.2</v>
      </c>
      <c r="F16" s="324">
        <f t="shared" si="0"/>
        <v>303.5</v>
      </c>
      <c r="G16" s="324">
        <f t="shared" si="0"/>
        <v>260.59999999999997</v>
      </c>
      <c r="H16" s="324">
        <f t="shared" si="0"/>
        <v>222.2</v>
      </c>
      <c r="I16" s="324">
        <f t="shared" si="0"/>
        <v>0</v>
      </c>
      <c r="J16" s="324">
        <f t="shared" si="0"/>
        <v>0</v>
      </c>
      <c r="K16" s="324">
        <f t="shared" si="0"/>
        <v>441.6</v>
      </c>
      <c r="L16" s="324">
        <f t="shared" si="0"/>
        <v>0</v>
      </c>
      <c r="M16" s="324">
        <f t="shared" si="0"/>
        <v>0</v>
      </c>
      <c r="N16" s="324">
        <f>N13+N11+N9+N7</f>
        <v>162.44</v>
      </c>
      <c r="O16" s="324">
        <f>O13+O11+O9+O7</f>
        <v>28.510000000000005</v>
      </c>
      <c r="P16" s="324"/>
    </row>
    <row r="17" spans="1:16" ht="12.75" thickTop="1" x14ac:dyDescent="0.2">
      <c r="A17" s="252"/>
      <c r="B17" s="483"/>
      <c r="C17" s="484"/>
      <c r="D17" s="485"/>
      <c r="E17" s="485"/>
      <c r="F17" s="485"/>
      <c r="G17" s="485"/>
      <c r="H17" s="485"/>
      <c r="I17" s="485"/>
      <c r="J17" s="485"/>
      <c r="K17" s="250"/>
      <c r="L17" s="250"/>
      <c r="M17" s="250"/>
      <c r="N17" s="250"/>
      <c r="O17" s="250"/>
      <c r="P17" s="250"/>
    </row>
  </sheetData>
  <mergeCells count="4">
    <mergeCell ref="A5:B6"/>
    <mergeCell ref="C5:C6"/>
    <mergeCell ref="A4:O4"/>
    <mergeCell ref="P5:P6"/>
  </mergeCells>
  <printOptions horizontalCentered="1"/>
  <pageMargins left="0.19685039370078741" right="0.19685039370078741" top="0.39370078740157483" bottom="0.39370078740157483" header="0.51181102362204722" footer="0.19685039370078741"/>
  <pageSetup paperSize="9" scale="95" orientation="landscape" r:id="rId1"/>
  <headerFooter alignWithMargins="0">
    <oddFooter>&amp;L&amp;"Arial,Normal"&amp;F  - &amp;A&amp;R&amp;"Arial,Normal"&amp;P /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E714E8-6496-462A-9F10-2CD9B2C50805}">
          <x14:formula1>
            <xm:f>Estacas!$L$12:$L$20</xm:f>
          </x14:formula1>
          <xm:sqref>P7:P15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5AD1-9717-4873-8A43-39890F4FEBFC}">
  <sheetPr codeName="Planilha27">
    <tabColor rgb="FF1851D6"/>
    <pageSetUpPr fitToPage="1"/>
  </sheetPr>
  <dimension ref="A1:O53"/>
  <sheetViews>
    <sheetView showGridLines="0" view="pageBreakPreview" zoomScaleNormal="100" zoomScaleSheetLayoutView="100" workbookViewId="0">
      <pane ySplit="7" topLeftCell="A10" activePane="bottomLeft" state="frozen"/>
      <selection activeCell="P98" sqref="P98:Q98"/>
      <selection pane="bottomLeft" activeCell="A26" sqref="A26:O28"/>
    </sheetView>
  </sheetViews>
  <sheetFormatPr defaultRowHeight="11.25" x14ac:dyDescent="0.2"/>
  <cols>
    <col min="1" max="1" width="24" style="4" customWidth="1"/>
    <col min="2" max="9" width="8.5703125" style="4" customWidth="1"/>
    <col min="10" max="10" width="9.42578125" style="4" bestFit="1" customWidth="1"/>
    <col min="11" max="12" width="9.42578125" style="4" customWidth="1"/>
    <col min="13" max="13" width="10.85546875" style="4" bestFit="1" customWidth="1"/>
    <col min="14" max="14" width="8.42578125" style="4" bestFit="1" customWidth="1"/>
    <col min="15" max="15" width="8.42578125" style="4" customWidth="1"/>
    <col min="16" max="16" width="4.140625" style="4" customWidth="1"/>
    <col min="17" max="246" width="9.140625" style="4"/>
    <col min="247" max="247" width="18.7109375" style="4" customWidth="1"/>
    <col min="248" max="248" width="25.140625" style="4" customWidth="1"/>
    <col min="249" max="251" width="7.5703125" style="4" customWidth="1"/>
    <col min="252" max="254" width="6.7109375" style="4" customWidth="1"/>
    <col min="255" max="258" width="7.5703125" style="4" customWidth="1"/>
    <col min="259" max="259" width="8.140625" style="4" customWidth="1"/>
    <col min="260" max="260" width="8.42578125" style="4" customWidth="1"/>
    <col min="261" max="261" width="9.28515625" style="4" customWidth="1"/>
    <col min="262" max="262" width="8.42578125" style="4" customWidth="1"/>
    <col min="263" max="263" width="11.28515625" style="4" customWidth="1"/>
    <col min="264" max="264" width="9.28515625" style="4" customWidth="1"/>
    <col min="265" max="502" width="9.140625" style="4"/>
    <col min="503" max="503" width="18.7109375" style="4" customWidth="1"/>
    <col min="504" max="504" width="25.140625" style="4" customWidth="1"/>
    <col min="505" max="507" width="7.5703125" style="4" customWidth="1"/>
    <col min="508" max="510" width="6.7109375" style="4" customWidth="1"/>
    <col min="511" max="514" width="7.5703125" style="4" customWidth="1"/>
    <col min="515" max="515" width="8.140625" style="4" customWidth="1"/>
    <col min="516" max="516" width="8.42578125" style="4" customWidth="1"/>
    <col min="517" max="517" width="9.28515625" style="4" customWidth="1"/>
    <col min="518" max="518" width="8.42578125" style="4" customWidth="1"/>
    <col min="519" max="519" width="11.28515625" style="4" customWidth="1"/>
    <col min="520" max="520" width="9.28515625" style="4" customWidth="1"/>
    <col min="521" max="758" width="9.140625" style="4"/>
    <col min="759" max="759" width="18.7109375" style="4" customWidth="1"/>
    <col min="760" max="760" width="25.140625" style="4" customWidth="1"/>
    <col min="761" max="763" width="7.5703125" style="4" customWidth="1"/>
    <col min="764" max="766" width="6.7109375" style="4" customWidth="1"/>
    <col min="767" max="770" width="7.5703125" style="4" customWidth="1"/>
    <col min="771" max="771" width="8.140625" style="4" customWidth="1"/>
    <col min="772" max="772" width="8.42578125" style="4" customWidth="1"/>
    <col min="773" max="773" width="9.28515625" style="4" customWidth="1"/>
    <col min="774" max="774" width="8.42578125" style="4" customWidth="1"/>
    <col min="775" max="775" width="11.28515625" style="4" customWidth="1"/>
    <col min="776" max="776" width="9.28515625" style="4" customWidth="1"/>
    <col min="777" max="1014" width="9.140625" style="4"/>
    <col min="1015" max="1015" width="18.7109375" style="4" customWidth="1"/>
    <col min="1016" max="1016" width="25.140625" style="4" customWidth="1"/>
    <col min="1017" max="1019" width="7.5703125" style="4" customWidth="1"/>
    <col min="1020" max="1022" width="6.7109375" style="4" customWidth="1"/>
    <col min="1023" max="1026" width="7.5703125" style="4" customWidth="1"/>
    <col min="1027" max="1027" width="8.140625" style="4" customWidth="1"/>
    <col min="1028" max="1028" width="8.42578125" style="4" customWidth="1"/>
    <col min="1029" max="1029" width="9.28515625" style="4" customWidth="1"/>
    <col min="1030" max="1030" width="8.42578125" style="4" customWidth="1"/>
    <col min="1031" max="1031" width="11.28515625" style="4" customWidth="1"/>
    <col min="1032" max="1032" width="9.28515625" style="4" customWidth="1"/>
    <col min="1033" max="1270" width="9.140625" style="4"/>
    <col min="1271" max="1271" width="18.7109375" style="4" customWidth="1"/>
    <col min="1272" max="1272" width="25.140625" style="4" customWidth="1"/>
    <col min="1273" max="1275" width="7.5703125" style="4" customWidth="1"/>
    <col min="1276" max="1278" width="6.7109375" style="4" customWidth="1"/>
    <col min="1279" max="1282" width="7.5703125" style="4" customWidth="1"/>
    <col min="1283" max="1283" width="8.140625" style="4" customWidth="1"/>
    <col min="1284" max="1284" width="8.42578125" style="4" customWidth="1"/>
    <col min="1285" max="1285" width="9.28515625" style="4" customWidth="1"/>
    <col min="1286" max="1286" width="8.42578125" style="4" customWidth="1"/>
    <col min="1287" max="1287" width="11.28515625" style="4" customWidth="1"/>
    <col min="1288" max="1288" width="9.28515625" style="4" customWidth="1"/>
    <col min="1289" max="1526" width="9.140625" style="4"/>
    <col min="1527" max="1527" width="18.7109375" style="4" customWidth="1"/>
    <col min="1528" max="1528" width="25.140625" style="4" customWidth="1"/>
    <col min="1529" max="1531" width="7.5703125" style="4" customWidth="1"/>
    <col min="1532" max="1534" width="6.7109375" style="4" customWidth="1"/>
    <col min="1535" max="1538" width="7.5703125" style="4" customWidth="1"/>
    <col min="1539" max="1539" width="8.140625" style="4" customWidth="1"/>
    <col min="1540" max="1540" width="8.42578125" style="4" customWidth="1"/>
    <col min="1541" max="1541" width="9.28515625" style="4" customWidth="1"/>
    <col min="1542" max="1542" width="8.42578125" style="4" customWidth="1"/>
    <col min="1543" max="1543" width="11.28515625" style="4" customWidth="1"/>
    <col min="1544" max="1544" width="9.28515625" style="4" customWidth="1"/>
    <col min="1545" max="1782" width="9.140625" style="4"/>
    <col min="1783" max="1783" width="18.7109375" style="4" customWidth="1"/>
    <col min="1784" max="1784" width="25.140625" style="4" customWidth="1"/>
    <col min="1785" max="1787" width="7.5703125" style="4" customWidth="1"/>
    <col min="1788" max="1790" width="6.7109375" style="4" customWidth="1"/>
    <col min="1791" max="1794" width="7.5703125" style="4" customWidth="1"/>
    <col min="1795" max="1795" width="8.140625" style="4" customWidth="1"/>
    <col min="1796" max="1796" width="8.42578125" style="4" customWidth="1"/>
    <col min="1797" max="1797" width="9.28515625" style="4" customWidth="1"/>
    <col min="1798" max="1798" width="8.42578125" style="4" customWidth="1"/>
    <col min="1799" max="1799" width="11.28515625" style="4" customWidth="1"/>
    <col min="1800" max="1800" width="9.28515625" style="4" customWidth="1"/>
    <col min="1801" max="2038" width="9.140625" style="4"/>
    <col min="2039" max="2039" width="18.7109375" style="4" customWidth="1"/>
    <col min="2040" max="2040" width="25.140625" style="4" customWidth="1"/>
    <col min="2041" max="2043" width="7.5703125" style="4" customWidth="1"/>
    <col min="2044" max="2046" width="6.7109375" style="4" customWidth="1"/>
    <col min="2047" max="2050" width="7.5703125" style="4" customWidth="1"/>
    <col min="2051" max="2051" width="8.140625" style="4" customWidth="1"/>
    <col min="2052" max="2052" width="8.42578125" style="4" customWidth="1"/>
    <col min="2053" max="2053" width="9.28515625" style="4" customWidth="1"/>
    <col min="2054" max="2054" width="8.42578125" style="4" customWidth="1"/>
    <col min="2055" max="2055" width="11.28515625" style="4" customWidth="1"/>
    <col min="2056" max="2056" width="9.28515625" style="4" customWidth="1"/>
    <col min="2057" max="2294" width="9.140625" style="4"/>
    <col min="2295" max="2295" width="18.7109375" style="4" customWidth="1"/>
    <col min="2296" max="2296" width="25.140625" style="4" customWidth="1"/>
    <col min="2297" max="2299" width="7.5703125" style="4" customWidth="1"/>
    <col min="2300" max="2302" width="6.7109375" style="4" customWidth="1"/>
    <col min="2303" max="2306" width="7.5703125" style="4" customWidth="1"/>
    <col min="2307" max="2307" width="8.140625" style="4" customWidth="1"/>
    <col min="2308" max="2308" width="8.42578125" style="4" customWidth="1"/>
    <col min="2309" max="2309" width="9.28515625" style="4" customWidth="1"/>
    <col min="2310" max="2310" width="8.42578125" style="4" customWidth="1"/>
    <col min="2311" max="2311" width="11.28515625" style="4" customWidth="1"/>
    <col min="2312" max="2312" width="9.28515625" style="4" customWidth="1"/>
    <col min="2313" max="2550" width="9.140625" style="4"/>
    <col min="2551" max="2551" width="18.7109375" style="4" customWidth="1"/>
    <col min="2552" max="2552" width="25.140625" style="4" customWidth="1"/>
    <col min="2553" max="2555" width="7.5703125" style="4" customWidth="1"/>
    <col min="2556" max="2558" width="6.7109375" style="4" customWidth="1"/>
    <col min="2559" max="2562" width="7.5703125" style="4" customWidth="1"/>
    <col min="2563" max="2563" width="8.140625" style="4" customWidth="1"/>
    <col min="2564" max="2564" width="8.42578125" style="4" customWidth="1"/>
    <col min="2565" max="2565" width="9.28515625" style="4" customWidth="1"/>
    <col min="2566" max="2566" width="8.42578125" style="4" customWidth="1"/>
    <col min="2567" max="2567" width="11.28515625" style="4" customWidth="1"/>
    <col min="2568" max="2568" width="9.28515625" style="4" customWidth="1"/>
    <col min="2569" max="2806" width="9.140625" style="4"/>
    <col min="2807" max="2807" width="18.7109375" style="4" customWidth="1"/>
    <col min="2808" max="2808" width="25.140625" style="4" customWidth="1"/>
    <col min="2809" max="2811" width="7.5703125" style="4" customWidth="1"/>
    <col min="2812" max="2814" width="6.7109375" style="4" customWidth="1"/>
    <col min="2815" max="2818" width="7.5703125" style="4" customWidth="1"/>
    <col min="2819" max="2819" width="8.140625" style="4" customWidth="1"/>
    <col min="2820" max="2820" width="8.42578125" style="4" customWidth="1"/>
    <col min="2821" max="2821" width="9.28515625" style="4" customWidth="1"/>
    <col min="2822" max="2822" width="8.42578125" style="4" customWidth="1"/>
    <col min="2823" max="2823" width="11.28515625" style="4" customWidth="1"/>
    <col min="2824" max="2824" width="9.28515625" style="4" customWidth="1"/>
    <col min="2825" max="3062" width="9.140625" style="4"/>
    <col min="3063" max="3063" width="18.7109375" style="4" customWidth="1"/>
    <col min="3064" max="3064" width="25.140625" style="4" customWidth="1"/>
    <col min="3065" max="3067" width="7.5703125" style="4" customWidth="1"/>
    <col min="3068" max="3070" width="6.7109375" style="4" customWidth="1"/>
    <col min="3071" max="3074" width="7.5703125" style="4" customWidth="1"/>
    <col min="3075" max="3075" width="8.140625" style="4" customWidth="1"/>
    <col min="3076" max="3076" width="8.42578125" style="4" customWidth="1"/>
    <col min="3077" max="3077" width="9.28515625" style="4" customWidth="1"/>
    <col min="3078" max="3078" width="8.42578125" style="4" customWidth="1"/>
    <col min="3079" max="3079" width="11.28515625" style="4" customWidth="1"/>
    <col min="3080" max="3080" width="9.28515625" style="4" customWidth="1"/>
    <col min="3081" max="3318" width="9.140625" style="4"/>
    <col min="3319" max="3319" width="18.7109375" style="4" customWidth="1"/>
    <col min="3320" max="3320" width="25.140625" style="4" customWidth="1"/>
    <col min="3321" max="3323" width="7.5703125" style="4" customWidth="1"/>
    <col min="3324" max="3326" width="6.7109375" style="4" customWidth="1"/>
    <col min="3327" max="3330" width="7.5703125" style="4" customWidth="1"/>
    <col min="3331" max="3331" width="8.140625" style="4" customWidth="1"/>
    <col min="3332" max="3332" width="8.42578125" style="4" customWidth="1"/>
    <col min="3333" max="3333" width="9.28515625" style="4" customWidth="1"/>
    <col min="3334" max="3334" width="8.42578125" style="4" customWidth="1"/>
    <col min="3335" max="3335" width="11.28515625" style="4" customWidth="1"/>
    <col min="3336" max="3336" width="9.28515625" style="4" customWidth="1"/>
    <col min="3337" max="3574" width="9.140625" style="4"/>
    <col min="3575" max="3575" width="18.7109375" style="4" customWidth="1"/>
    <col min="3576" max="3576" width="25.140625" style="4" customWidth="1"/>
    <col min="3577" max="3579" width="7.5703125" style="4" customWidth="1"/>
    <col min="3580" max="3582" width="6.7109375" style="4" customWidth="1"/>
    <col min="3583" max="3586" width="7.5703125" style="4" customWidth="1"/>
    <col min="3587" max="3587" width="8.140625" style="4" customWidth="1"/>
    <col min="3588" max="3588" width="8.42578125" style="4" customWidth="1"/>
    <col min="3589" max="3589" width="9.28515625" style="4" customWidth="1"/>
    <col min="3590" max="3590" width="8.42578125" style="4" customWidth="1"/>
    <col min="3591" max="3591" width="11.28515625" style="4" customWidth="1"/>
    <col min="3592" max="3592" width="9.28515625" style="4" customWidth="1"/>
    <col min="3593" max="3830" width="9.140625" style="4"/>
    <col min="3831" max="3831" width="18.7109375" style="4" customWidth="1"/>
    <col min="3832" max="3832" width="25.140625" style="4" customWidth="1"/>
    <col min="3833" max="3835" width="7.5703125" style="4" customWidth="1"/>
    <col min="3836" max="3838" width="6.7109375" style="4" customWidth="1"/>
    <col min="3839" max="3842" width="7.5703125" style="4" customWidth="1"/>
    <col min="3843" max="3843" width="8.140625" style="4" customWidth="1"/>
    <col min="3844" max="3844" width="8.42578125" style="4" customWidth="1"/>
    <col min="3845" max="3845" width="9.28515625" style="4" customWidth="1"/>
    <col min="3846" max="3846" width="8.42578125" style="4" customWidth="1"/>
    <col min="3847" max="3847" width="11.28515625" style="4" customWidth="1"/>
    <col min="3848" max="3848" width="9.28515625" style="4" customWidth="1"/>
    <col min="3849" max="4086" width="9.140625" style="4"/>
    <col min="4087" max="4087" width="18.7109375" style="4" customWidth="1"/>
    <col min="4088" max="4088" width="25.140625" style="4" customWidth="1"/>
    <col min="4089" max="4091" width="7.5703125" style="4" customWidth="1"/>
    <col min="4092" max="4094" width="6.7109375" style="4" customWidth="1"/>
    <col min="4095" max="4098" width="7.5703125" style="4" customWidth="1"/>
    <col min="4099" max="4099" width="8.140625" style="4" customWidth="1"/>
    <col min="4100" max="4100" width="8.42578125" style="4" customWidth="1"/>
    <col min="4101" max="4101" width="9.28515625" style="4" customWidth="1"/>
    <col min="4102" max="4102" width="8.42578125" style="4" customWidth="1"/>
    <col min="4103" max="4103" width="11.28515625" style="4" customWidth="1"/>
    <col min="4104" max="4104" width="9.28515625" style="4" customWidth="1"/>
    <col min="4105" max="4342" width="9.140625" style="4"/>
    <col min="4343" max="4343" width="18.7109375" style="4" customWidth="1"/>
    <col min="4344" max="4344" width="25.140625" style="4" customWidth="1"/>
    <col min="4345" max="4347" width="7.5703125" style="4" customWidth="1"/>
    <col min="4348" max="4350" width="6.7109375" style="4" customWidth="1"/>
    <col min="4351" max="4354" width="7.5703125" style="4" customWidth="1"/>
    <col min="4355" max="4355" width="8.140625" style="4" customWidth="1"/>
    <col min="4356" max="4356" width="8.42578125" style="4" customWidth="1"/>
    <col min="4357" max="4357" width="9.28515625" style="4" customWidth="1"/>
    <col min="4358" max="4358" width="8.42578125" style="4" customWidth="1"/>
    <col min="4359" max="4359" width="11.28515625" style="4" customWidth="1"/>
    <col min="4360" max="4360" width="9.28515625" style="4" customWidth="1"/>
    <col min="4361" max="4598" width="9.140625" style="4"/>
    <col min="4599" max="4599" width="18.7109375" style="4" customWidth="1"/>
    <col min="4600" max="4600" width="25.140625" style="4" customWidth="1"/>
    <col min="4601" max="4603" width="7.5703125" style="4" customWidth="1"/>
    <col min="4604" max="4606" width="6.7109375" style="4" customWidth="1"/>
    <col min="4607" max="4610" width="7.5703125" style="4" customWidth="1"/>
    <col min="4611" max="4611" width="8.140625" style="4" customWidth="1"/>
    <col min="4612" max="4612" width="8.42578125" style="4" customWidth="1"/>
    <col min="4613" max="4613" width="9.28515625" style="4" customWidth="1"/>
    <col min="4614" max="4614" width="8.42578125" style="4" customWidth="1"/>
    <col min="4615" max="4615" width="11.28515625" style="4" customWidth="1"/>
    <col min="4616" max="4616" width="9.28515625" style="4" customWidth="1"/>
    <col min="4617" max="4854" width="9.140625" style="4"/>
    <col min="4855" max="4855" width="18.7109375" style="4" customWidth="1"/>
    <col min="4856" max="4856" width="25.140625" style="4" customWidth="1"/>
    <col min="4857" max="4859" width="7.5703125" style="4" customWidth="1"/>
    <col min="4860" max="4862" width="6.7109375" style="4" customWidth="1"/>
    <col min="4863" max="4866" width="7.5703125" style="4" customWidth="1"/>
    <col min="4867" max="4867" width="8.140625" style="4" customWidth="1"/>
    <col min="4868" max="4868" width="8.42578125" style="4" customWidth="1"/>
    <col min="4869" max="4869" width="9.28515625" style="4" customWidth="1"/>
    <col min="4870" max="4870" width="8.42578125" style="4" customWidth="1"/>
    <col min="4871" max="4871" width="11.28515625" style="4" customWidth="1"/>
    <col min="4872" max="4872" width="9.28515625" style="4" customWidth="1"/>
    <col min="4873" max="5110" width="9.140625" style="4"/>
    <col min="5111" max="5111" width="18.7109375" style="4" customWidth="1"/>
    <col min="5112" max="5112" width="25.140625" style="4" customWidth="1"/>
    <col min="5113" max="5115" width="7.5703125" style="4" customWidth="1"/>
    <col min="5116" max="5118" width="6.7109375" style="4" customWidth="1"/>
    <col min="5119" max="5122" width="7.5703125" style="4" customWidth="1"/>
    <col min="5123" max="5123" width="8.140625" style="4" customWidth="1"/>
    <col min="5124" max="5124" width="8.42578125" style="4" customWidth="1"/>
    <col min="5125" max="5125" width="9.28515625" style="4" customWidth="1"/>
    <col min="5126" max="5126" width="8.42578125" style="4" customWidth="1"/>
    <col min="5127" max="5127" width="11.28515625" style="4" customWidth="1"/>
    <col min="5128" max="5128" width="9.28515625" style="4" customWidth="1"/>
    <col min="5129" max="5366" width="9.140625" style="4"/>
    <col min="5367" max="5367" width="18.7109375" style="4" customWidth="1"/>
    <col min="5368" max="5368" width="25.140625" style="4" customWidth="1"/>
    <col min="5369" max="5371" width="7.5703125" style="4" customWidth="1"/>
    <col min="5372" max="5374" width="6.7109375" style="4" customWidth="1"/>
    <col min="5375" max="5378" width="7.5703125" style="4" customWidth="1"/>
    <col min="5379" max="5379" width="8.140625" style="4" customWidth="1"/>
    <col min="5380" max="5380" width="8.42578125" style="4" customWidth="1"/>
    <col min="5381" max="5381" width="9.28515625" style="4" customWidth="1"/>
    <col min="5382" max="5382" width="8.42578125" style="4" customWidth="1"/>
    <col min="5383" max="5383" width="11.28515625" style="4" customWidth="1"/>
    <col min="5384" max="5384" width="9.28515625" style="4" customWidth="1"/>
    <col min="5385" max="5622" width="9.140625" style="4"/>
    <col min="5623" max="5623" width="18.7109375" style="4" customWidth="1"/>
    <col min="5624" max="5624" width="25.140625" style="4" customWidth="1"/>
    <col min="5625" max="5627" width="7.5703125" style="4" customWidth="1"/>
    <col min="5628" max="5630" width="6.7109375" style="4" customWidth="1"/>
    <col min="5631" max="5634" width="7.5703125" style="4" customWidth="1"/>
    <col min="5635" max="5635" width="8.140625" style="4" customWidth="1"/>
    <col min="5636" max="5636" width="8.42578125" style="4" customWidth="1"/>
    <col min="5637" max="5637" width="9.28515625" style="4" customWidth="1"/>
    <col min="5638" max="5638" width="8.42578125" style="4" customWidth="1"/>
    <col min="5639" max="5639" width="11.28515625" style="4" customWidth="1"/>
    <col min="5640" max="5640" width="9.28515625" style="4" customWidth="1"/>
    <col min="5641" max="5878" width="9.140625" style="4"/>
    <col min="5879" max="5879" width="18.7109375" style="4" customWidth="1"/>
    <col min="5880" max="5880" width="25.140625" style="4" customWidth="1"/>
    <col min="5881" max="5883" width="7.5703125" style="4" customWidth="1"/>
    <col min="5884" max="5886" width="6.7109375" style="4" customWidth="1"/>
    <col min="5887" max="5890" width="7.5703125" style="4" customWidth="1"/>
    <col min="5891" max="5891" width="8.140625" style="4" customWidth="1"/>
    <col min="5892" max="5892" width="8.42578125" style="4" customWidth="1"/>
    <col min="5893" max="5893" width="9.28515625" style="4" customWidth="1"/>
    <col min="5894" max="5894" width="8.42578125" style="4" customWidth="1"/>
    <col min="5895" max="5895" width="11.28515625" style="4" customWidth="1"/>
    <col min="5896" max="5896" width="9.28515625" style="4" customWidth="1"/>
    <col min="5897" max="6134" width="9.140625" style="4"/>
    <col min="6135" max="6135" width="18.7109375" style="4" customWidth="1"/>
    <col min="6136" max="6136" width="25.140625" style="4" customWidth="1"/>
    <col min="6137" max="6139" width="7.5703125" style="4" customWidth="1"/>
    <col min="6140" max="6142" width="6.7109375" style="4" customWidth="1"/>
    <col min="6143" max="6146" width="7.5703125" style="4" customWidth="1"/>
    <col min="6147" max="6147" width="8.140625" style="4" customWidth="1"/>
    <col min="6148" max="6148" width="8.42578125" style="4" customWidth="1"/>
    <col min="6149" max="6149" width="9.28515625" style="4" customWidth="1"/>
    <col min="6150" max="6150" width="8.42578125" style="4" customWidth="1"/>
    <col min="6151" max="6151" width="11.28515625" style="4" customWidth="1"/>
    <col min="6152" max="6152" width="9.28515625" style="4" customWidth="1"/>
    <col min="6153" max="6390" width="9.140625" style="4"/>
    <col min="6391" max="6391" width="18.7109375" style="4" customWidth="1"/>
    <col min="6392" max="6392" width="25.140625" style="4" customWidth="1"/>
    <col min="6393" max="6395" width="7.5703125" style="4" customWidth="1"/>
    <col min="6396" max="6398" width="6.7109375" style="4" customWidth="1"/>
    <col min="6399" max="6402" width="7.5703125" style="4" customWidth="1"/>
    <col min="6403" max="6403" width="8.140625" style="4" customWidth="1"/>
    <col min="6404" max="6404" width="8.42578125" style="4" customWidth="1"/>
    <col min="6405" max="6405" width="9.28515625" style="4" customWidth="1"/>
    <col min="6406" max="6406" width="8.42578125" style="4" customWidth="1"/>
    <col min="6407" max="6407" width="11.28515625" style="4" customWidth="1"/>
    <col min="6408" max="6408" width="9.28515625" style="4" customWidth="1"/>
    <col min="6409" max="6646" width="9.140625" style="4"/>
    <col min="6647" max="6647" width="18.7109375" style="4" customWidth="1"/>
    <col min="6648" max="6648" width="25.140625" style="4" customWidth="1"/>
    <col min="6649" max="6651" width="7.5703125" style="4" customWidth="1"/>
    <col min="6652" max="6654" width="6.7109375" style="4" customWidth="1"/>
    <col min="6655" max="6658" width="7.5703125" style="4" customWidth="1"/>
    <col min="6659" max="6659" width="8.140625" style="4" customWidth="1"/>
    <col min="6660" max="6660" width="8.42578125" style="4" customWidth="1"/>
    <col min="6661" max="6661" width="9.28515625" style="4" customWidth="1"/>
    <col min="6662" max="6662" width="8.42578125" style="4" customWidth="1"/>
    <col min="6663" max="6663" width="11.28515625" style="4" customWidth="1"/>
    <col min="6664" max="6664" width="9.28515625" style="4" customWidth="1"/>
    <col min="6665" max="6902" width="9.140625" style="4"/>
    <col min="6903" max="6903" width="18.7109375" style="4" customWidth="1"/>
    <col min="6904" max="6904" width="25.140625" style="4" customWidth="1"/>
    <col min="6905" max="6907" width="7.5703125" style="4" customWidth="1"/>
    <col min="6908" max="6910" width="6.7109375" style="4" customWidth="1"/>
    <col min="6911" max="6914" width="7.5703125" style="4" customWidth="1"/>
    <col min="6915" max="6915" width="8.140625" style="4" customWidth="1"/>
    <col min="6916" max="6916" width="8.42578125" style="4" customWidth="1"/>
    <col min="6917" max="6917" width="9.28515625" style="4" customWidth="1"/>
    <col min="6918" max="6918" width="8.42578125" style="4" customWidth="1"/>
    <col min="6919" max="6919" width="11.28515625" style="4" customWidth="1"/>
    <col min="6920" max="6920" width="9.28515625" style="4" customWidth="1"/>
    <col min="6921" max="7158" width="9.140625" style="4"/>
    <col min="7159" max="7159" width="18.7109375" style="4" customWidth="1"/>
    <col min="7160" max="7160" width="25.140625" style="4" customWidth="1"/>
    <col min="7161" max="7163" width="7.5703125" style="4" customWidth="1"/>
    <col min="7164" max="7166" width="6.7109375" style="4" customWidth="1"/>
    <col min="7167" max="7170" width="7.5703125" style="4" customWidth="1"/>
    <col min="7171" max="7171" width="8.140625" style="4" customWidth="1"/>
    <col min="7172" max="7172" width="8.42578125" style="4" customWidth="1"/>
    <col min="7173" max="7173" width="9.28515625" style="4" customWidth="1"/>
    <col min="7174" max="7174" width="8.42578125" style="4" customWidth="1"/>
    <col min="7175" max="7175" width="11.28515625" style="4" customWidth="1"/>
    <col min="7176" max="7176" width="9.28515625" style="4" customWidth="1"/>
    <col min="7177" max="7414" width="9.140625" style="4"/>
    <col min="7415" max="7415" width="18.7109375" style="4" customWidth="1"/>
    <col min="7416" max="7416" width="25.140625" style="4" customWidth="1"/>
    <col min="7417" max="7419" width="7.5703125" style="4" customWidth="1"/>
    <col min="7420" max="7422" width="6.7109375" style="4" customWidth="1"/>
    <col min="7423" max="7426" width="7.5703125" style="4" customWidth="1"/>
    <col min="7427" max="7427" width="8.140625" style="4" customWidth="1"/>
    <col min="7428" max="7428" width="8.42578125" style="4" customWidth="1"/>
    <col min="7429" max="7429" width="9.28515625" style="4" customWidth="1"/>
    <col min="7430" max="7430" width="8.42578125" style="4" customWidth="1"/>
    <col min="7431" max="7431" width="11.28515625" style="4" customWidth="1"/>
    <col min="7432" max="7432" width="9.28515625" style="4" customWidth="1"/>
    <col min="7433" max="7670" width="9.140625" style="4"/>
    <col min="7671" max="7671" width="18.7109375" style="4" customWidth="1"/>
    <col min="7672" max="7672" width="25.140625" style="4" customWidth="1"/>
    <col min="7673" max="7675" width="7.5703125" style="4" customWidth="1"/>
    <col min="7676" max="7678" width="6.7109375" style="4" customWidth="1"/>
    <col min="7679" max="7682" width="7.5703125" style="4" customWidth="1"/>
    <col min="7683" max="7683" width="8.140625" style="4" customWidth="1"/>
    <col min="7684" max="7684" width="8.42578125" style="4" customWidth="1"/>
    <col min="7685" max="7685" width="9.28515625" style="4" customWidth="1"/>
    <col min="7686" max="7686" width="8.42578125" style="4" customWidth="1"/>
    <col min="7687" max="7687" width="11.28515625" style="4" customWidth="1"/>
    <col min="7688" max="7688" width="9.28515625" style="4" customWidth="1"/>
    <col min="7689" max="7926" width="9.140625" style="4"/>
    <col min="7927" max="7927" width="18.7109375" style="4" customWidth="1"/>
    <col min="7928" max="7928" width="25.140625" style="4" customWidth="1"/>
    <col min="7929" max="7931" width="7.5703125" style="4" customWidth="1"/>
    <col min="7932" max="7934" width="6.7109375" style="4" customWidth="1"/>
    <col min="7935" max="7938" width="7.5703125" style="4" customWidth="1"/>
    <col min="7939" max="7939" width="8.140625" style="4" customWidth="1"/>
    <col min="7940" max="7940" width="8.42578125" style="4" customWidth="1"/>
    <col min="7941" max="7941" width="9.28515625" style="4" customWidth="1"/>
    <col min="7942" max="7942" width="8.42578125" style="4" customWidth="1"/>
    <col min="7943" max="7943" width="11.28515625" style="4" customWidth="1"/>
    <col min="7944" max="7944" width="9.28515625" style="4" customWidth="1"/>
    <col min="7945" max="8182" width="9.140625" style="4"/>
    <col min="8183" max="8183" width="18.7109375" style="4" customWidth="1"/>
    <col min="8184" max="8184" width="25.140625" style="4" customWidth="1"/>
    <col min="8185" max="8187" width="7.5703125" style="4" customWidth="1"/>
    <col min="8188" max="8190" width="6.7109375" style="4" customWidth="1"/>
    <col min="8191" max="8194" width="7.5703125" style="4" customWidth="1"/>
    <col min="8195" max="8195" width="8.140625" style="4" customWidth="1"/>
    <col min="8196" max="8196" width="8.42578125" style="4" customWidth="1"/>
    <col min="8197" max="8197" width="9.28515625" style="4" customWidth="1"/>
    <col min="8198" max="8198" width="8.42578125" style="4" customWidth="1"/>
    <col min="8199" max="8199" width="11.28515625" style="4" customWidth="1"/>
    <col min="8200" max="8200" width="9.28515625" style="4" customWidth="1"/>
    <col min="8201" max="8438" width="9.140625" style="4"/>
    <col min="8439" max="8439" width="18.7109375" style="4" customWidth="1"/>
    <col min="8440" max="8440" width="25.140625" style="4" customWidth="1"/>
    <col min="8441" max="8443" width="7.5703125" style="4" customWidth="1"/>
    <col min="8444" max="8446" width="6.7109375" style="4" customWidth="1"/>
    <col min="8447" max="8450" width="7.5703125" style="4" customWidth="1"/>
    <col min="8451" max="8451" width="8.140625" style="4" customWidth="1"/>
    <col min="8452" max="8452" width="8.42578125" style="4" customWidth="1"/>
    <col min="8453" max="8453" width="9.28515625" style="4" customWidth="1"/>
    <col min="8454" max="8454" width="8.42578125" style="4" customWidth="1"/>
    <col min="8455" max="8455" width="11.28515625" style="4" customWidth="1"/>
    <col min="8456" max="8456" width="9.28515625" style="4" customWidth="1"/>
    <col min="8457" max="8694" width="9.140625" style="4"/>
    <col min="8695" max="8695" width="18.7109375" style="4" customWidth="1"/>
    <col min="8696" max="8696" width="25.140625" style="4" customWidth="1"/>
    <col min="8697" max="8699" width="7.5703125" style="4" customWidth="1"/>
    <col min="8700" max="8702" width="6.7109375" style="4" customWidth="1"/>
    <col min="8703" max="8706" width="7.5703125" style="4" customWidth="1"/>
    <col min="8707" max="8707" width="8.140625" style="4" customWidth="1"/>
    <col min="8708" max="8708" width="8.42578125" style="4" customWidth="1"/>
    <col min="8709" max="8709" width="9.28515625" style="4" customWidth="1"/>
    <col min="8710" max="8710" width="8.42578125" style="4" customWidth="1"/>
    <col min="8711" max="8711" width="11.28515625" style="4" customWidth="1"/>
    <col min="8712" max="8712" width="9.28515625" style="4" customWidth="1"/>
    <col min="8713" max="8950" width="9.140625" style="4"/>
    <col min="8951" max="8951" width="18.7109375" style="4" customWidth="1"/>
    <col min="8952" max="8952" width="25.140625" style="4" customWidth="1"/>
    <col min="8953" max="8955" width="7.5703125" style="4" customWidth="1"/>
    <col min="8956" max="8958" width="6.7109375" style="4" customWidth="1"/>
    <col min="8959" max="8962" width="7.5703125" style="4" customWidth="1"/>
    <col min="8963" max="8963" width="8.140625" style="4" customWidth="1"/>
    <col min="8964" max="8964" width="8.42578125" style="4" customWidth="1"/>
    <col min="8965" max="8965" width="9.28515625" style="4" customWidth="1"/>
    <col min="8966" max="8966" width="8.42578125" style="4" customWidth="1"/>
    <col min="8967" max="8967" width="11.28515625" style="4" customWidth="1"/>
    <col min="8968" max="8968" width="9.28515625" style="4" customWidth="1"/>
    <col min="8969" max="9206" width="9.140625" style="4"/>
    <col min="9207" max="9207" width="18.7109375" style="4" customWidth="1"/>
    <col min="9208" max="9208" width="25.140625" style="4" customWidth="1"/>
    <col min="9209" max="9211" width="7.5703125" style="4" customWidth="1"/>
    <col min="9212" max="9214" width="6.7109375" style="4" customWidth="1"/>
    <col min="9215" max="9218" width="7.5703125" style="4" customWidth="1"/>
    <col min="9219" max="9219" width="8.140625" style="4" customWidth="1"/>
    <col min="9220" max="9220" width="8.42578125" style="4" customWidth="1"/>
    <col min="9221" max="9221" width="9.28515625" style="4" customWidth="1"/>
    <col min="9222" max="9222" width="8.42578125" style="4" customWidth="1"/>
    <col min="9223" max="9223" width="11.28515625" style="4" customWidth="1"/>
    <col min="9224" max="9224" width="9.28515625" style="4" customWidth="1"/>
    <col min="9225" max="9462" width="9.140625" style="4"/>
    <col min="9463" max="9463" width="18.7109375" style="4" customWidth="1"/>
    <col min="9464" max="9464" width="25.140625" style="4" customWidth="1"/>
    <col min="9465" max="9467" width="7.5703125" style="4" customWidth="1"/>
    <col min="9468" max="9470" width="6.7109375" style="4" customWidth="1"/>
    <col min="9471" max="9474" width="7.5703125" style="4" customWidth="1"/>
    <col min="9475" max="9475" width="8.140625" style="4" customWidth="1"/>
    <col min="9476" max="9476" width="8.42578125" style="4" customWidth="1"/>
    <col min="9477" max="9477" width="9.28515625" style="4" customWidth="1"/>
    <col min="9478" max="9478" width="8.42578125" style="4" customWidth="1"/>
    <col min="9479" max="9479" width="11.28515625" style="4" customWidth="1"/>
    <col min="9480" max="9480" width="9.28515625" style="4" customWidth="1"/>
    <col min="9481" max="9718" width="9.140625" style="4"/>
    <col min="9719" max="9719" width="18.7109375" style="4" customWidth="1"/>
    <col min="9720" max="9720" width="25.140625" style="4" customWidth="1"/>
    <col min="9721" max="9723" width="7.5703125" style="4" customWidth="1"/>
    <col min="9724" max="9726" width="6.7109375" style="4" customWidth="1"/>
    <col min="9727" max="9730" width="7.5703125" style="4" customWidth="1"/>
    <col min="9731" max="9731" width="8.140625" style="4" customWidth="1"/>
    <col min="9732" max="9732" width="8.42578125" style="4" customWidth="1"/>
    <col min="9733" max="9733" width="9.28515625" style="4" customWidth="1"/>
    <col min="9734" max="9734" width="8.42578125" style="4" customWidth="1"/>
    <col min="9735" max="9735" width="11.28515625" style="4" customWidth="1"/>
    <col min="9736" max="9736" width="9.28515625" style="4" customWidth="1"/>
    <col min="9737" max="9974" width="9.140625" style="4"/>
    <col min="9975" max="9975" width="18.7109375" style="4" customWidth="1"/>
    <col min="9976" max="9976" width="25.140625" style="4" customWidth="1"/>
    <col min="9977" max="9979" width="7.5703125" style="4" customWidth="1"/>
    <col min="9980" max="9982" width="6.7109375" style="4" customWidth="1"/>
    <col min="9983" max="9986" width="7.5703125" style="4" customWidth="1"/>
    <col min="9987" max="9987" width="8.140625" style="4" customWidth="1"/>
    <col min="9988" max="9988" width="8.42578125" style="4" customWidth="1"/>
    <col min="9989" max="9989" width="9.28515625" style="4" customWidth="1"/>
    <col min="9990" max="9990" width="8.42578125" style="4" customWidth="1"/>
    <col min="9991" max="9991" width="11.28515625" style="4" customWidth="1"/>
    <col min="9992" max="9992" width="9.28515625" style="4" customWidth="1"/>
    <col min="9993" max="10230" width="9.140625" style="4"/>
    <col min="10231" max="10231" width="18.7109375" style="4" customWidth="1"/>
    <col min="10232" max="10232" width="25.140625" style="4" customWidth="1"/>
    <col min="10233" max="10235" width="7.5703125" style="4" customWidth="1"/>
    <col min="10236" max="10238" width="6.7109375" style="4" customWidth="1"/>
    <col min="10239" max="10242" width="7.5703125" style="4" customWidth="1"/>
    <col min="10243" max="10243" width="8.140625" style="4" customWidth="1"/>
    <col min="10244" max="10244" width="8.42578125" style="4" customWidth="1"/>
    <col min="10245" max="10245" width="9.28515625" style="4" customWidth="1"/>
    <col min="10246" max="10246" width="8.42578125" style="4" customWidth="1"/>
    <col min="10247" max="10247" width="11.28515625" style="4" customWidth="1"/>
    <col min="10248" max="10248" width="9.28515625" style="4" customWidth="1"/>
    <col min="10249" max="10486" width="9.140625" style="4"/>
    <col min="10487" max="10487" width="18.7109375" style="4" customWidth="1"/>
    <col min="10488" max="10488" width="25.140625" style="4" customWidth="1"/>
    <col min="10489" max="10491" width="7.5703125" style="4" customWidth="1"/>
    <col min="10492" max="10494" width="6.7109375" style="4" customWidth="1"/>
    <col min="10495" max="10498" width="7.5703125" style="4" customWidth="1"/>
    <col min="10499" max="10499" width="8.140625" style="4" customWidth="1"/>
    <col min="10500" max="10500" width="8.42578125" style="4" customWidth="1"/>
    <col min="10501" max="10501" width="9.28515625" style="4" customWidth="1"/>
    <col min="10502" max="10502" width="8.42578125" style="4" customWidth="1"/>
    <col min="10503" max="10503" width="11.28515625" style="4" customWidth="1"/>
    <col min="10504" max="10504" width="9.28515625" style="4" customWidth="1"/>
    <col min="10505" max="10742" width="9.140625" style="4"/>
    <col min="10743" max="10743" width="18.7109375" style="4" customWidth="1"/>
    <col min="10744" max="10744" width="25.140625" style="4" customWidth="1"/>
    <col min="10745" max="10747" width="7.5703125" style="4" customWidth="1"/>
    <col min="10748" max="10750" width="6.7109375" style="4" customWidth="1"/>
    <col min="10751" max="10754" width="7.5703125" style="4" customWidth="1"/>
    <col min="10755" max="10755" width="8.140625" style="4" customWidth="1"/>
    <col min="10756" max="10756" width="8.42578125" style="4" customWidth="1"/>
    <col min="10757" max="10757" width="9.28515625" style="4" customWidth="1"/>
    <col min="10758" max="10758" width="8.42578125" style="4" customWidth="1"/>
    <col min="10759" max="10759" width="11.28515625" style="4" customWidth="1"/>
    <col min="10760" max="10760" width="9.28515625" style="4" customWidth="1"/>
    <col min="10761" max="10998" width="9.140625" style="4"/>
    <col min="10999" max="10999" width="18.7109375" style="4" customWidth="1"/>
    <col min="11000" max="11000" width="25.140625" style="4" customWidth="1"/>
    <col min="11001" max="11003" width="7.5703125" style="4" customWidth="1"/>
    <col min="11004" max="11006" width="6.7109375" style="4" customWidth="1"/>
    <col min="11007" max="11010" width="7.5703125" style="4" customWidth="1"/>
    <col min="11011" max="11011" width="8.140625" style="4" customWidth="1"/>
    <col min="11012" max="11012" width="8.42578125" style="4" customWidth="1"/>
    <col min="11013" max="11013" width="9.28515625" style="4" customWidth="1"/>
    <col min="11014" max="11014" width="8.42578125" style="4" customWidth="1"/>
    <col min="11015" max="11015" width="11.28515625" style="4" customWidth="1"/>
    <col min="11016" max="11016" width="9.28515625" style="4" customWidth="1"/>
    <col min="11017" max="11254" width="9.140625" style="4"/>
    <col min="11255" max="11255" width="18.7109375" style="4" customWidth="1"/>
    <col min="11256" max="11256" width="25.140625" style="4" customWidth="1"/>
    <col min="11257" max="11259" width="7.5703125" style="4" customWidth="1"/>
    <col min="11260" max="11262" width="6.7109375" style="4" customWidth="1"/>
    <col min="11263" max="11266" width="7.5703125" style="4" customWidth="1"/>
    <col min="11267" max="11267" width="8.140625" style="4" customWidth="1"/>
    <col min="11268" max="11268" width="8.42578125" style="4" customWidth="1"/>
    <col min="11269" max="11269" width="9.28515625" style="4" customWidth="1"/>
    <col min="11270" max="11270" width="8.42578125" style="4" customWidth="1"/>
    <col min="11271" max="11271" width="11.28515625" style="4" customWidth="1"/>
    <col min="11272" max="11272" width="9.28515625" style="4" customWidth="1"/>
    <col min="11273" max="11510" width="9.140625" style="4"/>
    <col min="11511" max="11511" width="18.7109375" style="4" customWidth="1"/>
    <col min="11512" max="11512" width="25.140625" style="4" customWidth="1"/>
    <col min="11513" max="11515" width="7.5703125" style="4" customWidth="1"/>
    <col min="11516" max="11518" width="6.7109375" style="4" customWidth="1"/>
    <col min="11519" max="11522" width="7.5703125" style="4" customWidth="1"/>
    <col min="11523" max="11523" width="8.140625" style="4" customWidth="1"/>
    <col min="11524" max="11524" width="8.42578125" style="4" customWidth="1"/>
    <col min="11525" max="11525" width="9.28515625" style="4" customWidth="1"/>
    <col min="11526" max="11526" width="8.42578125" style="4" customWidth="1"/>
    <col min="11527" max="11527" width="11.28515625" style="4" customWidth="1"/>
    <col min="11528" max="11528" width="9.28515625" style="4" customWidth="1"/>
    <col min="11529" max="11766" width="9.140625" style="4"/>
    <col min="11767" max="11767" width="18.7109375" style="4" customWidth="1"/>
    <col min="11768" max="11768" width="25.140625" style="4" customWidth="1"/>
    <col min="11769" max="11771" width="7.5703125" style="4" customWidth="1"/>
    <col min="11772" max="11774" width="6.7109375" style="4" customWidth="1"/>
    <col min="11775" max="11778" width="7.5703125" style="4" customWidth="1"/>
    <col min="11779" max="11779" width="8.140625" style="4" customWidth="1"/>
    <col min="11780" max="11780" width="8.42578125" style="4" customWidth="1"/>
    <col min="11781" max="11781" width="9.28515625" style="4" customWidth="1"/>
    <col min="11782" max="11782" width="8.42578125" style="4" customWidth="1"/>
    <col min="11783" max="11783" width="11.28515625" style="4" customWidth="1"/>
    <col min="11784" max="11784" width="9.28515625" style="4" customWidth="1"/>
    <col min="11785" max="12022" width="9.140625" style="4"/>
    <col min="12023" max="12023" width="18.7109375" style="4" customWidth="1"/>
    <col min="12024" max="12024" width="25.140625" style="4" customWidth="1"/>
    <col min="12025" max="12027" width="7.5703125" style="4" customWidth="1"/>
    <col min="12028" max="12030" width="6.7109375" style="4" customWidth="1"/>
    <col min="12031" max="12034" width="7.5703125" style="4" customWidth="1"/>
    <col min="12035" max="12035" width="8.140625" style="4" customWidth="1"/>
    <col min="12036" max="12036" width="8.42578125" style="4" customWidth="1"/>
    <col min="12037" max="12037" width="9.28515625" style="4" customWidth="1"/>
    <col min="12038" max="12038" width="8.42578125" style="4" customWidth="1"/>
    <col min="12039" max="12039" width="11.28515625" style="4" customWidth="1"/>
    <col min="12040" max="12040" width="9.28515625" style="4" customWidth="1"/>
    <col min="12041" max="12278" width="9.140625" style="4"/>
    <col min="12279" max="12279" width="18.7109375" style="4" customWidth="1"/>
    <col min="12280" max="12280" width="25.140625" style="4" customWidth="1"/>
    <col min="12281" max="12283" width="7.5703125" style="4" customWidth="1"/>
    <col min="12284" max="12286" width="6.7109375" style="4" customWidth="1"/>
    <col min="12287" max="12290" width="7.5703125" style="4" customWidth="1"/>
    <col min="12291" max="12291" width="8.140625" style="4" customWidth="1"/>
    <col min="12292" max="12292" width="8.42578125" style="4" customWidth="1"/>
    <col min="12293" max="12293" width="9.28515625" style="4" customWidth="1"/>
    <col min="12294" max="12294" width="8.42578125" style="4" customWidth="1"/>
    <col min="12295" max="12295" width="11.28515625" style="4" customWidth="1"/>
    <col min="12296" max="12296" width="9.28515625" style="4" customWidth="1"/>
    <col min="12297" max="12534" width="9.140625" style="4"/>
    <col min="12535" max="12535" width="18.7109375" style="4" customWidth="1"/>
    <col min="12536" max="12536" width="25.140625" style="4" customWidth="1"/>
    <col min="12537" max="12539" width="7.5703125" style="4" customWidth="1"/>
    <col min="12540" max="12542" width="6.7109375" style="4" customWidth="1"/>
    <col min="12543" max="12546" width="7.5703125" style="4" customWidth="1"/>
    <col min="12547" max="12547" width="8.140625" style="4" customWidth="1"/>
    <col min="12548" max="12548" width="8.42578125" style="4" customWidth="1"/>
    <col min="12549" max="12549" width="9.28515625" style="4" customWidth="1"/>
    <col min="12550" max="12550" width="8.42578125" style="4" customWidth="1"/>
    <col min="12551" max="12551" width="11.28515625" style="4" customWidth="1"/>
    <col min="12552" max="12552" width="9.28515625" style="4" customWidth="1"/>
    <col min="12553" max="12790" width="9.140625" style="4"/>
    <col min="12791" max="12791" width="18.7109375" style="4" customWidth="1"/>
    <col min="12792" max="12792" width="25.140625" style="4" customWidth="1"/>
    <col min="12793" max="12795" width="7.5703125" style="4" customWidth="1"/>
    <col min="12796" max="12798" width="6.7109375" style="4" customWidth="1"/>
    <col min="12799" max="12802" width="7.5703125" style="4" customWidth="1"/>
    <col min="12803" max="12803" width="8.140625" style="4" customWidth="1"/>
    <col min="12804" max="12804" width="8.42578125" style="4" customWidth="1"/>
    <col min="12805" max="12805" width="9.28515625" style="4" customWidth="1"/>
    <col min="12806" max="12806" width="8.42578125" style="4" customWidth="1"/>
    <col min="12807" max="12807" width="11.28515625" style="4" customWidth="1"/>
    <col min="12808" max="12808" width="9.28515625" style="4" customWidth="1"/>
    <col min="12809" max="13046" width="9.140625" style="4"/>
    <col min="13047" max="13047" width="18.7109375" style="4" customWidth="1"/>
    <col min="13048" max="13048" width="25.140625" style="4" customWidth="1"/>
    <col min="13049" max="13051" width="7.5703125" style="4" customWidth="1"/>
    <col min="13052" max="13054" width="6.7109375" style="4" customWidth="1"/>
    <col min="13055" max="13058" width="7.5703125" style="4" customWidth="1"/>
    <col min="13059" max="13059" width="8.140625" style="4" customWidth="1"/>
    <col min="13060" max="13060" width="8.42578125" style="4" customWidth="1"/>
    <col min="13061" max="13061" width="9.28515625" style="4" customWidth="1"/>
    <col min="13062" max="13062" width="8.42578125" style="4" customWidth="1"/>
    <col min="13063" max="13063" width="11.28515625" style="4" customWidth="1"/>
    <col min="13064" max="13064" width="9.28515625" style="4" customWidth="1"/>
    <col min="13065" max="13302" width="9.140625" style="4"/>
    <col min="13303" max="13303" width="18.7109375" style="4" customWidth="1"/>
    <col min="13304" max="13304" width="25.140625" style="4" customWidth="1"/>
    <col min="13305" max="13307" width="7.5703125" style="4" customWidth="1"/>
    <col min="13308" max="13310" width="6.7109375" style="4" customWidth="1"/>
    <col min="13311" max="13314" width="7.5703125" style="4" customWidth="1"/>
    <col min="13315" max="13315" width="8.140625" style="4" customWidth="1"/>
    <col min="13316" max="13316" width="8.42578125" style="4" customWidth="1"/>
    <col min="13317" max="13317" width="9.28515625" style="4" customWidth="1"/>
    <col min="13318" max="13318" width="8.42578125" style="4" customWidth="1"/>
    <col min="13319" max="13319" width="11.28515625" style="4" customWidth="1"/>
    <col min="13320" max="13320" width="9.28515625" style="4" customWidth="1"/>
    <col min="13321" max="13558" width="9.140625" style="4"/>
    <col min="13559" max="13559" width="18.7109375" style="4" customWidth="1"/>
    <col min="13560" max="13560" width="25.140625" style="4" customWidth="1"/>
    <col min="13561" max="13563" width="7.5703125" style="4" customWidth="1"/>
    <col min="13564" max="13566" width="6.7109375" style="4" customWidth="1"/>
    <col min="13567" max="13570" width="7.5703125" style="4" customWidth="1"/>
    <col min="13571" max="13571" width="8.140625" style="4" customWidth="1"/>
    <col min="13572" max="13572" width="8.42578125" style="4" customWidth="1"/>
    <col min="13573" max="13573" width="9.28515625" style="4" customWidth="1"/>
    <col min="13574" max="13574" width="8.42578125" style="4" customWidth="1"/>
    <col min="13575" max="13575" width="11.28515625" style="4" customWidth="1"/>
    <col min="13576" max="13576" width="9.28515625" style="4" customWidth="1"/>
    <col min="13577" max="13814" width="9.140625" style="4"/>
    <col min="13815" max="13815" width="18.7109375" style="4" customWidth="1"/>
    <col min="13816" max="13816" width="25.140625" style="4" customWidth="1"/>
    <col min="13817" max="13819" width="7.5703125" style="4" customWidth="1"/>
    <col min="13820" max="13822" width="6.7109375" style="4" customWidth="1"/>
    <col min="13823" max="13826" width="7.5703125" style="4" customWidth="1"/>
    <col min="13827" max="13827" width="8.140625" style="4" customWidth="1"/>
    <col min="13828" max="13828" width="8.42578125" style="4" customWidth="1"/>
    <col min="13829" max="13829" width="9.28515625" style="4" customWidth="1"/>
    <col min="13830" max="13830" width="8.42578125" style="4" customWidth="1"/>
    <col min="13831" max="13831" width="11.28515625" style="4" customWidth="1"/>
    <col min="13832" max="13832" width="9.28515625" style="4" customWidth="1"/>
    <col min="13833" max="14070" width="9.140625" style="4"/>
    <col min="14071" max="14071" width="18.7109375" style="4" customWidth="1"/>
    <col min="14072" max="14072" width="25.140625" style="4" customWidth="1"/>
    <col min="14073" max="14075" width="7.5703125" style="4" customWidth="1"/>
    <col min="14076" max="14078" width="6.7109375" style="4" customWidth="1"/>
    <col min="14079" max="14082" width="7.5703125" style="4" customWidth="1"/>
    <col min="14083" max="14083" width="8.140625" style="4" customWidth="1"/>
    <col min="14084" max="14084" width="8.42578125" style="4" customWidth="1"/>
    <col min="14085" max="14085" width="9.28515625" style="4" customWidth="1"/>
    <col min="14086" max="14086" width="8.42578125" style="4" customWidth="1"/>
    <col min="14087" max="14087" width="11.28515625" style="4" customWidth="1"/>
    <col min="14088" max="14088" width="9.28515625" style="4" customWidth="1"/>
    <col min="14089" max="14326" width="9.140625" style="4"/>
    <col min="14327" max="14327" width="18.7109375" style="4" customWidth="1"/>
    <col min="14328" max="14328" width="25.140625" style="4" customWidth="1"/>
    <col min="14329" max="14331" width="7.5703125" style="4" customWidth="1"/>
    <col min="14332" max="14334" width="6.7109375" style="4" customWidth="1"/>
    <col min="14335" max="14338" width="7.5703125" style="4" customWidth="1"/>
    <col min="14339" max="14339" width="8.140625" style="4" customWidth="1"/>
    <col min="14340" max="14340" width="8.42578125" style="4" customWidth="1"/>
    <col min="14341" max="14341" width="9.28515625" style="4" customWidth="1"/>
    <col min="14342" max="14342" width="8.42578125" style="4" customWidth="1"/>
    <col min="14343" max="14343" width="11.28515625" style="4" customWidth="1"/>
    <col min="14344" max="14344" width="9.28515625" style="4" customWidth="1"/>
    <col min="14345" max="14582" width="9.140625" style="4"/>
    <col min="14583" max="14583" width="18.7109375" style="4" customWidth="1"/>
    <col min="14584" max="14584" width="25.140625" style="4" customWidth="1"/>
    <col min="14585" max="14587" width="7.5703125" style="4" customWidth="1"/>
    <col min="14588" max="14590" width="6.7109375" style="4" customWidth="1"/>
    <col min="14591" max="14594" width="7.5703125" style="4" customWidth="1"/>
    <col min="14595" max="14595" width="8.140625" style="4" customWidth="1"/>
    <col min="14596" max="14596" width="8.42578125" style="4" customWidth="1"/>
    <col min="14597" max="14597" width="9.28515625" style="4" customWidth="1"/>
    <col min="14598" max="14598" width="8.42578125" style="4" customWidth="1"/>
    <col min="14599" max="14599" width="11.28515625" style="4" customWidth="1"/>
    <col min="14600" max="14600" width="9.28515625" style="4" customWidth="1"/>
    <col min="14601" max="14838" width="9.140625" style="4"/>
    <col min="14839" max="14839" width="18.7109375" style="4" customWidth="1"/>
    <col min="14840" max="14840" width="25.140625" style="4" customWidth="1"/>
    <col min="14841" max="14843" width="7.5703125" style="4" customWidth="1"/>
    <col min="14844" max="14846" width="6.7109375" style="4" customWidth="1"/>
    <col min="14847" max="14850" width="7.5703125" style="4" customWidth="1"/>
    <col min="14851" max="14851" width="8.140625" style="4" customWidth="1"/>
    <col min="14852" max="14852" width="8.42578125" style="4" customWidth="1"/>
    <col min="14853" max="14853" width="9.28515625" style="4" customWidth="1"/>
    <col min="14854" max="14854" width="8.42578125" style="4" customWidth="1"/>
    <col min="14855" max="14855" width="11.28515625" style="4" customWidth="1"/>
    <col min="14856" max="14856" width="9.28515625" style="4" customWidth="1"/>
    <col min="14857" max="15094" width="9.140625" style="4"/>
    <col min="15095" max="15095" width="18.7109375" style="4" customWidth="1"/>
    <col min="15096" max="15096" width="25.140625" style="4" customWidth="1"/>
    <col min="15097" max="15099" width="7.5703125" style="4" customWidth="1"/>
    <col min="15100" max="15102" width="6.7109375" style="4" customWidth="1"/>
    <col min="15103" max="15106" width="7.5703125" style="4" customWidth="1"/>
    <col min="15107" max="15107" width="8.140625" style="4" customWidth="1"/>
    <col min="15108" max="15108" width="8.42578125" style="4" customWidth="1"/>
    <col min="15109" max="15109" width="9.28515625" style="4" customWidth="1"/>
    <col min="15110" max="15110" width="8.42578125" style="4" customWidth="1"/>
    <col min="15111" max="15111" width="11.28515625" style="4" customWidth="1"/>
    <col min="15112" max="15112" width="9.28515625" style="4" customWidth="1"/>
    <col min="15113" max="15350" width="9.140625" style="4"/>
    <col min="15351" max="15351" width="18.7109375" style="4" customWidth="1"/>
    <col min="15352" max="15352" width="25.140625" style="4" customWidth="1"/>
    <col min="15353" max="15355" width="7.5703125" style="4" customWidth="1"/>
    <col min="15356" max="15358" width="6.7109375" style="4" customWidth="1"/>
    <col min="15359" max="15362" width="7.5703125" style="4" customWidth="1"/>
    <col min="15363" max="15363" width="8.140625" style="4" customWidth="1"/>
    <col min="15364" max="15364" width="8.42578125" style="4" customWidth="1"/>
    <col min="15365" max="15365" width="9.28515625" style="4" customWidth="1"/>
    <col min="15366" max="15366" width="8.42578125" style="4" customWidth="1"/>
    <col min="15367" max="15367" width="11.28515625" style="4" customWidth="1"/>
    <col min="15368" max="15368" width="9.28515625" style="4" customWidth="1"/>
    <col min="15369" max="15606" width="9.140625" style="4"/>
    <col min="15607" max="15607" width="18.7109375" style="4" customWidth="1"/>
    <col min="15608" max="15608" width="25.140625" style="4" customWidth="1"/>
    <col min="15609" max="15611" width="7.5703125" style="4" customWidth="1"/>
    <col min="15612" max="15614" width="6.7109375" style="4" customWidth="1"/>
    <col min="15615" max="15618" width="7.5703125" style="4" customWidth="1"/>
    <col min="15619" max="15619" width="8.140625" style="4" customWidth="1"/>
    <col min="15620" max="15620" width="8.42578125" style="4" customWidth="1"/>
    <col min="15621" max="15621" width="9.28515625" style="4" customWidth="1"/>
    <col min="15622" max="15622" width="8.42578125" style="4" customWidth="1"/>
    <col min="15623" max="15623" width="11.28515625" style="4" customWidth="1"/>
    <col min="15624" max="15624" width="9.28515625" style="4" customWidth="1"/>
    <col min="15625" max="15862" width="9.140625" style="4"/>
    <col min="15863" max="15863" width="18.7109375" style="4" customWidth="1"/>
    <col min="15864" max="15864" width="25.140625" style="4" customWidth="1"/>
    <col min="15865" max="15867" width="7.5703125" style="4" customWidth="1"/>
    <col min="15868" max="15870" width="6.7109375" style="4" customWidth="1"/>
    <col min="15871" max="15874" width="7.5703125" style="4" customWidth="1"/>
    <col min="15875" max="15875" width="8.140625" style="4" customWidth="1"/>
    <col min="15876" max="15876" width="8.42578125" style="4" customWidth="1"/>
    <col min="15877" max="15877" width="9.28515625" style="4" customWidth="1"/>
    <col min="15878" max="15878" width="8.42578125" style="4" customWidth="1"/>
    <col min="15879" max="15879" width="11.28515625" style="4" customWidth="1"/>
    <col min="15880" max="15880" width="9.28515625" style="4" customWidth="1"/>
    <col min="15881" max="16118" width="9.140625" style="4"/>
    <col min="16119" max="16119" width="18.7109375" style="4" customWidth="1"/>
    <col min="16120" max="16120" width="25.140625" style="4" customWidth="1"/>
    <col min="16121" max="16123" width="7.5703125" style="4" customWidth="1"/>
    <col min="16124" max="16126" width="6.7109375" style="4" customWidth="1"/>
    <col min="16127" max="16130" width="7.5703125" style="4" customWidth="1"/>
    <col min="16131" max="16131" width="8.140625" style="4" customWidth="1"/>
    <col min="16132" max="16132" width="8.42578125" style="4" customWidth="1"/>
    <col min="16133" max="16133" width="9.28515625" style="4" customWidth="1"/>
    <col min="16134" max="16134" width="8.42578125" style="4" customWidth="1"/>
    <col min="16135" max="16135" width="11.28515625" style="4" customWidth="1"/>
    <col min="16136" max="16136" width="9.28515625" style="4" customWidth="1"/>
    <col min="16137" max="16384" width="9.140625" style="4"/>
  </cols>
  <sheetData>
    <row r="1" spans="1:15" s="71" customFormat="1" ht="15" customHeight="1" x14ac:dyDescent="0.2">
      <c r="A1" s="601"/>
      <c r="B1" s="610"/>
      <c r="C1" s="608"/>
      <c r="D1" s="623" t="s">
        <v>388</v>
      </c>
      <c r="E1" s="594" t="str">
        <f>'Obra '!D1</f>
        <v>Mowe</v>
      </c>
      <c r="F1" s="594"/>
      <c r="G1" s="590"/>
      <c r="H1" s="590"/>
      <c r="I1" s="590"/>
      <c r="J1" s="590"/>
      <c r="K1" s="590"/>
      <c r="L1" s="590"/>
      <c r="M1" s="590"/>
      <c r="N1" s="607"/>
      <c r="O1" s="608"/>
    </row>
    <row r="2" spans="1:15" s="348" customFormat="1" ht="15" customHeight="1" x14ac:dyDescent="0.2">
      <c r="A2" s="603"/>
      <c r="C2" s="675"/>
      <c r="D2" s="623" t="s">
        <v>358</v>
      </c>
      <c r="E2" s="635" t="str">
        <f>'Obra '!D2</f>
        <v>MARTINS|FRANCEZ ENGENHARIA</v>
      </c>
      <c r="F2" s="594"/>
      <c r="G2" s="594"/>
      <c r="H2" s="594"/>
      <c r="I2" s="594"/>
      <c r="J2" s="594"/>
      <c r="K2" s="594"/>
      <c r="L2" s="594"/>
      <c r="M2" s="594"/>
      <c r="N2" s="676"/>
      <c r="O2" s="675"/>
    </row>
    <row r="3" spans="1:15" s="348" customFormat="1" ht="15" customHeight="1" x14ac:dyDescent="0.2">
      <c r="A3" s="603"/>
      <c r="C3" s="675"/>
      <c r="D3" s="623" t="s">
        <v>505</v>
      </c>
      <c r="E3" s="749"/>
      <c r="F3" s="594"/>
      <c r="G3" s="594"/>
      <c r="H3" s="594"/>
      <c r="I3" s="594"/>
      <c r="J3" s="594"/>
      <c r="K3" s="594"/>
      <c r="L3" s="594"/>
      <c r="M3" s="594"/>
      <c r="N3" s="676"/>
      <c r="O3" s="675"/>
    </row>
    <row r="4" spans="1:15" s="348" customFormat="1" ht="15" customHeight="1" x14ac:dyDescent="0.2">
      <c r="A4" s="611"/>
      <c r="B4" s="677"/>
      <c r="C4" s="678"/>
      <c r="D4" s="623" t="s">
        <v>359</v>
      </c>
      <c r="E4" s="594"/>
      <c r="F4" s="594"/>
      <c r="G4" s="594"/>
      <c r="H4" s="594"/>
      <c r="I4" s="594"/>
      <c r="J4" s="594"/>
      <c r="K4" s="594"/>
      <c r="L4" s="594"/>
      <c r="M4" s="596"/>
      <c r="N4" s="679"/>
      <c r="O4" s="678"/>
    </row>
    <row r="5" spans="1:15" s="75" customFormat="1" ht="22.15" customHeight="1" x14ac:dyDescent="0.2">
      <c r="A5" s="1258" t="s">
        <v>397</v>
      </c>
      <c r="B5" s="1259"/>
      <c r="C5" s="1259"/>
      <c r="D5" s="1259"/>
      <c r="E5" s="1259"/>
      <c r="F5" s="1259"/>
      <c r="G5" s="1259"/>
      <c r="H5" s="1259"/>
      <c r="I5" s="1259"/>
      <c r="J5" s="1259"/>
      <c r="K5" s="1259"/>
      <c r="L5" s="1259"/>
      <c r="M5" s="1259"/>
      <c r="N5" s="1259"/>
      <c r="O5" s="1259"/>
    </row>
    <row r="6" spans="1:15" s="252" customFormat="1" ht="12.75" customHeight="1" x14ac:dyDescent="0.2">
      <c r="A6" s="1260" t="s">
        <v>7</v>
      </c>
      <c r="B6" s="554">
        <v>5</v>
      </c>
      <c r="C6" s="554" t="s">
        <v>506</v>
      </c>
      <c r="D6" s="554">
        <v>8</v>
      </c>
      <c r="E6" s="554">
        <v>10</v>
      </c>
      <c r="F6" s="554" t="s">
        <v>507</v>
      </c>
      <c r="G6" s="554">
        <v>16</v>
      </c>
      <c r="H6" s="554">
        <v>20</v>
      </c>
      <c r="I6" s="554">
        <v>25</v>
      </c>
      <c r="J6" s="554" t="s">
        <v>508</v>
      </c>
      <c r="K6" s="764" t="s">
        <v>509</v>
      </c>
      <c r="L6" s="764" t="s">
        <v>510</v>
      </c>
      <c r="M6" s="764" t="s">
        <v>1274</v>
      </c>
      <c r="N6" s="554" t="s">
        <v>511</v>
      </c>
      <c r="O6" s="554" t="s">
        <v>512</v>
      </c>
    </row>
    <row r="7" spans="1:15" s="252" customFormat="1" ht="12.75" customHeight="1" x14ac:dyDescent="0.2">
      <c r="A7" s="1261"/>
      <c r="B7" s="553" t="s">
        <v>513</v>
      </c>
      <c r="C7" s="553" t="s">
        <v>513</v>
      </c>
      <c r="D7" s="553" t="s">
        <v>513</v>
      </c>
      <c r="E7" s="553" t="s">
        <v>513</v>
      </c>
      <c r="F7" s="553" t="s">
        <v>513</v>
      </c>
      <c r="G7" s="553" t="s">
        <v>513</v>
      </c>
      <c r="H7" s="553" t="s">
        <v>513</v>
      </c>
      <c r="I7" s="553" t="s">
        <v>513</v>
      </c>
      <c r="J7" s="553" t="s">
        <v>513</v>
      </c>
      <c r="K7" s="553" t="s">
        <v>513</v>
      </c>
      <c r="L7" s="553" t="s">
        <v>513</v>
      </c>
      <c r="M7" s="553" t="s">
        <v>514</v>
      </c>
      <c r="N7" s="554" t="s">
        <v>515</v>
      </c>
      <c r="O7" s="554" t="s">
        <v>515</v>
      </c>
    </row>
    <row r="8" spans="1:15" ht="12" x14ac:dyDescent="0.2">
      <c r="A8" s="695" t="s">
        <v>464</v>
      </c>
      <c r="B8" s="696">
        <f>SUM(B9:B12)</f>
        <v>28.5</v>
      </c>
      <c r="C8" s="696">
        <f t="shared" ref="C8:N8" si="0">SUM(C9:C12)</f>
        <v>82.8</v>
      </c>
      <c r="D8" s="696">
        <f t="shared" si="0"/>
        <v>0</v>
      </c>
      <c r="E8" s="696">
        <f t="shared" si="0"/>
        <v>0</v>
      </c>
      <c r="F8" s="696">
        <f t="shared" si="0"/>
        <v>0</v>
      </c>
      <c r="G8" s="696">
        <f t="shared" si="0"/>
        <v>0</v>
      </c>
      <c r="H8" s="696">
        <f t="shared" si="0"/>
        <v>0</v>
      </c>
      <c r="I8" s="696">
        <f t="shared" si="0"/>
        <v>0</v>
      </c>
      <c r="J8" s="696">
        <f>SUM(J9:J12)</f>
        <v>0</v>
      </c>
      <c r="K8" s="696">
        <f t="shared" si="0"/>
        <v>0</v>
      </c>
      <c r="L8" s="696">
        <f t="shared" si="0"/>
        <v>0</v>
      </c>
      <c r="M8" s="696">
        <f t="shared" si="0"/>
        <v>1.18</v>
      </c>
      <c r="N8" s="696">
        <f t="shared" si="0"/>
        <v>14.1</v>
      </c>
      <c r="O8" s="696"/>
    </row>
    <row r="9" spans="1:15" s="287" customFormat="1" ht="15" customHeight="1" x14ac:dyDescent="0.2">
      <c r="A9" s="781" t="s">
        <v>516</v>
      </c>
      <c r="B9" s="781"/>
      <c r="C9" s="781"/>
      <c r="D9" s="781"/>
      <c r="E9" s="781"/>
      <c r="F9" s="781"/>
      <c r="G9" s="781"/>
      <c r="H9" s="781"/>
      <c r="I9" s="781"/>
      <c r="J9" s="781"/>
      <c r="K9" s="781"/>
      <c r="L9" s="781"/>
      <c r="M9" s="781"/>
      <c r="N9" s="781"/>
      <c r="O9" s="781"/>
    </row>
    <row r="10" spans="1:15" s="287" customFormat="1" ht="15" customHeight="1" x14ac:dyDescent="0.2">
      <c r="A10" s="781" t="s">
        <v>517</v>
      </c>
      <c r="B10" s="781"/>
      <c r="C10" s="781"/>
      <c r="D10" s="781"/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</row>
    <row r="11" spans="1:15" s="287" customFormat="1" ht="15" customHeight="1" x14ac:dyDescent="0.2">
      <c r="A11" s="781" t="s">
        <v>518</v>
      </c>
      <c r="B11" s="781"/>
      <c r="C11" s="781"/>
      <c r="D11" s="781"/>
      <c r="E11" s="781"/>
      <c r="F11" s="781"/>
      <c r="G11" s="781"/>
      <c r="H11" s="781"/>
      <c r="I11" s="781"/>
      <c r="J11" s="781"/>
      <c r="K11" s="781"/>
      <c r="L11" s="781"/>
      <c r="M11" s="781"/>
      <c r="N11" s="781"/>
      <c r="O11" s="781"/>
    </row>
    <row r="12" spans="1:15" s="287" customFormat="1" ht="15" customHeight="1" x14ac:dyDescent="0.2">
      <c r="A12" s="781" t="s">
        <v>519</v>
      </c>
      <c r="B12" s="781">
        <v>28.5</v>
      </c>
      <c r="C12" s="781">
        <v>82.8</v>
      </c>
      <c r="D12" s="781"/>
      <c r="E12" s="781"/>
      <c r="F12" s="781"/>
      <c r="G12" s="781"/>
      <c r="H12" s="781"/>
      <c r="I12" s="781"/>
      <c r="J12" s="781"/>
      <c r="K12" s="781"/>
      <c r="L12" s="781"/>
      <c r="M12" s="781">
        <v>1.18</v>
      </c>
      <c r="N12" s="781">
        <v>14.1</v>
      </c>
      <c r="O12" s="781"/>
    </row>
    <row r="13" spans="1:15" s="287" customFormat="1" ht="15" customHeight="1" x14ac:dyDescent="0.2">
      <c r="A13" s="695" t="s">
        <v>488</v>
      </c>
      <c r="B13" s="696">
        <f t="shared" ref="B13:N13" si="1">SUM(B14:B16)</f>
        <v>509.3</v>
      </c>
      <c r="C13" s="696">
        <f t="shared" si="1"/>
        <v>155.1</v>
      </c>
      <c r="D13" s="696">
        <f t="shared" si="1"/>
        <v>392.6</v>
      </c>
      <c r="E13" s="696">
        <f t="shared" si="1"/>
        <v>460.59999999999997</v>
      </c>
      <c r="F13" s="696">
        <f t="shared" si="1"/>
        <v>377.7</v>
      </c>
      <c r="G13" s="696">
        <f t="shared" si="1"/>
        <v>295.60000000000002</v>
      </c>
      <c r="H13" s="696">
        <f t="shared" si="1"/>
        <v>0</v>
      </c>
      <c r="I13" s="696">
        <f t="shared" si="1"/>
        <v>0</v>
      </c>
      <c r="J13" s="696">
        <f t="shared" si="1"/>
        <v>0</v>
      </c>
      <c r="K13" s="696">
        <f t="shared" si="1"/>
        <v>0</v>
      </c>
      <c r="L13" s="696">
        <f t="shared" si="1"/>
        <v>0</v>
      </c>
      <c r="M13" s="696">
        <f t="shared" si="1"/>
        <v>27.65</v>
      </c>
      <c r="N13" s="696">
        <f t="shared" si="1"/>
        <v>229.84</v>
      </c>
      <c r="O13" s="696"/>
    </row>
    <row r="14" spans="1:15" s="287" customFormat="1" ht="15" customHeight="1" x14ac:dyDescent="0.2">
      <c r="A14" s="781" t="s">
        <v>516</v>
      </c>
      <c r="B14" s="781">
        <v>110.8</v>
      </c>
      <c r="C14" s="781"/>
      <c r="D14" s="781"/>
      <c r="E14" s="781">
        <v>225.5</v>
      </c>
      <c r="F14" s="781">
        <v>142.19999999999999</v>
      </c>
      <c r="G14" s="781"/>
      <c r="H14" s="781"/>
      <c r="I14" s="781"/>
      <c r="J14" s="781"/>
      <c r="K14" s="781"/>
      <c r="L14" s="781"/>
      <c r="M14" s="781">
        <v>4.2</v>
      </c>
      <c r="N14" s="781">
        <v>76.05</v>
      </c>
      <c r="O14" s="781">
        <f>N14/N13</f>
        <v>0.33088235294117646</v>
      </c>
    </row>
    <row r="15" spans="1:15" s="287" customFormat="1" ht="15" customHeight="1" x14ac:dyDescent="0.2">
      <c r="A15" s="781" t="s">
        <v>517</v>
      </c>
      <c r="B15" s="781">
        <f>40.1+79.9</f>
        <v>120</v>
      </c>
      <c r="C15" s="781">
        <f>75.4+31.6</f>
        <v>107</v>
      </c>
      <c r="D15" s="781">
        <f>62.7+75.3</f>
        <v>138</v>
      </c>
      <c r="E15" s="781">
        <f>33.9+49</f>
        <v>82.9</v>
      </c>
      <c r="F15" s="781">
        <f>108.3+127.2</f>
        <v>235.5</v>
      </c>
      <c r="G15" s="781">
        <f>220.3+75.3</f>
        <v>295.60000000000002</v>
      </c>
      <c r="H15" s="781"/>
      <c r="I15" s="781"/>
      <c r="J15" s="781"/>
      <c r="K15" s="781"/>
      <c r="L15" s="781"/>
      <c r="M15" s="781">
        <f>4.52+4.93</f>
        <v>9.4499999999999993</v>
      </c>
      <c r="N15" s="781">
        <f>48.62+58.2</f>
        <v>106.82</v>
      </c>
      <c r="O15" s="781">
        <f>N15/N13</f>
        <v>0.46475809258614686</v>
      </c>
    </row>
    <row r="16" spans="1:15" s="287" customFormat="1" ht="15" customHeight="1" thickBot="1" x14ac:dyDescent="0.25">
      <c r="A16" s="781" t="s">
        <v>518</v>
      </c>
      <c r="B16" s="781">
        <v>278.5</v>
      </c>
      <c r="C16" s="781">
        <v>48.1</v>
      </c>
      <c r="D16" s="781">
        <v>254.6</v>
      </c>
      <c r="E16" s="781">
        <v>152.19999999999999</v>
      </c>
      <c r="F16" s="781"/>
      <c r="G16" s="781"/>
      <c r="H16" s="781"/>
      <c r="I16" s="781"/>
      <c r="J16" s="781"/>
      <c r="K16" s="781"/>
      <c r="L16" s="781"/>
      <c r="M16" s="781">
        <v>14</v>
      </c>
      <c r="N16" s="781">
        <v>46.97</v>
      </c>
      <c r="O16" s="781">
        <f>N16/N13</f>
        <v>0.20435955447267665</v>
      </c>
    </row>
    <row r="17" spans="1:15" s="287" customFormat="1" ht="15" customHeight="1" thickTop="1" thickBot="1" x14ac:dyDescent="0.25">
      <c r="A17" s="216" t="s">
        <v>10</v>
      </c>
      <c r="B17" s="310">
        <f>B8+B13</f>
        <v>537.79999999999995</v>
      </c>
      <c r="C17" s="310">
        <f t="shared" ref="C17:O17" si="2">C8+C13</f>
        <v>237.89999999999998</v>
      </c>
      <c r="D17" s="310">
        <f t="shared" si="2"/>
        <v>392.6</v>
      </c>
      <c r="E17" s="310">
        <f t="shared" si="2"/>
        <v>460.59999999999997</v>
      </c>
      <c r="F17" s="310">
        <f t="shared" si="2"/>
        <v>377.7</v>
      </c>
      <c r="G17" s="310">
        <f t="shared" si="2"/>
        <v>295.60000000000002</v>
      </c>
      <c r="H17" s="310">
        <f t="shared" si="2"/>
        <v>0</v>
      </c>
      <c r="I17" s="310">
        <f t="shared" si="2"/>
        <v>0</v>
      </c>
      <c r="J17" s="310">
        <f t="shared" si="2"/>
        <v>0</v>
      </c>
      <c r="K17" s="310">
        <f t="shared" si="2"/>
        <v>0</v>
      </c>
      <c r="L17" s="310">
        <f t="shared" si="2"/>
        <v>0</v>
      </c>
      <c r="M17" s="310">
        <f t="shared" si="2"/>
        <v>28.83</v>
      </c>
      <c r="N17" s="310">
        <f t="shared" si="2"/>
        <v>243.94</v>
      </c>
      <c r="O17" s="310">
        <f t="shared" si="2"/>
        <v>0</v>
      </c>
    </row>
    <row r="18" spans="1:15" s="287" customFormat="1" ht="15" customHeight="1" thickTop="1" x14ac:dyDescent="0.2">
      <c r="A18" s="695" t="s">
        <v>1273</v>
      </c>
      <c r="B18" s="696">
        <f t="shared" ref="B18:N18" si="3">SUM(B19:B19)</f>
        <v>78.400000000000006</v>
      </c>
      <c r="C18" s="696">
        <f t="shared" si="3"/>
        <v>321.3</v>
      </c>
      <c r="D18" s="696">
        <f t="shared" si="3"/>
        <v>257.3</v>
      </c>
      <c r="E18" s="696">
        <f t="shared" si="3"/>
        <v>0</v>
      </c>
      <c r="F18" s="696">
        <f t="shared" si="3"/>
        <v>76.099999999999994</v>
      </c>
      <c r="G18" s="696">
        <f t="shared" si="3"/>
        <v>149.80000000000001</v>
      </c>
      <c r="H18" s="696">
        <f t="shared" si="3"/>
        <v>0</v>
      </c>
      <c r="I18" s="696">
        <f t="shared" si="3"/>
        <v>0</v>
      </c>
      <c r="J18" s="696">
        <f t="shared" si="3"/>
        <v>0</v>
      </c>
      <c r="K18" s="696">
        <f t="shared" si="3"/>
        <v>0</v>
      </c>
      <c r="L18" s="696">
        <f t="shared" si="3"/>
        <v>0</v>
      </c>
      <c r="M18" s="696">
        <f t="shared" si="3"/>
        <v>9.0399999999999991</v>
      </c>
      <c r="N18" s="696">
        <f t="shared" si="3"/>
        <v>83.6</v>
      </c>
      <c r="O18" s="696"/>
    </row>
    <row r="19" spans="1:15" s="287" customFormat="1" ht="15" customHeight="1" thickBot="1" x14ac:dyDescent="0.25">
      <c r="A19" s="781" t="s">
        <v>1275</v>
      </c>
      <c r="B19" s="781">
        <v>78.400000000000006</v>
      </c>
      <c r="C19" s="781">
        <v>321.3</v>
      </c>
      <c r="D19" s="781">
        <v>257.3</v>
      </c>
      <c r="E19" s="781"/>
      <c r="F19" s="781">
        <v>76.099999999999994</v>
      </c>
      <c r="G19" s="781">
        <v>149.80000000000001</v>
      </c>
      <c r="H19" s="781"/>
      <c r="I19" s="781"/>
      <c r="J19" s="781"/>
      <c r="K19" s="781"/>
      <c r="L19" s="781"/>
      <c r="M19" s="781">
        <v>9.0399999999999991</v>
      </c>
      <c r="N19" s="781">
        <v>83.6</v>
      </c>
      <c r="O19" s="781"/>
    </row>
    <row r="20" spans="1:15" s="287" customFormat="1" ht="15" customHeight="1" thickTop="1" thickBot="1" x14ac:dyDescent="0.25">
      <c r="A20" s="216" t="s">
        <v>10</v>
      </c>
      <c r="B20" s="310">
        <f>B18</f>
        <v>78.400000000000006</v>
      </c>
      <c r="C20" s="310">
        <f t="shared" ref="C20:O20" si="4">C18</f>
        <v>321.3</v>
      </c>
      <c r="D20" s="310">
        <f t="shared" si="4"/>
        <v>257.3</v>
      </c>
      <c r="E20" s="310">
        <f t="shared" si="4"/>
        <v>0</v>
      </c>
      <c r="F20" s="310">
        <f t="shared" si="4"/>
        <v>76.099999999999994</v>
      </c>
      <c r="G20" s="310">
        <f t="shared" si="4"/>
        <v>149.80000000000001</v>
      </c>
      <c r="H20" s="310">
        <f t="shared" si="4"/>
        <v>0</v>
      </c>
      <c r="I20" s="310">
        <f t="shared" si="4"/>
        <v>0</v>
      </c>
      <c r="J20" s="310">
        <f t="shared" si="4"/>
        <v>0</v>
      </c>
      <c r="K20" s="310">
        <f t="shared" si="4"/>
        <v>0</v>
      </c>
      <c r="L20" s="310">
        <f t="shared" si="4"/>
        <v>0</v>
      </c>
      <c r="M20" s="310">
        <f t="shared" si="4"/>
        <v>9.0399999999999991</v>
      </c>
      <c r="N20" s="310">
        <f t="shared" si="4"/>
        <v>83.6</v>
      </c>
      <c r="O20" s="310">
        <f t="shared" si="4"/>
        <v>0</v>
      </c>
    </row>
    <row r="21" spans="1:15" s="287" customFormat="1" ht="15" customHeight="1" thickTop="1" x14ac:dyDescent="0.2">
      <c r="A21" s="695" t="s">
        <v>92</v>
      </c>
      <c r="B21" s="696">
        <f t="shared" ref="B21:N21" si="5">SUM(B22:B24)</f>
        <v>424.70000000000005</v>
      </c>
      <c r="C21" s="696">
        <f t="shared" si="5"/>
        <v>37.700000000000003</v>
      </c>
      <c r="D21" s="696">
        <f t="shared" si="5"/>
        <v>292</v>
      </c>
      <c r="E21" s="696">
        <f t="shared" si="5"/>
        <v>215.6</v>
      </c>
      <c r="F21" s="696">
        <f t="shared" si="5"/>
        <v>405.9</v>
      </c>
      <c r="G21" s="696">
        <f t="shared" si="5"/>
        <v>214</v>
      </c>
      <c r="H21" s="696">
        <f t="shared" si="5"/>
        <v>0</v>
      </c>
      <c r="I21" s="696">
        <f t="shared" si="5"/>
        <v>0</v>
      </c>
      <c r="J21" s="696">
        <f t="shared" si="5"/>
        <v>0</v>
      </c>
      <c r="K21" s="696">
        <f t="shared" si="5"/>
        <v>0</v>
      </c>
      <c r="L21" s="696">
        <f t="shared" si="5"/>
        <v>0</v>
      </c>
      <c r="M21" s="696">
        <f t="shared" si="5"/>
        <v>19.990000000000002</v>
      </c>
      <c r="N21" s="696">
        <f t="shared" si="5"/>
        <v>181.15020000000001</v>
      </c>
      <c r="O21" s="696"/>
    </row>
    <row r="22" spans="1:15" s="287" customFormat="1" ht="15" customHeight="1" x14ac:dyDescent="0.2">
      <c r="A22" s="781" t="s">
        <v>516</v>
      </c>
      <c r="B22" s="781">
        <v>87.2</v>
      </c>
      <c r="C22" s="781"/>
      <c r="D22" s="781"/>
      <c r="E22" s="781">
        <v>83.7</v>
      </c>
      <c r="F22" s="781">
        <v>184.3</v>
      </c>
      <c r="G22" s="781">
        <v>39.4</v>
      </c>
      <c r="H22" s="781"/>
      <c r="I22" s="781"/>
      <c r="J22" s="781"/>
      <c r="K22" s="781"/>
      <c r="L22" s="781"/>
      <c r="M22" s="781">
        <v>3.48</v>
      </c>
      <c r="N22" s="781">
        <v>59.44</v>
      </c>
      <c r="O22" s="781"/>
    </row>
    <row r="23" spans="1:15" s="287" customFormat="1" ht="15" customHeight="1" x14ac:dyDescent="0.2">
      <c r="A23" s="781" t="s">
        <v>517</v>
      </c>
      <c r="B23" s="781">
        <v>135.6</v>
      </c>
      <c r="C23" s="781">
        <v>37.700000000000003</v>
      </c>
      <c r="D23" s="781">
        <v>73</v>
      </c>
      <c r="E23" s="781">
        <v>126.5</v>
      </c>
      <c r="F23" s="781">
        <v>221.6</v>
      </c>
      <c r="G23" s="781">
        <v>174.6</v>
      </c>
      <c r="H23" s="781"/>
      <c r="I23" s="781"/>
      <c r="J23" s="781"/>
      <c r="K23" s="781"/>
      <c r="L23" s="781"/>
      <c r="M23" s="781">
        <v>7.27</v>
      </c>
      <c r="N23" s="781">
        <v>90.710000000000008</v>
      </c>
      <c r="O23" s="781"/>
    </row>
    <row r="24" spans="1:15" s="287" customFormat="1" ht="15" customHeight="1" x14ac:dyDescent="0.2">
      <c r="A24" s="781" t="s">
        <v>518</v>
      </c>
      <c r="B24" s="781">
        <v>201.9</v>
      </c>
      <c r="C24" s="781"/>
      <c r="D24" s="781">
        <v>219</v>
      </c>
      <c r="E24" s="781">
        <v>5.4</v>
      </c>
      <c r="F24" s="781"/>
      <c r="G24" s="781"/>
      <c r="H24" s="781"/>
      <c r="I24" s="781"/>
      <c r="J24" s="781"/>
      <c r="K24" s="781"/>
      <c r="L24" s="781"/>
      <c r="M24" s="781">
        <v>9.24</v>
      </c>
      <c r="N24" s="1110">
        <f>3.355*M24</f>
        <v>31.0002</v>
      </c>
      <c r="O24" s="781"/>
    </row>
    <row r="25" spans="1:15" s="287" customFormat="1" ht="15" customHeight="1" x14ac:dyDescent="0.2">
      <c r="A25" s="695" t="s">
        <v>489</v>
      </c>
      <c r="B25" s="696">
        <f t="shared" ref="B25:N25" si="6">SUM(B26:B28)</f>
        <v>12.8</v>
      </c>
      <c r="C25" s="696">
        <f t="shared" si="6"/>
        <v>0</v>
      </c>
      <c r="D25" s="696">
        <f t="shared" si="6"/>
        <v>0</v>
      </c>
      <c r="E25" s="696">
        <f t="shared" si="6"/>
        <v>25.4</v>
      </c>
      <c r="F25" s="696">
        <f t="shared" si="6"/>
        <v>19.8</v>
      </c>
      <c r="G25" s="696">
        <f t="shared" si="6"/>
        <v>0</v>
      </c>
      <c r="H25" s="696">
        <f t="shared" si="6"/>
        <v>0</v>
      </c>
      <c r="I25" s="696">
        <f t="shared" si="6"/>
        <v>0</v>
      </c>
      <c r="J25" s="696">
        <f t="shared" si="6"/>
        <v>0</v>
      </c>
      <c r="K25" s="696">
        <f t="shared" si="6"/>
        <v>0</v>
      </c>
      <c r="L25" s="696">
        <f t="shared" si="6"/>
        <v>0</v>
      </c>
      <c r="M25" s="696">
        <f t="shared" si="6"/>
        <v>0.48</v>
      </c>
      <c r="N25" s="696">
        <f t="shared" si="6"/>
        <v>9.7799999999999994</v>
      </c>
      <c r="O25" s="696"/>
    </row>
    <row r="26" spans="1:15" s="287" customFormat="1" ht="15" customHeight="1" x14ac:dyDescent="0.2">
      <c r="A26" s="781" t="s">
        <v>516</v>
      </c>
      <c r="B26" s="781">
        <v>12.8</v>
      </c>
      <c r="C26" s="781"/>
      <c r="D26" s="781"/>
      <c r="E26" s="781">
        <v>25.4</v>
      </c>
      <c r="F26" s="781">
        <v>19.8</v>
      </c>
      <c r="G26" s="781"/>
      <c r="H26" s="781"/>
      <c r="I26" s="781"/>
      <c r="J26" s="781"/>
      <c r="K26" s="781"/>
      <c r="L26" s="781"/>
      <c r="M26" s="781">
        <v>0.48</v>
      </c>
      <c r="N26" s="781">
        <v>9.7799999999999994</v>
      </c>
      <c r="O26" s="781"/>
    </row>
    <row r="27" spans="1:15" s="287" customFormat="1" ht="15" customHeight="1" x14ac:dyDescent="0.2">
      <c r="A27" s="781" t="s">
        <v>517</v>
      </c>
      <c r="B27" s="781"/>
      <c r="C27" s="781"/>
      <c r="D27" s="781"/>
      <c r="E27" s="781"/>
      <c r="F27" s="781"/>
      <c r="G27" s="781"/>
      <c r="H27" s="781"/>
      <c r="I27" s="781"/>
      <c r="J27" s="781"/>
      <c r="K27" s="781"/>
      <c r="L27" s="781"/>
      <c r="M27" s="781"/>
      <c r="N27" s="781"/>
      <c r="O27" s="781"/>
    </row>
    <row r="28" spans="1:15" s="287" customFormat="1" ht="15" customHeight="1" thickBot="1" x14ac:dyDescent="0.25">
      <c r="A28" s="781" t="s">
        <v>518</v>
      </c>
      <c r="B28" s="781"/>
      <c r="C28" s="781"/>
      <c r="D28" s="781"/>
      <c r="E28" s="781"/>
      <c r="F28" s="781"/>
      <c r="G28" s="781"/>
      <c r="H28" s="781"/>
      <c r="I28" s="781"/>
      <c r="J28" s="781"/>
      <c r="K28" s="781"/>
      <c r="L28" s="781"/>
      <c r="M28" s="781"/>
      <c r="N28" s="781"/>
      <c r="O28" s="781"/>
    </row>
    <row r="29" spans="1:15" ht="13.5" thickTop="1" thickBot="1" x14ac:dyDescent="0.25">
      <c r="A29" s="216" t="s">
        <v>10</v>
      </c>
      <c r="B29" s="310">
        <f>B21+B25</f>
        <v>437.50000000000006</v>
      </c>
      <c r="C29" s="310">
        <f>C21+C25</f>
        <v>37.700000000000003</v>
      </c>
      <c r="D29" s="310">
        <f t="shared" ref="D29:O29" si="7">D21+D25</f>
        <v>292</v>
      </c>
      <c r="E29" s="310">
        <f t="shared" si="7"/>
        <v>241</v>
      </c>
      <c r="F29" s="310">
        <f t="shared" si="7"/>
        <v>425.7</v>
      </c>
      <c r="G29" s="310">
        <f t="shared" si="7"/>
        <v>214</v>
      </c>
      <c r="H29" s="310">
        <f t="shared" si="7"/>
        <v>0</v>
      </c>
      <c r="I29" s="310">
        <f t="shared" si="7"/>
        <v>0</v>
      </c>
      <c r="J29" s="310">
        <f t="shared" si="7"/>
        <v>0</v>
      </c>
      <c r="K29" s="310">
        <f t="shared" si="7"/>
        <v>0</v>
      </c>
      <c r="L29" s="310">
        <f t="shared" si="7"/>
        <v>0</v>
      </c>
      <c r="M29" s="310">
        <f t="shared" si="7"/>
        <v>20.470000000000002</v>
      </c>
      <c r="N29" s="310">
        <f t="shared" si="7"/>
        <v>190.93020000000001</v>
      </c>
      <c r="O29" s="310">
        <f t="shared" si="7"/>
        <v>0</v>
      </c>
    </row>
    <row r="30" spans="1:15" ht="13.5" thickTop="1" thickBot="1" x14ac:dyDescent="0.25">
      <c r="A30" s="216" t="s">
        <v>520</v>
      </c>
      <c r="B30" s="310">
        <f>B29+B20+B17</f>
        <v>1053.7</v>
      </c>
      <c r="C30" s="310">
        <f t="shared" ref="C30:O30" si="8">C29+C20+C17</f>
        <v>596.9</v>
      </c>
      <c r="D30" s="310">
        <f t="shared" si="8"/>
        <v>941.9</v>
      </c>
      <c r="E30" s="310">
        <f t="shared" si="8"/>
        <v>701.59999999999991</v>
      </c>
      <c r="F30" s="310">
        <f t="shared" si="8"/>
        <v>879.5</v>
      </c>
      <c r="G30" s="310">
        <f t="shared" si="8"/>
        <v>659.40000000000009</v>
      </c>
      <c r="H30" s="310">
        <f t="shared" si="8"/>
        <v>0</v>
      </c>
      <c r="I30" s="310">
        <f t="shared" si="8"/>
        <v>0</v>
      </c>
      <c r="J30" s="310">
        <f t="shared" si="8"/>
        <v>0</v>
      </c>
      <c r="K30" s="310">
        <f t="shared" si="8"/>
        <v>0</v>
      </c>
      <c r="L30" s="310">
        <f t="shared" si="8"/>
        <v>0</v>
      </c>
      <c r="M30" s="310">
        <f t="shared" si="8"/>
        <v>58.34</v>
      </c>
      <c r="N30" s="310">
        <f>N29+N20+N17</f>
        <v>518.47019999999998</v>
      </c>
      <c r="O30" s="310">
        <f t="shared" si="8"/>
        <v>0</v>
      </c>
    </row>
    <row r="31" spans="1:15" ht="13.5" thickTop="1" thickBot="1" x14ac:dyDescent="0.25">
      <c r="A31" s="216" t="s">
        <v>20</v>
      </c>
      <c r="B31" s="310">
        <f>B30</f>
        <v>1053.7</v>
      </c>
      <c r="C31" s="310">
        <f t="shared" ref="C31:O31" si="9">C30</f>
        <v>596.9</v>
      </c>
      <c r="D31" s="310">
        <f t="shared" si="9"/>
        <v>941.9</v>
      </c>
      <c r="E31" s="310">
        <f t="shared" si="9"/>
        <v>701.59999999999991</v>
      </c>
      <c r="F31" s="310">
        <f t="shared" si="9"/>
        <v>879.5</v>
      </c>
      <c r="G31" s="310">
        <f t="shared" si="9"/>
        <v>659.40000000000009</v>
      </c>
      <c r="H31" s="310">
        <f t="shared" si="9"/>
        <v>0</v>
      </c>
      <c r="I31" s="310">
        <f t="shared" si="9"/>
        <v>0</v>
      </c>
      <c r="J31" s="310">
        <f t="shared" si="9"/>
        <v>0</v>
      </c>
      <c r="K31" s="310">
        <f t="shared" si="9"/>
        <v>0</v>
      </c>
      <c r="L31" s="310">
        <f t="shared" si="9"/>
        <v>0</v>
      </c>
      <c r="M31" s="310">
        <f t="shared" si="9"/>
        <v>58.34</v>
      </c>
      <c r="N31" s="310">
        <f t="shared" si="9"/>
        <v>518.47019999999998</v>
      </c>
      <c r="O31" s="310">
        <f t="shared" si="9"/>
        <v>0</v>
      </c>
    </row>
    <row r="32" spans="1:15" ht="16.5" thickTop="1" thickBot="1" x14ac:dyDescent="0.3">
      <c r="A32" s="1133" t="s">
        <v>2564</v>
      </c>
      <c r="B32" s="1134"/>
      <c r="C32" s="1134" t="s">
        <v>2565</v>
      </c>
    </row>
    <row r="33" spans="1:4" ht="15.75" thickTop="1" x14ac:dyDescent="0.25">
      <c r="A33" s="1135" t="s">
        <v>516</v>
      </c>
      <c r="B33" s="1135">
        <f>SUMIF(A$9:A$28,A33,N$9:N$28)</f>
        <v>145.27000000000001</v>
      </c>
      <c r="C33" s="1137">
        <f>N14</f>
        <v>76.05</v>
      </c>
      <c r="D33" s="4">
        <f>C37*O14</f>
        <v>27.661764705882351</v>
      </c>
    </row>
    <row r="34" spans="1:4" ht="15" x14ac:dyDescent="0.25">
      <c r="A34" s="1136" t="s">
        <v>517</v>
      </c>
      <c r="B34" s="1136">
        <f>SUMIF(A$9:A$28,A34,N$9:N$28)</f>
        <v>197.53</v>
      </c>
      <c r="C34" s="1138">
        <f>N15</f>
        <v>106.82</v>
      </c>
      <c r="D34" s="4">
        <f>C37*O15</f>
        <v>38.853776540201878</v>
      </c>
    </row>
    <row r="35" spans="1:4" ht="15" x14ac:dyDescent="0.25">
      <c r="A35" s="1136" t="s">
        <v>518</v>
      </c>
      <c r="B35" s="1136">
        <f>SUMIF(A$9:A$28,A35,N$9:N$28)</f>
        <v>77.970200000000006</v>
      </c>
      <c r="C35" s="1138">
        <f>N16</f>
        <v>46.97</v>
      </c>
      <c r="D35" s="4">
        <f>C37*O16</f>
        <v>17.084458753915765</v>
      </c>
    </row>
    <row r="36" spans="1:4" ht="15" x14ac:dyDescent="0.25">
      <c r="A36" s="1136" t="s">
        <v>519</v>
      </c>
      <c r="B36" s="1136">
        <f>SUMIF(A$9:A$28,A36,N$9:N$28)</f>
        <v>14.1</v>
      </c>
      <c r="C36" s="1138">
        <f>N12</f>
        <v>14.1</v>
      </c>
    </row>
    <row r="37" spans="1:4" ht="15" x14ac:dyDescent="0.25">
      <c r="A37" s="1136" t="s">
        <v>1275</v>
      </c>
      <c r="B37" s="1136">
        <f>SUMIF(A$9:A$28,A37,N$9:N$28)</f>
        <v>83.6</v>
      </c>
      <c r="C37" s="1138">
        <f>N19</f>
        <v>83.6</v>
      </c>
    </row>
    <row r="53" spans="1:1" x14ac:dyDescent="0.2">
      <c r="A53" s="683"/>
    </row>
  </sheetData>
  <mergeCells count="2">
    <mergeCell ref="A5:O5"/>
    <mergeCell ref="A6:A7"/>
  </mergeCells>
  <printOptions horizontalCentered="1"/>
  <pageMargins left="0.39370078740157483" right="0" top="0.39370078740157483" bottom="0.39370078740157483" header="0.51181102362204722" footer="0.19685039370078741"/>
  <pageSetup paperSize="9" scale="69" orientation="portrait" verticalDpi="300" r:id="rId1"/>
  <headerFooter alignWithMargins="0">
    <oddFooter>&amp;L&amp;F - &amp;A&amp;R&amp;P / &amp;N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F98B-B3C9-4A90-B957-81075A81EE03}">
  <sheetPr>
    <tabColor rgb="FF1851D6"/>
  </sheetPr>
  <dimension ref="B1:K12"/>
  <sheetViews>
    <sheetView zoomScale="110" zoomScaleNormal="110" workbookViewId="0">
      <selection activeCell="J10" sqref="J10"/>
    </sheetView>
  </sheetViews>
  <sheetFormatPr defaultColWidth="9.140625" defaultRowHeight="18.75" x14ac:dyDescent="0.45"/>
  <cols>
    <col min="1" max="1" width="2.140625" style="1112" customWidth="1"/>
    <col min="2" max="2" width="17" style="1111" customWidth="1"/>
    <col min="3" max="3" width="18" style="1111" bestFit="1" customWidth="1"/>
    <col min="4" max="6" width="10.42578125" style="1111" hidden="1" customWidth="1"/>
    <col min="7" max="10" width="10.42578125" style="1111" customWidth="1"/>
    <col min="11" max="11" width="13.140625" style="1112" customWidth="1"/>
    <col min="12" max="15" width="12.5703125" style="1112" customWidth="1"/>
    <col min="16" max="16384" width="9.140625" style="1112"/>
  </cols>
  <sheetData>
    <row r="1" spans="2:11" ht="19.5" thickBot="1" x14ac:dyDescent="0.5"/>
    <row r="2" spans="2:11" ht="19.5" thickBot="1" x14ac:dyDescent="0.5">
      <c r="B2" s="1262" t="s">
        <v>2549</v>
      </c>
      <c r="C2" s="1263"/>
      <c r="D2" s="1263"/>
      <c r="E2" s="1263"/>
      <c r="F2" s="1263"/>
      <c r="G2" s="1263"/>
      <c r="H2" s="1263"/>
      <c r="I2" s="1263"/>
      <c r="J2" s="1263"/>
      <c r="K2" s="1264"/>
    </row>
    <row r="3" spans="2:11" ht="19.5" thickBot="1" x14ac:dyDescent="0.5">
      <c r="B3" s="1113"/>
      <c r="C3" s="1113"/>
      <c r="D3" s="1113"/>
      <c r="E3" s="1113"/>
      <c r="F3" s="1113"/>
      <c r="G3" s="1113"/>
      <c r="H3" s="1113"/>
      <c r="I3" s="1113"/>
      <c r="J3" s="1113"/>
    </row>
    <row r="4" spans="2:11" s="1115" customFormat="1" ht="96" customHeight="1" x14ac:dyDescent="0.2">
      <c r="B4" s="1265" t="s">
        <v>2550</v>
      </c>
      <c r="C4" s="1268" t="s">
        <v>521</v>
      </c>
      <c r="D4" s="1114" t="s">
        <v>2551</v>
      </c>
      <c r="E4" s="1114" t="s">
        <v>2552</v>
      </c>
      <c r="F4" s="1114" t="s">
        <v>2553</v>
      </c>
      <c r="G4" s="1114" t="s">
        <v>2554</v>
      </c>
      <c r="H4" s="1114" t="s">
        <v>2555</v>
      </c>
      <c r="I4" s="1114" t="s">
        <v>522</v>
      </c>
      <c r="J4" s="1114" t="s">
        <v>2652</v>
      </c>
      <c r="K4" s="1114" t="s">
        <v>61</v>
      </c>
    </row>
    <row r="5" spans="2:11" x14ac:dyDescent="0.45">
      <c r="B5" s="1266"/>
      <c r="C5" s="1269"/>
      <c r="D5" s="1271" t="s">
        <v>2556</v>
      </c>
      <c r="E5" s="1116" t="s">
        <v>525</v>
      </c>
      <c r="F5" s="1116" t="s">
        <v>526</v>
      </c>
      <c r="G5" s="1116" t="s">
        <v>54</v>
      </c>
      <c r="H5" s="1116" t="s">
        <v>527</v>
      </c>
      <c r="I5" s="1116" t="s">
        <v>56</v>
      </c>
      <c r="J5" s="1116" t="s">
        <v>2653</v>
      </c>
      <c r="K5" s="1116" t="s">
        <v>524</v>
      </c>
    </row>
    <row r="6" spans="2:11" ht="19.5" thickBot="1" x14ac:dyDescent="0.5">
      <c r="B6" s="1267"/>
      <c r="C6" s="1270"/>
      <c r="D6" s="1272"/>
      <c r="E6" s="1117" t="s">
        <v>3</v>
      </c>
      <c r="F6" s="1117" t="s">
        <v>3</v>
      </c>
      <c r="G6" s="1117" t="s">
        <v>1</v>
      </c>
      <c r="H6" s="1117" t="s">
        <v>3</v>
      </c>
      <c r="I6" s="1117" t="s">
        <v>4</v>
      </c>
      <c r="J6" s="1117" t="s">
        <v>17</v>
      </c>
      <c r="K6" s="1117" t="s">
        <v>1</v>
      </c>
    </row>
    <row r="7" spans="2:11" x14ac:dyDescent="0.45">
      <c r="B7" s="1118"/>
      <c r="C7" s="1119" t="s">
        <v>464</v>
      </c>
      <c r="D7" s="1119"/>
      <c r="E7" s="1120"/>
      <c r="F7" s="1120"/>
      <c r="G7" s="1121">
        <f>'Obra '!E15</f>
        <v>162.78</v>
      </c>
      <c r="H7" s="1122">
        <v>0.05</v>
      </c>
      <c r="I7" s="1121">
        <f t="shared" ref="I7:I11" si="0">H7*G7</f>
        <v>8.1390000000000011</v>
      </c>
      <c r="J7" s="1121">
        <v>154</v>
      </c>
      <c r="K7" s="1121">
        <f>G7</f>
        <v>162.78</v>
      </c>
    </row>
    <row r="8" spans="2:11" x14ac:dyDescent="0.45">
      <c r="B8" s="1118"/>
      <c r="C8" s="1119" t="s">
        <v>2557</v>
      </c>
      <c r="D8" s="1119"/>
      <c r="E8" s="1120"/>
      <c r="F8" s="1120"/>
      <c r="G8" s="1121">
        <f>'Obra '!E16</f>
        <v>166.79</v>
      </c>
      <c r="H8" s="1122">
        <v>0.05</v>
      </c>
      <c r="I8" s="1121">
        <f t="shared" si="0"/>
        <v>8.3394999999999992</v>
      </c>
      <c r="J8" s="1121">
        <v>142.6</v>
      </c>
      <c r="K8" s="1121">
        <f>G8</f>
        <v>166.79</v>
      </c>
    </row>
    <row r="9" spans="2:11" x14ac:dyDescent="0.45">
      <c r="B9" s="1118"/>
      <c r="C9" s="1119" t="s">
        <v>92</v>
      </c>
      <c r="D9" s="1119"/>
      <c r="E9" s="1120"/>
      <c r="F9" s="1120"/>
      <c r="G9" s="1121">
        <f>'Obra '!E17</f>
        <v>188.81</v>
      </c>
      <c r="H9" s="1122">
        <v>0.05</v>
      </c>
      <c r="I9" s="1121">
        <f t="shared" si="0"/>
        <v>9.4405000000000001</v>
      </c>
      <c r="J9" s="1121">
        <v>150.5</v>
      </c>
      <c r="K9" s="1121">
        <f>G9</f>
        <v>188.81</v>
      </c>
    </row>
    <row r="10" spans="2:11" x14ac:dyDescent="0.45">
      <c r="B10" s="1118"/>
      <c r="C10" s="1119" t="s">
        <v>489</v>
      </c>
      <c r="D10" s="1119"/>
      <c r="E10" s="1120"/>
      <c r="F10" s="1120"/>
      <c r="G10" s="1121">
        <f>'Obra '!E18</f>
        <v>10.039999999999999</v>
      </c>
      <c r="H10" s="1122">
        <v>0.05</v>
      </c>
      <c r="I10" s="1121">
        <f t="shared" si="0"/>
        <v>0.502</v>
      </c>
      <c r="J10" s="1121">
        <f>G10</f>
        <v>10.039999999999999</v>
      </c>
      <c r="K10" s="1121">
        <f>G10</f>
        <v>10.039999999999999</v>
      </c>
    </row>
    <row r="11" spans="2:11" ht="19.5" thickBot="1" x14ac:dyDescent="0.5">
      <c r="B11" s="1123"/>
      <c r="C11" s="1124"/>
      <c r="D11" s="1124"/>
      <c r="E11" s="1125"/>
      <c r="F11" s="1125"/>
      <c r="G11" s="1126">
        <f t="shared" ref="G11" si="1">D11*E11</f>
        <v>0</v>
      </c>
      <c r="H11" s="1127"/>
      <c r="I11" s="1121">
        <f t="shared" si="0"/>
        <v>0</v>
      </c>
      <c r="J11" s="1121"/>
      <c r="K11" s="1121">
        <f>G11</f>
        <v>0</v>
      </c>
    </row>
    <row r="12" spans="2:11" ht="19.5" thickBot="1" x14ac:dyDescent="0.5">
      <c r="B12" s="1113"/>
      <c r="C12" s="1113"/>
      <c r="D12" s="1113"/>
      <c r="E12" s="1113"/>
      <c r="F12" s="1113"/>
      <c r="G12" s="1128">
        <f>SUM(G8:G11)</f>
        <v>365.64000000000004</v>
      </c>
      <c r="H12" s="1129"/>
      <c r="I12" s="1130">
        <f t="shared" ref="I12" si="2">SUM(I8:I11)</f>
        <v>18.282</v>
      </c>
      <c r="J12" s="1175"/>
      <c r="K12" s="1131">
        <f>SUM(K8:K11)</f>
        <v>365.64000000000004</v>
      </c>
    </row>
  </sheetData>
  <mergeCells count="4">
    <mergeCell ref="B2:K2"/>
    <mergeCell ref="B4:B6"/>
    <mergeCell ref="C4:C6"/>
    <mergeCell ref="D5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C3AC-CCAE-4C26-8A7A-29D183BDE3A8}">
  <sheetPr codeName="Planilha30">
    <tabColor rgb="FF1851D6"/>
    <pageSetUpPr fitToPage="1"/>
  </sheetPr>
  <dimension ref="A1:J36"/>
  <sheetViews>
    <sheetView showGridLines="0" view="pageBreakPreview" zoomScale="95" zoomScaleNormal="100" zoomScaleSheetLayoutView="95" workbookViewId="0">
      <pane ySplit="7" topLeftCell="A8" activePane="bottomLeft" state="frozen"/>
      <selection activeCell="P98" sqref="P98:Q98"/>
      <selection pane="bottomLeft" activeCell="K16" sqref="K16"/>
    </sheetView>
  </sheetViews>
  <sheetFormatPr defaultRowHeight="11.25" x14ac:dyDescent="0.2"/>
  <cols>
    <col min="1" max="1" width="24" style="4" customWidth="1"/>
    <col min="2" max="2" width="13.7109375" style="4" customWidth="1"/>
    <col min="3" max="3" width="13.85546875" style="4" customWidth="1"/>
    <col min="4" max="10" width="11.140625" style="4" customWidth="1"/>
    <col min="11" max="11" width="56.28515625" style="4" customWidth="1"/>
    <col min="12" max="241" width="9.140625" style="4"/>
    <col min="242" max="242" width="18.7109375" style="4" customWidth="1"/>
    <col min="243" max="243" width="25.140625" style="4" customWidth="1"/>
    <col min="244" max="246" width="7.5703125" style="4" customWidth="1"/>
    <col min="247" max="249" width="6.7109375" style="4" customWidth="1"/>
    <col min="250" max="253" width="7.5703125" style="4" customWidth="1"/>
    <col min="254" max="254" width="8.140625" style="4" customWidth="1"/>
    <col min="255" max="255" width="8.42578125" style="4" customWidth="1"/>
    <col min="256" max="256" width="9.28515625" style="4" customWidth="1"/>
    <col min="257" max="257" width="8.42578125" style="4" customWidth="1"/>
    <col min="258" max="258" width="11.28515625" style="4" customWidth="1"/>
    <col min="259" max="259" width="9.28515625" style="4" customWidth="1"/>
    <col min="260" max="497" width="9.140625" style="4"/>
    <col min="498" max="498" width="18.7109375" style="4" customWidth="1"/>
    <col min="499" max="499" width="25.140625" style="4" customWidth="1"/>
    <col min="500" max="502" width="7.5703125" style="4" customWidth="1"/>
    <col min="503" max="505" width="6.7109375" style="4" customWidth="1"/>
    <col min="506" max="509" width="7.5703125" style="4" customWidth="1"/>
    <col min="510" max="510" width="8.140625" style="4" customWidth="1"/>
    <col min="511" max="511" width="8.42578125" style="4" customWidth="1"/>
    <col min="512" max="512" width="9.28515625" style="4" customWidth="1"/>
    <col min="513" max="513" width="8.42578125" style="4" customWidth="1"/>
    <col min="514" max="514" width="11.28515625" style="4" customWidth="1"/>
    <col min="515" max="515" width="9.28515625" style="4" customWidth="1"/>
    <col min="516" max="753" width="9.140625" style="4"/>
    <col min="754" max="754" width="18.7109375" style="4" customWidth="1"/>
    <col min="755" max="755" width="25.140625" style="4" customWidth="1"/>
    <col min="756" max="758" width="7.5703125" style="4" customWidth="1"/>
    <col min="759" max="761" width="6.7109375" style="4" customWidth="1"/>
    <col min="762" max="765" width="7.5703125" style="4" customWidth="1"/>
    <col min="766" max="766" width="8.140625" style="4" customWidth="1"/>
    <col min="767" max="767" width="8.42578125" style="4" customWidth="1"/>
    <col min="768" max="768" width="9.28515625" style="4" customWidth="1"/>
    <col min="769" max="769" width="8.42578125" style="4" customWidth="1"/>
    <col min="770" max="770" width="11.28515625" style="4" customWidth="1"/>
    <col min="771" max="771" width="9.28515625" style="4" customWidth="1"/>
    <col min="772" max="1009" width="9.140625" style="4"/>
    <col min="1010" max="1010" width="18.7109375" style="4" customWidth="1"/>
    <col min="1011" max="1011" width="25.140625" style="4" customWidth="1"/>
    <col min="1012" max="1014" width="7.5703125" style="4" customWidth="1"/>
    <col min="1015" max="1017" width="6.7109375" style="4" customWidth="1"/>
    <col min="1018" max="1021" width="7.5703125" style="4" customWidth="1"/>
    <col min="1022" max="1022" width="8.140625" style="4" customWidth="1"/>
    <col min="1023" max="1023" width="8.42578125" style="4" customWidth="1"/>
    <col min="1024" max="1024" width="9.28515625" style="4" customWidth="1"/>
    <col min="1025" max="1025" width="8.42578125" style="4" customWidth="1"/>
    <col min="1026" max="1026" width="11.28515625" style="4" customWidth="1"/>
    <col min="1027" max="1027" width="9.28515625" style="4" customWidth="1"/>
    <col min="1028" max="1265" width="9.140625" style="4"/>
    <col min="1266" max="1266" width="18.7109375" style="4" customWidth="1"/>
    <col min="1267" max="1267" width="25.140625" style="4" customWidth="1"/>
    <col min="1268" max="1270" width="7.5703125" style="4" customWidth="1"/>
    <col min="1271" max="1273" width="6.7109375" style="4" customWidth="1"/>
    <col min="1274" max="1277" width="7.5703125" style="4" customWidth="1"/>
    <col min="1278" max="1278" width="8.140625" style="4" customWidth="1"/>
    <col min="1279" max="1279" width="8.42578125" style="4" customWidth="1"/>
    <col min="1280" max="1280" width="9.28515625" style="4" customWidth="1"/>
    <col min="1281" max="1281" width="8.42578125" style="4" customWidth="1"/>
    <col min="1282" max="1282" width="11.28515625" style="4" customWidth="1"/>
    <col min="1283" max="1283" width="9.28515625" style="4" customWidth="1"/>
    <col min="1284" max="1521" width="9.140625" style="4"/>
    <col min="1522" max="1522" width="18.7109375" style="4" customWidth="1"/>
    <col min="1523" max="1523" width="25.140625" style="4" customWidth="1"/>
    <col min="1524" max="1526" width="7.5703125" style="4" customWidth="1"/>
    <col min="1527" max="1529" width="6.7109375" style="4" customWidth="1"/>
    <col min="1530" max="1533" width="7.5703125" style="4" customWidth="1"/>
    <col min="1534" max="1534" width="8.140625" style="4" customWidth="1"/>
    <col min="1535" max="1535" width="8.42578125" style="4" customWidth="1"/>
    <col min="1536" max="1536" width="9.28515625" style="4" customWidth="1"/>
    <col min="1537" max="1537" width="8.42578125" style="4" customWidth="1"/>
    <col min="1538" max="1538" width="11.28515625" style="4" customWidth="1"/>
    <col min="1539" max="1539" width="9.28515625" style="4" customWidth="1"/>
    <col min="1540" max="1777" width="9.140625" style="4"/>
    <col min="1778" max="1778" width="18.7109375" style="4" customWidth="1"/>
    <col min="1779" max="1779" width="25.140625" style="4" customWidth="1"/>
    <col min="1780" max="1782" width="7.5703125" style="4" customWidth="1"/>
    <col min="1783" max="1785" width="6.7109375" style="4" customWidth="1"/>
    <col min="1786" max="1789" width="7.5703125" style="4" customWidth="1"/>
    <col min="1790" max="1790" width="8.140625" style="4" customWidth="1"/>
    <col min="1791" max="1791" width="8.42578125" style="4" customWidth="1"/>
    <col min="1792" max="1792" width="9.28515625" style="4" customWidth="1"/>
    <col min="1793" max="1793" width="8.42578125" style="4" customWidth="1"/>
    <col min="1794" max="1794" width="11.28515625" style="4" customWidth="1"/>
    <col min="1795" max="1795" width="9.28515625" style="4" customWidth="1"/>
    <col min="1796" max="2033" width="9.140625" style="4"/>
    <col min="2034" max="2034" width="18.7109375" style="4" customWidth="1"/>
    <col min="2035" max="2035" width="25.140625" style="4" customWidth="1"/>
    <col min="2036" max="2038" width="7.5703125" style="4" customWidth="1"/>
    <col min="2039" max="2041" width="6.7109375" style="4" customWidth="1"/>
    <col min="2042" max="2045" width="7.5703125" style="4" customWidth="1"/>
    <col min="2046" max="2046" width="8.140625" style="4" customWidth="1"/>
    <col min="2047" max="2047" width="8.42578125" style="4" customWidth="1"/>
    <col min="2048" max="2048" width="9.28515625" style="4" customWidth="1"/>
    <col min="2049" max="2049" width="8.42578125" style="4" customWidth="1"/>
    <col min="2050" max="2050" width="11.28515625" style="4" customWidth="1"/>
    <col min="2051" max="2051" width="9.28515625" style="4" customWidth="1"/>
    <col min="2052" max="2289" width="9.140625" style="4"/>
    <col min="2290" max="2290" width="18.7109375" style="4" customWidth="1"/>
    <col min="2291" max="2291" width="25.140625" style="4" customWidth="1"/>
    <col min="2292" max="2294" width="7.5703125" style="4" customWidth="1"/>
    <col min="2295" max="2297" width="6.7109375" style="4" customWidth="1"/>
    <col min="2298" max="2301" width="7.5703125" style="4" customWidth="1"/>
    <col min="2302" max="2302" width="8.140625" style="4" customWidth="1"/>
    <col min="2303" max="2303" width="8.42578125" style="4" customWidth="1"/>
    <col min="2304" max="2304" width="9.28515625" style="4" customWidth="1"/>
    <col min="2305" max="2305" width="8.42578125" style="4" customWidth="1"/>
    <col min="2306" max="2306" width="11.28515625" style="4" customWidth="1"/>
    <col min="2307" max="2307" width="9.28515625" style="4" customWidth="1"/>
    <col min="2308" max="2545" width="9.140625" style="4"/>
    <col min="2546" max="2546" width="18.7109375" style="4" customWidth="1"/>
    <col min="2547" max="2547" width="25.140625" style="4" customWidth="1"/>
    <col min="2548" max="2550" width="7.5703125" style="4" customWidth="1"/>
    <col min="2551" max="2553" width="6.7109375" style="4" customWidth="1"/>
    <col min="2554" max="2557" width="7.5703125" style="4" customWidth="1"/>
    <col min="2558" max="2558" width="8.140625" style="4" customWidth="1"/>
    <col min="2559" max="2559" width="8.42578125" style="4" customWidth="1"/>
    <col min="2560" max="2560" width="9.28515625" style="4" customWidth="1"/>
    <col min="2561" max="2561" width="8.42578125" style="4" customWidth="1"/>
    <col min="2562" max="2562" width="11.28515625" style="4" customWidth="1"/>
    <col min="2563" max="2563" width="9.28515625" style="4" customWidth="1"/>
    <col min="2564" max="2801" width="9.140625" style="4"/>
    <col min="2802" max="2802" width="18.7109375" style="4" customWidth="1"/>
    <col min="2803" max="2803" width="25.140625" style="4" customWidth="1"/>
    <col min="2804" max="2806" width="7.5703125" style="4" customWidth="1"/>
    <col min="2807" max="2809" width="6.7109375" style="4" customWidth="1"/>
    <col min="2810" max="2813" width="7.5703125" style="4" customWidth="1"/>
    <col min="2814" max="2814" width="8.140625" style="4" customWidth="1"/>
    <col min="2815" max="2815" width="8.42578125" style="4" customWidth="1"/>
    <col min="2816" max="2816" width="9.28515625" style="4" customWidth="1"/>
    <col min="2817" max="2817" width="8.42578125" style="4" customWidth="1"/>
    <col min="2818" max="2818" width="11.28515625" style="4" customWidth="1"/>
    <col min="2819" max="2819" width="9.28515625" style="4" customWidth="1"/>
    <col min="2820" max="3057" width="9.140625" style="4"/>
    <col min="3058" max="3058" width="18.7109375" style="4" customWidth="1"/>
    <col min="3059" max="3059" width="25.140625" style="4" customWidth="1"/>
    <col min="3060" max="3062" width="7.5703125" style="4" customWidth="1"/>
    <col min="3063" max="3065" width="6.7109375" style="4" customWidth="1"/>
    <col min="3066" max="3069" width="7.5703125" style="4" customWidth="1"/>
    <col min="3070" max="3070" width="8.140625" style="4" customWidth="1"/>
    <col min="3071" max="3071" width="8.42578125" style="4" customWidth="1"/>
    <col min="3072" max="3072" width="9.28515625" style="4" customWidth="1"/>
    <col min="3073" max="3073" width="8.42578125" style="4" customWidth="1"/>
    <col min="3074" max="3074" width="11.28515625" style="4" customWidth="1"/>
    <col min="3075" max="3075" width="9.28515625" style="4" customWidth="1"/>
    <col min="3076" max="3313" width="9.140625" style="4"/>
    <col min="3314" max="3314" width="18.7109375" style="4" customWidth="1"/>
    <col min="3315" max="3315" width="25.140625" style="4" customWidth="1"/>
    <col min="3316" max="3318" width="7.5703125" style="4" customWidth="1"/>
    <col min="3319" max="3321" width="6.7109375" style="4" customWidth="1"/>
    <col min="3322" max="3325" width="7.5703125" style="4" customWidth="1"/>
    <col min="3326" max="3326" width="8.140625" style="4" customWidth="1"/>
    <col min="3327" max="3327" width="8.42578125" style="4" customWidth="1"/>
    <col min="3328" max="3328" width="9.28515625" style="4" customWidth="1"/>
    <col min="3329" max="3329" width="8.42578125" style="4" customWidth="1"/>
    <col min="3330" max="3330" width="11.28515625" style="4" customWidth="1"/>
    <col min="3331" max="3331" width="9.28515625" style="4" customWidth="1"/>
    <col min="3332" max="3569" width="9.140625" style="4"/>
    <col min="3570" max="3570" width="18.7109375" style="4" customWidth="1"/>
    <col min="3571" max="3571" width="25.140625" style="4" customWidth="1"/>
    <col min="3572" max="3574" width="7.5703125" style="4" customWidth="1"/>
    <col min="3575" max="3577" width="6.7109375" style="4" customWidth="1"/>
    <col min="3578" max="3581" width="7.5703125" style="4" customWidth="1"/>
    <col min="3582" max="3582" width="8.140625" style="4" customWidth="1"/>
    <col min="3583" max="3583" width="8.42578125" style="4" customWidth="1"/>
    <col min="3584" max="3584" width="9.28515625" style="4" customWidth="1"/>
    <col min="3585" max="3585" width="8.42578125" style="4" customWidth="1"/>
    <col min="3586" max="3586" width="11.28515625" style="4" customWidth="1"/>
    <col min="3587" max="3587" width="9.28515625" style="4" customWidth="1"/>
    <col min="3588" max="3825" width="9.140625" style="4"/>
    <col min="3826" max="3826" width="18.7109375" style="4" customWidth="1"/>
    <col min="3827" max="3827" width="25.140625" style="4" customWidth="1"/>
    <col min="3828" max="3830" width="7.5703125" style="4" customWidth="1"/>
    <col min="3831" max="3833" width="6.7109375" style="4" customWidth="1"/>
    <col min="3834" max="3837" width="7.5703125" style="4" customWidth="1"/>
    <col min="3838" max="3838" width="8.140625" style="4" customWidth="1"/>
    <col min="3839" max="3839" width="8.42578125" style="4" customWidth="1"/>
    <col min="3840" max="3840" width="9.28515625" style="4" customWidth="1"/>
    <col min="3841" max="3841" width="8.42578125" style="4" customWidth="1"/>
    <col min="3842" max="3842" width="11.28515625" style="4" customWidth="1"/>
    <col min="3843" max="3843" width="9.28515625" style="4" customWidth="1"/>
    <col min="3844" max="4081" width="9.140625" style="4"/>
    <col min="4082" max="4082" width="18.7109375" style="4" customWidth="1"/>
    <col min="4083" max="4083" width="25.140625" style="4" customWidth="1"/>
    <col min="4084" max="4086" width="7.5703125" style="4" customWidth="1"/>
    <col min="4087" max="4089" width="6.7109375" style="4" customWidth="1"/>
    <col min="4090" max="4093" width="7.5703125" style="4" customWidth="1"/>
    <col min="4094" max="4094" width="8.140625" style="4" customWidth="1"/>
    <col min="4095" max="4095" width="8.42578125" style="4" customWidth="1"/>
    <col min="4096" max="4096" width="9.28515625" style="4" customWidth="1"/>
    <col min="4097" max="4097" width="8.42578125" style="4" customWidth="1"/>
    <col min="4098" max="4098" width="11.28515625" style="4" customWidth="1"/>
    <col min="4099" max="4099" width="9.28515625" style="4" customWidth="1"/>
    <col min="4100" max="4337" width="9.140625" style="4"/>
    <col min="4338" max="4338" width="18.7109375" style="4" customWidth="1"/>
    <col min="4339" max="4339" width="25.140625" style="4" customWidth="1"/>
    <col min="4340" max="4342" width="7.5703125" style="4" customWidth="1"/>
    <col min="4343" max="4345" width="6.7109375" style="4" customWidth="1"/>
    <col min="4346" max="4349" width="7.5703125" style="4" customWidth="1"/>
    <col min="4350" max="4350" width="8.140625" style="4" customWidth="1"/>
    <col min="4351" max="4351" width="8.42578125" style="4" customWidth="1"/>
    <col min="4352" max="4352" width="9.28515625" style="4" customWidth="1"/>
    <col min="4353" max="4353" width="8.42578125" style="4" customWidth="1"/>
    <col min="4354" max="4354" width="11.28515625" style="4" customWidth="1"/>
    <col min="4355" max="4355" width="9.28515625" style="4" customWidth="1"/>
    <col min="4356" max="4593" width="9.140625" style="4"/>
    <col min="4594" max="4594" width="18.7109375" style="4" customWidth="1"/>
    <col min="4595" max="4595" width="25.140625" style="4" customWidth="1"/>
    <col min="4596" max="4598" width="7.5703125" style="4" customWidth="1"/>
    <col min="4599" max="4601" width="6.7109375" style="4" customWidth="1"/>
    <col min="4602" max="4605" width="7.5703125" style="4" customWidth="1"/>
    <col min="4606" max="4606" width="8.140625" style="4" customWidth="1"/>
    <col min="4607" max="4607" width="8.42578125" style="4" customWidth="1"/>
    <col min="4608" max="4608" width="9.28515625" style="4" customWidth="1"/>
    <col min="4609" max="4609" width="8.42578125" style="4" customWidth="1"/>
    <col min="4610" max="4610" width="11.28515625" style="4" customWidth="1"/>
    <col min="4611" max="4611" width="9.28515625" style="4" customWidth="1"/>
    <col min="4612" max="4849" width="9.140625" style="4"/>
    <col min="4850" max="4850" width="18.7109375" style="4" customWidth="1"/>
    <col min="4851" max="4851" width="25.140625" style="4" customWidth="1"/>
    <col min="4852" max="4854" width="7.5703125" style="4" customWidth="1"/>
    <col min="4855" max="4857" width="6.7109375" style="4" customWidth="1"/>
    <col min="4858" max="4861" width="7.5703125" style="4" customWidth="1"/>
    <col min="4862" max="4862" width="8.140625" style="4" customWidth="1"/>
    <col min="4863" max="4863" width="8.42578125" style="4" customWidth="1"/>
    <col min="4864" max="4864" width="9.28515625" style="4" customWidth="1"/>
    <col min="4865" max="4865" width="8.42578125" style="4" customWidth="1"/>
    <col min="4866" max="4866" width="11.28515625" style="4" customWidth="1"/>
    <col min="4867" max="4867" width="9.28515625" style="4" customWidth="1"/>
    <col min="4868" max="5105" width="9.140625" style="4"/>
    <col min="5106" max="5106" width="18.7109375" style="4" customWidth="1"/>
    <col min="5107" max="5107" width="25.140625" style="4" customWidth="1"/>
    <col min="5108" max="5110" width="7.5703125" style="4" customWidth="1"/>
    <col min="5111" max="5113" width="6.7109375" style="4" customWidth="1"/>
    <col min="5114" max="5117" width="7.5703125" style="4" customWidth="1"/>
    <col min="5118" max="5118" width="8.140625" style="4" customWidth="1"/>
    <col min="5119" max="5119" width="8.42578125" style="4" customWidth="1"/>
    <col min="5120" max="5120" width="9.28515625" style="4" customWidth="1"/>
    <col min="5121" max="5121" width="8.42578125" style="4" customWidth="1"/>
    <col min="5122" max="5122" width="11.28515625" style="4" customWidth="1"/>
    <col min="5123" max="5123" width="9.28515625" style="4" customWidth="1"/>
    <col min="5124" max="5361" width="9.140625" style="4"/>
    <col min="5362" max="5362" width="18.7109375" style="4" customWidth="1"/>
    <col min="5363" max="5363" width="25.140625" style="4" customWidth="1"/>
    <col min="5364" max="5366" width="7.5703125" style="4" customWidth="1"/>
    <col min="5367" max="5369" width="6.7109375" style="4" customWidth="1"/>
    <col min="5370" max="5373" width="7.5703125" style="4" customWidth="1"/>
    <col min="5374" max="5374" width="8.140625" style="4" customWidth="1"/>
    <col min="5375" max="5375" width="8.42578125" style="4" customWidth="1"/>
    <col min="5376" max="5376" width="9.28515625" style="4" customWidth="1"/>
    <col min="5377" max="5377" width="8.42578125" style="4" customWidth="1"/>
    <col min="5378" max="5378" width="11.28515625" style="4" customWidth="1"/>
    <col min="5379" max="5379" width="9.28515625" style="4" customWidth="1"/>
    <col min="5380" max="5617" width="9.140625" style="4"/>
    <col min="5618" max="5618" width="18.7109375" style="4" customWidth="1"/>
    <col min="5619" max="5619" width="25.140625" style="4" customWidth="1"/>
    <col min="5620" max="5622" width="7.5703125" style="4" customWidth="1"/>
    <col min="5623" max="5625" width="6.7109375" style="4" customWidth="1"/>
    <col min="5626" max="5629" width="7.5703125" style="4" customWidth="1"/>
    <col min="5630" max="5630" width="8.140625" style="4" customWidth="1"/>
    <col min="5631" max="5631" width="8.42578125" style="4" customWidth="1"/>
    <col min="5632" max="5632" width="9.28515625" style="4" customWidth="1"/>
    <col min="5633" max="5633" width="8.42578125" style="4" customWidth="1"/>
    <col min="5634" max="5634" width="11.28515625" style="4" customWidth="1"/>
    <col min="5635" max="5635" width="9.28515625" style="4" customWidth="1"/>
    <col min="5636" max="5873" width="9.140625" style="4"/>
    <col min="5874" max="5874" width="18.7109375" style="4" customWidth="1"/>
    <col min="5875" max="5875" width="25.140625" style="4" customWidth="1"/>
    <col min="5876" max="5878" width="7.5703125" style="4" customWidth="1"/>
    <col min="5879" max="5881" width="6.7109375" style="4" customWidth="1"/>
    <col min="5882" max="5885" width="7.5703125" style="4" customWidth="1"/>
    <col min="5886" max="5886" width="8.140625" style="4" customWidth="1"/>
    <col min="5887" max="5887" width="8.42578125" style="4" customWidth="1"/>
    <col min="5888" max="5888" width="9.28515625" style="4" customWidth="1"/>
    <col min="5889" max="5889" width="8.42578125" style="4" customWidth="1"/>
    <col min="5890" max="5890" width="11.28515625" style="4" customWidth="1"/>
    <col min="5891" max="5891" width="9.28515625" style="4" customWidth="1"/>
    <col min="5892" max="6129" width="9.140625" style="4"/>
    <col min="6130" max="6130" width="18.7109375" style="4" customWidth="1"/>
    <col min="6131" max="6131" width="25.140625" style="4" customWidth="1"/>
    <col min="6132" max="6134" width="7.5703125" style="4" customWidth="1"/>
    <col min="6135" max="6137" width="6.7109375" style="4" customWidth="1"/>
    <col min="6138" max="6141" width="7.5703125" style="4" customWidth="1"/>
    <col min="6142" max="6142" width="8.140625" style="4" customWidth="1"/>
    <col min="6143" max="6143" width="8.42578125" style="4" customWidth="1"/>
    <col min="6144" max="6144" width="9.28515625" style="4" customWidth="1"/>
    <col min="6145" max="6145" width="8.42578125" style="4" customWidth="1"/>
    <col min="6146" max="6146" width="11.28515625" style="4" customWidth="1"/>
    <col min="6147" max="6147" width="9.28515625" style="4" customWidth="1"/>
    <col min="6148" max="6385" width="9.140625" style="4"/>
    <col min="6386" max="6386" width="18.7109375" style="4" customWidth="1"/>
    <col min="6387" max="6387" width="25.140625" style="4" customWidth="1"/>
    <col min="6388" max="6390" width="7.5703125" style="4" customWidth="1"/>
    <col min="6391" max="6393" width="6.7109375" style="4" customWidth="1"/>
    <col min="6394" max="6397" width="7.5703125" style="4" customWidth="1"/>
    <col min="6398" max="6398" width="8.140625" style="4" customWidth="1"/>
    <col min="6399" max="6399" width="8.42578125" style="4" customWidth="1"/>
    <col min="6400" max="6400" width="9.28515625" style="4" customWidth="1"/>
    <col min="6401" max="6401" width="8.42578125" style="4" customWidth="1"/>
    <col min="6402" max="6402" width="11.28515625" style="4" customWidth="1"/>
    <col min="6403" max="6403" width="9.28515625" style="4" customWidth="1"/>
    <col min="6404" max="6641" width="9.140625" style="4"/>
    <col min="6642" max="6642" width="18.7109375" style="4" customWidth="1"/>
    <col min="6643" max="6643" width="25.140625" style="4" customWidth="1"/>
    <col min="6644" max="6646" width="7.5703125" style="4" customWidth="1"/>
    <col min="6647" max="6649" width="6.7109375" style="4" customWidth="1"/>
    <col min="6650" max="6653" width="7.5703125" style="4" customWidth="1"/>
    <col min="6654" max="6654" width="8.140625" style="4" customWidth="1"/>
    <col min="6655" max="6655" width="8.42578125" style="4" customWidth="1"/>
    <col min="6656" max="6656" width="9.28515625" style="4" customWidth="1"/>
    <col min="6657" max="6657" width="8.42578125" style="4" customWidth="1"/>
    <col min="6658" max="6658" width="11.28515625" style="4" customWidth="1"/>
    <col min="6659" max="6659" width="9.28515625" style="4" customWidth="1"/>
    <col min="6660" max="6897" width="9.140625" style="4"/>
    <col min="6898" max="6898" width="18.7109375" style="4" customWidth="1"/>
    <col min="6899" max="6899" width="25.140625" style="4" customWidth="1"/>
    <col min="6900" max="6902" width="7.5703125" style="4" customWidth="1"/>
    <col min="6903" max="6905" width="6.7109375" style="4" customWidth="1"/>
    <col min="6906" max="6909" width="7.5703125" style="4" customWidth="1"/>
    <col min="6910" max="6910" width="8.140625" style="4" customWidth="1"/>
    <col min="6911" max="6911" width="8.42578125" style="4" customWidth="1"/>
    <col min="6912" max="6912" width="9.28515625" style="4" customWidth="1"/>
    <col min="6913" max="6913" width="8.42578125" style="4" customWidth="1"/>
    <col min="6914" max="6914" width="11.28515625" style="4" customWidth="1"/>
    <col min="6915" max="6915" width="9.28515625" style="4" customWidth="1"/>
    <col min="6916" max="7153" width="9.140625" style="4"/>
    <col min="7154" max="7154" width="18.7109375" style="4" customWidth="1"/>
    <col min="7155" max="7155" width="25.140625" style="4" customWidth="1"/>
    <col min="7156" max="7158" width="7.5703125" style="4" customWidth="1"/>
    <col min="7159" max="7161" width="6.7109375" style="4" customWidth="1"/>
    <col min="7162" max="7165" width="7.5703125" style="4" customWidth="1"/>
    <col min="7166" max="7166" width="8.140625" style="4" customWidth="1"/>
    <col min="7167" max="7167" width="8.42578125" style="4" customWidth="1"/>
    <col min="7168" max="7168" width="9.28515625" style="4" customWidth="1"/>
    <col min="7169" max="7169" width="8.42578125" style="4" customWidth="1"/>
    <col min="7170" max="7170" width="11.28515625" style="4" customWidth="1"/>
    <col min="7171" max="7171" width="9.28515625" style="4" customWidth="1"/>
    <col min="7172" max="7409" width="9.140625" style="4"/>
    <col min="7410" max="7410" width="18.7109375" style="4" customWidth="1"/>
    <col min="7411" max="7411" width="25.140625" style="4" customWidth="1"/>
    <col min="7412" max="7414" width="7.5703125" style="4" customWidth="1"/>
    <col min="7415" max="7417" width="6.7109375" style="4" customWidth="1"/>
    <col min="7418" max="7421" width="7.5703125" style="4" customWidth="1"/>
    <col min="7422" max="7422" width="8.140625" style="4" customWidth="1"/>
    <col min="7423" max="7423" width="8.42578125" style="4" customWidth="1"/>
    <col min="7424" max="7424" width="9.28515625" style="4" customWidth="1"/>
    <col min="7425" max="7425" width="8.42578125" style="4" customWidth="1"/>
    <col min="7426" max="7426" width="11.28515625" style="4" customWidth="1"/>
    <col min="7427" max="7427" width="9.28515625" style="4" customWidth="1"/>
    <col min="7428" max="7665" width="9.140625" style="4"/>
    <col min="7666" max="7666" width="18.7109375" style="4" customWidth="1"/>
    <col min="7667" max="7667" width="25.140625" style="4" customWidth="1"/>
    <col min="7668" max="7670" width="7.5703125" style="4" customWidth="1"/>
    <col min="7671" max="7673" width="6.7109375" style="4" customWidth="1"/>
    <col min="7674" max="7677" width="7.5703125" style="4" customWidth="1"/>
    <col min="7678" max="7678" width="8.140625" style="4" customWidth="1"/>
    <col min="7679" max="7679" width="8.42578125" style="4" customWidth="1"/>
    <col min="7680" max="7680" width="9.28515625" style="4" customWidth="1"/>
    <col min="7681" max="7681" width="8.42578125" style="4" customWidth="1"/>
    <col min="7682" max="7682" width="11.28515625" style="4" customWidth="1"/>
    <col min="7683" max="7683" width="9.28515625" style="4" customWidth="1"/>
    <col min="7684" max="7921" width="9.140625" style="4"/>
    <col min="7922" max="7922" width="18.7109375" style="4" customWidth="1"/>
    <col min="7923" max="7923" width="25.140625" style="4" customWidth="1"/>
    <col min="7924" max="7926" width="7.5703125" style="4" customWidth="1"/>
    <col min="7927" max="7929" width="6.7109375" style="4" customWidth="1"/>
    <col min="7930" max="7933" width="7.5703125" style="4" customWidth="1"/>
    <col min="7934" max="7934" width="8.140625" style="4" customWidth="1"/>
    <col min="7935" max="7935" width="8.42578125" style="4" customWidth="1"/>
    <col min="7936" max="7936" width="9.28515625" style="4" customWidth="1"/>
    <col min="7937" max="7937" width="8.42578125" style="4" customWidth="1"/>
    <col min="7938" max="7938" width="11.28515625" style="4" customWidth="1"/>
    <col min="7939" max="7939" width="9.28515625" style="4" customWidth="1"/>
    <col min="7940" max="8177" width="9.140625" style="4"/>
    <col min="8178" max="8178" width="18.7109375" style="4" customWidth="1"/>
    <col min="8179" max="8179" width="25.140625" style="4" customWidth="1"/>
    <col min="8180" max="8182" width="7.5703125" style="4" customWidth="1"/>
    <col min="8183" max="8185" width="6.7109375" style="4" customWidth="1"/>
    <col min="8186" max="8189" width="7.5703125" style="4" customWidth="1"/>
    <col min="8190" max="8190" width="8.140625" style="4" customWidth="1"/>
    <col min="8191" max="8191" width="8.42578125" style="4" customWidth="1"/>
    <col min="8192" max="8192" width="9.28515625" style="4" customWidth="1"/>
    <col min="8193" max="8193" width="8.42578125" style="4" customWidth="1"/>
    <col min="8194" max="8194" width="11.28515625" style="4" customWidth="1"/>
    <col min="8195" max="8195" width="9.28515625" style="4" customWidth="1"/>
    <col min="8196" max="8433" width="9.140625" style="4"/>
    <col min="8434" max="8434" width="18.7109375" style="4" customWidth="1"/>
    <col min="8435" max="8435" width="25.140625" style="4" customWidth="1"/>
    <col min="8436" max="8438" width="7.5703125" style="4" customWidth="1"/>
    <col min="8439" max="8441" width="6.7109375" style="4" customWidth="1"/>
    <col min="8442" max="8445" width="7.5703125" style="4" customWidth="1"/>
    <col min="8446" max="8446" width="8.140625" style="4" customWidth="1"/>
    <col min="8447" max="8447" width="8.42578125" style="4" customWidth="1"/>
    <col min="8448" max="8448" width="9.28515625" style="4" customWidth="1"/>
    <col min="8449" max="8449" width="8.42578125" style="4" customWidth="1"/>
    <col min="8450" max="8450" width="11.28515625" style="4" customWidth="1"/>
    <col min="8451" max="8451" width="9.28515625" style="4" customWidth="1"/>
    <col min="8452" max="8689" width="9.140625" style="4"/>
    <col min="8690" max="8690" width="18.7109375" style="4" customWidth="1"/>
    <col min="8691" max="8691" width="25.140625" style="4" customWidth="1"/>
    <col min="8692" max="8694" width="7.5703125" style="4" customWidth="1"/>
    <col min="8695" max="8697" width="6.7109375" style="4" customWidth="1"/>
    <col min="8698" max="8701" width="7.5703125" style="4" customWidth="1"/>
    <col min="8702" max="8702" width="8.140625" style="4" customWidth="1"/>
    <col min="8703" max="8703" width="8.42578125" style="4" customWidth="1"/>
    <col min="8704" max="8704" width="9.28515625" style="4" customWidth="1"/>
    <col min="8705" max="8705" width="8.42578125" style="4" customWidth="1"/>
    <col min="8706" max="8706" width="11.28515625" style="4" customWidth="1"/>
    <col min="8707" max="8707" width="9.28515625" style="4" customWidth="1"/>
    <col min="8708" max="8945" width="9.140625" style="4"/>
    <col min="8946" max="8946" width="18.7109375" style="4" customWidth="1"/>
    <col min="8947" max="8947" width="25.140625" style="4" customWidth="1"/>
    <col min="8948" max="8950" width="7.5703125" style="4" customWidth="1"/>
    <col min="8951" max="8953" width="6.7109375" style="4" customWidth="1"/>
    <col min="8954" max="8957" width="7.5703125" style="4" customWidth="1"/>
    <col min="8958" max="8958" width="8.140625" style="4" customWidth="1"/>
    <col min="8959" max="8959" width="8.42578125" style="4" customWidth="1"/>
    <col min="8960" max="8960" width="9.28515625" style="4" customWidth="1"/>
    <col min="8961" max="8961" width="8.42578125" style="4" customWidth="1"/>
    <col min="8962" max="8962" width="11.28515625" style="4" customWidth="1"/>
    <col min="8963" max="8963" width="9.28515625" style="4" customWidth="1"/>
    <col min="8964" max="9201" width="9.140625" style="4"/>
    <col min="9202" max="9202" width="18.7109375" style="4" customWidth="1"/>
    <col min="9203" max="9203" width="25.140625" style="4" customWidth="1"/>
    <col min="9204" max="9206" width="7.5703125" style="4" customWidth="1"/>
    <col min="9207" max="9209" width="6.7109375" style="4" customWidth="1"/>
    <col min="9210" max="9213" width="7.5703125" style="4" customWidth="1"/>
    <col min="9214" max="9214" width="8.140625" style="4" customWidth="1"/>
    <col min="9215" max="9215" width="8.42578125" style="4" customWidth="1"/>
    <col min="9216" max="9216" width="9.28515625" style="4" customWidth="1"/>
    <col min="9217" max="9217" width="8.42578125" style="4" customWidth="1"/>
    <col min="9218" max="9218" width="11.28515625" style="4" customWidth="1"/>
    <col min="9219" max="9219" width="9.28515625" style="4" customWidth="1"/>
    <col min="9220" max="9457" width="9.140625" style="4"/>
    <col min="9458" max="9458" width="18.7109375" style="4" customWidth="1"/>
    <col min="9459" max="9459" width="25.140625" style="4" customWidth="1"/>
    <col min="9460" max="9462" width="7.5703125" style="4" customWidth="1"/>
    <col min="9463" max="9465" width="6.7109375" style="4" customWidth="1"/>
    <col min="9466" max="9469" width="7.5703125" style="4" customWidth="1"/>
    <col min="9470" max="9470" width="8.140625" style="4" customWidth="1"/>
    <col min="9471" max="9471" width="8.42578125" style="4" customWidth="1"/>
    <col min="9472" max="9472" width="9.28515625" style="4" customWidth="1"/>
    <col min="9473" max="9473" width="8.42578125" style="4" customWidth="1"/>
    <col min="9474" max="9474" width="11.28515625" style="4" customWidth="1"/>
    <col min="9475" max="9475" width="9.28515625" style="4" customWidth="1"/>
    <col min="9476" max="9713" width="9.140625" style="4"/>
    <col min="9714" max="9714" width="18.7109375" style="4" customWidth="1"/>
    <col min="9715" max="9715" width="25.140625" style="4" customWidth="1"/>
    <col min="9716" max="9718" width="7.5703125" style="4" customWidth="1"/>
    <col min="9719" max="9721" width="6.7109375" style="4" customWidth="1"/>
    <col min="9722" max="9725" width="7.5703125" style="4" customWidth="1"/>
    <col min="9726" max="9726" width="8.140625" style="4" customWidth="1"/>
    <col min="9727" max="9727" width="8.42578125" style="4" customWidth="1"/>
    <col min="9728" max="9728" width="9.28515625" style="4" customWidth="1"/>
    <col min="9729" max="9729" width="8.42578125" style="4" customWidth="1"/>
    <col min="9730" max="9730" width="11.28515625" style="4" customWidth="1"/>
    <col min="9731" max="9731" width="9.28515625" style="4" customWidth="1"/>
    <col min="9732" max="9969" width="9.140625" style="4"/>
    <col min="9970" max="9970" width="18.7109375" style="4" customWidth="1"/>
    <col min="9971" max="9971" width="25.140625" style="4" customWidth="1"/>
    <col min="9972" max="9974" width="7.5703125" style="4" customWidth="1"/>
    <col min="9975" max="9977" width="6.7109375" style="4" customWidth="1"/>
    <col min="9978" max="9981" width="7.5703125" style="4" customWidth="1"/>
    <col min="9982" max="9982" width="8.140625" style="4" customWidth="1"/>
    <col min="9983" max="9983" width="8.42578125" style="4" customWidth="1"/>
    <col min="9984" max="9984" width="9.28515625" style="4" customWidth="1"/>
    <col min="9985" max="9985" width="8.42578125" style="4" customWidth="1"/>
    <col min="9986" max="9986" width="11.28515625" style="4" customWidth="1"/>
    <col min="9987" max="9987" width="9.28515625" style="4" customWidth="1"/>
    <col min="9988" max="10225" width="9.140625" style="4"/>
    <col min="10226" max="10226" width="18.7109375" style="4" customWidth="1"/>
    <col min="10227" max="10227" width="25.140625" style="4" customWidth="1"/>
    <col min="10228" max="10230" width="7.5703125" style="4" customWidth="1"/>
    <col min="10231" max="10233" width="6.7109375" style="4" customWidth="1"/>
    <col min="10234" max="10237" width="7.5703125" style="4" customWidth="1"/>
    <col min="10238" max="10238" width="8.140625" style="4" customWidth="1"/>
    <col min="10239" max="10239" width="8.42578125" style="4" customWidth="1"/>
    <col min="10240" max="10240" width="9.28515625" style="4" customWidth="1"/>
    <col min="10241" max="10241" width="8.42578125" style="4" customWidth="1"/>
    <col min="10242" max="10242" width="11.28515625" style="4" customWidth="1"/>
    <col min="10243" max="10243" width="9.28515625" style="4" customWidth="1"/>
    <col min="10244" max="10481" width="9.140625" style="4"/>
    <col min="10482" max="10482" width="18.7109375" style="4" customWidth="1"/>
    <col min="10483" max="10483" width="25.140625" style="4" customWidth="1"/>
    <col min="10484" max="10486" width="7.5703125" style="4" customWidth="1"/>
    <col min="10487" max="10489" width="6.7109375" style="4" customWidth="1"/>
    <col min="10490" max="10493" width="7.5703125" style="4" customWidth="1"/>
    <col min="10494" max="10494" width="8.140625" style="4" customWidth="1"/>
    <col min="10495" max="10495" width="8.42578125" style="4" customWidth="1"/>
    <col min="10496" max="10496" width="9.28515625" style="4" customWidth="1"/>
    <col min="10497" max="10497" width="8.42578125" style="4" customWidth="1"/>
    <col min="10498" max="10498" width="11.28515625" style="4" customWidth="1"/>
    <col min="10499" max="10499" width="9.28515625" style="4" customWidth="1"/>
    <col min="10500" max="10737" width="9.140625" style="4"/>
    <col min="10738" max="10738" width="18.7109375" style="4" customWidth="1"/>
    <col min="10739" max="10739" width="25.140625" style="4" customWidth="1"/>
    <col min="10740" max="10742" width="7.5703125" style="4" customWidth="1"/>
    <col min="10743" max="10745" width="6.7109375" style="4" customWidth="1"/>
    <col min="10746" max="10749" width="7.5703125" style="4" customWidth="1"/>
    <col min="10750" max="10750" width="8.140625" style="4" customWidth="1"/>
    <col min="10751" max="10751" width="8.42578125" style="4" customWidth="1"/>
    <col min="10752" max="10752" width="9.28515625" style="4" customWidth="1"/>
    <col min="10753" max="10753" width="8.42578125" style="4" customWidth="1"/>
    <col min="10754" max="10754" width="11.28515625" style="4" customWidth="1"/>
    <col min="10755" max="10755" width="9.28515625" style="4" customWidth="1"/>
    <col min="10756" max="10993" width="9.140625" style="4"/>
    <col min="10994" max="10994" width="18.7109375" style="4" customWidth="1"/>
    <col min="10995" max="10995" width="25.140625" style="4" customWidth="1"/>
    <col min="10996" max="10998" width="7.5703125" style="4" customWidth="1"/>
    <col min="10999" max="11001" width="6.7109375" style="4" customWidth="1"/>
    <col min="11002" max="11005" width="7.5703125" style="4" customWidth="1"/>
    <col min="11006" max="11006" width="8.140625" style="4" customWidth="1"/>
    <col min="11007" max="11007" width="8.42578125" style="4" customWidth="1"/>
    <col min="11008" max="11008" width="9.28515625" style="4" customWidth="1"/>
    <col min="11009" max="11009" width="8.42578125" style="4" customWidth="1"/>
    <col min="11010" max="11010" width="11.28515625" style="4" customWidth="1"/>
    <col min="11011" max="11011" width="9.28515625" style="4" customWidth="1"/>
    <col min="11012" max="11249" width="9.140625" style="4"/>
    <col min="11250" max="11250" width="18.7109375" style="4" customWidth="1"/>
    <col min="11251" max="11251" width="25.140625" style="4" customWidth="1"/>
    <col min="11252" max="11254" width="7.5703125" style="4" customWidth="1"/>
    <col min="11255" max="11257" width="6.7109375" style="4" customWidth="1"/>
    <col min="11258" max="11261" width="7.5703125" style="4" customWidth="1"/>
    <col min="11262" max="11262" width="8.140625" style="4" customWidth="1"/>
    <col min="11263" max="11263" width="8.42578125" style="4" customWidth="1"/>
    <col min="11264" max="11264" width="9.28515625" style="4" customWidth="1"/>
    <col min="11265" max="11265" width="8.42578125" style="4" customWidth="1"/>
    <col min="11266" max="11266" width="11.28515625" style="4" customWidth="1"/>
    <col min="11267" max="11267" width="9.28515625" style="4" customWidth="1"/>
    <col min="11268" max="11505" width="9.140625" style="4"/>
    <col min="11506" max="11506" width="18.7109375" style="4" customWidth="1"/>
    <col min="11507" max="11507" width="25.140625" style="4" customWidth="1"/>
    <col min="11508" max="11510" width="7.5703125" style="4" customWidth="1"/>
    <col min="11511" max="11513" width="6.7109375" style="4" customWidth="1"/>
    <col min="11514" max="11517" width="7.5703125" style="4" customWidth="1"/>
    <col min="11518" max="11518" width="8.140625" style="4" customWidth="1"/>
    <col min="11519" max="11519" width="8.42578125" style="4" customWidth="1"/>
    <col min="11520" max="11520" width="9.28515625" style="4" customWidth="1"/>
    <col min="11521" max="11521" width="8.42578125" style="4" customWidth="1"/>
    <col min="11522" max="11522" width="11.28515625" style="4" customWidth="1"/>
    <col min="11523" max="11523" width="9.28515625" style="4" customWidth="1"/>
    <col min="11524" max="11761" width="9.140625" style="4"/>
    <col min="11762" max="11762" width="18.7109375" style="4" customWidth="1"/>
    <col min="11763" max="11763" width="25.140625" style="4" customWidth="1"/>
    <col min="11764" max="11766" width="7.5703125" style="4" customWidth="1"/>
    <col min="11767" max="11769" width="6.7109375" style="4" customWidth="1"/>
    <col min="11770" max="11773" width="7.5703125" style="4" customWidth="1"/>
    <col min="11774" max="11774" width="8.140625" style="4" customWidth="1"/>
    <col min="11775" max="11775" width="8.42578125" style="4" customWidth="1"/>
    <col min="11776" max="11776" width="9.28515625" style="4" customWidth="1"/>
    <col min="11777" max="11777" width="8.42578125" style="4" customWidth="1"/>
    <col min="11778" max="11778" width="11.28515625" style="4" customWidth="1"/>
    <col min="11779" max="11779" width="9.28515625" style="4" customWidth="1"/>
    <col min="11780" max="12017" width="9.140625" style="4"/>
    <col min="12018" max="12018" width="18.7109375" style="4" customWidth="1"/>
    <col min="12019" max="12019" width="25.140625" style="4" customWidth="1"/>
    <col min="12020" max="12022" width="7.5703125" style="4" customWidth="1"/>
    <col min="12023" max="12025" width="6.7109375" style="4" customWidth="1"/>
    <col min="12026" max="12029" width="7.5703125" style="4" customWidth="1"/>
    <col min="12030" max="12030" width="8.140625" style="4" customWidth="1"/>
    <col min="12031" max="12031" width="8.42578125" style="4" customWidth="1"/>
    <col min="12032" max="12032" width="9.28515625" style="4" customWidth="1"/>
    <col min="12033" max="12033" width="8.42578125" style="4" customWidth="1"/>
    <col min="12034" max="12034" width="11.28515625" style="4" customWidth="1"/>
    <col min="12035" max="12035" width="9.28515625" style="4" customWidth="1"/>
    <col min="12036" max="12273" width="9.140625" style="4"/>
    <col min="12274" max="12274" width="18.7109375" style="4" customWidth="1"/>
    <col min="12275" max="12275" width="25.140625" style="4" customWidth="1"/>
    <col min="12276" max="12278" width="7.5703125" style="4" customWidth="1"/>
    <col min="12279" max="12281" width="6.7109375" style="4" customWidth="1"/>
    <col min="12282" max="12285" width="7.5703125" style="4" customWidth="1"/>
    <col min="12286" max="12286" width="8.140625" style="4" customWidth="1"/>
    <col min="12287" max="12287" width="8.42578125" style="4" customWidth="1"/>
    <col min="12288" max="12288" width="9.28515625" style="4" customWidth="1"/>
    <col min="12289" max="12289" width="8.42578125" style="4" customWidth="1"/>
    <col min="12290" max="12290" width="11.28515625" style="4" customWidth="1"/>
    <col min="12291" max="12291" width="9.28515625" style="4" customWidth="1"/>
    <col min="12292" max="12529" width="9.140625" style="4"/>
    <col min="12530" max="12530" width="18.7109375" style="4" customWidth="1"/>
    <col min="12531" max="12531" width="25.140625" style="4" customWidth="1"/>
    <col min="12532" max="12534" width="7.5703125" style="4" customWidth="1"/>
    <col min="12535" max="12537" width="6.7109375" style="4" customWidth="1"/>
    <col min="12538" max="12541" width="7.5703125" style="4" customWidth="1"/>
    <col min="12542" max="12542" width="8.140625" style="4" customWidth="1"/>
    <col min="12543" max="12543" width="8.42578125" style="4" customWidth="1"/>
    <col min="12544" max="12544" width="9.28515625" style="4" customWidth="1"/>
    <col min="12545" max="12545" width="8.42578125" style="4" customWidth="1"/>
    <col min="12546" max="12546" width="11.28515625" style="4" customWidth="1"/>
    <col min="12547" max="12547" width="9.28515625" style="4" customWidth="1"/>
    <col min="12548" max="12785" width="9.140625" style="4"/>
    <col min="12786" max="12786" width="18.7109375" style="4" customWidth="1"/>
    <col min="12787" max="12787" width="25.140625" style="4" customWidth="1"/>
    <col min="12788" max="12790" width="7.5703125" style="4" customWidth="1"/>
    <col min="12791" max="12793" width="6.7109375" style="4" customWidth="1"/>
    <col min="12794" max="12797" width="7.5703125" style="4" customWidth="1"/>
    <col min="12798" max="12798" width="8.140625" style="4" customWidth="1"/>
    <col min="12799" max="12799" width="8.42578125" style="4" customWidth="1"/>
    <col min="12800" max="12800" width="9.28515625" style="4" customWidth="1"/>
    <col min="12801" max="12801" width="8.42578125" style="4" customWidth="1"/>
    <col min="12802" max="12802" width="11.28515625" style="4" customWidth="1"/>
    <col min="12803" max="12803" width="9.28515625" style="4" customWidth="1"/>
    <col min="12804" max="13041" width="9.140625" style="4"/>
    <col min="13042" max="13042" width="18.7109375" style="4" customWidth="1"/>
    <col min="13043" max="13043" width="25.140625" style="4" customWidth="1"/>
    <col min="13044" max="13046" width="7.5703125" style="4" customWidth="1"/>
    <col min="13047" max="13049" width="6.7109375" style="4" customWidth="1"/>
    <col min="13050" max="13053" width="7.5703125" style="4" customWidth="1"/>
    <col min="13054" max="13054" width="8.140625" style="4" customWidth="1"/>
    <col min="13055" max="13055" width="8.42578125" style="4" customWidth="1"/>
    <col min="13056" max="13056" width="9.28515625" style="4" customWidth="1"/>
    <col min="13057" max="13057" width="8.42578125" style="4" customWidth="1"/>
    <col min="13058" max="13058" width="11.28515625" style="4" customWidth="1"/>
    <col min="13059" max="13059" width="9.28515625" style="4" customWidth="1"/>
    <col min="13060" max="13297" width="9.140625" style="4"/>
    <col min="13298" max="13298" width="18.7109375" style="4" customWidth="1"/>
    <col min="13299" max="13299" width="25.140625" style="4" customWidth="1"/>
    <col min="13300" max="13302" width="7.5703125" style="4" customWidth="1"/>
    <col min="13303" max="13305" width="6.7109375" style="4" customWidth="1"/>
    <col min="13306" max="13309" width="7.5703125" style="4" customWidth="1"/>
    <col min="13310" max="13310" width="8.140625" style="4" customWidth="1"/>
    <col min="13311" max="13311" width="8.42578125" style="4" customWidth="1"/>
    <col min="13312" max="13312" width="9.28515625" style="4" customWidth="1"/>
    <col min="13313" max="13313" width="8.42578125" style="4" customWidth="1"/>
    <col min="13314" max="13314" width="11.28515625" style="4" customWidth="1"/>
    <col min="13315" max="13315" width="9.28515625" style="4" customWidth="1"/>
    <col min="13316" max="13553" width="9.140625" style="4"/>
    <col min="13554" max="13554" width="18.7109375" style="4" customWidth="1"/>
    <col min="13555" max="13555" width="25.140625" style="4" customWidth="1"/>
    <col min="13556" max="13558" width="7.5703125" style="4" customWidth="1"/>
    <col min="13559" max="13561" width="6.7109375" style="4" customWidth="1"/>
    <col min="13562" max="13565" width="7.5703125" style="4" customWidth="1"/>
    <col min="13566" max="13566" width="8.140625" style="4" customWidth="1"/>
    <col min="13567" max="13567" width="8.42578125" style="4" customWidth="1"/>
    <col min="13568" max="13568" width="9.28515625" style="4" customWidth="1"/>
    <col min="13569" max="13569" width="8.42578125" style="4" customWidth="1"/>
    <col min="13570" max="13570" width="11.28515625" style="4" customWidth="1"/>
    <col min="13571" max="13571" width="9.28515625" style="4" customWidth="1"/>
    <col min="13572" max="13809" width="9.140625" style="4"/>
    <col min="13810" max="13810" width="18.7109375" style="4" customWidth="1"/>
    <col min="13811" max="13811" width="25.140625" style="4" customWidth="1"/>
    <col min="13812" max="13814" width="7.5703125" style="4" customWidth="1"/>
    <col min="13815" max="13817" width="6.7109375" style="4" customWidth="1"/>
    <col min="13818" max="13821" width="7.5703125" style="4" customWidth="1"/>
    <col min="13822" max="13822" width="8.140625" style="4" customWidth="1"/>
    <col min="13823" max="13823" width="8.42578125" style="4" customWidth="1"/>
    <col min="13824" max="13824" width="9.28515625" style="4" customWidth="1"/>
    <col min="13825" max="13825" width="8.42578125" style="4" customWidth="1"/>
    <col min="13826" max="13826" width="11.28515625" style="4" customWidth="1"/>
    <col min="13827" max="13827" width="9.28515625" style="4" customWidth="1"/>
    <col min="13828" max="14065" width="9.140625" style="4"/>
    <col min="14066" max="14066" width="18.7109375" style="4" customWidth="1"/>
    <col min="14067" max="14067" width="25.140625" style="4" customWidth="1"/>
    <col min="14068" max="14070" width="7.5703125" style="4" customWidth="1"/>
    <col min="14071" max="14073" width="6.7109375" style="4" customWidth="1"/>
    <col min="14074" max="14077" width="7.5703125" style="4" customWidth="1"/>
    <col min="14078" max="14078" width="8.140625" style="4" customWidth="1"/>
    <col min="14079" max="14079" width="8.42578125" style="4" customWidth="1"/>
    <col min="14080" max="14080" width="9.28515625" style="4" customWidth="1"/>
    <col min="14081" max="14081" width="8.42578125" style="4" customWidth="1"/>
    <col min="14082" max="14082" width="11.28515625" style="4" customWidth="1"/>
    <col min="14083" max="14083" width="9.28515625" style="4" customWidth="1"/>
    <col min="14084" max="14321" width="9.140625" style="4"/>
    <col min="14322" max="14322" width="18.7109375" style="4" customWidth="1"/>
    <col min="14323" max="14323" width="25.140625" style="4" customWidth="1"/>
    <col min="14324" max="14326" width="7.5703125" style="4" customWidth="1"/>
    <col min="14327" max="14329" width="6.7109375" style="4" customWidth="1"/>
    <col min="14330" max="14333" width="7.5703125" style="4" customWidth="1"/>
    <col min="14334" max="14334" width="8.140625" style="4" customWidth="1"/>
    <col min="14335" max="14335" width="8.42578125" style="4" customWidth="1"/>
    <col min="14336" max="14336" width="9.28515625" style="4" customWidth="1"/>
    <col min="14337" max="14337" width="8.42578125" style="4" customWidth="1"/>
    <col min="14338" max="14338" width="11.28515625" style="4" customWidth="1"/>
    <col min="14339" max="14339" width="9.28515625" style="4" customWidth="1"/>
    <col min="14340" max="14577" width="9.140625" style="4"/>
    <col min="14578" max="14578" width="18.7109375" style="4" customWidth="1"/>
    <col min="14579" max="14579" width="25.140625" style="4" customWidth="1"/>
    <col min="14580" max="14582" width="7.5703125" style="4" customWidth="1"/>
    <col min="14583" max="14585" width="6.7109375" style="4" customWidth="1"/>
    <col min="14586" max="14589" width="7.5703125" style="4" customWidth="1"/>
    <col min="14590" max="14590" width="8.140625" style="4" customWidth="1"/>
    <col min="14591" max="14591" width="8.42578125" style="4" customWidth="1"/>
    <col min="14592" max="14592" width="9.28515625" style="4" customWidth="1"/>
    <col min="14593" max="14593" width="8.42578125" style="4" customWidth="1"/>
    <col min="14594" max="14594" width="11.28515625" style="4" customWidth="1"/>
    <col min="14595" max="14595" width="9.28515625" style="4" customWidth="1"/>
    <col min="14596" max="14833" width="9.140625" style="4"/>
    <col min="14834" max="14834" width="18.7109375" style="4" customWidth="1"/>
    <col min="14835" max="14835" width="25.140625" style="4" customWidth="1"/>
    <col min="14836" max="14838" width="7.5703125" style="4" customWidth="1"/>
    <col min="14839" max="14841" width="6.7109375" style="4" customWidth="1"/>
    <col min="14842" max="14845" width="7.5703125" style="4" customWidth="1"/>
    <col min="14846" max="14846" width="8.140625" style="4" customWidth="1"/>
    <col min="14847" max="14847" width="8.42578125" style="4" customWidth="1"/>
    <col min="14848" max="14848" width="9.28515625" style="4" customWidth="1"/>
    <col min="14849" max="14849" width="8.42578125" style="4" customWidth="1"/>
    <col min="14850" max="14850" width="11.28515625" style="4" customWidth="1"/>
    <col min="14851" max="14851" width="9.28515625" style="4" customWidth="1"/>
    <col min="14852" max="15089" width="9.140625" style="4"/>
    <col min="15090" max="15090" width="18.7109375" style="4" customWidth="1"/>
    <col min="15091" max="15091" width="25.140625" style="4" customWidth="1"/>
    <col min="15092" max="15094" width="7.5703125" style="4" customWidth="1"/>
    <col min="15095" max="15097" width="6.7109375" style="4" customWidth="1"/>
    <col min="15098" max="15101" width="7.5703125" style="4" customWidth="1"/>
    <col min="15102" max="15102" width="8.140625" style="4" customWidth="1"/>
    <col min="15103" max="15103" width="8.42578125" style="4" customWidth="1"/>
    <col min="15104" max="15104" width="9.28515625" style="4" customWidth="1"/>
    <col min="15105" max="15105" width="8.42578125" style="4" customWidth="1"/>
    <col min="15106" max="15106" width="11.28515625" style="4" customWidth="1"/>
    <col min="15107" max="15107" width="9.28515625" style="4" customWidth="1"/>
    <col min="15108" max="15345" width="9.140625" style="4"/>
    <col min="15346" max="15346" width="18.7109375" style="4" customWidth="1"/>
    <col min="15347" max="15347" width="25.140625" style="4" customWidth="1"/>
    <col min="15348" max="15350" width="7.5703125" style="4" customWidth="1"/>
    <col min="15351" max="15353" width="6.7109375" style="4" customWidth="1"/>
    <col min="15354" max="15357" width="7.5703125" style="4" customWidth="1"/>
    <col min="15358" max="15358" width="8.140625" style="4" customWidth="1"/>
    <col min="15359" max="15359" width="8.42578125" style="4" customWidth="1"/>
    <col min="15360" max="15360" width="9.28515625" style="4" customWidth="1"/>
    <col min="15361" max="15361" width="8.42578125" style="4" customWidth="1"/>
    <col min="15362" max="15362" width="11.28515625" style="4" customWidth="1"/>
    <col min="15363" max="15363" width="9.28515625" style="4" customWidth="1"/>
    <col min="15364" max="15601" width="9.140625" style="4"/>
    <col min="15602" max="15602" width="18.7109375" style="4" customWidth="1"/>
    <col min="15603" max="15603" width="25.140625" style="4" customWidth="1"/>
    <col min="15604" max="15606" width="7.5703125" style="4" customWidth="1"/>
    <col min="15607" max="15609" width="6.7109375" style="4" customWidth="1"/>
    <col min="15610" max="15613" width="7.5703125" style="4" customWidth="1"/>
    <col min="15614" max="15614" width="8.140625" style="4" customWidth="1"/>
    <col min="15615" max="15615" width="8.42578125" style="4" customWidth="1"/>
    <col min="15616" max="15616" width="9.28515625" style="4" customWidth="1"/>
    <col min="15617" max="15617" width="8.42578125" style="4" customWidth="1"/>
    <col min="15618" max="15618" width="11.28515625" style="4" customWidth="1"/>
    <col min="15619" max="15619" width="9.28515625" style="4" customWidth="1"/>
    <col min="15620" max="15857" width="9.140625" style="4"/>
    <col min="15858" max="15858" width="18.7109375" style="4" customWidth="1"/>
    <col min="15859" max="15859" width="25.140625" style="4" customWidth="1"/>
    <col min="15860" max="15862" width="7.5703125" style="4" customWidth="1"/>
    <col min="15863" max="15865" width="6.7109375" style="4" customWidth="1"/>
    <col min="15866" max="15869" width="7.5703125" style="4" customWidth="1"/>
    <col min="15870" max="15870" width="8.140625" style="4" customWidth="1"/>
    <col min="15871" max="15871" width="8.42578125" style="4" customWidth="1"/>
    <col min="15872" max="15872" width="9.28515625" style="4" customWidth="1"/>
    <col min="15873" max="15873" width="8.42578125" style="4" customWidth="1"/>
    <col min="15874" max="15874" width="11.28515625" style="4" customWidth="1"/>
    <col min="15875" max="15875" width="9.28515625" style="4" customWidth="1"/>
    <col min="15876" max="16113" width="9.140625" style="4"/>
    <col min="16114" max="16114" width="18.7109375" style="4" customWidth="1"/>
    <col min="16115" max="16115" width="25.140625" style="4" customWidth="1"/>
    <col min="16116" max="16118" width="7.5703125" style="4" customWidth="1"/>
    <col min="16119" max="16121" width="6.7109375" style="4" customWidth="1"/>
    <col min="16122" max="16125" width="7.5703125" style="4" customWidth="1"/>
    <col min="16126" max="16126" width="8.140625" style="4" customWidth="1"/>
    <col min="16127" max="16127" width="8.42578125" style="4" customWidth="1"/>
    <col min="16128" max="16128" width="9.28515625" style="4" customWidth="1"/>
    <col min="16129" max="16129" width="8.42578125" style="4" customWidth="1"/>
    <col min="16130" max="16130" width="11.28515625" style="4" customWidth="1"/>
    <col min="16131" max="16131" width="9.28515625" style="4" customWidth="1"/>
    <col min="16132" max="16384" width="9.140625" style="4"/>
  </cols>
  <sheetData>
    <row r="1" spans="1:10" s="71" customFormat="1" ht="15" customHeight="1" x14ac:dyDescent="0.2">
      <c r="A1" s="601"/>
      <c r="B1" s="610"/>
      <c r="C1" s="608"/>
      <c r="D1" s="623" t="s">
        <v>388</v>
      </c>
      <c r="E1" s="594" t="str">
        <f>'Obra '!D1</f>
        <v>Mowe</v>
      </c>
      <c r="F1" s="594"/>
      <c r="G1" s="594"/>
      <c r="H1" s="594"/>
      <c r="I1" s="607"/>
      <c r="J1" s="608"/>
    </row>
    <row r="2" spans="1:10" s="348" customFormat="1" ht="15" customHeight="1" x14ac:dyDescent="0.2">
      <c r="A2" s="603"/>
      <c r="C2" s="675"/>
      <c r="D2" s="623" t="s">
        <v>358</v>
      </c>
      <c r="E2" s="594" t="str">
        <f>'Obra '!D2</f>
        <v>MARTINS|FRANCEZ ENGENHARIA</v>
      </c>
      <c r="F2" s="635"/>
      <c r="G2" s="635"/>
      <c r="H2" s="594"/>
      <c r="I2" s="676"/>
      <c r="J2" s="675"/>
    </row>
    <row r="3" spans="1:10" s="348" customFormat="1" ht="12.75" x14ac:dyDescent="0.2">
      <c r="A3" s="603"/>
      <c r="C3" s="675"/>
      <c r="D3" s="623" t="s">
        <v>505</v>
      </c>
      <c r="E3" s="1273"/>
      <c r="F3" s="1273"/>
      <c r="G3" s="1273"/>
      <c r="H3" s="1274"/>
      <c r="I3" s="676"/>
      <c r="J3" s="675"/>
    </row>
    <row r="4" spans="1:10" s="348" customFormat="1" ht="15" customHeight="1" x14ac:dyDescent="0.2">
      <c r="A4" s="611"/>
      <c r="B4" s="677"/>
      <c r="C4" s="678"/>
      <c r="D4" s="623" t="s">
        <v>359</v>
      </c>
      <c r="E4" s="594"/>
      <c r="F4" s="594"/>
      <c r="G4" s="594"/>
      <c r="H4" s="594"/>
      <c r="I4" s="679"/>
      <c r="J4" s="678"/>
    </row>
    <row r="5" spans="1:10" s="75" customFormat="1" ht="22.15" customHeight="1" x14ac:dyDescent="0.2">
      <c r="A5" s="1275" t="s">
        <v>617</v>
      </c>
      <c r="B5" s="1276"/>
      <c r="C5" s="1276"/>
      <c r="D5" s="1276"/>
      <c r="E5" s="1276"/>
      <c r="F5" s="1276"/>
      <c r="G5" s="1276"/>
      <c r="H5" s="1276"/>
      <c r="I5" s="1276"/>
      <c r="J5" s="1277"/>
    </row>
    <row r="6" spans="1:10" s="252" customFormat="1" ht="56.25" customHeight="1" x14ac:dyDescent="0.2">
      <c r="A6" s="1278" t="s">
        <v>521</v>
      </c>
      <c r="B6" s="763" t="s">
        <v>618</v>
      </c>
      <c r="C6" s="763" t="s">
        <v>619</v>
      </c>
      <c r="D6" s="763" t="s">
        <v>620</v>
      </c>
      <c r="E6" s="763" t="s">
        <v>621</v>
      </c>
      <c r="F6" s="763" t="s">
        <v>622</v>
      </c>
      <c r="G6" s="763" t="s">
        <v>83</v>
      </c>
      <c r="H6" s="763" t="s">
        <v>623</v>
      </c>
      <c r="I6" s="763" t="s">
        <v>624</v>
      </c>
      <c r="J6" s="763" t="s">
        <v>625</v>
      </c>
    </row>
    <row r="7" spans="1:10" s="252" customFormat="1" ht="12" x14ac:dyDescent="0.2">
      <c r="A7" s="1279"/>
      <c r="B7" s="785" t="s">
        <v>523</v>
      </c>
      <c r="C7" s="553" t="s">
        <v>626</v>
      </c>
      <c r="D7" s="553" t="s">
        <v>525</v>
      </c>
      <c r="E7" s="553" t="s">
        <v>526</v>
      </c>
      <c r="F7" s="553" t="s">
        <v>627</v>
      </c>
      <c r="G7" s="553" t="s">
        <v>628</v>
      </c>
      <c r="H7" s="553" t="s">
        <v>356</v>
      </c>
      <c r="I7" s="553" t="s">
        <v>629</v>
      </c>
      <c r="J7" s="553" t="s">
        <v>630</v>
      </c>
    </row>
    <row r="8" spans="1:10" s="287" customFormat="1" ht="16.149999999999999" customHeight="1" x14ac:dyDescent="0.2">
      <c r="A8" s="695" t="s">
        <v>528</v>
      </c>
      <c r="B8" s="696"/>
      <c r="C8" s="696"/>
      <c r="D8" s="696"/>
      <c r="E8" s="696"/>
      <c r="F8" s="696"/>
      <c r="G8" s="696"/>
      <c r="H8" s="694"/>
      <c r="I8" s="694"/>
      <c r="J8" s="694">
        <f>SUM(J9:J9)</f>
        <v>3.9950000000000006</v>
      </c>
    </row>
    <row r="9" spans="1:10" s="287" customFormat="1" ht="15" customHeight="1" thickBot="1" x14ac:dyDescent="0.25">
      <c r="A9" s="781" t="s">
        <v>631</v>
      </c>
      <c r="B9" s="786" t="s">
        <v>54</v>
      </c>
      <c r="C9" s="781">
        <v>1</v>
      </c>
      <c r="D9" s="781">
        <v>0.55000000000000004</v>
      </c>
      <c r="E9" s="781">
        <v>1.05</v>
      </c>
      <c r="F9" s="847">
        <f>2*D9+2*E9</f>
        <v>3.2</v>
      </c>
      <c r="G9" s="781">
        <v>1.2</v>
      </c>
      <c r="H9" s="847">
        <f>E9*D9</f>
        <v>0.57750000000000012</v>
      </c>
      <c r="I9" s="847">
        <f>0.65*0.65</f>
        <v>0.42250000000000004</v>
      </c>
      <c r="J9" s="847">
        <f>(H9+F9*G9-I9)*C9</f>
        <v>3.9950000000000006</v>
      </c>
    </row>
    <row r="10" spans="1:10" ht="13.5" thickTop="1" thickBot="1" x14ac:dyDescent="0.25">
      <c r="A10" s="216" t="s">
        <v>23</v>
      </c>
      <c r="B10" s="310"/>
      <c r="C10" s="310">
        <f>SUM(C9:C9)</f>
        <v>1</v>
      </c>
      <c r="D10" s="310"/>
      <c r="E10" s="310"/>
      <c r="F10" s="310"/>
      <c r="G10" s="310"/>
      <c r="H10" s="310"/>
      <c r="I10" s="310"/>
      <c r="J10" s="310">
        <f>J8</f>
        <v>3.9950000000000006</v>
      </c>
    </row>
    <row r="11" spans="1:10" ht="12" thickTop="1" x14ac:dyDescent="0.2">
      <c r="A11" s="7"/>
      <c r="B11" s="7"/>
      <c r="C11" s="7"/>
      <c r="D11" s="7"/>
      <c r="E11" s="7"/>
      <c r="F11" s="7"/>
      <c r="G11" s="7"/>
      <c r="H11" s="7"/>
    </row>
    <row r="12" spans="1:10" x14ac:dyDescent="0.2">
      <c r="A12" s="7"/>
      <c r="B12" s="7"/>
      <c r="C12" s="7"/>
      <c r="D12" s="7"/>
      <c r="E12" s="7"/>
      <c r="F12" s="7"/>
      <c r="G12" s="7"/>
      <c r="H12" s="7"/>
    </row>
    <row r="13" spans="1:10" ht="24.75" customHeight="1" x14ac:dyDescent="0.2">
      <c r="A13" s="7"/>
      <c r="B13" s="7"/>
      <c r="C13" s="7"/>
      <c r="D13" s="7"/>
      <c r="E13" s="7"/>
      <c r="F13" s="7"/>
      <c r="G13" s="7"/>
      <c r="H13" s="7"/>
    </row>
    <row r="36" spans="1:1" x14ac:dyDescent="0.2">
      <c r="A36" s="683"/>
    </row>
  </sheetData>
  <mergeCells count="3">
    <mergeCell ref="E3:H3"/>
    <mergeCell ref="A5:J5"/>
    <mergeCell ref="A6:A7"/>
  </mergeCells>
  <printOptions horizontalCentered="1"/>
  <pageMargins left="0.39370078740157483" right="0" top="0.39370078740157483" bottom="0.39370078740157483" header="0.51181102362204722" footer="0.19685039370078741"/>
  <pageSetup paperSize="9" scale="79" orientation="portrait" verticalDpi="300" r:id="rId1"/>
  <headerFooter alignWithMargins="0">
    <oddFooter>&amp;L&amp;F - &amp;A&amp;R&amp;P /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7467-602B-4ECF-A6AA-8934330E269C}">
  <sheetPr>
    <tabColor rgb="FFF43800"/>
  </sheetPr>
  <dimension ref="A1:I818"/>
  <sheetViews>
    <sheetView topLeftCell="A13" zoomScaleNormal="100" workbookViewId="0">
      <selection activeCell="H36" sqref="H36"/>
    </sheetView>
  </sheetViews>
  <sheetFormatPr defaultRowHeight="15" x14ac:dyDescent="0.25"/>
  <cols>
    <col min="1" max="1" width="54.7109375" style="1146" customWidth="1"/>
    <col min="2" max="2" width="11" style="1146" customWidth="1"/>
    <col min="3" max="3" width="12.7109375" style="1146" bestFit="1" customWidth="1"/>
    <col min="4" max="5" width="12.7109375" style="1146" customWidth="1"/>
    <col min="6" max="7" width="15.5703125" style="1146" customWidth="1"/>
    <col min="8" max="8" width="20.42578125" style="1147" customWidth="1"/>
    <col min="9" max="9" width="10.42578125" style="1146" bestFit="1" customWidth="1"/>
    <col min="10" max="10" width="9.42578125" style="1146" bestFit="1" customWidth="1"/>
    <col min="11" max="13" width="10.42578125" style="1146" bestFit="1" customWidth="1"/>
    <col min="14" max="16384" width="9.140625" style="1146"/>
  </cols>
  <sheetData>
    <row r="1" spans="1:8" hidden="1" x14ac:dyDescent="0.25"/>
    <row r="2" spans="1:8" hidden="1" x14ac:dyDescent="0.25"/>
    <row r="3" spans="1:8" hidden="1" x14ac:dyDescent="0.25"/>
    <row r="4" spans="1:8" hidden="1" x14ac:dyDescent="0.25"/>
    <row r="5" spans="1:8" hidden="1" x14ac:dyDescent="0.25"/>
    <row r="6" spans="1:8" hidden="1" x14ac:dyDescent="0.25"/>
    <row r="7" spans="1:8" hidden="1" x14ac:dyDescent="0.25"/>
    <row r="8" spans="1:8" hidden="1" x14ac:dyDescent="0.25"/>
    <row r="9" spans="1:8" hidden="1" x14ac:dyDescent="0.25"/>
    <row r="10" spans="1:8" hidden="1" x14ac:dyDescent="0.25"/>
    <row r="11" spans="1:8" hidden="1" x14ac:dyDescent="0.25"/>
    <row r="12" spans="1:8" hidden="1" x14ac:dyDescent="0.25"/>
    <row r="13" spans="1:8" x14ac:dyDescent="0.25">
      <c r="A13" s="821"/>
      <c r="B13" s="1163" t="s">
        <v>388</v>
      </c>
      <c r="C13" s="1280" t="s">
        <v>996</v>
      </c>
      <c r="D13" s="1281"/>
      <c r="E13" s="1281"/>
      <c r="F13" s="1281"/>
      <c r="G13" s="1281"/>
      <c r="H13" s="1282"/>
    </row>
    <row r="14" spans="1:8" ht="15" customHeight="1" x14ac:dyDescent="0.25">
      <c r="A14" s="822"/>
      <c r="B14" s="1162" t="s">
        <v>358</v>
      </c>
      <c r="C14" s="1280" t="s">
        <v>1000</v>
      </c>
      <c r="D14" s="1281"/>
      <c r="E14" s="1281"/>
      <c r="F14" s="1281"/>
      <c r="G14" s="1281"/>
      <c r="H14" s="1282"/>
    </row>
    <row r="15" spans="1:8" x14ac:dyDescent="0.25">
      <c r="A15" s="825"/>
      <c r="B15" s="1181" t="s">
        <v>359</v>
      </c>
      <c r="C15" s="1280" t="s">
        <v>997</v>
      </c>
      <c r="D15" s="1281"/>
      <c r="E15" s="1281"/>
      <c r="F15" s="1281"/>
      <c r="G15" s="1281"/>
      <c r="H15" s="1282"/>
    </row>
    <row r="16" spans="1:8" ht="18.75" x14ac:dyDescent="0.25">
      <c r="A16" s="1283" t="s">
        <v>440</v>
      </c>
      <c r="B16" s="1284"/>
      <c r="C16" s="1284"/>
      <c r="D16" s="1284"/>
      <c r="E16" s="1284"/>
      <c r="F16" s="1284"/>
      <c r="G16" s="1284"/>
      <c r="H16" s="1284"/>
    </row>
    <row r="17" spans="1:9" ht="15.75" x14ac:dyDescent="0.25">
      <c r="A17" s="1148" t="s">
        <v>0</v>
      </c>
      <c r="B17" s="1149" t="s">
        <v>96</v>
      </c>
      <c r="C17" s="1149" t="s">
        <v>2614</v>
      </c>
      <c r="D17" s="1149" t="s">
        <v>1276</v>
      </c>
      <c r="E17" s="1149" t="s">
        <v>2615</v>
      </c>
      <c r="F17" s="1149" t="s">
        <v>441</v>
      </c>
      <c r="G17" s="1149" t="s">
        <v>16</v>
      </c>
      <c r="H17" s="1149" t="s">
        <v>744</v>
      </c>
    </row>
    <row r="18" spans="1:9" x14ac:dyDescent="0.25">
      <c r="A18" s="1150" t="s">
        <v>2616</v>
      </c>
      <c r="B18" s="1151"/>
      <c r="C18" s="1151"/>
      <c r="D18" s="1151"/>
      <c r="E18" s="1151"/>
      <c r="F18" s="1151"/>
      <c r="G18" s="1151">
        <f>SUM(G19:G27)</f>
        <v>10895.147999999999</v>
      </c>
      <c r="H18" s="1151"/>
    </row>
    <row r="19" spans="1:9" x14ac:dyDescent="0.25">
      <c r="A19" s="1152" t="s">
        <v>2617</v>
      </c>
      <c r="B19" s="1153" t="s">
        <v>96</v>
      </c>
      <c r="C19" s="1154">
        <v>1</v>
      </c>
      <c r="D19" s="1154">
        <v>1</v>
      </c>
      <c r="E19" s="1154">
        <f>D19+C19</f>
        <v>2</v>
      </c>
      <c r="F19" s="1155">
        <v>205.23</v>
      </c>
      <c r="G19" s="1155">
        <f>F19*E19</f>
        <v>410.46</v>
      </c>
      <c r="H19" s="1156" t="s">
        <v>2618</v>
      </c>
    </row>
    <row r="20" spans="1:9" x14ac:dyDescent="0.25">
      <c r="A20" s="1152" t="s">
        <v>2619</v>
      </c>
      <c r="B20" s="1153" t="s">
        <v>96</v>
      </c>
      <c r="C20" s="1154">
        <v>1</v>
      </c>
      <c r="D20" s="1154">
        <v>0</v>
      </c>
      <c r="E20" s="1154">
        <f t="shared" ref="E20:E26" si="0">D20+C20</f>
        <v>1</v>
      </c>
      <c r="F20" s="1155">
        <v>12.9</v>
      </c>
      <c r="G20" s="1155">
        <f t="shared" ref="G20:G27" si="1">F20*E20</f>
        <v>12.9</v>
      </c>
      <c r="H20" s="1156" t="s">
        <v>2618</v>
      </c>
    </row>
    <row r="21" spans="1:9" x14ac:dyDescent="0.25">
      <c r="A21" s="1152" t="s">
        <v>2620</v>
      </c>
      <c r="B21" s="1153" t="s">
        <v>96</v>
      </c>
      <c r="C21" s="1154">
        <v>6</v>
      </c>
      <c r="D21" s="1154">
        <v>8</v>
      </c>
      <c r="E21" s="1154">
        <f t="shared" si="0"/>
        <v>14</v>
      </c>
      <c r="F21" s="1155">
        <v>55.04</v>
      </c>
      <c r="G21" s="1155">
        <f t="shared" si="1"/>
        <v>770.56</v>
      </c>
      <c r="H21" s="1156" t="s">
        <v>2618</v>
      </c>
    </row>
    <row r="22" spans="1:9" x14ac:dyDescent="0.25">
      <c r="A22" s="1152" t="s">
        <v>2621</v>
      </c>
      <c r="B22" s="1153" t="s">
        <v>96</v>
      </c>
      <c r="C22" s="1154">
        <v>0</v>
      </c>
      <c r="D22" s="1154">
        <v>1</v>
      </c>
      <c r="E22" s="1154">
        <f t="shared" si="0"/>
        <v>1</v>
      </c>
      <c r="F22" s="1155">
        <f>F21*1.2</f>
        <v>66.048000000000002</v>
      </c>
      <c r="G22" s="1155">
        <f t="shared" si="1"/>
        <v>66.048000000000002</v>
      </c>
      <c r="H22" s="1156" t="s">
        <v>2618</v>
      </c>
    </row>
    <row r="23" spans="1:9" x14ac:dyDescent="0.25">
      <c r="A23" s="1152" t="s">
        <v>2622</v>
      </c>
      <c r="B23" s="1153" t="s">
        <v>96</v>
      </c>
      <c r="C23" s="1154">
        <v>1</v>
      </c>
      <c r="D23" s="1154">
        <v>2</v>
      </c>
      <c r="E23" s="1154">
        <f t="shared" si="0"/>
        <v>3</v>
      </c>
      <c r="F23" s="1155">
        <v>937.38</v>
      </c>
      <c r="G23" s="1155">
        <f t="shared" si="1"/>
        <v>2812.14</v>
      </c>
      <c r="H23" s="1156" t="s">
        <v>2618</v>
      </c>
    </row>
    <row r="24" spans="1:9" x14ac:dyDescent="0.25">
      <c r="A24" s="1152" t="s">
        <v>2623</v>
      </c>
      <c r="B24" s="1153" t="s">
        <v>96</v>
      </c>
      <c r="C24" s="1154">
        <v>6</v>
      </c>
      <c r="D24" s="1154">
        <v>0</v>
      </c>
      <c r="E24" s="1154">
        <f t="shared" si="0"/>
        <v>6</v>
      </c>
      <c r="F24" s="1155">
        <v>490</v>
      </c>
      <c r="G24" s="1155">
        <f t="shared" si="1"/>
        <v>2940</v>
      </c>
      <c r="H24" s="1156" t="s">
        <v>2618</v>
      </c>
    </row>
    <row r="25" spans="1:9" x14ac:dyDescent="0.25">
      <c r="A25" s="1152" t="s">
        <v>2624</v>
      </c>
      <c r="B25" s="1153" t="s">
        <v>96</v>
      </c>
      <c r="C25" s="1154">
        <v>1</v>
      </c>
      <c r="D25" s="1154">
        <v>0</v>
      </c>
      <c r="E25" s="1154">
        <f t="shared" si="0"/>
        <v>1</v>
      </c>
      <c r="F25" s="1155">
        <f>90*19.5</f>
        <v>1755</v>
      </c>
      <c r="G25" s="1155">
        <f t="shared" si="1"/>
        <v>1755</v>
      </c>
      <c r="H25" s="1156" t="s">
        <v>746</v>
      </c>
    </row>
    <row r="26" spans="1:9" x14ac:dyDescent="0.25">
      <c r="A26" s="1152" t="s">
        <v>2625</v>
      </c>
      <c r="B26" s="1153" t="s">
        <v>96</v>
      </c>
      <c r="C26" s="1154">
        <v>2</v>
      </c>
      <c r="D26" s="1154">
        <v>0</v>
      </c>
      <c r="E26" s="1154">
        <f t="shared" si="0"/>
        <v>2</v>
      </c>
      <c r="F26" s="1155">
        <v>195.28</v>
      </c>
      <c r="G26" s="1155">
        <f t="shared" si="1"/>
        <v>390.56</v>
      </c>
      <c r="H26" s="1156" t="s">
        <v>2618</v>
      </c>
    </row>
    <row r="27" spans="1:9" x14ac:dyDescent="0.25">
      <c r="A27" s="1152" t="s">
        <v>751</v>
      </c>
      <c r="B27" s="1153" t="s">
        <v>15</v>
      </c>
      <c r="C27" s="1285">
        <v>434.37</v>
      </c>
      <c r="D27" s="1285"/>
      <c r="E27" s="1154">
        <f>C27</f>
        <v>434.37</v>
      </c>
      <c r="F27" s="1155">
        <v>4</v>
      </c>
      <c r="G27" s="1155">
        <f t="shared" si="1"/>
        <v>1737.48</v>
      </c>
      <c r="H27" s="1156" t="s">
        <v>746</v>
      </c>
      <c r="I27" s="1157"/>
    </row>
    <row r="28" spans="1:9" x14ac:dyDescent="0.25">
      <c r="A28" s="1152"/>
      <c r="B28" s="1153"/>
      <c r="C28" s="1154"/>
      <c r="D28" s="1154"/>
      <c r="E28" s="1154"/>
      <c r="F28" s="1154"/>
      <c r="G28" s="1154"/>
      <c r="H28" s="1156"/>
    </row>
    <row r="29" spans="1:9" x14ac:dyDescent="0.25">
      <c r="A29" s="1152"/>
      <c r="B29" s="1153"/>
      <c r="C29" s="1154"/>
      <c r="D29" s="1154"/>
      <c r="E29" s="1154"/>
      <c r="F29" s="1154"/>
      <c r="G29" s="1154"/>
      <c r="H29" s="1156"/>
    </row>
    <row r="30" spans="1:9" x14ac:dyDescent="0.25">
      <c r="A30" s="1152"/>
      <c r="B30" s="1153"/>
      <c r="C30" s="1154"/>
      <c r="D30" s="1154"/>
      <c r="E30" s="1154"/>
      <c r="F30" s="1154"/>
      <c r="G30" s="1154"/>
      <c r="H30" s="1156"/>
    </row>
    <row r="31" spans="1:9" x14ac:dyDescent="0.25">
      <c r="A31" s="1152"/>
      <c r="B31" s="1153"/>
      <c r="C31" s="1154"/>
      <c r="D31" s="1154"/>
      <c r="E31" s="1154"/>
      <c r="F31" s="1154"/>
      <c r="G31" s="1154"/>
      <c r="H31" s="1156"/>
    </row>
    <row r="32" spans="1:9" ht="15.75" x14ac:dyDescent="0.25">
      <c r="A32" s="1158"/>
      <c r="B32" s="1159"/>
      <c r="C32" s="1158"/>
      <c r="D32" s="1158"/>
      <c r="E32" s="1158"/>
      <c r="F32" s="1159"/>
      <c r="G32" s="1159"/>
      <c r="H32" s="1160"/>
    </row>
    <row r="33" spans="1:8" ht="15.75" x14ac:dyDescent="0.25">
      <c r="A33" s="1158"/>
      <c r="B33" s="1159"/>
      <c r="C33" s="1158"/>
      <c r="D33" s="1158"/>
      <c r="E33" s="1158"/>
      <c r="F33" s="1159"/>
      <c r="G33" s="1159"/>
      <c r="H33" s="1160"/>
    </row>
    <row r="34" spans="1:8" ht="15.75" x14ac:dyDescent="0.25">
      <c r="A34" s="1158"/>
      <c r="B34" s="1159"/>
      <c r="C34" s="1158"/>
      <c r="D34" s="1158"/>
      <c r="E34" s="1158"/>
      <c r="F34" s="1159"/>
      <c r="G34" s="1159"/>
      <c r="H34" s="1160"/>
    </row>
    <row r="35" spans="1:8" ht="15.75" x14ac:dyDescent="0.25">
      <c r="A35" s="1158"/>
      <c r="B35" s="1159"/>
      <c r="C35" s="1158"/>
      <c r="D35" s="1158"/>
      <c r="E35" s="1158"/>
      <c r="F35" s="1159"/>
      <c r="G35" s="1159"/>
      <c r="H35" s="1160"/>
    </row>
    <row r="36" spans="1:8" ht="15.75" x14ac:dyDescent="0.25">
      <c r="A36" s="1158"/>
      <c r="B36" s="1159"/>
      <c r="C36" s="1158"/>
      <c r="D36" s="1158"/>
      <c r="E36" s="1158"/>
      <c r="F36" s="1159"/>
      <c r="G36" s="1159"/>
      <c r="H36" s="1160"/>
    </row>
    <row r="37" spans="1:8" ht="15.75" x14ac:dyDescent="0.25">
      <c r="A37" s="1158"/>
      <c r="B37" s="1159"/>
      <c r="C37" s="1158"/>
      <c r="D37" s="1158"/>
      <c r="E37" s="1158"/>
      <c r="F37" s="1159"/>
      <c r="G37" s="1159"/>
      <c r="H37" s="1160"/>
    </row>
    <row r="38" spans="1:8" ht="15.75" x14ac:dyDescent="0.25">
      <c r="A38" s="1158"/>
      <c r="B38" s="1159"/>
      <c r="C38" s="1158"/>
      <c r="D38" s="1158"/>
      <c r="E38" s="1158"/>
      <c r="F38" s="1159"/>
      <c r="G38" s="1159"/>
      <c r="H38" s="1160"/>
    </row>
    <row r="39" spans="1:8" ht="15.75" x14ac:dyDescent="0.25">
      <c r="A39" s="1158"/>
      <c r="B39" s="1159"/>
      <c r="C39" s="1158"/>
      <c r="D39" s="1158"/>
      <c r="E39" s="1158"/>
      <c r="F39" s="1159"/>
      <c r="G39" s="1159"/>
      <c r="H39" s="1160"/>
    </row>
    <row r="40" spans="1:8" ht="15.75" x14ac:dyDescent="0.25">
      <c r="A40" s="1158"/>
      <c r="B40" s="1159"/>
      <c r="C40" s="1158"/>
      <c r="D40" s="1158"/>
      <c r="E40" s="1158"/>
      <c r="F40" s="1159"/>
      <c r="G40" s="1159"/>
      <c r="H40" s="1160"/>
    </row>
    <row r="41" spans="1:8" ht="15.75" x14ac:dyDescent="0.25">
      <c r="A41" s="1158"/>
      <c r="B41" s="1159"/>
      <c r="C41" s="1158"/>
      <c r="D41" s="1158"/>
      <c r="E41" s="1158"/>
      <c r="F41" s="1159"/>
      <c r="G41" s="1159"/>
      <c r="H41" s="1160"/>
    </row>
    <row r="42" spans="1:8" ht="15.75" x14ac:dyDescent="0.25">
      <c r="A42" s="1158"/>
      <c r="B42" s="1159"/>
      <c r="C42" s="1158"/>
      <c r="D42" s="1158"/>
      <c r="E42" s="1158"/>
      <c r="F42" s="1159"/>
      <c r="G42" s="1159"/>
      <c r="H42" s="1160"/>
    </row>
    <row r="43" spans="1:8" ht="15.75" x14ac:dyDescent="0.25">
      <c r="A43" s="1158"/>
      <c r="B43" s="1159"/>
      <c r="C43" s="1158"/>
      <c r="D43" s="1158"/>
      <c r="E43" s="1158"/>
      <c r="F43" s="1159"/>
      <c r="G43" s="1159"/>
      <c r="H43" s="1160"/>
    </row>
    <row r="44" spans="1:8" ht="15.75" x14ac:dyDescent="0.25">
      <c r="A44" s="1158"/>
      <c r="B44" s="1159"/>
      <c r="C44" s="1158"/>
      <c r="D44" s="1158"/>
      <c r="E44" s="1158"/>
      <c r="F44" s="1159"/>
      <c r="G44" s="1159"/>
      <c r="H44" s="1160"/>
    </row>
    <row r="45" spans="1:8" ht="15.75" x14ac:dyDescent="0.25">
      <c r="A45" s="1158"/>
      <c r="B45" s="1159"/>
      <c r="C45" s="1158"/>
      <c r="D45" s="1158"/>
      <c r="E45" s="1158"/>
      <c r="F45" s="1159"/>
      <c r="G45" s="1159"/>
      <c r="H45" s="1160"/>
    </row>
    <row r="46" spans="1:8" ht="15.75" x14ac:dyDescent="0.25">
      <c r="A46" s="1158"/>
      <c r="B46" s="1159"/>
      <c r="C46" s="1158"/>
      <c r="D46" s="1158"/>
      <c r="E46" s="1158"/>
      <c r="F46" s="1159"/>
      <c r="G46" s="1159"/>
      <c r="H46" s="1160"/>
    </row>
    <row r="47" spans="1:8" ht="15.75" x14ac:dyDescent="0.25">
      <c r="A47" s="1158"/>
      <c r="B47" s="1159"/>
      <c r="C47" s="1158"/>
      <c r="D47" s="1158"/>
      <c r="E47" s="1158"/>
      <c r="F47" s="1159"/>
      <c r="G47" s="1159"/>
      <c r="H47" s="1160"/>
    </row>
    <row r="48" spans="1:8" ht="15.75" x14ac:dyDescent="0.25">
      <c r="A48" s="1158"/>
      <c r="B48" s="1159"/>
      <c r="C48" s="1158"/>
      <c r="D48" s="1158"/>
      <c r="E48" s="1158"/>
      <c r="F48" s="1159"/>
      <c r="G48" s="1159"/>
      <c r="H48" s="1160"/>
    </row>
    <row r="49" spans="1:8" ht="15.75" x14ac:dyDescent="0.25">
      <c r="A49" s="1158"/>
      <c r="B49" s="1159"/>
      <c r="C49" s="1158"/>
      <c r="D49" s="1158"/>
      <c r="E49" s="1158"/>
      <c r="F49" s="1159"/>
      <c r="G49" s="1159"/>
      <c r="H49" s="1160"/>
    </row>
    <row r="50" spans="1:8" ht="15.75" x14ac:dyDescent="0.25">
      <c r="A50" s="1158"/>
      <c r="B50" s="1159"/>
      <c r="C50" s="1158"/>
      <c r="D50" s="1158"/>
      <c r="E50" s="1158"/>
      <c r="F50" s="1159"/>
      <c r="G50" s="1159"/>
      <c r="H50" s="1160"/>
    </row>
    <row r="51" spans="1:8" ht="15.75" x14ac:dyDescent="0.25">
      <c r="A51" s="1158"/>
      <c r="B51" s="1159"/>
      <c r="C51" s="1158"/>
      <c r="D51" s="1158"/>
      <c r="E51" s="1158"/>
      <c r="F51" s="1159"/>
      <c r="G51" s="1159"/>
      <c r="H51" s="1160"/>
    </row>
    <row r="52" spans="1:8" ht="15.75" x14ac:dyDescent="0.25">
      <c r="A52" s="1158"/>
      <c r="B52" s="1159"/>
      <c r="C52" s="1158"/>
      <c r="D52" s="1158"/>
      <c r="E52" s="1158"/>
      <c r="F52" s="1159"/>
      <c r="G52" s="1159"/>
      <c r="H52" s="1160"/>
    </row>
    <row r="53" spans="1:8" ht="15.75" x14ac:dyDescent="0.25">
      <c r="A53" s="1158"/>
      <c r="B53" s="1159"/>
      <c r="C53" s="1158"/>
      <c r="D53" s="1158"/>
      <c r="E53" s="1158"/>
      <c r="F53" s="1159"/>
      <c r="G53" s="1159"/>
      <c r="H53" s="1160"/>
    </row>
    <row r="54" spans="1:8" ht="15.75" x14ac:dyDescent="0.25">
      <c r="A54" s="1158"/>
      <c r="B54" s="1159"/>
      <c r="C54" s="1158"/>
      <c r="D54" s="1158"/>
      <c r="E54" s="1158"/>
      <c r="F54" s="1159"/>
      <c r="G54" s="1159"/>
      <c r="H54" s="1160"/>
    </row>
    <row r="55" spans="1:8" ht="15.75" x14ac:dyDescent="0.25">
      <c r="A55" s="1158"/>
      <c r="B55" s="1159"/>
      <c r="C55" s="1158"/>
      <c r="D55" s="1158"/>
      <c r="E55" s="1158"/>
      <c r="F55" s="1159"/>
      <c r="G55" s="1159"/>
      <c r="H55" s="1160"/>
    </row>
    <row r="56" spans="1:8" ht="15.75" x14ac:dyDescent="0.25">
      <c r="A56" s="1158"/>
      <c r="B56" s="1159"/>
      <c r="C56" s="1158"/>
      <c r="D56" s="1158"/>
      <c r="E56" s="1158"/>
      <c r="F56" s="1159"/>
      <c r="G56" s="1159"/>
      <c r="H56" s="1160"/>
    </row>
    <row r="57" spans="1:8" ht="15.75" x14ac:dyDescent="0.25">
      <c r="A57" s="1158"/>
      <c r="B57" s="1159"/>
      <c r="C57" s="1158"/>
      <c r="D57" s="1158"/>
      <c r="E57" s="1158"/>
      <c r="F57" s="1159"/>
      <c r="G57" s="1159"/>
      <c r="H57" s="1160"/>
    </row>
    <row r="58" spans="1:8" ht="15.75" x14ac:dyDescent="0.25">
      <c r="A58" s="1158"/>
      <c r="B58" s="1159"/>
      <c r="C58" s="1158"/>
      <c r="D58" s="1158"/>
      <c r="E58" s="1158"/>
      <c r="F58" s="1159"/>
      <c r="G58" s="1159"/>
      <c r="H58" s="1160"/>
    </row>
    <row r="59" spans="1:8" ht="15.75" x14ac:dyDescent="0.25">
      <c r="A59" s="1158"/>
      <c r="B59" s="1159"/>
      <c r="C59" s="1158"/>
      <c r="D59" s="1158"/>
      <c r="E59" s="1158"/>
      <c r="F59" s="1159"/>
      <c r="G59" s="1159"/>
      <c r="H59" s="1160"/>
    </row>
    <row r="60" spans="1:8" ht="15.75" x14ac:dyDescent="0.25">
      <c r="A60" s="1158"/>
      <c r="B60" s="1159"/>
      <c r="C60" s="1158"/>
      <c r="D60" s="1158"/>
      <c r="E60" s="1158"/>
      <c r="F60" s="1159"/>
      <c r="G60" s="1159"/>
      <c r="H60" s="1160"/>
    </row>
    <row r="61" spans="1:8" ht="15.75" x14ac:dyDescent="0.25">
      <c r="A61" s="1158"/>
      <c r="B61" s="1159"/>
      <c r="C61" s="1158"/>
      <c r="D61" s="1158"/>
      <c r="E61" s="1158"/>
      <c r="F61" s="1159"/>
      <c r="G61" s="1159"/>
      <c r="H61" s="1160"/>
    </row>
    <row r="62" spans="1:8" ht="15.75" x14ac:dyDescent="0.25">
      <c r="A62" s="1158"/>
      <c r="B62" s="1159"/>
      <c r="C62" s="1158"/>
      <c r="D62" s="1158"/>
      <c r="E62" s="1158"/>
      <c r="F62" s="1159"/>
      <c r="G62" s="1159"/>
      <c r="H62" s="1160"/>
    </row>
    <row r="63" spans="1:8" ht="15.75" x14ac:dyDescent="0.25">
      <c r="A63" s="1158"/>
      <c r="B63" s="1159"/>
      <c r="C63" s="1158"/>
      <c r="D63" s="1158"/>
      <c r="E63" s="1158"/>
      <c r="F63" s="1159"/>
      <c r="G63" s="1159"/>
      <c r="H63" s="1160"/>
    </row>
    <row r="64" spans="1:8" ht="15.75" x14ac:dyDescent="0.25">
      <c r="A64" s="1158"/>
      <c r="B64" s="1159"/>
      <c r="C64" s="1158"/>
      <c r="D64" s="1158"/>
      <c r="E64" s="1158"/>
      <c r="F64" s="1159"/>
      <c r="G64" s="1159"/>
      <c r="H64" s="1160"/>
    </row>
    <row r="65" spans="1:8" ht="15.75" x14ac:dyDescent="0.25">
      <c r="A65" s="1158"/>
      <c r="B65" s="1159"/>
      <c r="C65" s="1158"/>
      <c r="D65" s="1158"/>
      <c r="E65" s="1158"/>
      <c r="F65" s="1159"/>
      <c r="G65" s="1159"/>
      <c r="H65" s="1160"/>
    </row>
    <row r="66" spans="1:8" ht="15.75" x14ac:dyDescent="0.25">
      <c r="A66" s="1158"/>
      <c r="B66" s="1159"/>
      <c r="C66" s="1158"/>
      <c r="D66" s="1158"/>
      <c r="E66" s="1158"/>
      <c r="F66" s="1159"/>
      <c r="G66" s="1159"/>
      <c r="H66" s="1160"/>
    </row>
    <row r="67" spans="1:8" ht="15.75" x14ac:dyDescent="0.25">
      <c r="A67" s="1158"/>
      <c r="B67" s="1159"/>
      <c r="C67" s="1158"/>
      <c r="D67" s="1158"/>
      <c r="E67" s="1158"/>
      <c r="F67" s="1159"/>
      <c r="G67" s="1159"/>
      <c r="H67" s="1160"/>
    </row>
    <row r="68" spans="1:8" ht="15.75" x14ac:dyDescent="0.25">
      <c r="A68" s="1158"/>
      <c r="B68" s="1159"/>
      <c r="C68" s="1158"/>
      <c r="D68" s="1158"/>
      <c r="E68" s="1158"/>
      <c r="F68" s="1159"/>
      <c r="G68" s="1159"/>
      <c r="H68" s="1160"/>
    </row>
    <row r="69" spans="1:8" ht="15.75" x14ac:dyDescent="0.25">
      <c r="A69" s="1158"/>
      <c r="B69" s="1159"/>
      <c r="C69" s="1158"/>
      <c r="D69" s="1158"/>
      <c r="E69" s="1158"/>
      <c r="F69" s="1159"/>
      <c r="G69" s="1159"/>
      <c r="H69" s="1160"/>
    </row>
    <row r="70" spans="1:8" ht="15.75" x14ac:dyDescent="0.25">
      <c r="A70" s="1158"/>
      <c r="B70" s="1159"/>
      <c r="C70" s="1158"/>
      <c r="D70" s="1158"/>
      <c r="E70" s="1158"/>
      <c r="F70" s="1159"/>
      <c r="G70" s="1159"/>
      <c r="H70" s="1160"/>
    </row>
    <row r="71" spans="1:8" ht="15.75" x14ac:dyDescent="0.25">
      <c r="A71" s="1158"/>
      <c r="B71" s="1159"/>
      <c r="C71" s="1158"/>
      <c r="D71" s="1158"/>
      <c r="E71" s="1158"/>
      <c r="F71" s="1159"/>
      <c r="G71" s="1159"/>
      <c r="H71" s="1160"/>
    </row>
    <row r="72" spans="1:8" ht="15.75" x14ac:dyDescent="0.25">
      <c r="A72" s="1158"/>
      <c r="B72" s="1159"/>
      <c r="C72" s="1158"/>
      <c r="D72" s="1158"/>
      <c r="E72" s="1158"/>
      <c r="F72" s="1159"/>
      <c r="G72" s="1159"/>
      <c r="H72" s="1160"/>
    </row>
    <row r="73" spans="1:8" ht="15.75" x14ac:dyDescent="0.25">
      <c r="A73" s="1158"/>
      <c r="B73" s="1159"/>
      <c r="C73" s="1158"/>
      <c r="D73" s="1158"/>
      <c r="E73" s="1158"/>
      <c r="F73" s="1159"/>
      <c r="G73" s="1159"/>
      <c r="H73" s="1160"/>
    </row>
    <row r="74" spans="1:8" ht="15.75" x14ac:dyDescent="0.25">
      <c r="A74" s="1158"/>
      <c r="B74" s="1159"/>
      <c r="C74" s="1158"/>
      <c r="D74" s="1158"/>
      <c r="E74" s="1158"/>
      <c r="F74" s="1159"/>
      <c r="G74" s="1159"/>
      <c r="H74" s="1160"/>
    </row>
    <row r="75" spans="1:8" ht="15.75" x14ac:dyDescent="0.25">
      <c r="A75" s="1158"/>
      <c r="B75" s="1159"/>
      <c r="C75" s="1158"/>
      <c r="D75" s="1158"/>
      <c r="E75" s="1158"/>
      <c r="F75" s="1159"/>
      <c r="G75" s="1159"/>
      <c r="H75" s="1160"/>
    </row>
    <row r="76" spans="1:8" ht="15.75" x14ac:dyDescent="0.25">
      <c r="A76" s="1158"/>
      <c r="B76" s="1159"/>
      <c r="C76" s="1158"/>
      <c r="D76" s="1158"/>
      <c r="E76" s="1158"/>
      <c r="F76" s="1159"/>
      <c r="G76" s="1159"/>
      <c r="H76" s="1160"/>
    </row>
    <row r="77" spans="1:8" ht="15.75" x14ac:dyDescent="0.25">
      <c r="A77" s="1158"/>
      <c r="B77" s="1159"/>
      <c r="C77" s="1158"/>
      <c r="D77" s="1158"/>
      <c r="E77" s="1158"/>
      <c r="F77" s="1159"/>
      <c r="G77" s="1159"/>
      <c r="H77" s="1160"/>
    </row>
    <row r="78" spans="1:8" ht="15.75" x14ac:dyDescent="0.25">
      <c r="A78" s="1158"/>
      <c r="B78" s="1159"/>
      <c r="C78" s="1158"/>
      <c r="D78" s="1158"/>
      <c r="E78" s="1158"/>
      <c r="F78" s="1159"/>
      <c r="G78" s="1159"/>
      <c r="H78" s="1160"/>
    </row>
    <row r="79" spans="1:8" ht="15.75" x14ac:dyDescent="0.25">
      <c r="A79" s="1158"/>
      <c r="B79" s="1159"/>
      <c r="C79" s="1158"/>
      <c r="D79" s="1158"/>
      <c r="E79" s="1158"/>
      <c r="F79" s="1159"/>
      <c r="G79" s="1159"/>
      <c r="H79" s="1160"/>
    </row>
    <row r="80" spans="1:8" ht="15.75" x14ac:dyDescent="0.25">
      <c r="A80" s="1158"/>
      <c r="B80" s="1159"/>
      <c r="C80" s="1158"/>
      <c r="D80" s="1158"/>
      <c r="E80" s="1158"/>
      <c r="F80" s="1159"/>
      <c r="G80" s="1159"/>
      <c r="H80" s="1160"/>
    </row>
    <row r="81" spans="1:8" ht="15.75" x14ac:dyDescent="0.25">
      <c r="A81" s="1158"/>
      <c r="B81" s="1159"/>
      <c r="C81" s="1158"/>
      <c r="D81" s="1158"/>
      <c r="E81" s="1158"/>
      <c r="F81" s="1159"/>
      <c r="G81" s="1159"/>
      <c r="H81" s="1160"/>
    </row>
    <row r="82" spans="1:8" ht="15.75" x14ac:dyDescent="0.25">
      <c r="A82" s="1158"/>
      <c r="B82" s="1159"/>
      <c r="C82" s="1158"/>
      <c r="D82" s="1158"/>
      <c r="E82" s="1158"/>
      <c r="F82" s="1159"/>
      <c r="G82" s="1159"/>
      <c r="H82" s="1160"/>
    </row>
    <row r="83" spans="1:8" ht="15.75" x14ac:dyDescent="0.25">
      <c r="A83" s="1158"/>
      <c r="B83" s="1159"/>
      <c r="C83" s="1158"/>
      <c r="D83" s="1158"/>
      <c r="E83" s="1158"/>
      <c r="F83" s="1159"/>
      <c r="G83" s="1159"/>
      <c r="H83" s="1160"/>
    </row>
    <row r="84" spans="1:8" ht="15.75" x14ac:dyDescent="0.25">
      <c r="A84" s="1158"/>
      <c r="B84" s="1159"/>
      <c r="C84" s="1158"/>
      <c r="D84" s="1158"/>
      <c r="E84" s="1158"/>
      <c r="F84" s="1159"/>
      <c r="G84" s="1159"/>
      <c r="H84" s="1160"/>
    </row>
    <row r="85" spans="1:8" ht="15.75" x14ac:dyDescent="0.25">
      <c r="A85" s="1158"/>
      <c r="B85" s="1159"/>
      <c r="C85" s="1158"/>
      <c r="D85" s="1158"/>
      <c r="E85" s="1158"/>
      <c r="F85" s="1159"/>
      <c r="G85" s="1159"/>
      <c r="H85" s="1160"/>
    </row>
    <row r="86" spans="1:8" ht="15.75" x14ac:dyDescent="0.25">
      <c r="A86" s="1158"/>
      <c r="B86" s="1159"/>
      <c r="C86" s="1158"/>
      <c r="D86" s="1158"/>
      <c r="E86" s="1158"/>
      <c r="F86" s="1159"/>
      <c r="G86" s="1159"/>
      <c r="H86" s="1160"/>
    </row>
    <row r="87" spans="1:8" ht="15.75" x14ac:dyDescent="0.25">
      <c r="A87" s="1158"/>
      <c r="B87" s="1159"/>
      <c r="C87" s="1158"/>
      <c r="D87" s="1158"/>
      <c r="E87" s="1158"/>
      <c r="F87" s="1159"/>
      <c r="G87" s="1159"/>
      <c r="H87" s="1160"/>
    </row>
    <row r="88" spans="1:8" ht="15.75" x14ac:dyDescent="0.25">
      <c r="A88" s="1158"/>
      <c r="B88" s="1159"/>
      <c r="C88" s="1158"/>
      <c r="D88" s="1158"/>
      <c r="E88" s="1158"/>
      <c r="F88" s="1159"/>
      <c r="G88" s="1159"/>
      <c r="H88" s="1160"/>
    </row>
    <row r="89" spans="1:8" ht="15.75" x14ac:dyDescent="0.25">
      <c r="A89" s="1158"/>
      <c r="B89" s="1159"/>
      <c r="C89" s="1158"/>
      <c r="D89" s="1158"/>
      <c r="E89" s="1158"/>
      <c r="F89" s="1159"/>
      <c r="G89" s="1159"/>
      <c r="H89" s="1160"/>
    </row>
    <row r="90" spans="1:8" ht="15.75" x14ac:dyDescent="0.25">
      <c r="A90" s="1158"/>
      <c r="B90" s="1159"/>
      <c r="C90" s="1158"/>
      <c r="D90" s="1158"/>
      <c r="E90" s="1158"/>
      <c r="F90" s="1159"/>
      <c r="G90" s="1159"/>
      <c r="H90" s="1160"/>
    </row>
    <row r="91" spans="1:8" ht="15.75" x14ac:dyDescent="0.25">
      <c r="A91" s="1158"/>
      <c r="B91" s="1159"/>
      <c r="C91" s="1158"/>
      <c r="D91" s="1158"/>
      <c r="E91" s="1158"/>
      <c r="F91" s="1159"/>
      <c r="G91" s="1159"/>
      <c r="H91" s="1160"/>
    </row>
    <row r="92" spans="1:8" ht="15.75" x14ac:dyDescent="0.25">
      <c r="A92" s="1158"/>
      <c r="B92" s="1159"/>
      <c r="C92" s="1158"/>
      <c r="D92" s="1158"/>
      <c r="E92" s="1158"/>
      <c r="F92" s="1159"/>
      <c r="G92" s="1159"/>
      <c r="H92" s="1160"/>
    </row>
    <row r="93" spans="1:8" ht="15.75" x14ac:dyDescent="0.25">
      <c r="A93" s="1158"/>
      <c r="B93" s="1159"/>
      <c r="C93" s="1158"/>
      <c r="D93" s="1158"/>
      <c r="E93" s="1158"/>
      <c r="F93" s="1159"/>
      <c r="G93" s="1159"/>
      <c r="H93" s="1160"/>
    </row>
    <row r="94" spans="1:8" ht="15.75" x14ac:dyDescent="0.25">
      <c r="A94" s="1158"/>
      <c r="B94" s="1159"/>
      <c r="C94" s="1158"/>
      <c r="D94" s="1158"/>
      <c r="E94" s="1158"/>
      <c r="F94" s="1159"/>
      <c r="G94" s="1159"/>
      <c r="H94" s="1160"/>
    </row>
    <row r="95" spans="1:8" ht="15.75" x14ac:dyDescent="0.25">
      <c r="A95" s="1158"/>
      <c r="B95" s="1159"/>
      <c r="C95" s="1158"/>
      <c r="D95" s="1158"/>
      <c r="E95" s="1158"/>
      <c r="F95" s="1159"/>
      <c r="G95" s="1159"/>
      <c r="H95" s="1160"/>
    </row>
    <row r="96" spans="1:8" ht="15.75" x14ac:dyDescent="0.25">
      <c r="A96" s="1158"/>
      <c r="B96" s="1159"/>
      <c r="C96" s="1158"/>
      <c r="D96" s="1158"/>
      <c r="E96" s="1158"/>
      <c r="F96" s="1159"/>
      <c r="G96" s="1159"/>
      <c r="H96" s="1160"/>
    </row>
    <row r="97" spans="1:8" ht="15.75" x14ac:dyDescent="0.25">
      <c r="A97" s="1158"/>
      <c r="B97" s="1159"/>
      <c r="C97" s="1158"/>
      <c r="D97" s="1158"/>
      <c r="E97" s="1158"/>
      <c r="F97" s="1159"/>
      <c r="G97" s="1159"/>
      <c r="H97" s="1160"/>
    </row>
    <row r="98" spans="1:8" ht="15.75" x14ac:dyDescent="0.25">
      <c r="A98" s="1158"/>
      <c r="B98" s="1159"/>
      <c r="C98" s="1158"/>
      <c r="D98" s="1158"/>
      <c r="E98" s="1158"/>
      <c r="F98" s="1159"/>
      <c r="G98" s="1159"/>
      <c r="H98" s="1160"/>
    </row>
    <row r="99" spans="1:8" ht="15.75" x14ac:dyDescent="0.25">
      <c r="A99" s="1158"/>
      <c r="B99" s="1159"/>
      <c r="C99" s="1158"/>
      <c r="D99" s="1158"/>
      <c r="E99" s="1158"/>
      <c r="F99" s="1159"/>
      <c r="G99" s="1159"/>
      <c r="H99" s="1160"/>
    </row>
    <row r="100" spans="1:8" ht="15.75" x14ac:dyDescent="0.25">
      <c r="A100" s="1158"/>
      <c r="B100" s="1159"/>
      <c r="C100" s="1158"/>
      <c r="D100" s="1158"/>
      <c r="E100" s="1158"/>
      <c r="F100" s="1159"/>
      <c r="G100" s="1159"/>
      <c r="H100" s="1160"/>
    </row>
    <row r="101" spans="1:8" ht="15.75" x14ac:dyDescent="0.25">
      <c r="A101" s="1158"/>
      <c r="B101" s="1159"/>
      <c r="C101" s="1158"/>
      <c r="D101" s="1158"/>
      <c r="E101" s="1158"/>
      <c r="F101" s="1159"/>
      <c r="G101" s="1159"/>
      <c r="H101" s="1160"/>
    </row>
    <row r="102" spans="1:8" ht="15.75" x14ac:dyDescent="0.25">
      <c r="A102" s="1158"/>
      <c r="B102" s="1159"/>
      <c r="C102" s="1158"/>
      <c r="D102" s="1158"/>
      <c r="E102" s="1158"/>
      <c r="F102" s="1159"/>
      <c r="G102" s="1159"/>
      <c r="H102" s="1160"/>
    </row>
    <row r="103" spans="1:8" ht="15.75" x14ac:dyDescent="0.25">
      <c r="A103" s="1158"/>
      <c r="B103" s="1159"/>
      <c r="C103" s="1158"/>
      <c r="D103" s="1158"/>
      <c r="E103" s="1158"/>
      <c r="F103" s="1159"/>
      <c r="G103" s="1159"/>
      <c r="H103" s="1160"/>
    </row>
    <row r="104" spans="1:8" ht="15.75" x14ac:dyDescent="0.25">
      <c r="A104" s="1158"/>
      <c r="B104" s="1159"/>
      <c r="C104" s="1158"/>
      <c r="D104" s="1158"/>
      <c r="E104" s="1158"/>
      <c r="F104" s="1159"/>
      <c r="G104" s="1159"/>
      <c r="H104" s="1160"/>
    </row>
    <row r="105" spans="1:8" ht="15.75" x14ac:dyDescent="0.25">
      <c r="A105" s="1158"/>
      <c r="B105" s="1159"/>
      <c r="C105" s="1158"/>
      <c r="D105" s="1158"/>
      <c r="E105" s="1158"/>
      <c r="F105" s="1159"/>
      <c r="G105" s="1159"/>
      <c r="H105" s="1160"/>
    </row>
    <row r="106" spans="1:8" ht="15.75" x14ac:dyDescent="0.25">
      <c r="A106" s="1158"/>
      <c r="B106" s="1159"/>
      <c r="C106" s="1158"/>
      <c r="D106" s="1158"/>
      <c r="E106" s="1158"/>
      <c r="F106" s="1159"/>
      <c r="G106" s="1159"/>
      <c r="H106" s="1160"/>
    </row>
    <row r="107" spans="1:8" ht="15.75" x14ac:dyDescent="0.25">
      <c r="A107" s="1158"/>
      <c r="B107" s="1159"/>
      <c r="C107" s="1158"/>
      <c r="D107" s="1158"/>
      <c r="E107" s="1158"/>
      <c r="F107" s="1159"/>
      <c r="G107" s="1159"/>
      <c r="H107" s="1160"/>
    </row>
    <row r="108" spans="1:8" ht="15.75" x14ac:dyDescent="0.25">
      <c r="A108" s="1158"/>
      <c r="B108" s="1159"/>
      <c r="C108" s="1158"/>
      <c r="D108" s="1158"/>
      <c r="E108" s="1158"/>
      <c r="F108" s="1159"/>
      <c r="G108" s="1159"/>
      <c r="H108" s="1160"/>
    </row>
    <row r="109" spans="1:8" ht="15.75" x14ac:dyDescent="0.25">
      <c r="A109" s="1158"/>
      <c r="B109" s="1159"/>
      <c r="C109" s="1158"/>
      <c r="D109" s="1158"/>
      <c r="E109" s="1158"/>
      <c r="F109" s="1159"/>
      <c r="G109" s="1159"/>
      <c r="H109" s="1160"/>
    </row>
    <row r="110" spans="1:8" ht="15.75" x14ac:dyDescent="0.25">
      <c r="A110" s="1158"/>
      <c r="B110" s="1159"/>
      <c r="C110" s="1158"/>
      <c r="D110" s="1158"/>
      <c r="E110" s="1158"/>
      <c r="F110" s="1159"/>
      <c r="G110" s="1159"/>
      <c r="H110" s="1160"/>
    </row>
    <row r="111" spans="1:8" ht="15.75" x14ac:dyDescent="0.25">
      <c r="A111" s="1158"/>
      <c r="B111" s="1159"/>
      <c r="C111" s="1158"/>
      <c r="D111" s="1158"/>
      <c r="E111" s="1158"/>
      <c r="F111" s="1159"/>
      <c r="G111" s="1159"/>
      <c r="H111" s="1160"/>
    </row>
    <row r="112" spans="1:8" ht="15.75" x14ac:dyDescent="0.25">
      <c r="A112" s="1158"/>
      <c r="B112" s="1159"/>
      <c r="C112" s="1158"/>
      <c r="D112" s="1158"/>
      <c r="E112" s="1158"/>
      <c r="F112" s="1159"/>
      <c r="G112" s="1159"/>
      <c r="H112" s="1160"/>
    </row>
    <row r="113" spans="1:8" ht="15.75" x14ac:dyDescent="0.25">
      <c r="A113" s="1158"/>
      <c r="B113" s="1159"/>
      <c r="C113" s="1158"/>
      <c r="D113" s="1158"/>
      <c r="E113" s="1158"/>
      <c r="F113" s="1159"/>
      <c r="G113" s="1159"/>
      <c r="H113" s="1160"/>
    </row>
    <row r="114" spans="1:8" ht="15.75" x14ac:dyDescent="0.25">
      <c r="A114" s="1158"/>
      <c r="B114" s="1159"/>
      <c r="C114" s="1158"/>
      <c r="D114" s="1158"/>
      <c r="E114" s="1158"/>
      <c r="F114" s="1159"/>
      <c r="G114" s="1159"/>
      <c r="H114" s="1160"/>
    </row>
    <row r="115" spans="1:8" ht="15.75" x14ac:dyDescent="0.25">
      <c r="A115" s="1158"/>
      <c r="B115" s="1159"/>
      <c r="C115" s="1158"/>
      <c r="D115" s="1158"/>
      <c r="E115" s="1158"/>
      <c r="F115" s="1159"/>
      <c r="G115" s="1159"/>
      <c r="H115" s="1160"/>
    </row>
    <row r="116" spans="1:8" ht="15.75" x14ac:dyDescent="0.25">
      <c r="A116" s="1158"/>
      <c r="B116" s="1159"/>
      <c r="C116" s="1158"/>
      <c r="D116" s="1158"/>
      <c r="E116" s="1158"/>
      <c r="F116" s="1159"/>
      <c r="G116" s="1159"/>
      <c r="H116" s="1160"/>
    </row>
    <row r="117" spans="1:8" ht="15.75" x14ac:dyDescent="0.25">
      <c r="A117" s="1158"/>
      <c r="B117" s="1159"/>
      <c r="C117" s="1158"/>
      <c r="D117" s="1158"/>
      <c r="E117" s="1158"/>
      <c r="F117" s="1159"/>
      <c r="G117" s="1159"/>
      <c r="H117" s="1160"/>
    </row>
    <row r="118" spans="1:8" ht="15.75" x14ac:dyDescent="0.25">
      <c r="A118" s="1158"/>
      <c r="B118" s="1159"/>
      <c r="C118" s="1158"/>
      <c r="D118" s="1158"/>
      <c r="E118" s="1158"/>
      <c r="F118" s="1159"/>
      <c r="G118" s="1159"/>
      <c r="H118" s="1160"/>
    </row>
    <row r="119" spans="1:8" ht="15.75" x14ac:dyDescent="0.25">
      <c r="A119" s="1158"/>
      <c r="B119" s="1159"/>
      <c r="C119" s="1158"/>
      <c r="D119" s="1158"/>
      <c r="E119" s="1158"/>
      <c r="F119" s="1159"/>
      <c r="G119" s="1159"/>
      <c r="H119" s="1160"/>
    </row>
    <row r="120" spans="1:8" ht="15.75" x14ac:dyDescent="0.25">
      <c r="A120" s="1158"/>
      <c r="B120" s="1159"/>
      <c r="C120" s="1158"/>
      <c r="D120" s="1158"/>
      <c r="E120" s="1158"/>
      <c r="F120" s="1159"/>
      <c r="G120" s="1159"/>
      <c r="H120" s="1160"/>
    </row>
    <row r="121" spans="1:8" ht="15.75" x14ac:dyDescent="0.25">
      <c r="A121" s="1158"/>
      <c r="B121" s="1159"/>
      <c r="C121" s="1158"/>
      <c r="D121" s="1158"/>
      <c r="E121" s="1158"/>
      <c r="F121" s="1159"/>
      <c r="G121" s="1159"/>
      <c r="H121" s="1160"/>
    </row>
    <row r="122" spans="1:8" ht="15.75" x14ac:dyDescent="0.25">
      <c r="A122" s="1158"/>
      <c r="B122" s="1159"/>
      <c r="C122" s="1158"/>
      <c r="D122" s="1158"/>
      <c r="E122" s="1158"/>
      <c r="F122" s="1159"/>
      <c r="G122" s="1159"/>
      <c r="H122" s="1160"/>
    </row>
    <row r="123" spans="1:8" ht="15.75" x14ac:dyDescent="0.25">
      <c r="A123" s="1158"/>
      <c r="B123" s="1159"/>
      <c r="C123" s="1158"/>
      <c r="D123" s="1158"/>
      <c r="E123" s="1158"/>
      <c r="F123" s="1159"/>
      <c r="G123" s="1159"/>
      <c r="H123" s="1160"/>
    </row>
    <row r="124" spans="1:8" ht="15.75" x14ac:dyDescent="0.25">
      <c r="A124" s="1158"/>
      <c r="B124" s="1159"/>
      <c r="C124" s="1158"/>
      <c r="D124" s="1158"/>
      <c r="E124" s="1158"/>
      <c r="F124" s="1159"/>
      <c r="G124" s="1159"/>
      <c r="H124" s="1160"/>
    </row>
    <row r="125" spans="1:8" ht="15.75" x14ac:dyDescent="0.25">
      <c r="A125" s="1158"/>
      <c r="B125" s="1159"/>
      <c r="C125" s="1158"/>
      <c r="D125" s="1158"/>
      <c r="E125" s="1158"/>
      <c r="F125" s="1159"/>
      <c r="G125" s="1159"/>
      <c r="H125" s="1160"/>
    </row>
    <row r="126" spans="1:8" ht="15.75" x14ac:dyDescent="0.25">
      <c r="A126" s="1158"/>
      <c r="B126" s="1159"/>
      <c r="C126" s="1158"/>
      <c r="D126" s="1158"/>
      <c r="E126" s="1158"/>
      <c r="F126" s="1159"/>
      <c r="G126" s="1159"/>
      <c r="H126" s="1160"/>
    </row>
    <row r="127" spans="1:8" ht="15.75" x14ac:dyDescent="0.25">
      <c r="A127" s="1158"/>
      <c r="B127" s="1159"/>
      <c r="C127" s="1158"/>
      <c r="D127" s="1158"/>
      <c r="E127" s="1158"/>
      <c r="F127" s="1159"/>
      <c r="G127" s="1159"/>
      <c r="H127" s="1160"/>
    </row>
    <row r="128" spans="1:8" ht="15.75" x14ac:dyDescent="0.25">
      <c r="A128" s="1158"/>
      <c r="B128" s="1159"/>
      <c r="C128" s="1158"/>
      <c r="D128" s="1158"/>
      <c r="E128" s="1158"/>
      <c r="F128" s="1159"/>
      <c r="G128" s="1159"/>
      <c r="H128" s="1160"/>
    </row>
    <row r="129" spans="1:8" ht="15.75" x14ac:dyDescent="0.25">
      <c r="A129" s="1158"/>
      <c r="B129" s="1159"/>
      <c r="C129" s="1158"/>
      <c r="D129" s="1158"/>
      <c r="E129" s="1158"/>
      <c r="F129" s="1159"/>
      <c r="G129" s="1159"/>
      <c r="H129" s="1160"/>
    </row>
    <row r="130" spans="1:8" ht="15.75" x14ac:dyDescent="0.25">
      <c r="A130" s="1158"/>
      <c r="B130" s="1159"/>
      <c r="C130" s="1158"/>
      <c r="D130" s="1158"/>
      <c r="E130" s="1158"/>
      <c r="F130" s="1159"/>
      <c r="G130" s="1159"/>
      <c r="H130" s="1160"/>
    </row>
    <row r="131" spans="1:8" ht="15.75" x14ac:dyDescent="0.25">
      <c r="A131" s="1158"/>
      <c r="B131" s="1159"/>
      <c r="C131" s="1158"/>
      <c r="D131" s="1158"/>
      <c r="E131" s="1158"/>
      <c r="F131" s="1159"/>
      <c r="G131" s="1159"/>
      <c r="H131" s="1160"/>
    </row>
    <row r="132" spans="1:8" ht="15.75" x14ac:dyDescent="0.25">
      <c r="A132" s="1158"/>
      <c r="B132" s="1159"/>
      <c r="C132" s="1158"/>
      <c r="D132" s="1158"/>
      <c r="E132" s="1158"/>
      <c r="F132" s="1159"/>
      <c r="G132" s="1159"/>
      <c r="H132" s="1160"/>
    </row>
    <row r="133" spans="1:8" ht="15.75" x14ac:dyDescent="0.25">
      <c r="A133" s="1158"/>
      <c r="B133" s="1159"/>
      <c r="C133" s="1158"/>
      <c r="D133" s="1158"/>
      <c r="E133" s="1158"/>
      <c r="F133" s="1159"/>
      <c r="G133" s="1159"/>
      <c r="H133" s="1160"/>
    </row>
    <row r="134" spans="1:8" ht="15.75" x14ac:dyDescent="0.25">
      <c r="A134" s="1158"/>
      <c r="B134" s="1159"/>
      <c r="C134" s="1158"/>
      <c r="D134" s="1158"/>
      <c r="E134" s="1158"/>
      <c r="F134" s="1159"/>
      <c r="G134" s="1159"/>
      <c r="H134" s="1160"/>
    </row>
    <row r="135" spans="1:8" ht="15.75" x14ac:dyDescent="0.25">
      <c r="A135" s="1158"/>
      <c r="B135" s="1159"/>
      <c r="C135" s="1158"/>
      <c r="D135" s="1158"/>
      <c r="E135" s="1158"/>
      <c r="F135" s="1159"/>
      <c r="G135" s="1159"/>
      <c r="H135" s="1160"/>
    </row>
    <row r="136" spans="1:8" ht="15.75" x14ac:dyDescent="0.25">
      <c r="A136" s="1158"/>
      <c r="B136" s="1159"/>
      <c r="C136" s="1158"/>
      <c r="D136" s="1158"/>
      <c r="E136" s="1158"/>
      <c r="F136" s="1159"/>
      <c r="G136" s="1159"/>
      <c r="H136" s="1160"/>
    </row>
    <row r="137" spans="1:8" ht="15.75" x14ac:dyDescent="0.25">
      <c r="A137" s="1158"/>
      <c r="B137" s="1159"/>
      <c r="C137" s="1158"/>
      <c r="D137" s="1158"/>
      <c r="E137" s="1158"/>
      <c r="F137" s="1159"/>
      <c r="G137" s="1159"/>
      <c r="H137" s="1160"/>
    </row>
    <row r="138" spans="1:8" ht="15.75" x14ac:dyDescent="0.25">
      <c r="A138" s="1158"/>
      <c r="B138" s="1159"/>
      <c r="C138" s="1158"/>
      <c r="D138" s="1158"/>
      <c r="E138" s="1158"/>
      <c r="F138" s="1159"/>
      <c r="G138" s="1159"/>
      <c r="H138" s="1160"/>
    </row>
    <row r="139" spans="1:8" ht="15.75" x14ac:dyDescent="0.25">
      <c r="A139" s="1158"/>
      <c r="B139" s="1159"/>
      <c r="C139" s="1158"/>
      <c r="D139" s="1158"/>
      <c r="E139" s="1158"/>
      <c r="F139" s="1159"/>
      <c r="G139" s="1159"/>
      <c r="H139" s="1160"/>
    </row>
    <row r="140" spans="1:8" ht="15.75" x14ac:dyDescent="0.25">
      <c r="A140" s="1158"/>
      <c r="B140" s="1159"/>
      <c r="C140" s="1158"/>
      <c r="D140" s="1158"/>
      <c r="E140" s="1158"/>
      <c r="F140" s="1159"/>
      <c r="G140" s="1159"/>
      <c r="H140" s="1160"/>
    </row>
    <row r="141" spans="1:8" ht="15.75" x14ac:dyDescent="0.25">
      <c r="A141" s="1158"/>
      <c r="B141" s="1159"/>
      <c r="C141" s="1158"/>
      <c r="D141" s="1158"/>
      <c r="E141" s="1158"/>
      <c r="F141" s="1159"/>
      <c r="G141" s="1159"/>
      <c r="H141" s="1160"/>
    </row>
    <row r="142" spans="1:8" ht="15.75" x14ac:dyDescent="0.25">
      <c r="A142" s="1158"/>
      <c r="B142" s="1159"/>
      <c r="C142" s="1158"/>
      <c r="D142" s="1158"/>
      <c r="E142" s="1158"/>
      <c r="F142" s="1159"/>
      <c r="G142" s="1159"/>
      <c r="H142" s="1160"/>
    </row>
    <row r="143" spans="1:8" ht="15.75" x14ac:dyDescent="0.25">
      <c r="A143" s="1158"/>
      <c r="B143" s="1159"/>
      <c r="C143" s="1158"/>
      <c r="D143" s="1158"/>
      <c r="E143" s="1158"/>
      <c r="F143" s="1159"/>
      <c r="G143" s="1159"/>
      <c r="H143" s="1160"/>
    </row>
    <row r="144" spans="1:8" ht="15.75" x14ac:dyDescent="0.25">
      <c r="A144" s="1158"/>
      <c r="B144" s="1159"/>
      <c r="C144" s="1158"/>
      <c r="D144" s="1158"/>
      <c r="E144" s="1158"/>
      <c r="F144" s="1159"/>
      <c r="G144" s="1159"/>
      <c r="H144" s="1160"/>
    </row>
    <row r="145" spans="1:8" ht="15.75" x14ac:dyDescent="0.25">
      <c r="A145" s="1158"/>
      <c r="B145" s="1159"/>
      <c r="C145" s="1158"/>
      <c r="D145" s="1158"/>
      <c r="E145" s="1158"/>
      <c r="F145" s="1159"/>
      <c r="G145" s="1159"/>
      <c r="H145" s="1160"/>
    </row>
    <row r="146" spans="1:8" ht="15.75" x14ac:dyDescent="0.25">
      <c r="A146" s="1158"/>
      <c r="B146" s="1159"/>
      <c r="C146" s="1158"/>
      <c r="D146" s="1158"/>
      <c r="E146" s="1158"/>
      <c r="F146" s="1159"/>
      <c r="G146" s="1159"/>
      <c r="H146" s="1160"/>
    </row>
    <row r="147" spans="1:8" ht="15.75" x14ac:dyDescent="0.25">
      <c r="A147" s="1158"/>
      <c r="B147" s="1159"/>
      <c r="C147" s="1158"/>
      <c r="D147" s="1158"/>
      <c r="E147" s="1158"/>
      <c r="F147" s="1159"/>
      <c r="G147" s="1159"/>
      <c r="H147" s="1160"/>
    </row>
    <row r="148" spans="1:8" ht="15.75" x14ac:dyDescent="0.25">
      <c r="A148" s="1158"/>
      <c r="B148" s="1159"/>
      <c r="C148" s="1158"/>
      <c r="D148" s="1158"/>
      <c r="E148" s="1158"/>
      <c r="F148" s="1159"/>
      <c r="G148" s="1159"/>
      <c r="H148" s="1160"/>
    </row>
    <row r="149" spans="1:8" ht="15.75" x14ac:dyDescent="0.25">
      <c r="A149" s="1158"/>
      <c r="B149" s="1159"/>
      <c r="C149" s="1158"/>
      <c r="D149" s="1158"/>
      <c r="E149" s="1158"/>
      <c r="F149" s="1159"/>
      <c r="G149" s="1159"/>
      <c r="H149" s="1160"/>
    </row>
    <row r="150" spans="1:8" ht="15.75" x14ac:dyDescent="0.25">
      <c r="A150" s="1158"/>
      <c r="B150" s="1159"/>
      <c r="C150" s="1158"/>
      <c r="D150" s="1158"/>
      <c r="E150" s="1158"/>
      <c r="F150" s="1159"/>
      <c r="G150" s="1159"/>
      <c r="H150" s="1160"/>
    </row>
    <row r="151" spans="1:8" ht="15.75" x14ac:dyDescent="0.25">
      <c r="A151" s="1158"/>
      <c r="B151" s="1159"/>
      <c r="C151" s="1158"/>
      <c r="D151" s="1158"/>
      <c r="E151" s="1158"/>
      <c r="F151" s="1159"/>
      <c r="G151" s="1159"/>
      <c r="H151" s="1160"/>
    </row>
    <row r="152" spans="1:8" ht="15.75" x14ac:dyDescent="0.25">
      <c r="A152" s="1158"/>
      <c r="B152" s="1159"/>
      <c r="C152" s="1158"/>
      <c r="D152" s="1158"/>
      <c r="E152" s="1158"/>
      <c r="F152" s="1159"/>
      <c r="G152" s="1159"/>
      <c r="H152" s="1160"/>
    </row>
    <row r="153" spans="1:8" ht="15.75" x14ac:dyDescent="0.25">
      <c r="A153" s="1158"/>
      <c r="B153" s="1159"/>
      <c r="C153" s="1158"/>
      <c r="D153" s="1158"/>
      <c r="E153" s="1158"/>
      <c r="F153" s="1159"/>
      <c r="G153" s="1159"/>
      <c r="H153" s="1160"/>
    </row>
    <row r="154" spans="1:8" ht="15.75" x14ac:dyDescent="0.25">
      <c r="A154" s="1158"/>
      <c r="B154" s="1159"/>
      <c r="C154" s="1158"/>
      <c r="D154" s="1158"/>
      <c r="E154" s="1158"/>
      <c r="F154" s="1159"/>
      <c r="G154" s="1159"/>
      <c r="H154" s="1160"/>
    </row>
    <row r="155" spans="1:8" ht="15.75" x14ac:dyDescent="0.25">
      <c r="A155" s="1158"/>
      <c r="B155" s="1159"/>
      <c r="C155" s="1158"/>
      <c r="D155" s="1158"/>
      <c r="E155" s="1158"/>
      <c r="F155" s="1159"/>
      <c r="G155" s="1159"/>
      <c r="H155" s="1160"/>
    </row>
    <row r="156" spans="1:8" ht="15.75" x14ac:dyDescent="0.25">
      <c r="A156" s="1158"/>
      <c r="B156" s="1159"/>
      <c r="C156" s="1158"/>
      <c r="D156" s="1158"/>
      <c r="E156" s="1158"/>
      <c r="F156" s="1159"/>
      <c r="G156" s="1159"/>
      <c r="H156" s="1160"/>
    </row>
    <row r="157" spans="1:8" ht="15.75" x14ac:dyDescent="0.25">
      <c r="A157" s="1158"/>
      <c r="B157" s="1159"/>
      <c r="C157" s="1158"/>
      <c r="D157" s="1158"/>
      <c r="E157" s="1158"/>
      <c r="F157" s="1159"/>
      <c r="G157" s="1159"/>
      <c r="H157" s="1160"/>
    </row>
    <row r="158" spans="1:8" ht="15.75" x14ac:dyDescent="0.25">
      <c r="A158" s="1158"/>
      <c r="B158" s="1159"/>
      <c r="C158" s="1158"/>
      <c r="D158" s="1158"/>
      <c r="E158" s="1158"/>
      <c r="F158" s="1159"/>
      <c r="G158" s="1159"/>
      <c r="H158" s="1160"/>
    </row>
    <row r="159" spans="1:8" ht="15.75" x14ac:dyDescent="0.25">
      <c r="A159" s="1158"/>
      <c r="B159" s="1159"/>
      <c r="C159" s="1158"/>
      <c r="D159" s="1158"/>
      <c r="E159" s="1158"/>
      <c r="F159" s="1159"/>
      <c r="G159" s="1159"/>
      <c r="H159" s="1160"/>
    </row>
    <row r="160" spans="1:8" ht="15.75" x14ac:dyDescent="0.25">
      <c r="A160" s="1158"/>
      <c r="B160" s="1159"/>
      <c r="C160" s="1158"/>
      <c r="D160" s="1158"/>
      <c r="E160" s="1158"/>
      <c r="F160" s="1159"/>
      <c r="G160" s="1159"/>
      <c r="H160" s="1160"/>
    </row>
    <row r="161" spans="1:8" ht="15.75" x14ac:dyDescent="0.25">
      <c r="A161" s="1158"/>
      <c r="B161" s="1159"/>
      <c r="C161" s="1158"/>
      <c r="D161" s="1158"/>
      <c r="E161" s="1158"/>
      <c r="F161" s="1159"/>
      <c r="G161" s="1159"/>
      <c r="H161" s="1160"/>
    </row>
    <row r="162" spans="1:8" ht="15.75" x14ac:dyDescent="0.25">
      <c r="A162" s="1158"/>
      <c r="B162" s="1159"/>
      <c r="C162" s="1158"/>
      <c r="D162" s="1158"/>
      <c r="E162" s="1158"/>
      <c r="F162" s="1159"/>
      <c r="G162" s="1159"/>
      <c r="H162" s="1160"/>
    </row>
    <row r="163" spans="1:8" ht="15.75" x14ac:dyDescent="0.25">
      <c r="A163" s="1158"/>
      <c r="B163" s="1159"/>
      <c r="C163" s="1158"/>
      <c r="D163" s="1158"/>
      <c r="E163" s="1158"/>
      <c r="F163" s="1159"/>
      <c r="G163" s="1159"/>
      <c r="H163" s="1160"/>
    </row>
    <row r="164" spans="1:8" ht="15.75" x14ac:dyDescent="0.25">
      <c r="A164" s="1158"/>
      <c r="B164" s="1159"/>
      <c r="C164" s="1158"/>
      <c r="D164" s="1158"/>
      <c r="E164" s="1158"/>
      <c r="F164" s="1159"/>
      <c r="G164" s="1159"/>
      <c r="H164" s="1160"/>
    </row>
    <row r="165" spans="1:8" ht="15.75" x14ac:dyDescent="0.25">
      <c r="A165" s="1158"/>
      <c r="B165" s="1159"/>
      <c r="C165" s="1158"/>
      <c r="D165" s="1158"/>
      <c r="E165" s="1158"/>
      <c r="F165" s="1159"/>
      <c r="G165" s="1159"/>
      <c r="H165" s="1160"/>
    </row>
    <row r="166" spans="1:8" ht="15.75" x14ac:dyDescent="0.25">
      <c r="A166" s="1158"/>
      <c r="B166" s="1159"/>
      <c r="C166" s="1158"/>
      <c r="D166" s="1158"/>
      <c r="E166" s="1158"/>
      <c r="F166" s="1159"/>
      <c r="G166" s="1159"/>
      <c r="H166" s="1160"/>
    </row>
    <row r="167" spans="1:8" ht="15.75" x14ac:dyDescent="0.25">
      <c r="A167" s="1158"/>
      <c r="B167" s="1159"/>
      <c r="C167" s="1158"/>
      <c r="D167" s="1158"/>
      <c r="E167" s="1158"/>
      <c r="F167" s="1159"/>
      <c r="G167" s="1159"/>
      <c r="H167" s="1160"/>
    </row>
    <row r="168" spans="1:8" ht="15.75" x14ac:dyDescent="0.25">
      <c r="A168" s="1158"/>
      <c r="B168" s="1159"/>
      <c r="C168" s="1158"/>
      <c r="D168" s="1158"/>
      <c r="E168" s="1158"/>
      <c r="F168" s="1159"/>
      <c r="G168" s="1159"/>
      <c r="H168" s="1160"/>
    </row>
    <row r="169" spans="1:8" ht="15.75" x14ac:dyDescent="0.25">
      <c r="A169" s="1158"/>
      <c r="B169" s="1159"/>
      <c r="C169" s="1158"/>
      <c r="D169" s="1158"/>
      <c r="E169" s="1158"/>
      <c r="F169" s="1159"/>
      <c r="G169" s="1159"/>
      <c r="H169" s="1160"/>
    </row>
    <row r="170" spans="1:8" ht="15.75" x14ac:dyDescent="0.25">
      <c r="A170" s="1158"/>
      <c r="B170" s="1159"/>
      <c r="C170" s="1158"/>
      <c r="D170" s="1158"/>
      <c r="E170" s="1158"/>
      <c r="F170" s="1159"/>
      <c r="G170" s="1159"/>
      <c r="H170" s="1160"/>
    </row>
    <row r="171" spans="1:8" ht="15.75" x14ac:dyDescent="0.25">
      <c r="A171" s="1158"/>
      <c r="B171" s="1159"/>
      <c r="C171" s="1158"/>
      <c r="D171" s="1158"/>
      <c r="E171" s="1158"/>
      <c r="F171" s="1159"/>
      <c r="G171" s="1159"/>
      <c r="H171" s="1160"/>
    </row>
    <row r="172" spans="1:8" ht="15.75" x14ac:dyDescent="0.25">
      <c r="A172" s="1158"/>
      <c r="B172" s="1159"/>
      <c r="C172" s="1158"/>
      <c r="D172" s="1158"/>
      <c r="E172" s="1158"/>
      <c r="F172" s="1159"/>
      <c r="G172" s="1159"/>
      <c r="H172" s="1160"/>
    </row>
    <row r="173" spans="1:8" ht="15.75" x14ac:dyDescent="0.25">
      <c r="A173" s="1158"/>
      <c r="B173" s="1159"/>
      <c r="C173" s="1158"/>
      <c r="D173" s="1158"/>
      <c r="E173" s="1158"/>
      <c r="F173" s="1159"/>
      <c r="G173" s="1159"/>
      <c r="H173" s="1160"/>
    </row>
    <row r="174" spans="1:8" ht="15.75" x14ac:dyDescent="0.25">
      <c r="A174" s="1158"/>
      <c r="B174" s="1159"/>
      <c r="C174" s="1158"/>
      <c r="D174" s="1158"/>
      <c r="E174" s="1158"/>
      <c r="F174" s="1159"/>
      <c r="G174" s="1159"/>
      <c r="H174" s="1160"/>
    </row>
    <row r="175" spans="1:8" ht="15.75" x14ac:dyDescent="0.25">
      <c r="A175" s="1158"/>
      <c r="B175" s="1159"/>
      <c r="C175" s="1158"/>
      <c r="D175" s="1158"/>
      <c r="E175" s="1158"/>
      <c r="F175" s="1159"/>
      <c r="G175" s="1159"/>
      <c r="H175" s="1160"/>
    </row>
    <row r="176" spans="1:8" ht="15.75" x14ac:dyDescent="0.25">
      <c r="A176" s="1158"/>
      <c r="B176" s="1159"/>
      <c r="C176" s="1158"/>
      <c r="D176" s="1158"/>
      <c r="E176" s="1158"/>
      <c r="F176" s="1159"/>
      <c r="G176" s="1159"/>
      <c r="H176" s="1160"/>
    </row>
    <row r="177" spans="1:8" ht="15.75" x14ac:dyDescent="0.25">
      <c r="A177" s="1158"/>
      <c r="B177" s="1159"/>
      <c r="C177" s="1158"/>
      <c r="D177" s="1158"/>
      <c r="E177" s="1158"/>
      <c r="F177" s="1159"/>
      <c r="G177" s="1159"/>
      <c r="H177" s="1160"/>
    </row>
    <row r="178" spans="1:8" ht="15.75" x14ac:dyDescent="0.25">
      <c r="A178" s="1158"/>
      <c r="B178" s="1159"/>
      <c r="C178" s="1158"/>
      <c r="D178" s="1158"/>
      <c r="E178" s="1158"/>
      <c r="F178" s="1159"/>
      <c r="G178" s="1159"/>
      <c r="H178" s="1160"/>
    </row>
    <row r="179" spans="1:8" ht="15.75" x14ac:dyDescent="0.25">
      <c r="A179" s="1158"/>
      <c r="B179" s="1159"/>
      <c r="C179" s="1158"/>
      <c r="D179" s="1158"/>
      <c r="E179" s="1158"/>
      <c r="F179" s="1159"/>
      <c r="G179" s="1159"/>
      <c r="H179" s="1160"/>
    </row>
    <row r="180" spans="1:8" ht="15.75" x14ac:dyDescent="0.25">
      <c r="A180" s="1158"/>
      <c r="B180" s="1159"/>
      <c r="C180" s="1158"/>
      <c r="D180" s="1158"/>
      <c r="E180" s="1158"/>
      <c r="F180" s="1159"/>
      <c r="G180" s="1159"/>
      <c r="H180" s="1160"/>
    </row>
    <row r="181" spans="1:8" ht="15.75" x14ac:dyDescent="0.25">
      <c r="A181" s="1158"/>
      <c r="B181" s="1159"/>
      <c r="C181" s="1158"/>
      <c r="D181" s="1158"/>
      <c r="E181" s="1158"/>
      <c r="F181" s="1159"/>
      <c r="G181" s="1159"/>
      <c r="H181" s="1160"/>
    </row>
    <row r="182" spans="1:8" ht="15.75" x14ac:dyDescent="0.25">
      <c r="A182" s="1158"/>
      <c r="B182" s="1159"/>
      <c r="C182" s="1158"/>
      <c r="D182" s="1158"/>
      <c r="E182" s="1158"/>
      <c r="F182" s="1159"/>
      <c r="G182" s="1159"/>
      <c r="H182" s="1160"/>
    </row>
    <row r="183" spans="1:8" ht="15.75" x14ac:dyDescent="0.25">
      <c r="A183" s="1158"/>
      <c r="B183" s="1159"/>
      <c r="C183" s="1158"/>
      <c r="D183" s="1158"/>
      <c r="E183" s="1158"/>
      <c r="F183" s="1159"/>
      <c r="G183" s="1159"/>
      <c r="H183" s="1160"/>
    </row>
    <row r="184" spans="1:8" ht="15.75" x14ac:dyDescent="0.25">
      <c r="A184" s="1158"/>
      <c r="B184" s="1159"/>
      <c r="C184" s="1158"/>
      <c r="D184" s="1158"/>
      <c r="E184" s="1158"/>
      <c r="F184" s="1159"/>
      <c r="G184" s="1159"/>
      <c r="H184" s="1160"/>
    </row>
    <row r="185" spans="1:8" ht="15.75" x14ac:dyDescent="0.25">
      <c r="A185" s="1158"/>
      <c r="B185" s="1159"/>
      <c r="C185" s="1158"/>
      <c r="D185" s="1158"/>
      <c r="E185" s="1158"/>
      <c r="F185" s="1159"/>
      <c r="G185" s="1159"/>
      <c r="H185" s="1160"/>
    </row>
    <row r="186" spans="1:8" ht="15.75" x14ac:dyDescent="0.25">
      <c r="A186" s="1158"/>
      <c r="B186" s="1159"/>
      <c r="C186" s="1158"/>
      <c r="D186" s="1158"/>
      <c r="E186" s="1158"/>
      <c r="F186" s="1159"/>
      <c r="G186" s="1159"/>
      <c r="H186" s="1160"/>
    </row>
    <row r="187" spans="1:8" ht="15.75" x14ac:dyDescent="0.25">
      <c r="A187" s="1158"/>
      <c r="B187" s="1159"/>
      <c r="C187" s="1158"/>
      <c r="D187" s="1158"/>
      <c r="E187" s="1158"/>
      <c r="F187" s="1159"/>
      <c r="G187" s="1159"/>
      <c r="H187" s="1160"/>
    </row>
    <row r="188" spans="1:8" ht="15.75" x14ac:dyDescent="0.25">
      <c r="A188" s="1158"/>
      <c r="B188" s="1159"/>
      <c r="C188" s="1158"/>
      <c r="D188" s="1158"/>
      <c r="E188" s="1158"/>
      <c r="F188" s="1159"/>
      <c r="G188" s="1159"/>
      <c r="H188" s="1160"/>
    </row>
    <row r="189" spans="1:8" ht="15.75" x14ac:dyDescent="0.25">
      <c r="A189" s="1158"/>
      <c r="B189" s="1159"/>
      <c r="C189" s="1158"/>
      <c r="D189" s="1158"/>
      <c r="E189" s="1158"/>
      <c r="F189" s="1159"/>
      <c r="G189" s="1159"/>
      <c r="H189" s="1160"/>
    </row>
    <row r="190" spans="1:8" ht="15.75" x14ac:dyDescent="0.25">
      <c r="A190" s="1158"/>
      <c r="B190" s="1159"/>
      <c r="C190" s="1158"/>
      <c r="D190" s="1158"/>
      <c r="E190" s="1158"/>
      <c r="F190" s="1159"/>
      <c r="G190" s="1159"/>
      <c r="H190" s="1160"/>
    </row>
    <row r="191" spans="1:8" ht="15.75" x14ac:dyDescent="0.25">
      <c r="A191" s="1158"/>
      <c r="B191" s="1159"/>
      <c r="C191" s="1158"/>
      <c r="D191" s="1158"/>
      <c r="E191" s="1158"/>
      <c r="F191" s="1159"/>
      <c r="G191" s="1159"/>
      <c r="H191" s="1160"/>
    </row>
    <row r="192" spans="1:8" ht="15.75" x14ac:dyDescent="0.25">
      <c r="A192" s="1158"/>
      <c r="B192" s="1159"/>
      <c r="C192" s="1158"/>
      <c r="D192" s="1158"/>
      <c r="E192" s="1158"/>
      <c r="F192" s="1159"/>
      <c r="G192" s="1159"/>
      <c r="H192" s="1160"/>
    </row>
    <row r="193" spans="1:8" ht="15.75" x14ac:dyDescent="0.25">
      <c r="A193" s="1158"/>
      <c r="B193" s="1159"/>
      <c r="C193" s="1158"/>
      <c r="D193" s="1158"/>
      <c r="E193" s="1158"/>
      <c r="F193" s="1159"/>
      <c r="G193" s="1159"/>
      <c r="H193" s="1160"/>
    </row>
    <row r="194" spans="1:8" ht="15.75" x14ac:dyDescent="0.25">
      <c r="A194" s="1158"/>
      <c r="B194" s="1159"/>
      <c r="C194" s="1158"/>
      <c r="D194" s="1158"/>
      <c r="E194" s="1158"/>
      <c r="F194" s="1159"/>
      <c r="G194" s="1159"/>
      <c r="H194" s="1160"/>
    </row>
    <row r="195" spans="1:8" ht="15.75" x14ac:dyDescent="0.25">
      <c r="A195" s="1158"/>
      <c r="B195" s="1159"/>
      <c r="C195" s="1158"/>
      <c r="D195" s="1158"/>
      <c r="E195" s="1158"/>
      <c r="F195" s="1159"/>
      <c r="G195" s="1159"/>
      <c r="H195" s="1160"/>
    </row>
    <row r="196" spans="1:8" ht="15.75" x14ac:dyDescent="0.25">
      <c r="A196" s="1158"/>
      <c r="B196" s="1159"/>
      <c r="C196" s="1158"/>
      <c r="D196" s="1158"/>
      <c r="E196" s="1158"/>
      <c r="F196" s="1159"/>
      <c r="G196" s="1159"/>
      <c r="H196" s="1160"/>
    </row>
    <row r="197" spans="1:8" ht="15.75" x14ac:dyDescent="0.25">
      <c r="A197" s="1158"/>
      <c r="B197" s="1159"/>
      <c r="C197" s="1158"/>
      <c r="D197" s="1158"/>
      <c r="E197" s="1158"/>
      <c r="F197" s="1159"/>
      <c r="G197" s="1159"/>
      <c r="H197" s="1160"/>
    </row>
    <row r="198" spans="1:8" ht="15.75" x14ac:dyDescent="0.25">
      <c r="A198" s="1158"/>
      <c r="B198" s="1159"/>
      <c r="C198" s="1158"/>
      <c r="D198" s="1158"/>
      <c r="E198" s="1158"/>
      <c r="F198" s="1159"/>
      <c r="G198" s="1159"/>
      <c r="H198" s="1160"/>
    </row>
    <row r="199" spans="1:8" ht="15.75" x14ac:dyDescent="0.25">
      <c r="A199" s="1158"/>
      <c r="B199" s="1159"/>
      <c r="C199" s="1158"/>
      <c r="D199" s="1158"/>
      <c r="E199" s="1158"/>
      <c r="F199" s="1159"/>
      <c r="G199" s="1159"/>
      <c r="H199" s="1160"/>
    </row>
    <row r="200" spans="1:8" ht="15.75" x14ac:dyDescent="0.25">
      <c r="A200" s="1158"/>
      <c r="B200" s="1159"/>
      <c r="C200" s="1158"/>
      <c r="D200" s="1158"/>
      <c r="E200" s="1158"/>
      <c r="F200" s="1159"/>
      <c r="G200" s="1159"/>
      <c r="H200" s="1160"/>
    </row>
    <row r="201" spans="1:8" ht="15.75" x14ac:dyDescent="0.25">
      <c r="A201" s="1158"/>
      <c r="B201" s="1159"/>
      <c r="C201" s="1158"/>
      <c r="D201" s="1158"/>
      <c r="E201" s="1158"/>
      <c r="F201" s="1159"/>
      <c r="G201" s="1159"/>
      <c r="H201" s="1160"/>
    </row>
    <row r="202" spans="1:8" ht="15.75" x14ac:dyDescent="0.25">
      <c r="A202" s="1158"/>
      <c r="B202" s="1159"/>
      <c r="C202" s="1158"/>
      <c r="D202" s="1158"/>
      <c r="E202" s="1158"/>
      <c r="F202" s="1159"/>
      <c r="G202" s="1159"/>
      <c r="H202" s="1160"/>
    </row>
    <row r="203" spans="1:8" ht="15.75" x14ac:dyDescent="0.25">
      <c r="A203" s="1158"/>
      <c r="B203" s="1159"/>
      <c r="C203" s="1158"/>
      <c r="D203" s="1158"/>
      <c r="E203" s="1158"/>
      <c r="F203" s="1159"/>
      <c r="G203" s="1159"/>
      <c r="H203" s="1160"/>
    </row>
    <row r="204" spans="1:8" ht="15.75" x14ac:dyDescent="0.25">
      <c r="A204" s="1158"/>
      <c r="B204" s="1159"/>
      <c r="C204" s="1158"/>
      <c r="D204" s="1158"/>
      <c r="E204" s="1158"/>
      <c r="F204" s="1159"/>
      <c r="G204" s="1159"/>
      <c r="H204" s="1160"/>
    </row>
    <row r="205" spans="1:8" ht="15.75" x14ac:dyDescent="0.25">
      <c r="A205" s="1158"/>
      <c r="B205" s="1159"/>
      <c r="C205" s="1158"/>
      <c r="D205" s="1158"/>
      <c r="E205" s="1158"/>
      <c r="F205" s="1159"/>
      <c r="G205" s="1159"/>
      <c r="H205" s="1160"/>
    </row>
    <row r="206" spans="1:8" ht="15.75" x14ac:dyDescent="0.25">
      <c r="A206" s="1158"/>
      <c r="B206" s="1159"/>
      <c r="C206" s="1158"/>
      <c r="D206" s="1158"/>
      <c r="E206" s="1158"/>
      <c r="F206" s="1159"/>
      <c r="G206" s="1159"/>
      <c r="H206" s="1160"/>
    </row>
    <row r="207" spans="1:8" ht="15.75" x14ac:dyDescent="0.25">
      <c r="A207" s="1158"/>
      <c r="B207" s="1159"/>
      <c r="C207" s="1158"/>
      <c r="D207" s="1158"/>
      <c r="E207" s="1158"/>
      <c r="F207" s="1159"/>
      <c r="G207" s="1159"/>
      <c r="H207" s="1160"/>
    </row>
    <row r="208" spans="1:8" ht="15.75" x14ac:dyDescent="0.25">
      <c r="A208" s="1158"/>
      <c r="B208" s="1159"/>
      <c r="C208" s="1158"/>
      <c r="D208" s="1158"/>
      <c r="E208" s="1158"/>
      <c r="F208" s="1159"/>
      <c r="G208" s="1159"/>
      <c r="H208" s="1160"/>
    </row>
    <row r="209" spans="1:8" ht="15.75" x14ac:dyDescent="0.25">
      <c r="A209" s="1158"/>
      <c r="B209" s="1159"/>
      <c r="C209" s="1158"/>
      <c r="D209" s="1158"/>
      <c r="E209" s="1158"/>
      <c r="F209" s="1159"/>
      <c r="G209" s="1159"/>
      <c r="H209" s="1160"/>
    </row>
    <row r="210" spans="1:8" ht="15.75" x14ac:dyDescent="0.25">
      <c r="A210" s="1158"/>
      <c r="B210" s="1159"/>
      <c r="C210" s="1158"/>
      <c r="D210" s="1158"/>
      <c r="E210" s="1158"/>
      <c r="F210" s="1159"/>
      <c r="G210" s="1159"/>
      <c r="H210" s="1160"/>
    </row>
    <row r="211" spans="1:8" ht="15.75" x14ac:dyDescent="0.25">
      <c r="A211" s="1158"/>
      <c r="B211" s="1159"/>
      <c r="C211" s="1158"/>
      <c r="D211" s="1158"/>
      <c r="E211" s="1158"/>
      <c r="F211" s="1159"/>
      <c r="G211" s="1159"/>
      <c r="H211" s="1160"/>
    </row>
    <row r="212" spans="1:8" ht="15.75" x14ac:dyDescent="0.25">
      <c r="A212" s="1158"/>
      <c r="B212" s="1159"/>
      <c r="C212" s="1158"/>
      <c r="D212" s="1158"/>
      <c r="E212" s="1158"/>
      <c r="F212" s="1159"/>
      <c r="G212" s="1159"/>
      <c r="H212" s="1160"/>
    </row>
    <row r="213" spans="1:8" ht="15.75" x14ac:dyDescent="0.25">
      <c r="A213" s="1158"/>
      <c r="B213" s="1159"/>
      <c r="C213" s="1158"/>
      <c r="D213" s="1158"/>
      <c r="E213" s="1158"/>
      <c r="F213" s="1159"/>
      <c r="G213" s="1159"/>
      <c r="H213" s="1160"/>
    </row>
    <row r="214" spans="1:8" ht="15.75" x14ac:dyDescent="0.25">
      <c r="A214" s="1158"/>
      <c r="B214" s="1159"/>
      <c r="C214" s="1158"/>
      <c r="D214" s="1158"/>
      <c r="E214" s="1158"/>
      <c r="F214" s="1159"/>
      <c r="G214" s="1159"/>
      <c r="H214" s="1160"/>
    </row>
    <row r="215" spans="1:8" ht="15.75" x14ac:dyDescent="0.25">
      <c r="A215" s="1158"/>
      <c r="B215" s="1159"/>
      <c r="C215" s="1158"/>
      <c r="D215" s="1158"/>
      <c r="E215" s="1158"/>
      <c r="F215" s="1159"/>
      <c r="G215" s="1159"/>
      <c r="H215" s="1160"/>
    </row>
    <row r="216" spans="1:8" ht="15.75" x14ac:dyDescent="0.25">
      <c r="A216" s="1158"/>
      <c r="B216" s="1159"/>
      <c r="C216" s="1158"/>
      <c r="D216" s="1158"/>
      <c r="E216" s="1158"/>
      <c r="F216" s="1159"/>
      <c r="G216" s="1159"/>
      <c r="H216" s="1160"/>
    </row>
    <row r="217" spans="1:8" ht="15.75" x14ac:dyDescent="0.25">
      <c r="A217" s="1158"/>
      <c r="B217" s="1159"/>
      <c r="C217" s="1158"/>
      <c r="D217" s="1158"/>
      <c r="E217" s="1158"/>
      <c r="F217" s="1159"/>
      <c r="G217" s="1159"/>
      <c r="H217" s="1160"/>
    </row>
    <row r="218" spans="1:8" ht="15.75" x14ac:dyDescent="0.25">
      <c r="A218" s="1158"/>
      <c r="B218" s="1159"/>
      <c r="C218" s="1158"/>
      <c r="D218" s="1158"/>
      <c r="E218" s="1158"/>
      <c r="F218" s="1159"/>
      <c r="G218" s="1159"/>
      <c r="H218" s="1160"/>
    </row>
    <row r="219" spans="1:8" ht="15.75" x14ac:dyDescent="0.25">
      <c r="A219" s="1158"/>
      <c r="B219" s="1159"/>
      <c r="C219" s="1158"/>
      <c r="D219" s="1158"/>
      <c r="E219" s="1158"/>
      <c r="F219" s="1159"/>
      <c r="G219" s="1159"/>
      <c r="H219" s="1160"/>
    </row>
    <row r="220" spans="1:8" ht="15.75" x14ac:dyDescent="0.25">
      <c r="A220" s="1158"/>
      <c r="B220" s="1159"/>
      <c r="C220" s="1158"/>
      <c r="D220" s="1158"/>
      <c r="E220" s="1158"/>
      <c r="F220" s="1159"/>
      <c r="G220" s="1159"/>
      <c r="H220" s="1160"/>
    </row>
    <row r="221" spans="1:8" ht="15.75" x14ac:dyDescent="0.25">
      <c r="A221" s="1158"/>
      <c r="B221" s="1159"/>
      <c r="C221" s="1158"/>
      <c r="D221" s="1158"/>
      <c r="E221" s="1158"/>
      <c r="F221" s="1159"/>
      <c r="G221" s="1159"/>
      <c r="H221" s="1160"/>
    </row>
    <row r="222" spans="1:8" ht="15.75" x14ac:dyDescent="0.25">
      <c r="A222" s="1158"/>
      <c r="B222" s="1159"/>
      <c r="C222" s="1158"/>
      <c r="D222" s="1158"/>
      <c r="E222" s="1158"/>
      <c r="F222" s="1159"/>
      <c r="G222" s="1159"/>
      <c r="H222" s="1160"/>
    </row>
    <row r="223" spans="1:8" ht="15.75" x14ac:dyDescent="0.25">
      <c r="A223" s="1158"/>
      <c r="B223" s="1159"/>
      <c r="C223" s="1158"/>
      <c r="D223" s="1158"/>
      <c r="E223" s="1158"/>
      <c r="F223" s="1159"/>
      <c r="G223" s="1159"/>
      <c r="H223" s="1160"/>
    </row>
    <row r="224" spans="1:8" ht="15.75" x14ac:dyDescent="0.25">
      <c r="A224" s="1158"/>
      <c r="B224" s="1159"/>
      <c r="C224" s="1158"/>
      <c r="D224" s="1158"/>
      <c r="E224" s="1158"/>
      <c r="F224" s="1159"/>
      <c r="G224" s="1159"/>
      <c r="H224" s="1160"/>
    </row>
    <row r="225" spans="1:8" ht="15.75" x14ac:dyDescent="0.25">
      <c r="A225" s="1158"/>
      <c r="B225" s="1159"/>
      <c r="C225" s="1158"/>
      <c r="D225" s="1158"/>
      <c r="E225" s="1158"/>
      <c r="F225" s="1159"/>
      <c r="G225" s="1159"/>
      <c r="H225" s="1160"/>
    </row>
    <row r="226" spans="1:8" ht="15.75" x14ac:dyDescent="0.25">
      <c r="A226" s="1158"/>
      <c r="B226" s="1159"/>
      <c r="C226" s="1158"/>
      <c r="D226" s="1158"/>
      <c r="E226" s="1158"/>
      <c r="F226" s="1159"/>
      <c r="G226" s="1159"/>
      <c r="H226" s="1160"/>
    </row>
    <row r="227" spans="1:8" ht="15.75" x14ac:dyDescent="0.25">
      <c r="A227" s="1158"/>
      <c r="B227" s="1159"/>
      <c r="C227" s="1158"/>
      <c r="D227" s="1158"/>
      <c r="E227" s="1158"/>
      <c r="F227" s="1159"/>
      <c r="G227" s="1159"/>
      <c r="H227" s="1160"/>
    </row>
    <row r="228" spans="1:8" ht="15.75" x14ac:dyDescent="0.25">
      <c r="A228" s="1158"/>
      <c r="B228" s="1159"/>
      <c r="C228" s="1158"/>
      <c r="D228" s="1158"/>
      <c r="E228" s="1158"/>
      <c r="F228" s="1159"/>
      <c r="G228" s="1159"/>
      <c r="H228" s="1160"/>
    </row>
    <row r="229" spans="1:8" ht="15.75" x14ac:dyDescent="0.25">
      <c r="A229" s="1158"/>
      <c r="B229" s="1159"/>
      <c r="C229" s="1158"/>
      <c r="D229" s="1158"/>
      <c r="E229" s="1158"/>
      <c r="F229" s="1159"/>
      <c r="G229" s="1159"/>
      <c r="H229" s="1160"/>
    </row>
    <row r="230" spans="1:8" ht="15.75" x14ac:dyDescent="0.25">
      <c r="A230" s="1158"/>
      <c r="B230" s="1159"/>
      <c r="C230" s="1158"/>
      <c r="D230" s="1158"/>
      <c r="E230" s="1158"/>
      <c r="F230" s="1159"/>
      <c r="G230" s="1159"/>
      <c r="H230" s="1160"/>
    </row>
    <row r="231" spans="1:8" ht="15.75" x14ac:dyDescent="0.25">
      <c r="A231" s="1158"/>
      <c r="B231" s="1159"/>
      <c r="C231" s="1158"/>
      <c r="D231" s="1158"/>
      <c r="E231" s="1158"/>
      <c r="F231" s="1159"/>
      <c r="G231" s="1159"/>
      <c r="H231" s="1160"/>
    </row>
    <row r="232" spans="1:8" ht="15.75" x14ac:dyDescent="0.25">
      <c r="A232" s="1158"/>
      <c r="B232" s="1159"/>
      <c r="C232" s="1158"/>
      <c r="D232" s="1158"/>
      <c r="E232" s="1158"/>
      <c r="F232" s="1159"/>
      <c r="G232" s="1159"/>
      <c r="H232" s="1160"/>
    </row>
    <row r="233" spans="1:8" ht="15.75" x14ac:dyDescent="0.25">
      <c r="A233" s="1158"/>
      <c r="B233" s="1159"/>
      <c r="C233" s="1158"/>
      <c r="D233" s="1158"/>
      <c r="E233" s="1158"/>
      <c r="F233" s="1159"/>
      <c r="G233" s="1159"/>
      <c r="H233" s="1160"/>
    </row>
    <row r="234" spans="1:8" ht="15.75" x14ac:dyDescent="0.25">
      <c r="A234" s="1158"/>
      <c r="B234" s="1159"/>
      <c r="C234" s="1158"/>
      <c r="D234" s="1158"/>
      <c r="E234" s="1158"/>
      <c r="F234" s="1159"/>
      <c r="G234" s="1159"/>
      <c r="H234" s="1160"/>
    </row>
    <row r="235" spans="1:8" ht="15.75" x14ac:dyDescent="0.25">
      <c r="A235" s="1158"/>
      <c r="B235" s="1159"/>
      <c r="C235" s="1158"/>
      <c r="D235" s="1158"/>
      <c r="E235" s="1158"/>
      <c r="F235" s="1159"/>
      <c r="G235" s="1159"/>
      <c r="H235" s="1160"/>
    </row>
    <row r="236" spans="1:8" ht="15.75" x14ac:dyDescent="0.25">
      <c r="A236" s="1158"/>
      <c r="B236" s="1159"/>
      <c r="C236" s="1158"/>
      <c r="D236" s="1158"/>
      <c r="E236" s="1158"/>
      <c r="F236" s="1159"/>
      <c r="G236" s="1159"/>
      <c r="H236" s="1160"/>
    </row>
    <row r="237" spans="1:8" ht="15.75" x14ac:dyDescent="0.25">
      <c r="A237" s="1158"/>
      <c r="B237" s="1159"/>
      <c r="C237" s="1158"/>
      <c r="D237" s="1158"/>
      <c r="E237" s="1158"/>
      <c r="F237" s="1159"/>
      <c r="G237" s="1159"/>
      <c r="H237" s="1160"/>
    </row>
    <row r="238" spans="1:8" ht="15.75" x14ac:dyDescent="0.25">
      <c r="A238" s="1158"/>
      <c r="B238" s="1159"/>
      <c r="C238" s="1158"/>
      <c r="D238" s="1158"/>
      <c r="E238" s="1158"/>
      <c r="F238" s="1159"/>
      <c r="G238" s="1159"/>
      <c r="H238" s="1160"/>
    </row>
    <row r="239" spans="1:8" ht="15.75" x14ac:dyDescent="0.25">
      <c r="A239" s="1158"/>
      <c r="B239" s="1159"/>
      <c r="C239" s="1158"/>
      <c r="D239" s="1158"/>
      <c r="E239" s="1158"/>
      <c r="F239" s="1159"/>
      <c r="G239" s="1159"/>
      <c r="H239" s="1160"/>
    </row>
    <row r="240" spans="1:8" ht="15.75" x14ac:dyDescent="0.25">
      <c r="A240" s="1158"/>
      <c r="B240" s="1159"/>
      <c r="C240" s="1158"/>
      <c r="D240" s="1158"/>
      <c r="E240" s="1158"/>
      <c r="F240" s="1159"/>
      <c r="G240" s="1159"/>
      <c r="H240" s="1160"/>
    </row>
    <row r="241" spans="1:8" ht="15.75" x14ac:dyDescent="0.25">
      <c r="A241" s="1158"/>
      <c r="B241" s="1159"/>
      <c r="C241" s="1158"/>
      <c r="D241" s="1158"/>
      <c r="E241" s="1158"/>
      <c r="F241" s="1159"/>
      <c r="G241" s="1159"/>
      <c r="H241" s="1160"/>
    </row>
    <row r="242" spans="1:8" ht="15.75" x14ac:dyDescent="0.25">
      <c r="A242" s="1158"/>
      <c r="B242" s="1159"/>
      <c r="C242" s="1158"/>
      <c r="D242" s="1158"/>
      <c r="E242" s="1158"/>
      <c r="F242" s="1159"/>
      <c r="G242" s="1159"/>
      <c r="H242" s="1160"/>
    </row>
    <row r="243" spans="1:8" ht="15.75" x14ac:dyDescent="0.25">
      <c r="A243" s="1158"/>
      <c r="B243" s="1159"/>
      <c r="C243" s="1158"/>
      <c r="D243" s="1158"/>
      <c r="E243" s="1158"/>
      <c r="F243" s="1159"/>
      <c r="G243" s="1159"/>
      <c r="H243" s="1160"/>
    </row>
    <row r="244" spans="1:8" ht="15.75" x14ac:dyDescent="0.25">
      <c r="A244" s="1158"/>
      <c r="B244" s="1159"/>
      <c r="C244" s="1158"/>
      <c r="D244" s="1158"/>
      <c r="E244" s="1158"/>
      <c r="F244" s="1159"/>
      <c r="G244" s="1159"/>
      <c r="H244" s="1160"/>
    </row>
    <row r="245" spans="1:8" ht="15.75" x14ac:dyDescent="0.25">
      <c r="A245" s="1158"/>
      <c r="B245" s="1159"/>
      <c r="C245" s="1158"/>
      <c r="D245" s="1158"/>
      <c r="E245" s="1158"/>
      <c r="F245" s="1159"/>
      <c r="G245" s="1159"/>
      <c r="H245" s="1160"/>
    </row>
    <row r="246" spans="1:8" ht="15.75" x14ac:dyDescent="0.25">
      <c r="A246" s="1158"/>
      <c r="B246" s="1159"/>
      <c r="C246" s="1158"/>
      <c r="D246" s="1158"/>
      <c r="E246" s="1158"/>
      <c r="F246" s="1159"/>
      <c r="G246" s="1159"/>
      <c r="H246" s="1160"/>
    </row>
    <row r="247" spans="1:8" ht="15.75" x14ac:dyDescent="0.25">
      <c r="A247" s="1158"/>
      <c r="B247" s="1159"/>
      <c r="C247" s="1158"/>
      <c r="D247" s="1158"/>
      <c r="E247" s="1158"/>
      <c r="F247" s="1159"/>
      <c r="G247" s="1159"/>
      <c r="H247" s="1160"/>
    </row>
    <row r="248" spans="1:8" ht="15.75" x14ac:dyDescent="0.25">
      <c r="A248" s="1158"/>
      <c r="B248" s="1159"/>
      <c r="C248" s="1158"/>
      <c r="D248" s="1158"/>
      <c r="E248" s="1158"/>
      <c r="F248" s="1159"/>
      <c r="G248" s="1159"/>
      <c r="H248" s="1160"/>
    </row>
    <row r="249" spans="1:8" ht="15.75" x14ac:dyDescent="0.25">
      <c r="A249" s="1158"/>
      <c r="B249" s="1159"/>
      <c r="C249" s="1158"/>
      <c r="D249" s="1158"/>
      <c r="E249" s="1158"/>
      <c r="F249" s="1159"/>
      <c r="G249" s="1159"/>
      <c r="H249" s="1160"/>
    </row>
    <row r="250" spans="1:8" ht="15.75" x14ac:dyDescent="0.25">
      <c r="A250" s="1158"/>
      <c r="B250" s="1159"/>
      <c r="C250" s="1158"/>
      <c r="D250" s="1158"/>
      <c r="E250" s="1158"/>
      <c r="F250" s="1159"/>
      <c r="G250" s="1159"/>
      <c r="H250" s="1160"/>
    </row>
    <row r="251" spans="1:8" ht="15.75" x14ac:dyDescent="0.25">
      <c r="A251" s="1158"/>
      <c r="B251" s="1159"/>
      <c r="C251" s="1158"/>
      <c r="D251" s="1158"/>
      <c r="E251" s="1158"/>
      <c r="F251" s="1159"/>
      <c r="G251" s="1159"/>
      <c r="H251" s="1160"/>
    </row>
    <row r="252" spans="1:8" ht="15.75" x14ac:dyDescent="0.25">
      <c r="A252" s="1158"/>
      <c r="B252" s="1159"/>
      <c r="C252" s="1158"/>
      <c r="D252" s="1158"/>
      <c r="E252" s="1158"/>
      <c r="F252" s="1159"/>
      <c r="G252" s="1159"/>
      <c r="H252" s="1160"/>
    </row>
    <row r="253" spans="1:8" ht="15.75" x14ac:dyDescent="0.25">
      <c r="A253" s="1158"/>
      <c r="B253" s="1159"/>
      <c r="C253" s="1158"/>
      <c r="D253" s="1158"/>
      <c r="E253" s="1158"/>
      <c r="F253" s="1159"/>
      <c r="G253" s="1159"/>
      <c r="H253" s="1160"/>
    </row>
    <row r="254" spans="1:8" ht="15.75" x14ac:dyDescent="0.25">
      <c r="A254" s="1158"/>
      <c r="B254" s="1159"/>
      <c r="C254" s="1158"/>
      <c r="D254" s="1158"/>
      <c r="E254" s="1158"/>
      <c r="F254" s="1159"/>
      <c r="G254" s="1159"/>
      <c r="H254" s="1160"/>
    </row>
    <row r="255" spans="1:8" ht="15.75" x14ac:dyDescent="0.25">
      <c r="A255" s="1158"/>
      <c r="B255" s="1159"/>
      <c r="C255" s="1158"/>
      <c r="D255" s="1158"/>
      <c r="E255" s="1158"/>
      <c r="F255" s="1159"/>
      <c r="G255" s="1159"/>
      <c r="H255" s="1160"/>
    </row>
    <row r="256" spans="1:8" ht="15.75" x14ac:dyDescent="0.25">
      <c r="A256" s="1158"/>
      <c r="B256" s="1159"/>
      <c r="C256" s="1158"/>
      <c r="D256" s="1158"/>
      <c r="E256" s="1158"/>
      <c r="F256" s="1159"/>
      <c r="G256" s="1159"/>
      <c r="H256" s="1160"/>
    </row>
    <row r="257" spans="1:8" ht="15.75" x14ac:dyDescent="0.25">
      <c r="A257" s="1158"/>
      <c r="B257" s="1159"/>
      <c r="C257" s="1158"/>
      <c r="D257" s="1158"/>
      <c r="E257" s="1158"/>
      <c r="F257" s="1159"/>
      <c r="G257" s="1159"/>
      <c r="H257" s="1160"/>
    </row>
    <row r="258" spans="1:8" ht="15.75" x14ac:dyDescent="0.25">
      <c r="A258" s="1158"/>
      <c r="B258" s="1159"/>
      <c r="C258" s="1158"/>
      <c r="D258" s="1158"/>
      <c r="E258" s="1158"/>
      <c r="F258" s="1159"/>
      <c r="G258" s="1159"/>
      <c r="H258" s="1160"/>
    </row>
    <row r="259" spans="1:8" ht="15.75" x14ac:dyDescent="0.25">
      <c r="A259" s="1158"/>
      <c r="B259" s="1159"/>
      <c r="C259" s="1158"/>
      <c r="D259" s="1158"/>
      <c r="E259" s="1158"/>
      <c r="F259" s="1159"/>
      <c r="G259" s="1159"/>
      <c r="H259" s="1160"/>
    </row>
    <row r="260" spans="1:8" ht="15.75" x14ac:dyDescent="0.25">
      <c r="A260" s="1158"/>
      <c r="B260" s="1159"/>
      <c r="C260" s="1158"/>
      <c r="D260" s="1158"/>
      <c r="E260" s="1158"/>
      <c r="F260" s="1159"/>
      <c r="G260" s="1159"/>
      <c r="H260" s="1160"/>
    </row>
    <row r="261" spans="1:8" ht="15.75" x14ac:dyDescent="0.25">
      <c r="A261" s="1158"/>
      <c r="B261" s="1159"/>
      <c r="C261" s="1158"/>
      <c r="D261" s="1158"/>
      <c r="E261" s="1158"/>
      <c r="F261" s="1159"/>
      <c r="G261" s="1159"/>
      <c r="H261" s="1160"/>
    </row>
    <row r="262" spans="1:8" ht="15.75" x14ac:dyDescent="0.25">
      <c r="A262" s="1158"/>
      <c r="B262" s="1159"/>
      <c r="C262" s="1158"/>
      <c r="D262" s="1158"/>
      <c r="E262" s="1158"/>
      <c r="F262" s="1159"/>
      <c r="G262" s="1159"/>
      <c r="H262" s="1160"/>
    </row>
    <row r="263" spans="1:8" ht="15.75" x14ac:dyDescent="0.25">
      <c r="A263" s="1158"/>
      <c r="B263" s="1159"/>
      <c r="C263" s="1158"/>
      <c r="D263" s="1158"/>
      <c r="E263" s="1158"/>
      <c r="F263" s="1159"/>
      <c r="G263" s="1159"/>
      <c r="H263" s="1160"/>
    </row>
    <row r="264" spans="1:8" ht="15.75" x14ac:dyDescent="0.25">
      <c r="A264" s="1158"/>
      <c r="B264" s="1159"/>
      <c r="C264" s="1158"/>
      <c r="D264" s="1158"/>
      <c r="E264" s="1158"/>
      <c r="F264" s="1159"/>
      <c r="G264" s="1159"/>
      <c r="H264" s="1160"/>
    </row>
    <row r="265" spans="1:8" ht="15.75" x14ac:dyDescent="0.25">
      <c r="A265" s="1158"/>
      <c r="B265" s="1159"/>
      <c r="C265" s="1158"/>
      <c r="D265" s="1158"/>
      <c r="E265" s="1158"/>
      <c r="F265" s="1159"/>
      <c r="G265" s="1159"/>
      <c r="H265" s="1160"/>
    </row>
    <row r="266" spans="1:8" ht="15.75" x14ac:dyDescent="0.25">
      <c r="A266" s="1158"/>
      <c r="B266" s="1159"/>
      <c r="C266" s="1158"/>
      <c r="D266" s="1158"/>
      <c r="E266" s="1158"/>
      <c r="F266" s="1159"/>
      <c r="G266" s="1159"/>
      <c r="H266" s="1160"/>
    </row>
    <row r="267" spans="1:8" ht="15.75" x14ac:dyDescent="0.25">
      <c r="A267" s="1158"/>
      <c r="B267" s="1159"/>
      <c r="C267" s="1158"/>
      <c r="D267" s="1158"/>
      <c r="E267" s="1158"/>
      <c r="F267" s="1159"/>
      <c r="G267" s="1159"/>
      <c r="H267" s="1160"/>
    </row>
    <row r="268" spans="1:8" ht="15.75" x14ac:dyDescent="0.25">
      <c r="A268" s="1158"/>
      <c r="B268" s="1159"/>
      <c r="C268" s="1158"/>
      <c r="D268" s="1158"/>
      <c r="E268" s="1158"/>
      <c r="F268" s="1159"/>
      <c r="G268" s="1159"/>
      <c r="H268" s="1160"/>
    </row>
    <row r="269" spans="1:8" ht="15.75" x14ac:dyDescent="0.25">
      <c r="A269" s="1158"/>
      <c r="B269" s="1159"/>
      <c r="C269" s="1158"/>
      <c r="D269" s="1158"/>
      <c r="E269" s="1158"/>
      <c r="F269" s="1159"/>
      <c r="G269" s="1159"/>
      <c r="H269" s="1160"/>
    </row>
    <row r="270" spans="1:8" ht="15.75" x14ac:dyDescent="0.25">
      <c r="A270" s="1158"/>
      <c r="B270" s="1159"/>
      <c r="C270" s="1158"/>
      <c r="D270" s="1158"/>
      <c r="E270" s="1158"/>
      <c r="F270" s="1159"/>
      <c r="G270" s="1159"/>
      <c r="H270" s="1160"/>
    </row>
    <row r="271" spans="1:8" ht="15.75" x14ac:dyDescent="0.25">
      <c r="A271" s="1158"/>
      <c r="B271" s="1159"/>
      <c r="C271" s="1158"/>
      <c r="D271" s="1158"/>
      <c r="E271" s="1158"/>
      <c r="F271" s="1159"/>
      <c r="G271" s="1159"/>
      <c r="H271" s="1160"/>
    </row>
    <row r="272" spans="1:8" ht="15.75" x14ac:dyDescent="0.25">
      <c r="A272" s="1158"/>
      <c r="B272" s="1159"/>
      <c r="C272" s="1158"/>
      <c r="D272" s="1158"/>
      <c r="E272" s="1158"/>
      <c r="F272" s="1159"/>
      <c r="G272" s="1159"/>
      <c r="H272" s="1160"/>
    </row>
    <row r="273" spans="1:8" ht="15.75" x14ac:dyDescent="0.25">
      <c r="A273" s="1158"/>
      <c r="B273" s="1159"/>
      <c r="C273" s="1158"/>
      <c r="D273" s="1158"/>
      <c r="E273" s="1158"/>
      <c r="F273" s="1159"/>
      <c r="G273" s="1159"/>
      <c r="H273" s="1160"/>
    </row>
    <row r="274" spans="1:8" ht="15.75" x14ac:dyDescent="0.25">
      <c r="A274" s="1158"/>
      <c r="B274" s="1159"/>
      <c r="C274" s="1158"/>
      <c r="D274" s="1158"/>
      <c r="E274" s="1158"/>
      <c r="F274" s="1159"/>
      <c r="G274" s="1159"/>
      <c r="H274" s="1160"/>
    </row>
    <row r="275" spans="1:8" ht="15.75" x14ac:dyDescent="0.25">
      <c r="A275" s="1158"/>
      <c r="B275" s="1159"/>
      <c r="C275" s="1158"/>
      <c r="D275" s="1158"/>
      <c r="E275" s="1158"/>
      <c r="F275" s="1159"/>
      <c r="G275" s="1159"/>
      <c r="H275" s="1160"/>
    </row>
    <row r="276" spans="1:8" ht="15.75" x14ac:dyDescent="0.25">
      <c r="A276" s="1158"/>
      <c r="B276" s="1159"/>
      <c r="C276" s="1158"/>
      <c r="D276" s="1158"/>
      <c r="E276" s="1158"/>
      <c r="F276" s="1159"/>
      <c r="G276" s="1159"/>
      <c r="H276" s="1160"/>
    </row>
    <row r="277" spans="1:8" ht="15.75" x14ac:dyDescent="0.25">
      <c r="A277" s="1158"/>
      <c r="B277" s="1159"/>
      <c r="C277" s="1158"/>
      <c r="D277" s="1158"/>
      <c r="E277" s="1158"/>
      <c r="F277" s="1159"/>
      <c r="G277" s="1159"/>
      <c r="H277" s="1160"/>
    </row>
    <row r="278" spans="1:8" ht="15.75" x14ac:dyDescent="0.25">
      <c r="A278" s="1158"/>
      <c r="B278" s="1159"/>
      <c r="C278" s="1158"/>
      <c r="D278" s="1158"/>
      <c r="E278" s="1158"/>
      <c r="F278" s="1159"/>
      <c r="G278" s="1159"/>
      <c r="H278" s="1160"/>
    </row>
    <row r="279" spans="1:8" ht="15.75" x14ac:dyDescent="0.25">
      <c r="A279" s="1158"/>
      <c r="B279" s="1159"/>
      <c r="C279" s="1158"/>
      <c r="D279" s="1158"/>
      <c r="E279" s="1158"/>
      <c r="F279" s="1159"/>
      <c r="G279" s="1159"/>
      <c r="H279" s="1160"/>
    </row>
    <row r="280" spans="1:8" ht="15.75" x14ac:dyDescent="0.25">
      <c r="A280" s="1158"/>
      <c r="B280" s="1159"/>
      <c r="C280" s="1158"/>
      <c r="D280" s="1158"/>
      <c r="E280" s="1158"/>
      <c r="F280" s="1159"/>
      <c r="G280" s="1159"/>
      <c r="H280" s="1160"/>
    </row>
    <row r="281" spans="1:8" ht="15.75" x14ac:dyDescent="0.25">
      <c r="A281" s="1158"/>
      <c r="B281" s="1159"/>
      <c r="C281" s="1158"/>
      <c r="D281" s="1158"/>
      <c r="E281" s="1158"/>
      <c r="F281" s="1159"/>
      <c r="G281" s="1159"/>
      <c r="H281" s="1160"/>
    </row>
    <row r="282" spans="1:8" ht="15.75" x14ac:dyDescent="0.25">
      <c r="A282" s="1158"/>
      <c r="B282" s="1159"/>
      <c r="C282" s="1158"/>
      <c r="D282" s="1158"/>
      <c r="E282" s="1158"/>
      <c r="F282" s="1159"/>
      <c r="G282" s="1159"/>
      <c r="H282" s="1160"/>
    </row>
    <row r="283" spans="1:8" ht="15.75" x14ac:dyDescent="0.25">
      <c r="A283" s="1158"/>
      <c r="B283" s="1159"/>
      <c r="C283" s="1158"/>
      <c r="D283" s="1158"/>
      <c r="E283" s="1158"/>
      <c r="F283" s="1159"/>
      <c r="G283" s="1159"/>
      <c r="H283" s="1160"/>
    </row>
    <row r="284" spans="1:8" ht="15.75" x14ac:dyDescent="0.25">
      <c r="A284" s="1158"/>
      <c r="B284" s="1159"/>
      <c r="C284" s="1158"/>
      <c r="D284" s="1158"/>
      <c r="E284" s="1158"/>
      <c r="F284" s="1159"/>
      <c r="G284" s="1159"/>
      <c r="H284" s="1160"/>
    </row>
    <row r="285" spans="1:8" ht="15.75" x14ac:dyDescent="0.25">
      <c r="A285" s="1158"/>
      <c r="B285" s="1159"/>
      <c r="C285" s="1158"/>
      <c r="D285" s="1158"/>
      <c r="E285" s="1158"/>
      <c r="F285" s="1159"/>
      <c r="G285" s="1159"/>
      <c r="H285" s="1160"/>
    </row>
    <row r="286" spans="1:8" ht="15.75" x14ac:dyDescent="0.25">
      <c r="A286" s="1158"/>
      <c r="B286" s="1159"/>
      <c r="C286" s="1158"/>
      <c r="D286" s="1158"/>
      <c r="E286" s="1158"/>
      <c r="F286" s="1159"/>
      <c r="G286" s="1159"/>
      <c r="H286" s="1160"/>
    </row>
    <row r="287" spans="1:8" ht="15.75" x14ac:dyDescent="0.25">
      <c r="A287" s="1158"/>
      <c r="B287" s="1159"/>
      <c r="C287" s="1158"/>
      <c r="D287" s="1158"/>
      <c r="E287" s="1158"/>
      <c r="F287" s="1159"/>
      <c r="G287" s="1159"/>
      <c r="H287" s="1160"/>
    </row>
    <row r="288" spans="1:8" ht="15.75" x14ac:dyDescent="0.25">
      <c r="A288" s="1158"/>
      <c r="B288" s="1159"/>
      <c r="C288" s="1158"/>
      <c r="D288" s="1158"/>
      <c r="E288" s="1158"/>
      <c r="F288" s="1159"/>
      <c r="G288" s="1159"/>
      <c r="H288" s="1160"/>
    </row>
    <row r="289" spans="1:8" ht="15.75" x14ac:dyDescent="0.25">
      <c r="A289" s="1158"/>
      <c r="B289" s="1159"/>
      <c r="C289" s="1158"/>
      <c r="D289" s="1158"/>
      <c r="E289" s="1158"/>
      <c r="F289" s="1159"/>
      <c r="G289" s="1159"/>
      <c r="H289" s="1160"/>
    </row>
    <row r="290" spans="1:8" ht="15.75" x14ac:dyDescent="0.25">
      <c r="A290" s="1158"/>
      <c r="B290" s="1159"/>
      <c r="C290" s="1158"/>
      <c r="D290" s="1158"/>
      <c r="E290" s="1158"/>
      <c r="F290" s="1159"/>
      <c r="G290" s="1159"/>
      <c r="H290" s="1160"/>
    </row>
    <row r="291" spans="1:8" ht="15.75" x14ac:dyDescent="0.25">
      <c r="A291" s="1158"/>
      <c r="B291" s="1159"/>
      <c r="C291" s="1158"/>
      <c r="D291" s="1158"/>
      <c r="E291" s="1158"/>
      <c r="F291" s="1159"/>
      <c r="G291" s="1159"/>
      <c r="H291" s="1160"/>
    </row>
    <row r="292" spans="1:8" ht="15.75" x14ac:dyDescent="0.25">
      <c r="A292" s="1158"/>
      <c r="B292" s="1159"/>
      <c r="C292" s="1158"/>
      <c r="D292" s="1158"/>
      <c r="E292" s="1158"/>
      <c r="F292" s="1159"/>
      <c r="G292" s="1159"/>
      <c r="H292" s="1160"/>
    </row>
    <row r="293" spans="1:8" ht="15.75" x14ac:dyDescent="0.25">
      <c r="A293" s="1158"/>
      <c r="B293" s="1159"/>
      <c r="C293" s="1158"/>
      <c r="D293" s="1158"/>
      <c r="E293" s="1158"/>
      <c r="F293" s="1159"/>
      <c r="G293" s="1159"/>
      <c r="H293" s="1160"/>
    </row>
    <row r="294" spans="1:8" ht="15.75" x14ac:dyDescent="0.25">
      <c r="A294" s="1158"/>
      <c r="B294" s="1159"/>
      <c r="C294" s="1158"/>
      <c r="D294" s="1158"/>
      <c r="E294" s="1158"/>
      <c r="F294" s="1159"/>
      <c r="G294" s="1159"/>
      <c r="H294" s="1160"/>
    </row>
    <row r="295" spans="1:8" ht="15.75" x14ac:dyDescent="0.25">
      <c r="A295" s="1158"/>
      <c r="B295" s="1159"/>
      <c r="C295" s="1158"/>
      <c r="D295" s="1158"/>
      <c r="E295" s="1158"/>
      <c r="F295" s="1159"/>
      <c r="G295" s="1159"/>
      <c r="H295" s="1160"/>
    </row>
    <row r="296" spans="1:8" ht="15.75" x14ac:dyDescent="0.25">
      <c r="A296" s="1158"/>
      <c r="B296" s="1159"/>
      <c r="C296" s="1158"/>
      <c r="D296" s="1158"/>
      <c r="E296" s="1158"/>
      <c r="F296" s="1159"/>
      <c r="G296" s="1159"/>
      <c r="H296" s="1160"/>
    </row>
    <row r="297" spans="1:8" ht="15.75" x14ac:dyDescent="0.25">
      <c r="A297" s="1158"/>
      <c r="B297" s="1159"/>
      <c r="C297" s="1158"/>
      <c r="D297" s="1158"/>
      <c r="E297" s="1158"/>
      <c r="F297" s="1159"/>
      <c r="G297" s="1159"/>
      <c r="H297" s="1160"/>
    </row>
    <row r="298" spans="1:8" ht="15.75" x14ac:dyDescent="0.25">
      <c r="A298" s="1158"/>
      <c r="B298" s="1159"/>
      <c r="C298" s="1158"/>
      <c r="D298" s="1158"/>
      <c r="E298" s="1158"/>
      <c r="F298" s="1159"/>
      <c r="G298" s="1159"/>
      <c r="H298" s="1160"/>
    </row>
    <row r="299" spans="1:8" ht="15.75" x14ac:dyDescent="0.25">
      <c r="A299" s="1158"/>
      <c r="B299" s="1159"/>
      <c r="C299" s="1158"/>
      <c r="D299" s="1158"/>
      <c r="E299" s="1158"/>
      <c r="F299" s="1159"/>
      <c r="G299" s="1159"/>
      <c r="H299" s="1160"/>
    </row>
    <row r="300" spans="1:8" ht="15.75" x14ac:dyDescent="0.25">
      <c r="A300" s="1158"/>
      <c r="B300" s="1159"/>
      <c r="C300" s="1158"/>
      <c r="D300" s="1158"/>
      <c r="E300" s="1158"/>
      <c r="F300" s="1159"/>
      <c r="G300" s="1159"/>
      <c r="H300" s="1160"/>
    </row>
    <row r="301" spans="1:8" ht="15.75" x14ac:dyDescent="0.25">
      <c r="A301" s="1158"/>
      <c r="B301" s="1159"/>
      <c r="C301" s="1158"/>
      <c r="D301" s="1158"/>
      <c r="E301" s="1158"/>
      <c r="F301" s="1159"/>
      <c r="G301" s="1159"/>
      <c r="H301" s="1160"/>
    </row>
    <row r="302" spans="1:8" ht="15.75" x14ac:dyDescent="0.25">
      <c r="A302" s="1158"/>
      <c r="B302" s="1159"/>
      <c r="C302" s="1158"/>
      <c r="D302" s="1158"/>
      <c r="E302" s="1158"/>
      <c r="F302" s="1159"/>
      <c r="G302" s="1159"/>
      <c r="H302" s="1160"/>
    </row>
    <row r="303" spans="1:8" ht="15.75" x14ac:dyDescent="0.25">
      <c r="A303" s="1158"/>
      <c r="B303" s="1159"/>
      <c r="C303" s="1158"/>
      <c r="D303" s="1158"/>
      <c r="E303" s="1158"/>
      <c r="F303" s="1159"/>
      <c r="G303" s="1159"/>
      <c r="H303" s="1160"/>
    </row>
    <row r="304" spans="1:8" ht="15.75" x14ac:dyDescent="0.25">
      <c r="A304" s="1158"/>
      <c r="B304" s="1159"/>
      <c r="C304" s="1158"/>
      <c r="D304" s="1158"/>
      <c r="E304" s="1158"/>
      <c r="F304" s="1159"/>
      <c r="G304" s="1159"/>
      <c r="H304" s="1160"/>
    </row>
    <row r="305" spans="1:8" ht="15.75" x14ac:dyDescent="0.25">
      <c r="A305" s="1158"/>
      <c r="B305" s="1159"/>
      <c r="C305" s="1158"/>
      <c r="D305" s="1158"/>
      <c r="E305" s="1158"/>
      <c r="F305" s="1159"/>
      <c r="G305" s="1159"/>
      <c r="H305" s="1160"/>
    </row>
    <row r="306" spans="1:8" ht="15.75" x14ac:dyDescent="0.25">
      <c r="A306" s="1158"/>
      <c r="B306" s="1159"/>
      <c r="C306" s="1158"/>
      <c r="D306" s="1158"/>
      <c r="E306" s="1158"/>
      <c r="F306" s="1159"/>
      <c r="G306" s="1159"/>
      <c r="H306" s="1160"/>
    </row>
    <row r="307" spans="1:8" ht="15.75" x14ac:dyDescent="0.25">
      <c r="A307" s="1158"/>
      <c r="B307" s="1159"/>
      <c r="C307" s="1158"/>
      <c r="D307" s="1158"/>
      <c r="E307" s="1158"/>
      <c r="F307" s="1159"/>
      <c r="G307" s="1159"/>
      <c r="H307" s="1160"/>
    </row>
    <row r="308" spans="1:8" ht="15.75" x14ac:dyDescent="0.25">
      <c r="A308" s="1158"/>
      <c r="B308" s="1159"/>
      <c r="C308" s="1158"/>
      <c r="D308" s="1158"/>
      <c r="E308" s="1158"/>
      <c r="F308" s="1159"/>
      <c r="G308" s="1159"/>
      <c r="H308" s="1160"/>
    </row>
    <row r="309" spans="1:8" ht="15.75" x14ac:dyDescent="0.25">
      <c r="A309" s="1158"/>
      <c r="B309" s="1159"/>
      <c r="C309" s="1158"/>
      <c r="D309" s="1158"/>
      <c r="E309" s="1158"/>
      <c r="F309" s="1159"/>
      <c r="G309" s="1159"/>
      <c r="H309" s="1160"/>
    </row>
    <row r="310" spans="1:8" ht="15.75" x14ac:dyDescent="0.25">
      <c r="A310" s="1158"/>
      <c r="B310" s="1159"/>
      <c r="C310" s="1158"/>
      <c r="D310" s="1158"/>
      <c r="E310" s="1158"/>
      <c r="F310" s="1159"/>
      <c r="G310" s="1159"/>
      <c r="H310" s="1160"/>
    </row>
    <row r="311" spans="1:8" ht="15.75" x14ac:dyDescent="0.25">
      <c r="A311" s="1158"/>
      <c r="B311" s="1159"/>
      <c r="C311" s="1158"/>
      <c r="D311" s="1158"/>
      <c r="E311" s="1158"/>
      <c r="F311" s="1159"/>
      <c r="G311" s="1159"/>
      <c r="H311" s="1160"/>
    </row>
    <row r="312" spans="1:8" ht="15.75" x14ac:dyDescent="0.25">
      <c r="A312" s="1158"/>
      <c r="B312" s="1159"/>
      <c r="C312" s="1158"/>
      <c r="D312" s="1158"/>
      <c r="E312" s="1158"/>
      <c r="F312" s="1159"/>
      <c r="G312" s="1159"/>
      <c r="H312" s="1160"/>
    </row>
    <row r="313" spans="1:8" ht="15.75" x14ac:dyDescent="0.25">
      <c r="A313" s="1158"/>
      <c r="B313" s="1159"/>
      <c r="C313" s="1158"/>
      <c r="D313" s="1158"/>
      <c r="E313" s="1158"/>
      <c r="F313" s="1159"/>
      <c r="G313" s="1159"/>
      <c r="H313" s="1160"/>
    </row>
    <row r="314" spans="1:8" ht="15.75" x14ac:dyDescent="0.25">
      <c r="A314" s="1158"/>
      <c r="B314" s="1159"/>
      <c r="C314" s="1158"/>
      <c r="D314" s="1158"/>
      <c r="E314" s="1158"/>
      <c r="F314" s="1159"/>
      <c r="G314" s="1159"/>
      <c r="H314" s="1160"/>
    </row>
    <row r="315" spans="1:8" ht="15.75" x14ac:dyDescent="0.25">
      <c r="A315" s="1158"/>
      <c r="B315" s="1159"/>
      <c r="C315" s="1158"/>
      <c r="D315" s="1158"/>
      <c r="E315" s="1158"/>
      <c r="F315" s="1159"/>
      <c r="G315" s="1159"/>
      <c r="H315" s="1160"/>
    </row>
    <row r="316" spans="1:8" ht="15.75" x14ac:dyDescent="0.25">
      <c r="A316" s="1158"/>
      <c r="B316" s="1159"/>
      <c r="C316" s="1158"/>
      <c r="D316" s="1158"/>
      <c r="E316" s="1158"/>
      <c r="F316" s="1159"/>
      <c r="G316" s="1159"/>
      <c r="H316" s="1160"/>
    </row>
    <row r="317" spans="1:8" ht="15.75" x14ac:dyDescent="0.25">
      <c r="A317" s="1158"/>
      <c r="B317" s="1159"/>
      <c r="C317" s="1158"/>
      <c r="D317" s="1158"/>
      <c r="E317" s="1158"/>
      <c r="F317" s="1159"/>
      <c r="G317" s="1159"/>
      <c r="H317" s="1160"/>
    </row>
    <row r="318" spans="1:8" ht="15.75" x14ac:dyDescent="0.25">
      <c r="A318" s="1158"/>
      <c r="B318" s="1159"/>
      <c r="C318" s="1158"/>
      <c r="D318" s="1158"/>
      <c r="E318" s="1158"/>
      <c r="F318" s="1159"/>
      <c r="G318" s="1159"/>
      <c r="H318" s="1160"/>
    </row>
    <row r="319" spans="1:8" ht="15.75" x14ac:dyDescent="0.25">
      <c r="A319" s="1158"/>
      <c r="B319" s="1159"/>
      <c r="C319" s="1158"/>
      <c r="D319" s="1158"/>
      <c r="E319" s="1158"/>
      <c r="F319" s="1159"/>
      <c r="G319" s="1159"/>
      <c r="H319" s="1160"/>
    </row>
    <row r="320" spans="1:8" ht="15.75" x14ac:dyDescent="0.25">
      <c r="A320" s="1158"/>
      <c r="B320" s="1159"/>
      <c r="C320" s="1158"/>
      <c r="D320" s="1158"/>
      <c r="E320" s="1158"/>
      <c r="F320" s="1159"/>
      <c r="G320" s="1159"/>
      <c r="H320" s="1160"/>
    </row>
    <row r="321" spans="1:8" ht="15.75" x14ac:dyDescent="0.25">
      <c r="A321" s="1158"/>
      <c r="B321" s="1159"/>
      <c r="C321" s="1158"/>
      <c r="D321" s="1158"/>
      <c r="E321" s="1158"/>
      <c r="F321" s="1159"/>
      <c r="G321" s="1159"/>
      <c r="H321" s="1160"/>
    </row>
    <row r="322" spans="1:8" ht="15.75" x14ac:dyDescent="0.25">
      <c r="A322" s="1158"/>
      <c r="B322" s="1159"/>
      <c r="C322" s="1158"/>
      <c r="D322" s="1158"/>
      <c r="E322" s="1158"/>
      <c r="F322" s="1159"/>
      <c r="G322" s="1159"/>
      <c r="H322" s="1160"/>
    </row>
    <row r="323" spans="1:8" ht="15.75" x14ac:dyDescent="0.25">
      <c r="A323" s="1158"/>
      <c r="B323" s="1159"/>
      <c r="C323" s="1158"/>
      <c r="D323" s="1158"/>
      <c r="E323" s="1158"/>
      <c r="F323" s="1159"/>
      <c r="G323" s="1159"/>
      <c r="H323" s="1160"/>
    </row>
    <row r="324" spans="1:8" ht="15.75" x14ac:dyDescent="0.25">
      <c r="A324" s="1158"/>
      <c r="B324" s="1159"/>
      <c r="C324" s="1158"/>
      <c r="D324" s="1158"/>
      <c r="E324" s="1158"/>
      <c r="F324" s="1159"/>
      <c r="G324" s="1159"/>
      <c r="H324" s="1160"/>
    </row>
    <row r="325" spans="1:8" ht="15.75" x14ac:dyDescent="0.25">
      <c r="A325" s="1158"/>
      <c r="B325" s="1159"/>
      <c r="C325" s="1158"/>
      <c r="D325" s="1158"/>
      <c r="E325" s="1158"/>
      <c r="F325" s="1159"/>
      <c r="G325" s="1159"/>
      <c r="H325" s="1160"/>
    </row>
    <row r="326" spans="1:8" ht="15.75" x14ac:dyDescent="0.25">
      <c r="A326" s="1158"/>
      <c r="B326" s="1159"/>
      <c r="C326" s="1158"/>
      <c r="D326" s="1158"/>
      <c r="E326" s="1158"/>
      <c r="F326" s="1159"/>
      <c r="G326" s="1159"/>
      <c r="H326" s="1160"/>
    </row>
    <row r="327" spans="1:8" ht="15.75" x14ac:dyDescent="0.25">
      <c r="A327" s="1158"/>
      <c r="B327" s="1159"/>
      <c r="C327" s="1158"/>
      <c r="D327" s="1158"/>
      <c r="E327" s="1158"/>
      <c r="F327" s="1159"/>
      <c r="G327" s="1159"/>
      <c r="H327" s="1160"/>
    </row>
    <row r="328" spans="1:8" ht="15.75" x14ac:dyDescent="0.25">
      <c r="A328" s="1158"/>
      <c r="B328" s="1159"/>
      <c r="C328" s="1158"/>
      <c r="D328" s="1158"/>
      <c r="E328" s="1158"/>
      <c r="F328" s="1159"/>
      <c r="G328" s="1159"/>
      <c r="H328" s="1160"/>
    </row>
    <row r="329" spans="1:8" ht="15.75" x14ac:dyDescent="0.25">
      <c r="A329" s="1158"/>
      <c r="B329" s="1159"/>
      <c r="C329" s="1158"/>
      <c r="D329" s="1158"/>
      <c r="E329" s="1158"/>
      <c r="F329" s="1159"/>
      <c r="G329" s="1159"/>
      <c r="H329" s="1160"/>
    </row>
    <row r="330" spans="1:8" ht="15.75" x14ac:dyDescent="0.25">
      <c r="A330" s="1158"/>
      <c r="B330" s="1159"/>
      <c r="C330" s="1158"/>
      <c r="D330" s="1158"/>
      <c r="E330" s="1158"/>
      <c r="F330" s="1159"/>
      <c r="G330" s="1159"/>
      <c r="H330" s="1160"/>
    </row>
    <row r="331" spans="1:8" ht="15.75" x14ac:dyDescent="0.25">
      <c r="A331" s="1158"/>
      <c r="B331" s="1159"/>
      <c r="C331" s="1158"/>
      <c r="D331" s="1158"/>
      <c r="E331" s="1158"/>
      <c r="F331" s="1159"/>
      <c r="G331" s="1159"/>
      <c r="H331" s="1160"/>
    </row>
    <row r="332" spans="1:8" ht="15.75" x14ac:dyDescent="0.25">
      <c r="A332" s="1158"/>
      <c r="B332" s="1159"/>
      <c r="C332" s="1158"/>
      <c r="D332" s="1158"/>
      <c r="E332" s="1158"/>
      <c r="F332" s="1159"/>
      <c r="G332" s="1159"/>
      <c r="H332" s="1160"/>
    </row>
    <row r="333" spans="1:8" ht="15.75" x14ac:dyDescent="0.25">
      <c r="A333" s="1158"/>
      <c r="B333" s="1159"/>
      <c r="C333" s="1158"/>
      <c r="D333" s="1158"/>
      <c r="E333" s="1158"/>
      <c r="F333" s="1159"/>
      <c r="G333" s="1159"/>
      <c r="H333" s="1160"/>
    </row>
    <row r="334" spans="1:8" ht="15.75" x14ac:dyDescent="0.25">
      <c r="A334" s="1158"/>
      <c r="B334" s="1159"/>
      <c r="C334" s="1158"/>
      <c r="D334" s="1158"/>
      <c r="E334" s="1158"/>
      <c r="F334" s="1159"/>
      <c r="G334" s="1159"/>
      <c r="H334" s="1160"/>
    </row>
    <row r="335" spans="1:8" ht="15.75" x14ac:dyDescent="0.25">
      <c r="A335" s="1158"/>
      <c r="B335" s="1159"/>
      <c r="C335" s="1158"/>
      <c r="D335" s="1158"/>
      <c r="E335" s="1158"/>
      <c r="F335" s="1159"/>
      <c r="G335" s="1159"/>
      <c r="H335" s="1160"/>
    </row>
    <row r="336" spans="1:8" ht="15.75" x14ac:dyDescent="0.25">
      <c r="A336" s="1158"/>
      <c r="B336" s="1159"/>
      <c r="C336" s="1158"/>
      <c r="D336" s="1158"/>
      <c r="E336" s="1158"/>
      <c r="F336" s="1159"/>
      <c r="G336" s="1159"/>
      <c r="H336" s="1160"/>
    </row>
    <row r="337" spans="1:8" ht="15.75" x14ac:dyDescent="0.25">
      <c r="A337" s="1158"/>
      <c r="B337" s="1159"/>
      <c r="C337" s="1158"/>
      <c r="D337" s="1158"/>
      <c r="E337" s="1158"/>
      <c r="F337" s="1159"/>
      <c r="G337" s="1159"/>
      <c r="H337" s="1160"/>
    </row>
    <row r="338" spans="1:8" ht="15.75" x14ac:dyDescent="0.25">
      <c r="A338" s="1158"/>
      <c r="B338" s="1159"/>
      <c r="C338" s="1158"/>
      <c r="D338" s="1158"/>
      <c r="E338" s="1158"/>
      <c r="F338" s="1159"/>
      <c r="G338" s="1159"/>
      <c r="H338" s="1160"/>
    </row>
    <row r="339" spans="1:8" ht="15.75" x14ac:dyDescent="0.25">
      <c r="A339" s="1158"/>
      <c r="B339" s="1159"/>
      <c r="C339" s="1158"/>
      <c r="D339" s="1158"/>
      <c r="E339" s="1158"/>
      <c r="F339" s="1159"/>
      <c r="G339" s="1159"/>
      <c r="H339" s="1160"/>
    </row>
    <row r="340" spans="1:8" ht="15.75" x14ac:dyDescent="0.25">
      <c r="A340" s="1158"/>
      <c r="B340" s="1159"/>
      <c r="C340" s="1158"/>
      <c r="D340" s="1158"/>
      <c r="E340" s="1158"/>
      <c r="F340" s="1159"/>
      <c r="G340" s="1159"/>
      <c r="H340" s="1160"/>
    </row>
    <row r="341" spans="1:8" ht="15.75" x14ac:dyDescent="0.25">
      <c r="A341" s="1158"/>
      <c r="B341" s="1159"/>
      <c r="C341" s="1158"/>
      <c r="D341" s="1158"/>
      <c r="E341" s="1158"/>
      <c r="F341" s="1159"/>
      <c r="G341" s="1159"/>
      <c r="H341" s="1160"/>
    </row>
    <row r="342" spans="1:8" ht="15.75" x14ac:dyDescent="0.25">
      <c r="A342" s="1158"/>
      <c r="B342" s="1159"/>
      <c r="C342" s="1158"/>
      <c r="D342" s="1158"/>
      <c r="E342" s="1158"/>
      <c r="F342" s="1159"/>
      <c r="G342" s="1159"/>
      <c r="H342" s="1160"/>
    </row>
    <row r="343" spans="1:8" ht="15.75" x14ac:dyDescent="0.25">
      <c r="A343" s="1158"/>
      <c r="B343" s="1159"/>
      <c r="C343" s="1158"/>
      <c r="D343" s="1158"/>
      <c r="E343" s="1158"/>
      <c r="F343" s="1159"/>
      <c r="G343" s="1159"/>
      <c r="H343" s="1160"/>
    </row>
    <row r="344" spans="1:8" ht="15.75" x14ac:dyDescent="0.25">
      <c r="A344" s="1158"/>
      <c r="B344" s="1159"/>
      <c r="C344" s="1158"/>
      <c r="D344" s="1158"/>
      <c r="E344" s="1158"/>
      <c r="F344" s="1159"/>
      <c r="G344" s="1159"/>
      <c r="H344" s="1160"/>
    </row>
    <row r="345" spans="1:8" ht="15.75" x14ac:dyDescent="0.25">
      <c r="A345" s="1158"/>
      <c r="B345" s="1159"/>
      <c r="C345" s="1158"/>
      <c r="D345" s="1158"/>
      <c r="E345" s="1158"/>
      <c r="F345" s="1159"/>
      <c r="G345" s="1159"/>
      <c r="H345" s="1160"/>
    </row>
    <row r="346" spans="1:8" ht="15.75" x14ac:dyDescent="0.25">
      <c r="A346" s="1158"/>
      <c r="B346" s="1159"/>
      <c r="C346" s="1158"/>
      <c r="D346" s="1158"/>
      <c r="E346" s="1158"/>
      <c r="F346" s="1159"/>
      <c r="G346" s="1159"/>
      <c r="H346" s="1160"/>
    </row>
    <row r="347" spans="1:8" ht="15.75" x14ac:dyDescent="0.25">
      <c r="A347" s="1158"/>
      <c r="B347" s="1159"/>
      <c r="C347" s="1158"/>
      <c r="D347" s="1158"/>
      <c r="E347" s="1158"/>
      <c r="F347" s="1159"/>
      <c r="G347" s="1159"/>
      <c r="H347" s="1160"/>
    </row>
    <row r="348" spans="1:8" ht="15.75" x14ac:dyDescent="0.25">
      <c r="A348" s="1158"/>
      <c r="B348" s="1159"/>
      <c r="C348" s="1158"/>
      <c r="D348" s="1158"/>
      <c r="E348" s="1158"/>
      <c r="F348" s="1159"/>
      <c r="G348" s="1159"/>
      <c r="H348" s="1160"/>
    </row>
    <row r="349" spans="1:8" ht="15.75" x14ac:dyDescent="0.25">
      <c r="A349" s="1158"/>
      <c r="B349" s="1159"/>
      <c r="C349" s="1158"/>
      <c r="D349" s="1158"/>
      <c r="E349" s="1158"/>
      <c r="F349" s="1159"/>
      <c r="G349" s="1159"/>
      <c r="H349" s="1160"/>
    </row>
    <row r="350" spans="1:8" ht="15.75" x14ac:dyDescent="0.25">
      <c r="A350" s="1158"/>
      <c r="B350" s="1159"/>
      <c r="C350" s="1158"/>
      <c r="D350" s="1158"/>
      <c r="E350" s="1158"/>
      <c r="F350" s="1159"/>
      <c r="G350" s="1159"/>
      <c r="H350" s="1160"/>
    </row>
    <row r="351" spans="1:8" ht="15.75" x14ac:dyDescent="0.25">
      <c r="A351" s="1158"/>
      <c r="B351" s="1159"/>
      <c r="C351" s="1158"/>
      <c r="D351" s="1158"/>
      <c r="E351" s="1158"/>
      <c r="F351" s="1159"/>
      <c r="G351" s="1159"/>
      <c r="H351" s="1160"/>
    </row>
    <row r="352" spans="1:8" ht="15.75" x14ac:dyDescent="0.25">
      <c r="A352" s="1158"/>
      <c r="B352" s="1159"/>
      <c r="C352" s="1158"/>
      <c r="D352" s="1158"/>
      <c r="E352" s="1158"/>
      <c r="F352" s="1159"/>
      <c r="G352" s="1159"/>
      <c r="H352" s="1160"/>
    </row>
    <row r="353" spans="1:8" ht="15.75" x14ac:dyDescent="0.25">
      <c r="A353" s="1158"/>
      <c r="B353" s="1159"/>
      <c r="C353" s="1158"/>
      <c r="D353" s="1158"/>
      <c r="E353" s="1158"/>
      <c r="F353" s="1159"/>
      <c r="G353" s="1159"/>
      <c r="H353" s="1160"/>
    </row>
    <row r="354" spans="1:8" ht="15.75" x14ac:dyDescent="0.25">
      <c r="A354" s="1158"/>
      <c r="B354" s="1159"/>
      <c r="C354" s="1158"/>
      <c r="D354" s="1158"/>
      <c r="E354" s="1158"/>
      <c r="F354" s="1159"/>
      <c r="G354" s="1159"/>
      <c r="H354" s="1160"/>
    </row>
    <row r="355" spans="1:8" ht="15.75" x14ac:dyDescent="0.25">
      <c r="A355" s="1158"/>
      <c r="B355" s="1159"/>
      <c r="C355" s="1158"/>
      <c r="D355" s="1158"/>
      <c r="E355" s="1158"/>
      <c r="F355" s="1159"/>
      <c r="G355" s="1159"/>
      <c r="H355" s="1160"/>
    </row>
    <row r="356" spans="1:8" ht="15.75" x14ac:dyDescent="0.25">
      <c r="A356" s="1158"/>
      <c r="B356" s="1159"/>
      <c r="C356" s="1158"/>
      <c r="D356" s="1158"/>
      <c r="E356" s="1158"/>
      <c r="F356" s="1159"/>
      <c r="G356" s="1159"/>
      <c r="H356" s="1160"/>
    </row>
    <row r="357" spans="1:8" ht="15.75" x14ac:dyDescent="0.25">
      <c r="A357" s="1158"/>
      <c r="B357" s="1159"/>
      <c r="C357" s="1158"/>
      <c r="D357" s="1158"/>
      <c r="E357" s="1158"/>
      <c r="F357" s="1159"/>
      <c r="G357" s="1159"/>
      <c r="H357" s="1160"/>
    </row>
    <row r="358" spans="1:8" ht="15.75" x14ac:dyDescent="0.25">
      <c r="A358" s="1158"/>
      <c r="B358" s="1159"/>
      <c r="C358" s="1158"/>
      <c r="D358" s="1158"/>
      <c r="E358" s="1158"/>
      <c r="F358" s="1159"/>
      <c r="G358" s="1159"/>
      <c r="H358" s="1160"/>
    </row>
    <row r="359" spans="1:8" ht="15.75" x14ac:dyDescent="0.25">
      <c r="A359" s="1158"/>
      <c r="B359" s="1159"/>
      <c r="C359" s="1158"/>
      <c r="D359" s="1158"/>
      <c r="E359" s="1158"/>
      <c r="F359" s="1159"/>
      <c r="G359" s="1159"/>
      <c r="H359" s="1160"/>
    </row>
    <row r="360" spans="1:8" ht="15.75" x14ac:dyDescent="0.25">
      <c r="A360" s="1158"/>
      <c r="B360" s="1159"/>
      <c r="C360" s="1158"/>
      <c r="D360" s="1158"/>
      <c r="E360" s="1158"/>
      <c r="F360" s="1159"/>
      <c r="G360" s="1159"/>
      <c r="H360" s="1160"/>
    </row>
    <row r="361" spans="1:8" ht="15.75" x14ac:dyDescent="0.25">
      <c r="A361" s="1158"/>
      <c r="B361" s="1159"/>
      <c r="C361" s="1158"/>
      <c r="D361" s="1158"/>
      <c r="E361" s="1158"/>
      <c r="F361" s="1159"/>
      <c r="G361" s="1159"/>
      <c r="H361" s="1160"/>
    </row>
    <row r="362" spans="1:8" ht="15.75" x14ac:dyDescent="0.25">
      <c r="A362" s="1158"/>
      <c r="B362" s="1159"/>
      <c r="C362" s="1158"/>
      <c r="D362" s="1158"/>
      <c r="E362" s="1158"/>
      <c r="F362" s="1159"/>
      <c r="G362" s="1159"/>
      <c r="H362" s="1160"/>
    </row>
    <row r="363" spans="1:8" ht="15.75" x14ac:dyDescent="0.25">
      <c r="A363" s="1158"/>
      <c r="B363" s="1159"/>
      <c r="C363" s="1158"/>
      <c r="D363" s="1158"/>
      <c r="E363" s="1158"/>
      <c r="F363" s="1159"/>
      <c r="G363" s="1159"/>
      <c r="H363" s="1160"/>
    </row>
    <row r="364" spans="1:8" ht="15.75" x14ac:dyDescent="0.25">
      <c r="A364" s="1158"/>
      <c r="B364" s="1159"/>
      <c r="C364" s="1158"/>
      <c r="D364" s="1158"/>
      <c r="E364" s="1158"/>
      <c r="F364" s="1159"/>
      <c r="G364" s="1159"/>
      <c r="H364" s="1160"/>
    </row>
    <row r="365" spans="1:8" ht="15.75" x14ac:dyDescent="0.25">
      <c r="A365" s="1158"/>
      <c r="B365" s="1159"/>
      <c r="C365" s="1158"/>
      <c r="D365" s="1158"/>
      <c r="E365" s="1158"/>
      <c r="F365" s="1159"/>
      <c r="G365" s="1159"/>
      <c r="H365" s="1160"/>
    </row>
    <row r="366" spans="1:8" ht="15.75" x14ac:dyDescent="0.25">
      <c r="A366" s="1158"/>
      <c r="B366" s="1159"/>
      <c r="C366" s="1158"/>
      <c r="D366" s="1158"/>
      <c r="E366" s="1158"/>
      <c r="F366" s="1159"/>
      <c r="G366" s="1159"/>
      <c r="H366" s="1160"/>
    </row>
    <row r="367" spans="1:8" ht="15.75" x14ac:dyDescent="0.25">
      <c r="A367" s="1158"/>
      <c r="B367" s="1159"/>
      <c r="C367" s="1158"/>
      <c r="D367" s="1158"/>
      <c r="E367" s="1158"/>
      <c r="F367" s="1159"/>
      <c r="G367" s="1159"/>
      <c r="H367" s="1160"/>
    </row>
    <row r="368" spans="1:8" ht="15.75" x14ac:dyDescent="0.25">
      <c r="A368" s="1158"/>
      <c r="B368" s="1159"/>
      <c r="C368" s="1158"/>
      <c r="D368" s="1158"/>
      <c r="E368" s="1158"/>
      <c r="F368" s="1159"/>
      <c r="G368" s="1159"/>
      <c r="H368" s="1160"/>
    </row>
    <row r="369" spans="1:8" ht="15.75" x14ac:dyDescent="0.25">
      <c r="A369" s="1158"/>
      <c r="B369" s="1159"/>
      <c r="C369" s="1158"/>
      <c r="D369" s="1158"/>
      <c r="E369" s="1158"/>
      <c r="F369" s="1159"/>
      <c r="G369" s="1159"/>
      <c r="H369" s="1160"/>
    </row>
    <row r="370" spans="1:8" ht="15.75" x14ac:dyDescent="0.25">
      <c r="A370" s="1158"/>
      <c r="B370" s="1159"/>
      <c r="C370" s="1158"/>
      <c r="D370" s="1158"/>
      <c r="E370" s="1158"/>
      <c r="F370" s="1159"/>
      <c r="G370" s="1159"/>
      <c r="H370" s="1160"/>
    </row>
    <row r="371" spans="1:8" ht="15.75" x14ac:dyDescent="0.25">
      <c r="A371" s="1158"/>
      <c r="B371" s="1159"/>
      <c r="C371" s="1158"/>
      <c r="D371" s="1158"/>
      <c r="E371" s="1158"/>
      <c r="F371" s="1159"/>
      <c r="G371" s="1159"/>
      <c r="H371" s="1160"/>
    </row>
    <row r="372" spans="1:8" ht="15.75" x14ac:dyDescent="0.25">
      <c r="A372" s="1158"/>
      <c r="B372" s="1159"/>
      <c r="C372" s="1158"/>
      <c r="D372" s="1158"/>
      <c r="E372" s="1158"/>
      <c r="F372" s="1159"/>
      <c r="G372" s="1159"/>
      <c r="H372" s="1160"/>
    </row>
    <row r="373" spans="1:8" ht="15.75" x14ac:dyDescent="0.25">
      <c r="A373" s="1158"/>
      <c r="B373" s="1159"/>
      <c r="C373" s="1158"/>
      <c r="D373" s="1158"/>
      <c r="E373" s="1158"/>
      <c r="F373" s="1159"/>
      <c r="G373" s="1159"/>
      <c r="H373" s="1160"/>
    </row>
    <row r="374" spans="1:8" ht="15.75" x14ac:dyDescent="0.25">
      <c r="A374" s="1158"/>
      <c r="B374" s="1159"/>
      <c r="C374" s="1158"/>
      <c r="D374" s="1158"/>
      <c r="E374" s="1158"/>
      <c r="F374" s="1159"/>
      <c r="G374" s="1159"/>
      <c r="H374" s="1160"/>
    </row>
    <row r="375" spans="1:8" ht="15.75" x14ac:dyDescent="0.25">
      <c r="A375" s="1158"/>
      <c r="B375" s="1159"/>
      <c r="C375" s="1158"/>
      <c r="D375" s="1158"/>
      <c r="E375" s="1158"/>
      <c r="F375" s="1159"/>
      <c r="G375" s="1159"/>
      <c r="H375" s="1160"/>
    </row>
    <row r="376" spans="1:8" ht="15.75" x14ac:dyDescent="0.25">
      <c r="A376" s="1158"/>
      <c r="B376" s="1159"/>
      <c r="C376" s="1158"/>
      <c r="D376" s="1158"/>
      <c r="E376" s="1158"/>
      <c r="F376" s="1159"/>
      <c r="G376" s="1159"/>
      <c r="H376" s="1160"/>
    </row>
    <row r="377" spans="1:8" ht="15.75" x14ac:dyDescent="0.25">
      <c r="A377" s="1158"/>
      <c r="B377" s="1159"/>
      <c r="C377" s="1158"/>
      <c r="D377" s="1158"/>
      <c r="E377" s="1158"/>
      <c r="F377" s="1159"/>
      <c r="G377" s="1159"/>
      <c r="H377" s="1160"/>
    </row>
    <row r="378" spans="1:8" ht="15.75" x14ac:dyDescent="0.25">
      <c r="A378" s="1158"/>
      <c r="B378" s="1159"/>
      <c r="C378" s="1158"/>
      <c r="D378" s="1158"/>
      <c r="E378" s="1158"/>
      <c r="F378" s="1159"/>
      <c r="G378" s="1159"/>
      <c r="H378" s="1160"/>
    </row>
    <row r="379" spans="1:8" ht="15.75" x14ac:dyDescent="0.25">
      <c r="A379" s="1158"/>
      <c r="B379" s="1159"/>
      <c r="C379" s="1158"/>
      <c r="D379" s="1158"/>
      <c r="E379" s="1158"/>
      <c r="F379" s="1159"/>
      <c r="G379" s="1159"/>
      <c r="H379" s="1160"/>
    </row>
    <row r="380" spans="1:8" ht="15.75" x14ac:dyDescent="0.25">
      <c r="A380" s="1158"/>
      <c r="B380" s="1159"/>
      <c r="C380" s="1158"/>
      <c r="D380" s="1158"/>
      <c r="E380" s="1158"/>
      <c r="F380" s="1159"/>
      <c r="G380" s="1159"/>
      <c r="H380" s="1160"/>
    </row>
    <row r="381" spans="1:8" ht="15.75" x14ac:dyDescent="0.25">
      <c r="A381" s="1158"/>
      <c r="B381" s="1159"/>
      <c r="C381" s="1158"/>
      <c r="D381" s="1158"/>
      <c r="E381" s="1158"/>
      <c r="F381" s="1159"/>
      <c r="G381" s="1159"/>
      <c r="H381" s="1160"/>
    </row>
    <row r="382" spans="1:8" ht="15.75" x14ac:dyDescent="0.25">
      <c r="A382" s="1158"/>
      <c r="B382" s="1159"/>
      <c r="C382" s="1158"/>
      <c r="D382" s="1158"/>
      <c r="E382" s="1158"/>
      <c r="F382" s="1159"/>
      <c r="G382" s="1159"/>
      <c r="H382" s="1160"/>
    </row>
    <row r="383" spans="1:8" ht="15.75" x14ac:dyDescent="0.25">
      <c r="A383" s="1158"/>
      <c r="B383" s="1159"/>
      <c r="C383" s="1158"/>
      <c r="D383" s="1158"/>
      <c r="E383" s="1158"/>
      <c r="F383" s="1159"/>
      <c r="G383" s="1159"/>
      <c r="H383" s="1160"/>
    </row>
    <row r="384" spans="1:8" ht="15.75" x14ac:dyDescent="0.25">
      <c r="A384" s="1158"/>
      <c r="B384" s="1159"/>
      <c r="C384" s="1158"/>
      <c r="D384" s="1158"/>
      <c r="E384" s="1158"/>
      <c r="F384" s="1159"/>
      <c r="G384" s="1159"/>
      <c r="H384" s="1160"/>
    </row>
    <row r="385" spans="1:8" ht="15.75" x14ac:dyDescent="0.25">
      <c r="A385" s="1158"/>
      <c r="B385" s="1159"/>
      <c r="C385" s="1158"/>
      <c r="D385" s="1158"/>
      <c r="E385" s="1158"/>
      <c r="F385" s="1159"/>
      <c r="G385" s="1159"/>
      <c r="H385" s="1160"/>
    </row>
    <row r="386" spans="1:8" ht="15.75" x14ac:dyDescent="0.25">
      <c r="A386" s="1158"/>
      <c r="B386" s="1159"/>
      <c r="C386" s="1158"/>
      <c r="D386" s="1158"/>
      <c r="E386" s="1158"/>
      <c r="F386" s="1159"/>
      <c r="G386" s="1159"/>
      <c r="H386" s="1160"/>
    </row>
    <row r="387" spans="1:8" ht="15.75" x14ac:dyDescent="0.25">
      <c r="A387" s="1158"/>
      <c r="B387" s="1159"/>
      <c r="C387" s="1158"/>
      <c r="D387" s="1158"/>
      <c r="E387" s="1158"/>
      <c r="F387" s="1159"/>
      <c r="G387" s="1159"/>
      <c r="H387" s="1160"/>
    </row>
    <row r="388" spans="1:8" ht="15.75" x14ac:dyDescent="0.25">
      <c r="A388" s="1158"/>
      <c r="B388" s="1159"/>
      <c r="C388" s="1158"/>
      <c r="D388" s="1158"/>
      <c r="E388" s="1158"/>
      <c r="F388" s="1159"/>
      <c r="G388" s="1159"/>
      <c r="H388" s="1160"/>
    </row>
    <row r="389" spans="1:8" ht="15.75" x14ac:dyDescent="0.25">
      <c r="A389" s="1158"/>
      <c r="B389" s="1159"/>
      <c r="C389" s="1158"/>
      <c r="D389" s="1158"/>
      <c r="E389" s="1158"/>
      <c r="F389" s="1159"/>
      <c r="G389" s="1159"/>
      <c r="H389" s="1160"/>
    </row>
    <row r="390" spans="1:8" ht="15.75" x14ac:dyDescent="0.25">
      <c r="A390" s="1158"/>
      <c r="B390" s="1159"/>
      <c r="C390" s="1158"/>
      <c r="D390" s="1158"/>
      <c r="E390" s="1158"/>
      <c r="F390" s="1159"/>
      <c r="G390" s="1159"/>
      <c r="H390" s="1160"/>
    </row>
    <row r="391" spans="1:8" ht="15.75" x14ac:dyDescent="0.25">
      <c r="A391" s="1158"/>
      <c r="B391" s="1159"/>
      <c r="C391" s="1158"/>
      <c r="D391" s="1158"/>
      <c r="E391" s="1158"/>
      <c r="F391" s="1159"/>
      <c r="G391" s="1159"/>
      <c r="H391" s="1160"/>
    </row>
    <row r="392" spans="1:8" ht="15.75" x14ac:dyDescent="0.25">
      <c r="A392" s="1158"/>
      <c r="B392" s="1159"/>
      <c r="C392" s="1158"/>
      <c r="D392" s="1158"/>
      <c r="E392" s="1158"/>
      <c r="F392" s="1159"/>
      <c r="G392" s="1159"/>
      <c r="H392" s="1160"/>
    </row>
    <row r="393" spans="1:8" ht="15.75" x14ac:dyDescent="0.25">
      <c r="A393" s="1158"/>
      <c r="B393" s="1159"/>
      <c r="C393" s="1158"/>
      <c r="D393" s="1158"/>
      <c r="E393" s="1158"/>
      <c r="F393" s="1159"/>
      <c r="G393" s="1159"/>
      <c r="H393" s="1160"/>
    </row>
    <row r="394" spans="1:8" ht="15.75" x14ac:dyDescent="0.25">
      <c r="A394" s="1158"/>
      <c r="B394" s="1159"/>
      <c r="C394" s="1158"/>
      <c r="D394" s="1158"/>
      <c r="E394" s="1158"/>
      <c r="F394" s="1159"/>
      <c r="G394" s="1159"/>
      <c r="H394" s="1160"/>
    </row>
    <row r="395" spans="1:8" ht="15.75" x14ac:dyDescent="0.25">
      <c r="A395" s="1158"/>
      <c r="B395" s="1159"/>
      <c r="C395" s="1158"/>
      <c r="D395" s="1158"/>
      <c r="E395" s="1158"/>
      <c r="F395" s="1159"/>
      <c r="G395" s="1159"/>
      <c r="H395" s="1160"/>
    </row>
    <row r="396" spans="1:8" ht="15.75" x14ac:dyDescent="0.25">
      <c r="A396" s="1158"/>
      <c r="B396" s="1159"/>
      <c r="C396" s="1158"/>
      <c r="D396" s="1158"/>
      <c r="E396" s="1158"/>
      <c r="F396" s="1159"/>
      <c r="G396" s="1159"/>
      <c r="H396" s="1160"/>
    </row>
    <row r="397" spans="1:8" ht="15.75" x14ac:dyDescent="0.25">
      <c r="A397" s="1158"/>
      <c r="B397" s="1159"/>
      <c r="C397" s="1158"/>
      <c r="D397" s="1158"/>
      <c r="E397" s="1158"/>
      <c r="F397" s="1159"/>
      <c r="G397" s="1159"/>
      <c r="H397" s="1160"/>
    </row>
    <row r="398" spans="1:8" ht="15.75" x14ac:dyDescent="0.25">
      <c r="A398" s="1158"/>
      <c r="B398" s="1159"/>
      <c r="C398" s="1158"/>
      <c r="D398" s="1158"/>
      <c r="E398" s="1158"/>
      <c r="F398" s="1159"/>
      <c r="G398" s="1159"/>
      <c r="H398" s="1160"/>
    </row>
    <row r="399" spans="1:8" ht="15.75" x14ac:dyDescent="0.25">
      <c r="A399" s="1158"/>
      <c r="B399" s="1159"/>
      <c r="C399" s="1158"/>
      <c r="D399" s="1158"/>
      <c r="E399" s="1158"/>
      <c r="F399" s="1159"/>
      <c r="G399" s="1159"/>
      <c r="H399" s="1160"/>
    </row>
    <row r="400" spans="1:8" ht="15.75" x14ac:dyDescent="0.25">
      <c r="A400" s="1158"/>
      <c r="B400" s="1159"/>
      <c r="C400" s="1158"/>
      <c r="D400" s="1158"/>
      <c r="E400" s="1158"/>
      <c r="F400" s="1159"/>
      <c r="G400" s="1159"/>
      <c r="H400" s="1160"/>
    </row>
    <row r="401" spans="1:8" ht="15.75" x14ac:dyDescent="0.25">
      <c r="A401" s="1158"/>
      <c r="B401" s="1159"/>
      <c r="C401" s="1158"/>
      <c r="D401" s="1158"/>
      <c r="E401" s="1158"/>
      <c r="F401" s="1159"/>
      <c r="G401" s="1159"/>
      <c r="H401" s="1160"/>
    </row>
    <row r="402" spans="1:8" ht="15.75" x14ac:dyDescent="0.25">
      <c r="A402" s="1158"/>
      <c r="B402" s="1159"/>
      <c r="C402" s="1158"/>
      <c r="D402" s="1158"/>
      <c r="E402" s="1158"/>
      <c r="F402" s="1159"/>
      <c r="G402" s="1159"/>
      <c r="H402" s="1160"/>
    </row>
    <row r="403" spans="1:8" ht="15.75" x14ac:dyDescent="0.25">
      <c r="A403" s="1158"/>
      <c r="B403" s="1159"/>
      <c r="C403" s="1158"/>
      <c r="D403" s="1158"/>
      <c r="E403" s="1158"/>
      <c r="F403" s="1159"/>
      <c r="G403" s="1159"/>
      <c r="H403" s="1160"/>
    </row>
    <row r="404" spans="1:8" ht="15.75" x14ac:dyDescent="0.25">
      <c r="A404" s="1158"/>
      <c r="B404" s="1159"/>
      <c r="C404" s="1158"/>
      <c r="D404" s="1158"/>
      <c r="E404" s="1158"/>
      <c r="F404" s="1159"/>
      <c r="G404" s="1159"/>
      <c r="H404" s="1160"/>
    </row>
    <row r="405" spans="1:8" ht="15.75" x14ac:dyDescent="0.25">
      <c r="A405" s="1158"/>
      <c r="B405" s="1159"/>
      <c r="C405" s="1158"/>
      <c r="D405" s="1158"/>
      <c r="E405" s="1158"/>
      <c r="F405" s="1159"/>
      <c r="G405" s="1159"/>
      <c r="H405" s="1160"/>
    </row>
    <row r="406" spans="1:8" ht="15.75" x14ac:dyDescent="0.25">
      <c r="A406" s="1158"/>
      <c r="B406" s="1159"/>
      <c r="C406" s="1158"/>
      <c r="D406" s="1158"/>
      <c r="E406" s="1158"/>
      <c r="F406" s="1159"/>
      <c r="G406" s="1159"/>
      <c r="H406" s="1160"/>
    </row>
    <row r="407" spans="1:8" ht="15.75" x14ac:dyDescent="0.25">
      <c r="A407" s="1158"/>
      <c r="B407" s="1159"/>
      <c r="C407" s="1158"/>
      <c r="D407" s="1158"/>
      <c r="E407" s="1158"/>
      <c r="F407" s="1159"/>
      <c r="G407" s="1159"/>
      <c r="H407" s="1160"/>
    </row>
    <row r="408" spans="1:8" ht="15.75" x14ac:dyDescent="0.25">
      <c r="A408" s="1158"/>
      <c r="B408" s="1159"/>
      <c r="C408" s="1158"/>
      <c r="D408" s="1158"/>
      <c r="E408" s="1158"/>
      <c r="F408" s="1159"/>
      <c r="G408" s="1159"/>
      <c r="H408" s="1160"/>
    </row>
    <row r="409" spans="1:8" ht="15.75" x14ac:dyDescent="0.25">
      <c r="A409" s="1158"/>
      <c r="B409" s="1159"/>
      <c r="C409" s="1158"/>
      <c r="D409" s="1158"/>
      <c r="E409" s="1158"/>
      <c r="F409" s="1159"/>
      <c r="G409" s="1159"/>
      <c r="H409" s="1160"/>
    </row>
    <row r="410" spans="1:8" ht="15.75" x14ac:dyDescent="0.25">
      <c r="A410" s="1158"/>
      <c r="B410" s="1159"/>
      <c r="C410" s="1158"/>
      <c r="D410" s="1158"/>
      <c r="E410" s="1158"/>
      <c r="F410" s="1159"/>
      <c r="G410" s="1159"/>
      <c r="H410" s="1160"/>
    </row>
    <row r="411" spans="1:8" ht="15.75" x14ac:dyDescent="0.25">
      <c r="A411" s="1158"/>
      <c r="B411" s="1159"/>
      <c r="C411" s="1158"/>
      <c r="D411" s="1158"/>
      <c r="E411" s="1158"/>
      <c r="F411" s="1159"/>
      <c r="G411" s="1159"/>
      <c r="H411" s="1160"/>
    </row>
    <row r="412" spans="1:8" ht="15.75" x14ac:dyDescent="0.25">
      <c r="A412" s="1158"/>
      <c r="B412" s="1159"/>
      <c r="C412" s="1158"/>
      <c r="D412" s="1158"/>
      <c r="E412" s="1158"/>
      <c r="F412" s="1159"/>
      <c r="G412" s="1159"/>
      <c r="H412" s="1160"/>
    </row>
    <row r="413" spans="1:8" ht="15.75" x14ac:dyDescent="0.25">
      <c r="A413" s="1158"/>
      <c r="B413" s="1159"/>
      <c r="C413" s="1158"/>
      <c r="D413" s="1158"/>
      <c r="E413" s="1158"/>
      <c r="F413" s="1159"/>
      <c r="G413" s="1159"/>
      <c r="H413" s="1160"/>
    </row>
    <row r="414" spans="1:8" ht="15.75" x14ac:dyDescent="0.25">
      <c r="A414" s="1158"/>
      <c r="B414" s="1159"/>
      <c r="C414" s="1158"/>
      <c r="D414" s="1158"/>
      <c r="E414" s="1158"/>
      <c r="F414" s="1159"/>
      <c r="G414" s="1159"/>
      <c r="H414" s="1160"/>
    </row>
    <row r="415" spans="1:8" ht="15.75" x14ac:dyDescent="0.25">
      <c r="A415" s="1158"/>
      <c r="B415" s="1159"/>
      <c r="C415" s="1158"/>
      <c r="D415" s="1158"/>
      <c r="E415" s="1158"/>
      <c r="F415" s="1159"/>
      <c r="G415" s="1159"/>
      <c r="H415" s="1160"/>
    </row>
    <row r="416" spans="1:8" ht="15.75" x14ac:dyDescent="0.25">
      <c r="A416" s="1158"/>
      <c r="B416" s="1159"/>
      <c r="C416" s="1158"/>
      <c r="D416" s="1158"/>
      <c r="E416" s="1158"/>
      <c r="F416" s="1159"/>
      <c r="G416" s="1159"/>
      <c r="H416" s="1160"/>
    </row>
    <row r="417" spans="1:8" ht="15.75" x14ac:dyDescent="0.25">
      <c r="A417" s="1158"/>
      <c r="B417" s="1159"/>
      <c r="C417" s="1158"/>
      <c r="D417" s="1158"/>
      <c r="E417" s="1158"/>
      <c r="F417" s="1159"/>
      <c r="G417" s="1159"/>
      <c r="H417" s="1160"/>
    </row>
    <row r="418" spans="1:8" ht="15.75" x14ac:dyDescent="0.25">
      <c r="A418" s="1158"/>
      <c r="B418" s="1159"/>
      <c r="C418" s="1158"/>
      <c r="D418" s="1158"/>
      <c r="E418" s="1158"/>
      <c r="F418" s="1159"/>
      <c r="G418" s="1159"/>
      <c r="H418" s="1160"/>
    </row>
    <row r="419" spans="1:8" ht="15.75" x14ac:dyDescent="0.25">
      <c r="A419" s="1158"/>
      <c r="B419" s="1159"/>
      <c r="C419" s="1158"/>
      <c r="D419" s="1158"/>
      <c r="E419" s="1158"/>
      <c r="F419" s="1159"/>
      <c r="G419" s="1159"/>
      <c r="H419" s="1160"/>
    </row>
    <row r="420" spans="1:8" ht="15.75" x14ac:dyDescent="0.25">
      <c r="A420" s="1158"/>
      <c r="B420" s="1159"/>
      <c r="C420" s="1158"/>
      <c r="D420" s="1158"/>
      <c r="E420" s="1158"/>
      <c r="F420" s="1159"/>
      <c r="G420" s="1159"/>
      <c r="H420" s="1160"/>
    </row>
    <row r="421" spans="1:8" ht="15.75" x14ac:dyDescent="0.25">
      <c r="A421" s="1158"/>
      <c r="B421" s="1159"/>
      <c r="C421" s="1158"/>
      <c r="D421" s="1158"/>
      <c r="E421" s="1158"/>
      <c r="F421" s="1159"/>
      <c r="G421" s="1159"/>
      <c r="H421" s="1160"/>
    </row>
    <row r="422" spans="1:8" ht="15.75" x14ac:dyDescent="0.25">
      <c r="A422" s="1158"/>
      <c r="B422" s="1159"/>
      <c r="C422" s="1158"/>
      <c r="D422" s="1158"/>
      <c r="E422" s="1158"/>
      <c r="F422" s="1159"/>
      <c r="G422" s="1159"/>
      <c r="H422" s="1160"/>
    </row>
    <row r="423" spans="1:8" ht="15.75" x14ac:dyDescent="0.25">
      <c r="A423" s="1158"/>
      <c r="B423" s="1159"/>
      <c r="C423" s="1158"/>
      <c r="D423" s="1158"/>
      <c r="E423" s="1158"/>
      <c r="F423" s="1159"/>
      <c r="G423" s="1159"/>
      <c r="H423" s="1160"/>
    </row>
    <row r="424" spans="1:8" ht="15.75" x14ac:dyDescent="0.25">
      <c r="A424" s="1158"/>
      <c r="B424" s="1159"/>
      <c r="C424" s="1158"/>
      <c r="D424" s="1158"/>
      <c r="E424" s="1158"/>
      <c r="F424" s="1159"/>
      <c r="G424" s="1159"/>
      <c r="H424" s="1160"/>
    </row>
    <row r="425" spans="1:8" ht="15.75" x14ac:dyDescent="0.25">
      <c r="A425" s="1158"/>
      <c r="B425" s="1159"/>
      <c r="C425" s="1158"/>
      <c r="D425" s="1158"/>
      <c r="E425" s="1158"/>
      <c r="F425" s="1159"/>
      <c r="G425" s="1159"/>
      <c r="H425" s="1160"/>
    </row>
    <row r="426" spans="1:8" ht="15.75" x14ac:dyDescent="0.25">
      <c r="A426" s="1158"/>
      <c r="B426" s="1159"/>
      <c r="C426" s="1158"/>
      <c r="D426" s="1158"/>
      <c r="E426" s="1158"/>
      <c r="F426" s="1159"/>
      <c r="G426" s="1159"/>
      <c r="H426" s="1160"/>
    </row>
    <row r="427" spans="1:8" ht="15.75" x14ac:dyDescent="0.25">
      <c r="A427" s="1158"/>
      <c r="B427" s="1159"/>
      <c r="C427" s="1158"/>
      <c r="D427" s="1158"/>
      <c r="E427" s="1158"/>
      <c r="F427" s="1159"/>
      <c r="G427" s="1159"/>
      <c r="H427" s="1160"/>
    </row>
    <row r="428" spans="1:8" ht="15.75" x14ac:dyDescent="0.25">
      <c r="A428" s="1158"/>
      <c r="B428" s="1159"/>
      <c r="C428" s="1158"/>
      <c r="D428" s="1158"/>
      <c r="E428" s="1158"/>
      <c r="F428" s="1159"/>
      <c r="G428" s="1159"/>
      <c r="H428" s="1160"/>
    </row>
    <row r="429" spans="1:8" ht="15.75" x14ac:dyDescent="0.25">
      <c r="A429" s="1158"/>
      <c r="B429" s="1159"/>
      <c r="C429" s="1158"/>
      <c r="D429" s="1158"/>
      <c r="E429" s="1158"/>
      <c r="F429" s="1159"/>
      <c r="G429" s="1159"/>
      <c r="H429" s="1160"/>
    </row>
    <row r="430" spans="1:8" ht="15.75" x14ac:dyDescent="0.25">
      <c r="A430" s="1158"/>
      <c r="B430" s="1159"/>
      <c r="C430" s="1158"/>
      <c r="D430" s="1158"/>
      <c r="E430" s="1158"/>
      <c r="F430" s="1159"/>
      <c r="G430" s="1159"/>
      <c r="H430" s="1160"/>
    </row>
    <row r="431" spans="1:8" ht="15.75" x14ac:dyDescent="0.25">
      <c r="A431" s="1158"/>
      <c r="B431" s="1159"/>
      <c r="C431" s="1158"/>
      <c r="D431" s="1158"/>
      <c r="E431" s="1158"/>
      <c r="F431" s="1159"/>
      <c r="G431" s="1159"/>
      <c r="H431" s="1160"/>
    </row>
    <row r="432" spans="1:8" ht="15.75" x14ac:dyDescent="0.25">
      <c r="A432" s="1158"/>
      <c r="B432" s="1159"/>
      <c r="C432" s="1158"/>
      <c r="D432" s="1158"/>
      <c r="E432" s="1158"/>
      <c r="F432" s="1159"/>
      <c r="G432" s="1159"/>
      <c r="H432" s="1160"/>
    </row>
    <row r="433" spans="1:8" ht="15.75" x14ac:dyDescent="0.25">
      <c r="A433" s="1158"/>
      <c r="B433" s="1159"/>
      <c r="C433" s="1158"/>
      <c r="D433" s="1158"/>
      <c r="E433" s="1158"/>
      <c r="F433" s="1159"/>
      <c r="G433" s="1159"/>
      <c r="H433" s="1160"/>
    </row>
    <row r="434" spans="1:8" ht="15.75" x14ac:dyDescent="0.25">
      <c r="A434" s="1158"/>
      <c r="B434" s="1159"/>
      <c r="C434" s="1158"/>
      <c r="D434" s="1158"/>
      <c r="E434" s="1158"/>
      <c r="F434" s="1159"/>
      <c r="G434" s="1159"/>
      <c r="H434" s="1160"/>
    </row>
    <row r="435" spans="1:8" ht="15.75" x14ac:dyDescent="0.25">
      <c r="A435" s="1158"/>
      <c r="B435" s="1159"/>
      <c r="C435" s="1158"/>
      <c r="D435" s="1158"/>
      <c r="E435" s="1158"/>
      <c r="F435" s="1159"/>
      <c r="G435" s="1159"/>
      <c r="H435" s="1160"/>
    </row>
    <row r="436" spans="1:8" ht="15.75" x14ac:dyDescent="0.25">
      <c r="A436" s="1158"/>
      <c r="B436" s="1159"/>
      <c r="C436" s="1158"/>
      <c r="D436" s="1158"/>
      <c r="E436" s="1158"/>
      <c r="F436" s="1159"/>
      <c r="G436" s="1159"/>
      <c r="H436" s="1160"/>
    </row>
    <row r="437" spans="1:8" ht="15.75" x14ac:dyDescent="0.25">
      <c r="A437" s="1158"/>
      <c r="B437" s="1159"/>
      <c r="C437" s="1158"/>
      <c r="D437" s="1158"/>
      <c r="E437" s="1158"/>
      <c r="F437" s="1159"/>
      <c r="G437" s="1159"/>
      <c r="H437" s="1160"/>
    </row>
    <row r="438" spans="1:8" ht="15.75" x14ac:dyDescent="0.25">
      <c r="A438" s="1158"/>
      <c r="B438" s="1159"/>
      <c r="C438" s="1158"/>
      <c r="D438" s="1158"/>
      <c r="E438" s="1158"/>
      <c r="F438" s="1159"/>
      <c r="G438" s="1159"/>
      <c r="H438" s="1160"/>
    </row>
    <row r="439" spans="1:8" ht="15.75" x14ac:dyDescent="0.25">
      <c r="A439" s="1158"/>
      <c r="B439" s="1159"/>
      <c r="C439" s="1158"/>
      <c r="D439" s="1158"/>
      <c r="E439" s="1158"/>
      <c r="F439" s="1159"/>
      <c r="G439" s="1159"/>
      <c r="H439" s="1160"/>
    </row>
    <row r="440" spans="1:8" ht="15.75" x14ac:dyDescent="0.25">
      <c r="A440" s="1158"/>
      <c r="B440" s="1159"/>
      <c r="C440" s="1158"/>
      <c r="D440" s="1158"/>
      <c r="E440" s="1158"/>
      <c r="F440" s="1159"/>
      <c r="G440" s="1159"/>
      <c r="H440" s="1160"/>
    </row>
    <row r="441" spans="1:8" ht="15.75" x14ac:dyDescent="0.25">
      <c r="A441" s="1158"/>
      <c r="B441" s="1159"/>
      <c r="C441" s="1158"/>
      <c r="D441" s="1158"/>
      <c r="E441" s="1158"/>
      <c r="F441" s="1159"/>
      <c r="G441" s="1159"/>
      <c r="H441" s="1160"/>
    </row>
    <row r="442" spans="1:8" ht="15.75" x14ac:dyDescent="0.25">
      <c r="A442" s="1158"/>
      <c r="B442" s="1159"/>
      <c r="C442" s="1158"/>
      <c r="D442" s="1158"/>
      <c r="E442" s="1158"/>
      <c r="F442" s="1159"/>
      <c r="G442" s="1159"/>
      <c r="H442" s="1160"/>
    </row>
    <row r="443" spans="1:8" ht="15.75" x14ac:dyDescent="0.25">
      <c r="A443" s="1158"/>
      <c r="B443" s="1159"/>
      <c r="C443" s="1158"/>
      <c r="D443" s="1158"/>
      <c r="E443" s="1158"/>
      <c r="F443" s="1159"/>
      <c r="G443" s="1159"/>
      <c r="H443" s="1160"/>
    </row>
    <row r="444" spans="1:8" ht="15.75" x14ac:dyDescent="0.25">
      <c r="A444" s="1158"/>
      <c r="B444" s="1159"/>
      <c r="C444" s="1158"/>
      <c r="D444" s="1158"/>
      <c r="E444" s="1158"/>
      <c r="F444" s="1159"/>
      <c r="G444" s="1159"/>
      <c r="H444" s="1160"/>
    </row>
    <row r="445" spans="1:8" ht="15.75" x14ac:dyDescent="0.25">
      <c r="A445" s="1158"/>
      <c r="B445" s="1159"/>
      <c r="C445" s="1158"/>
      <c r="D445" s="1158"/>
      <c r="E445" s="1158"/>
      <c r="F445" s="1159"/>
      <c r="G445" s="1159"/>
      <c r="H445" s="1160"/>
    </row>
    <row r="446" spans="1:8" ht="15.75" x14ac:dyDescent="0.25">
      <c r="A446" s="1158"/>
      <c r="B446" s="1159"/>
      <c r="C446" s="1158"/>
      <c r="D446" s="1158"/>
      <c r="E446" s="1158"/>
      <c r="F446" s="1159"/>
      <c r="G446" s="1159"/>
      <c r="H446" s="1160"/>
    </row>
    <row r="447" spans="1:8" ht="15.75" x14ac:dyDescent="0.25">
      <c r="A447" s="1158"/>
      <c r="B447" s="1159"/>
      <c r="C447" s="1158"/>
      <c r="D447" s="1158"/>
      <c r="E447" s="1158"/>
      <c r="F447" s="1159"/>
      <c r="G447" s="1159"/>
      <c r="H447" s="1160"/>
    </row>
    <row r="448" spans="1:8" ht="15.75" x14ac:dyDescent="0.25">
      <c r="A448" s="1158"/>
      <c r="B448" s="1159"/>
      <c r="C448" s="1158"/>
      <c r="D448" s="1158"/>
      <c r="E448" s="1158"/>
      <c r="F448" s="1159"/>
      <c r="G448" s="1159"/>
      <c r="H448" s="1160"/>
    </row>
    <row r="449" spans="1:8" ht="15.75" x14ac:dyDescent="0.25">
      <c r="A449" s="1158"/>
      <c r="B449" s="1159"/>
      <c r="C449" s="1158"/>
      <c r="D449" s="1158"/>
      <c r="E449" s="1158"/>
      <c r="F449" s="1159"/>
      <c r="G449" s="1159"/>
      <c r="H449" s="1160"/>
    </row>
    <row r="450" spans="1:8" ht="15.75" x14ac:dyDescent="0.25">
      <c r="A450" s="1158"/>
      <c r="B450" s="1159"/>
      <c r="C450" s="1158"/>
      <c r="D450" s="1158"/>
      <c r="E450" s="1158"/>
      <c r="F450" s="1159"/>
      <c r="G450" s="1159"/>
      <c r="H450" s="1160"/>
    </row>
    <row r="451" spans="1:8" ht="15.75" x14ac:dyDescent="0.25">
      <c r="A451" s="1158"/>
      <c r="B451" s="1159"/>
      <c r="C451" s="1158"/>
      <c r="D451" s="1158"/>
      <c r="E451" s="1158"/>
      <c r="F451" s="1159"/>
      <c r="G451" s="1159"/>
      <c r="H451" s="1160"/>
    </row>
    <row r="452" spans="1:8" ht="15.75" x14ac:dyDescent="0.25">
      <c r="A452" s="1158"/>
      <c r="B452" s="1159"/>
      <c r="C452" s="1158"/>
      <c r="D452" s="1158"/>
      <c r="E452" s="1158"/>
      <c r="F452" s="1159"/>
      <c r="G452" s="1159"/>
      <c r="H452" s="1160"/>
    </row>
    <row r="453" spans="1:8" ht="15.75" x14ac:dyDescent="0.25">
      <c r="A453" s="1158"/>
      <c r="B453" s="1159"/>
      <c r="C453" s="1158"/>
      <c r="D453" s="1158"/>
      <c r="E453" s="1158"/>
      <c r="F453" s="1159"/>
      <c r="G453" s="1159"/>
      <c r="H453" s="1160"/>
    </row>
    <row r="454" spans="1:8" ht="15.75" x14ac:dyDescent="0.25">
      <c r="A454" s="1158"/>
      <c r="B454" s="1159"/>
      <c r="C454" s="1158"/>
      <c r="D454" s="1158"/>
      <c r="E454" s="1158"/>
      <c r="F454" s="1159"/>
      <c r="G454" s="1159"/>
      <c r="H454" s="1160"/>
    </row>
    <row r="455" spans="1:8" ht="15.75" x14ac:dyDescent="0.25">
      <c r="A455" s="1158"/>
      <c r="B455" s="1159"/>
      <c r="C455" s="1158"/>
      <c r="D455" s="1158"/>
      <c r="E455" s="1158"/>
      <c r="F455" s="1159"/>
      <c r="G455" s="1159"/>
      <c r="H455" s="1160"/>
    </row>
    <row r="456" spans="1:8" ht="15.75" x14ac:dyDescent="0.25">
      <c r="A456" s="1158"/>
      <c r="B456" s="1159"/>
      <c r="C456" s="1158"/>
      <c r="D456" s="1158"/>
      <c r="E456" s="1158"/>
      <c r="F456" s="1159"/>
      <c r="G456" s="1159"/>
      <c r="H456" s="1160"/>
    </row>
    <row r="457" spans="1:8" ht="15.75" x14ac:dyDescent="0.25">
      <c r="A457" s="1158"/>
      <c r="B457" s="1159"/>
      <c r="C457" s="1158"/>
      <c r="D457" s="1158"/>
      <c r="E457" s="1158"/>
      <c r="F457" s="1159"/>
      <c r="G457" s="1159"/>
      <c r="H457" s="1160"/>
    </row>
    <row r="458" spans="1:8" ht="15.75" x14ac:dyDescent="0.25">
      <c r="A458" s="1158"/>
      <c r="B458" s="1159"/>
      <c r="C458" s="1158"/>
      <c r="D458" s="1158"/>
      <c r="E458" s="1158"/>
      <c r="F458" s="1159"/>
      <c r="G458" s="1159"/>
      <c r="H458" s="1160"/>
    </row>
    <row r="459" spans="1:8" ht="15.75" x14ac:dyDescent="0.25">
      <c r="A459" s="1158"/>
      <c r="B459" s="1159"/>
      <c r="C459" s="1158"/>
      <c r="D459" s="1158"/>
      <c r="E459" s="1158"/>
      <c r="F459" s="1159"/>
      <c r="G459" s="1159"/>
      <c r="H459" s="1160"/>
    </row>
    <row r="460" spans="1:8" ht="15.75" x14ac:dyDescent="0.25">
      <c r="A460" s="1158"/>
      <c r="B460" s="1159"/>
      <c r="C460" s="1158"/>
      <c r="D460" s="1158"/>
      <c r="E460" s="1158"/>
      <c r="F460" s="1159"/>
      <c r="G460" s="1159"/>
      <c r="H460" s="1160"/>
    </row>
    <row r="461" spans="1:8" ht="15.75" x14ac:dyDescent="0.25">
      <c r="A461" s="1158"/>
      <c r="B461" s="1159"/>
      <c r="C461" s="1158"/>
      <c r="D461" s="1158"/>
      <c r="E461" s="1158"/>
      <c r="F461" s="1159"/>
      <c r="G461" s="1159"/>
      <c r="H461" s="1160"/>
    </row>
    <row r="462" spans="1:8" ht="15.75" x14ac:dyDescent="0.25">
      <c r="A462" s="1158"/>
      <c r="B462" s="1159"/>
      <c r="C462" s="1158"/>
      <c r="D462" s="1158"/>
      <c r="E462" s="1158"/>
      <c r="F462" s="1159"/>
      <c r="G462" s="1159"/>
      <c r="H462" s="1160"/>
    </row>
    <row r="463" spans="1:8" ht="15.75" x14ac:dyDescent="0.25">
      <c r="A463" s="1158"/>
      <c r="B463" s="1159"/>
      <c r="C463" s="1158"/>
      <c r="D463" s="1158"/>
      <c r="E463" s="1158"/>
      <c r="F463" s="1159"/>
      <c r="G463" s="1159"/>
      <c r="H463" s="1160"/>
    </row>
    <row r="464" spans="1:8" ht="15.75" x14ac:dyDescent="0.25">
      <c r="A464" s="1158"/>
      <c r="B464" s="1159"/>
      <c r="C464" s="1158"/>
      <c r="D464" s="1158"/>
      <c r="E464" s="1158"/>
      <c r="F464" s="1159"/>
      <c r="G464" s="1159"/>
      <c r="H464" s="1160"/>
    </row>
    <row r="465" spans="1:8" ht="15.75" x14ac:dyDescent="0.25">
      <c r="A465" s="1158"/>
      <c r="B465" s="1159"/>
      <c r="C465" s="1158"/>
      <c r="D465" s="1158"/>
      <c r="E465" s="1158"/>
      <c r="F465" s="1159"/>
      <c r="G465" s="1159"/>
      <c r="H465" s="1160"/>
    </row>
    <row r="466" spans="1:8" ht="15.75" x14ac:dyDescent="0.25">
      <c r="A466" s="1158"/>
      <c r="B466" s="1159"/>
      <c r="C466" s="1158"/>
      <c r="D466" s="1158"/>
      <c r="E466" s="1158"/>
      <c r="F466" s="1159"/>
      <c r="G466" s="1159"/>
      <c r="H466" s="1160"/>
    </row>
    <row r="467" spans="1:8" ht="15.75" x14ac:dyDescent="0.25">
      <c r="A467" s="1158"/>
      <c r="B467" s="1159"/>
      <c r="C467" s="1158"/>
      <c r="D467" s="1158"/>
      <c r="E467" s="1158"/>
      <c r="F467" s="1159"/>
      <c r="G467" s="1159"/>
      <c r="H467" s="1160"/>
    </row>
    <row r="468" spans="1:8" ht="15.75" x14ac:dyDescent="0.25">
      <c r="A468" s="1158"/>
      <c r="B468" s="1159"/>
      <c r="C468" s="1158"/>
      <c r="D468" s="1158"/>
      <c r="E468" s="1158"/>
      <c r="F468" s="1159"/>
      <c r="G468" s="1159"/>
      <c r="H468" s="1160"/>
    </row>
    <row r="469" spans="1:8" ht="15.75" x14ac:dyDescent="0.25">
      <c r="A469" s="1158"/>
      <c r="B469" s="1159"/>
      <c r="C469" s="1158"/>
      <c r="D469" s="1158"/>
      <c r="E469" s="1158"/>
      <c r="F469" s="1159"/>
      <c r="G469" s="1159"/>
      <c r="H469" s="1160"/>
    </row>
    <row r="470" spans="1:8" ht="15.75" x14ac:dyDescent="0.25">
      <c r="A470" s="1158"/>
      <c r="B470" s="1159"/>
      <c r="C470" s="1158"/>
      <c r="D470" s="1158"/>
      <c r="E470" s="1158"/>
      <c r="F470" s="1159"/>
      <c r="G470" s="1159"/>
      <c r="H470" s="1160"/>
    </row>
    <row r="471" spans="1:8" ht="15.75" x14ac:dyDescent="0.25">
      <c r="A471" s="1158"/>
      <c r="B471" s="1159"/>
      <c r="C471" s="1158"/>
      <c r="D471" s="1158"/>
      <c r="E471" s="1158"/>
      <c r="F471" s="1159"/>
      <c r="G471" s="1159"/>
      <c r="H471" s="1160"/>
    </row>
    <row r="472" spans="1:8" ht="15.75" x14ac:dyDescent="0.25">
      <c r="A472" s="1158"/>
      <c r="B472" s="1159"/>
      <c r="C472" s="1158"/>
      <c r="D472" s="1158"/>
      <c r="E472" s="1158"/>
      <c r="F472" s="1159"/>
      <c r="G472" s="1159"/>
      <c r="H472" s="1160"/>
    </row>
    <row r="473" spans="1:8" ht="15.75" x14ac:dyDescent="0.25">
      <c r="A473" s="1158"/>
      <c r="B473" s="1159"/>
      <c r="C473" s="1158"/>
      <c r="D473" s="1158"/>
      <c r="E473" s="1158"/>
      <c r="F473" s="1159"/>
      <c r="G473" s="1159"/>
      <c r="H473" s="1160"/>
    </row>
    <row r="474" spans="1:8" ht="15.75" x14ac:dyDescent="0.25">
      <c r="A474" s="1158"/>
      <c r="B474" s="1159"/>
      <c r="C474" s="1158"/>
      <c r="D474" s="1158"/>
      <c r="E474" s="1158"/>
      <c r="F474" s="1159"/>
      <c r="G474" s="1159"/>
      <c r="H474" s="1160"/>
    </row>
    <row r="475" spans="1:8" ht="15.75" x14ac:dyDescent="0.25">
      <c r="A475" s="1158"/>
      <c r="B475" s="1159"/>
      <c r="C475" s="1158"/>
      <c r="D475" s="1158"/>
      <c r="E475" s="1158"/>
      <c r="F475" s="1159"/>
      <c r="G475" s="1159"/>
      <c r="H475" s="1160"/>
    </row>
    <row r="476" spans="1:8" ht="15.75" x14ac:dyDescent="0.25">
      <c r="A476" s="1158"/>
      <c r="B476" s="1159"/>
      <c r="C476" s="1158"/>
      <c r="D476" s="1158"/>
      <c r="E476" s="1158"/>
      <c r="F476" s="1159"/>
      <c r="G476" s="1159"/>
      <c r="H476" s="1160"/>
    </row>
    <row r="477" spans="1:8" ht="15.75" x14ac:dyDescent="0.25">
      <c r="A477" s="1158"/>
      <c r="B477" s="1159"/>
      <c r="C477" s="1158"/>
      <c r="D477" s="1158"/>
      <c r="E477" s="1158"/>
      <c r="F477" s="1159"/>
      <c r="G477" s="1159"/>
      <c r="H477" s="1160"/>
    </row>
    <row r="478" spans="1:8" ht="15.75" x14ac:dyDescent="0.25">
      <c r="A478" s="1158"/>
      <c r="B478" s="1159"/>
      <c r="C478" s="1158"/>
      <c r="D478" s="1158"/>
      <c r="E478" s="1158"/>
      <c r="F478" s="1159"/>
      <c r="G478" s="1159"/>
      <c r="H478" s="1160"/>
    </row>
    <row r="479" spans="1:8" ht="15.75" x14ac:dyDescent="0.25">
      <c r="A479" s="1158"/>
      <c r="B479" s="1159"/>
      <c r="C479" s="1158"/>
      <c r="D479" s="1158"/>
      <c r="E479" s="1158"/>
      <c r="F479" s="1159"/>
      <c r="G479" s="1159"/>
      <c r="H479" s="1160"/>
    </row>
    <row r="480" spans="1:8" ht="15.75" x14ac:dyDescent="0.25">
      <c r="A480" s="1158"/>
      <c r="B480" s="1159"/>
      <c r="C480" s="1158"/>
      <c r="D480" s="1158"/>
      <c r="E480" s="1158"/>
      <c r="F480" s="1159"/>
      <c r="G480" s="1159"/>
      <c r="H480" s="1160"/>
    </row>
    <row r="481" spans="1:8" ht="15.75" x14ac:dyDescent="0.25">
      <c r="A481" s="1158"/>
      <c r="B481" s="1159"/>
      <c r="C481" s="1158"/>
      <c r="D481" s="1158"/>
      <c r="E481" s="1158"/>
      <c r="F481" s="1159"/>
      <c r="G481" s="1159"/>
      <c r="H481" s="1160"/>
    </row>
    <row r="482" spans="1:8" ht="15.75" x14ac:dyDescent="0.25">
      <c r="A482" s="1158"/>
      <c r="B482" s="1159"/>
      <c r="C482" s="1158"/>
      <c r="D482" s="1158"/>
      <c r="E482" s="1158"/>
      <c r="F482" s="1159"/>
      <c r="G482" s="1159"/>
      <c r="H482" s="1160"/>
    </row>
    <row r="483" spans="1:8" ht="15.75" x14ac:dyDescent="0.25">
      <c r="A483" s="1158"/>
      <c r="B483" s="1159"/>
      <c r="C483" s="1158"/>
      <c r="D483" s="1158"/>
      <c r="E483" s="1158"/>
      <c r="F483" s="1159"/>
      <c r="G483" s="1159"/>
      <c r="H483" s="1160"/>
    </row>
    <row r="484" spans="1:8" ht="15.75" x14ac:dyDescent="0.25">
      <c r="A484" s="1158"/>
      <c r="B484" s="1159"/>
      <c r="C484" s="1158"/>
      <c r="D484" s="1158"/>
      <c r="E484" s="1158"/>
      <c r="F484" s="1159"/>
      <c r="G484" s="1159"/>
      <c r="H484" s="1160"/>
    </row>
    <row r="485" spans="1:8" ht="15.75" x14ac:dyDescent="0.25">
      <c r="A485" s="1158"/>
      <c r="B485" s="1159"/>
      <c r="C485" s="1158"/>
      <c r="D485" s="1158"/>
      <c r="E485" s="1158"/>
      <c r="F485" s="1159"/>
      <c r="G485" s="1159"/>
      <c r="H485" s="1160"/>
    </row>
    <row r="486" spans="1:8" ht="15.75" x14ac:dyDescent="0.25">
      <c r="A486" s="1158"/>
      <c r="B486" s="1159"/>
      <c r="C486" s="1158"/>
      <c r="D486" s="1158"/>
      <c r="E486" s="1158"/>
      <c r="F486" s="1159"/>
      <c r="G486" s="1159"/>
      <c r="H486" s="1160"/>
    </row>
    <row r="487" spans="1:8" ht="15.75" x14ac:dyDescent="0.25">
      <c r="A487" s="1158"/>
      <c r="B487" s="1159"/>
      <c r="C487" s="1158"/>
      <c r="D487" s="1158"/>
      <c r="E487" s="1158"/>
      <c r="F487" s="1159"/>
      <c r="G487" s="1159"/>
      <c r="H487" s="1160"/>
    </row>
    <row r="488" spans="1:8" ht="15.75" x14ac:dyDescent="0.25">
      <c r="A488" s="1158"/>
      <c r="B488" s="1159"/>
      <c r="C488" s="1158"/>
      <c r="D488" s="1158"/>
      <c r="E488" s="1158"/>
      <c r="F488" s="1159"/>
      <c r="G488" s="1159"/>
      <c r="H488" s="1160"/>
    </row>
    <row r="489" spans="1:8" ht="15.75" x14ac:dyDescent="0.25">
      <c r="A489" s="1158"/>
      <c r="B489" s="1159"/>
      <c r="C489" s="1158"/>
      <c r="D489" s="1158"/>
      <c r="E489" s="1158"/>
      <c r="F489" s="1159"/>
      <c r="G489" s="1159"/>
      <c r="H489" s="1160"/>
    </row>
    <row r="490" spans="1:8" ht="15.75" x14ac:dyDescent="0.25">
      <c r="A490" s="1158"/>
      <c r="B490" s="1159"/>
      <c r="C490" s="1158"/>
      <c r="D490" s="1158"/>
      <c r="E490" s="1158"/>
      <c r="F490" s="1159"/>
      <c r="G490" s="1159"/>
      <c r="H490" s="1160"/>
    </row>
    <row r="491" spans="1:8" ht="15.75" x14ac:dyDescent="0.25">
      <c r="A491" s="1158"/>
      <c r="B491" s="1159"/>
      <c r="C491" s="1158"/>
      <c r="D491" s="1158"/>
      <c r="E491" s="1158"/>
      <c r="F491" s="1159"/>
      <c r="G491" s="1159"/>
      <c r="H491" s="1160"/>
    </row>
    <row r="492" spans="1:8" ht="15.75" x14ac:dyDescent="0.25">
      <c r="A492" s="1158"/>
      <c r="B492" s="1159"/>
      <c r="C492" s="1158"/>
      <c r="D492" s="1158"/>
      <c r="E492" s="1158"/>
      <c r="F492" s="1159"/>
      <c r="G492" s="1159"/>
      <c r="H492" s="1160"/>
    </row>
    <row r="493" spans="1:8" ht="15.75" x14ac:dyDescent="0.25">
      <c r="A493" s="1158"/>
      <c r="B493" s="1159"/>
      <c r="C493" s="1158"/>
      <c r="D493" s="1158"/>
      <c r="E493" s="1158"/>
      <c r="F493" s="1159"/>
      <c r="G493" s="1159"/>
      <c r="H493" s="1160"/>
    </row>
    <row r="494" spans="1:8" ht="15.75" x14ac:dyDescent="0.25">
      <c r="A494" s="1158"/>
      <c r="B494" s="1159"/>
      <c r="C494" s="1158"/>
      <c r="D494" s="1158"/>
      <c r="E494" s="1158"/>
      <c r="F494" s="1159"/>
      <c r="G494" s="1159"/>
      <c r="H494" s="1160"/>
    </row>
    <row r="495" spans="1:8" ht="15.75" x14ac:dyDescent="0.25">
      <c r="A495" s="1158"/>
      <c r="B495" s="1159"/>
      <c r="C495" s="1158"/>
      <c r="D495" s="1158"/>
      <c r="E495" s="1158"/>
      <c r="F495" s="1159"/>
      <c r="G495" s="1159"/>
      <c r="H495" s="1160"/>
    </row>
    <row r="496" spans="1:8" ht="15.75" x14ac:dyDescent="0.25">
      <c r="A496" s="1158"/>
      <c r="B496" s="1159"/>
      <c r="C496" s="1158"/>
      <c r="D496" s="1158"/>
      <c r="E496" s="1158"/>
      <c r="F496" s="1159"/>
      <c r="G496" s="1159"/>
      <c r="H496" s="1160"/>
    </row>
    <row r="497" spans="1:8" ht="15.75" x14ac:dyDescent="0.25">
      <c r="A497" s="1158"/>
      <c r="B497" s="1159"/>
      <c r="C497" s="1158"/>
      <c r="D497" s="1158"/>
      <c r="E497" s="1158"/>
      <c r="F497" s="1159"/>
      <c r="G497" s="1159"/>
      <c r="H497" s="1160"/>
    </row>
    <row r="498" spans="1:8" ht="15.75" x14ac:dyDescent="0.25">
      <c r="A498" s="1158"/>
      <c r="B498" s="1159"/>
      <c r="C498" s="1158"/>
      <c r="D498" s="1158"/>
      <c r="E498" s="1158"/>
      <c r="F498" s="1159"/>
      <c r="G498" s="1159"/>
      <c r="H498" s="1160"/>
    </row>
    <row r="499" spans="1:8" ht="15.75" x14ac:dyDescent="0.25">
      <c r="A499" s="1158"/>
      <c r="B499" s="1159"/>
      <c r="C499" s="1158"/>
      <c r="D499" s="1158"/>
      <c r="E499" s="1158"/>
      <c r="F499" s="1159"/>
      <c r="G499" s="1159"/>
      <c r="H499" s="1160"/>
    </row>
    <row r="500" spans="1:8" ht="15.75" x14ac:dyDescent="0.25">
      <c r="A500" s="1158"/>
      <c r="B500" s="1159"/>
      <c r="C500" s="1158"/>
      <c r="D500" s="1158"/>
      <c r="E500" s="1158"/>
      <c r="F500" s="1159"/>
      <c r="G500" s="1159"/>
      <c r="H500" s="1160"/>
    </row>
    <row r="501" spans="1:8" ht="15.75" x14ac:dyDescent="0.25">
      <c r="A501" s="1158"/>
      <c r="B501" s="1159"/>
      <c r="C501" s="1158"/>
      <c r="D501" s="1158"/>
      <c r="E501" s="1158"/>
      <c r="F501" s="1159"/>
      <c r="G501" s="1159"/>
      <c r="H501" s="1160"/>
    </row>
    <row r="502" spans="1:8" ht="15.75" x14ac:dyDescent="0.25">
      <c r="A502" s="1158"/>
      <c r="B502" s="1159"/>
      <c r="C502" s="1158"/>
      <c r="D502" s="1158"/>
      <c r="E502" s="1158"/>
      <c r="F502" s="1159"/>
      <c r="G502" s="1159"/>
      <c r="H502" s="1160"/>
    </row>
    <row r="503" spans="1:8" ht="15.75" x14ac:dyDescent="0.25">
      <c r="A503" s="1158"/>
      <c r="B503" s="1159"/>
      <c r="C503" s="1158"/>
      <c r="D503" s="1158"/>
      <c r="E503" s="1158"/>
      <c r="F503" s="1159"/>
      <c r="G503" s="1159"/>
      <c r="H503" s="1160"/>
    </row>
    <row r="504" spans="1:8" ht="15.75" x14ac:dyDescent="0.25">
      <c r="A504" s="1158"/>
      <c r="B504" s="1159"/>
      <c r="C504" s="1158"/>
      <c r="D504" s="1158"/>
      <c r="E504" s="1158"/>
      <c r="F504" s="1159"/>
      <c r="G504" s="1159"/>
      <c r="H504" s="1160"/>
    </row>
    <row r="505" spans="1:8" ht="15.75" x14ac:dyDescent="0.25">
      <c r="A505" s="1158"/>
      <c r="B505" s="1159"/>
      <c r="C505" s="1158"/>
      <c r="D505" s="1158"/>
      <c r="E505" s="1158"/>
      <c r="F505" s="1159"/>
      <c r="G505" s="1159"/>
      <c r="H505" s="1160"/>
    </row>
    <row r="506" spans="1:8" ht="15.75" x14ac:dyDescent="0.25">
      <c r="A506" s="1158"/>
      <c r="B506" s="1159"/>
      <c r="C506" s="1158"/>
      <c r="D506" s="1158"/>
      <c r="E506" s="1158"/>
      <c r="F506" s="1159"/>
      <c r="G506" s="1159"/>
      <c r="H506" s="1160"/>
    </row>
    <row r="507" spans="1:8" ht="15.75" x14ac:dyDescent="0.25">
      <c r="A507" s="1158"/>
      <c r="B507" s="1159"/>
      <c r="C507" s="1158"/>
      <c r="D507" s="1158"/>
      <c r="E507" s="1158"/>
      <c r="F507" s="1159"/>
      <c r="G507" s="1159"/>
      <c r="H507" s="1160"/>
    </row>
    <row r="508" spans="1:8" ht="15.75" x14ac:dyDescent="0.25">
      <c r="A508" s="1158"/>
      <c r="B508" s="1159"/>
      <c r="C508" s="1158"/>
      <c r="D508" s="1158"/>
      <c r="E508" s="1158"/>
      <c r="F508" s="1159"/>
      <c r="G508" s="1159"/>
      <c r="H508" s="1160"/>
    </row>
    <row r="509" spans="1:8" ht="15.75" x14ac:dyDescent="0.25">
      <c r="A509" s="1158"/>
      <c r="B509" s="1159"/>
      <c r="C509" s="1158"/>
      <c r="D509" s="1158"/>
      <c r="E509" s="1158"/>
      <c r="F509" s="1159"/>
      <c r="G509" s="1159"/>
      <c r="H509" s="1160"/>
    </row>
    <row r="510" spans="1:8" ht="15.75" x14ac:dyDescent="0.25">
      <c r="A510" s="1158"/>
      <c r="B510" s="1159"/>
      <c r="C510" s="1158"/>
      <c r="D510" s="1158"/>
      <c r="E510" s="1158"/>
      <c r="F510" s="1159"/>
      <c r="G510" s="1159"/>
      <c r="H510" s="1160"/>
    </row>
    <row r="511" spans="1:8" ht="15.75" x14ac:dyDescent="0.25">
      <c r="A511" s="1158"/>
      <c r="B511" s="1159"/>
      <c r="C511" s="1158"/>
      <c r="D511" s="1158"/>
      <c r="E511" s="1158"/>
      <c r="F511" s="1159"/>
      <c r="G511" s="1159"/>
      <c r="H511" s="1160"/>
    </row>
    <row r="512" spans="1:8" ht="15.75" x14ac:dyDescent="0.25">
      <c r="A512" s="1158"/>
      <c r="B512" s="1159"/>
      <c r="C512" s="1158"/>
      <c r="D512" s="1158"/>
      <c r="E512" s="1158"/>
      <c r="F512" s="1159"/>
      <c r="G512" s="1159"/>
      <c r="H512" s="1160"/>
    </row>
    <row r="513" spans="1:8" ht="15.75" x14ac:dyDescent="0.25">
      <c r="A513" s="1158"/>
      <c r="B513" s="1159"/>
      <c r="C513" s="1158"/>
      <c r="D513" s="1158"/>
      <c r="E513" s="1158"/>
      <c r="F513" s="1159"/>
      <c r="G513" s="1159"/>
      <c r="H513" s="1160"/>
    </row>
    <row r="514" spans="1:8" ht="15.75" x14ac:dyDescent="0.25">
      <c r="A514" s="1158"/>
      <c r="B514" s="1159"/>
      <c r="C514" s="1158"/>
      <c r="D514" s="1158"/>
      <c r="E514" s="1158"/>
      <c r="F514" s="1159"/>
      <c r="G514" s="1159"/>
      <c r="H514" s="1160"/>
    </row>
    <row r="515" spans="1:8" ht="15.75" x14ac:dyDescent="0.25">
      <c r="A515" s="1158"/>
      <c r="B515" s="1159"/>
      <c r="C515" s="1158"/>
      <c r="D515" s="1158"/>
      <c r="E515" s="1158"/>
      <c r="F515" s="1159"/>
      <c r="G515" s="1159"/>
      <c r="H515" s="1160"/>
    </row>
    <row r="516" spans="1:8" ht="15.75" x14ac:dyDescent="0.25">
      <c r="A516" s="1158"/>
      <c r="B516" s="1159"/>
      <c r="C516" s="1158"/>
      <c r="D516" s="1158"/>
      <c r="E516" s="1158"/>
      <c r="F516" s="1159"/>
      <c r="G516" s="1159"/>
      <c r="H516" s="1160"/>
    </row>
    <row r="517" spans="1:8" ht="15.75" x14ac:dyDescent="0.25">
      <c r="A517" s="1158"/>
      <c r="B517" s="1159"/>
      <c r="C517" s="1158"/>
      <c r="D517" s="1158"/>
      <c r="E517" s="1158"/>
      <c r="F517" s="1159"/>
      <c r="G517" s="1159"/>
      <c r="H517" s="1160"/>
    </row>
    <row r="518" spans="1:8" ht="15.75" x14ac:dyDescent="0.25">
      <c r="A518" s="1158"/>
      <c r="B518" s="1159"/>
      <c r="C518" s="1158"/>
      <c r="D518" s="1158"/>
      <c r="E518" s="1158"/>
      <c r="F518" s="1159"/>
      <c r="G518" s="1159"/>
      <c r="H518" s="1160"/>
    </row>
    <row r="519" spans="1:8" ht="15.75" x14ac:dyDescent="0.25">
      <c r="A519" s="1158"/>
      <c r="B519" s="1159"/>
      <c r="C519" s="1158"/>
      <c r="D519" s="1158"/>
      <c r="E519" s="1158"/>
      <c r="F519" s="1159"/>
      <c r="G519" s="1159"/>
      <c r="H519" s="1160"/>
    </row>
    <row r="520" spans="1:8" ht="15.75" x14ac:dyDescent="0.25">
      <c r="A520" s="1158"/>
      <c r="B520" s="1159"/>
      <c r="C520" s="1158"/>
      <c r="D520" s="1158"/>
      <c r="E520" s="1158"/>
      <c r="F520" s="1159"/>
      <c r="G520" s="1159"/>
      <c r="H520" s="1160"/>
    </row>
    <row r="521" spans="1:8" ht="15.75" x14ac:dyDescent="0.25">
      <c r="A521" s="1158"/>
      <c r="B521" s="1159"/>
      <c r="C521" s="1158"/>
      <c r="D521" s="1158"/>
      <c r="E521" s="1158"/>
      <c r="F521" s="1159"/>
      <c r="G521" s="1159"/>
      <c r="H521" s="1160"/>
    </row>
    <row r="522" spans="1:8" ht="15.75" x14ac:dyDescent="0.25">
      <c r="A522" s="1158"/>
      <c r="B522" s="1159"/>
      <c r="C522" s="1158"/>
      <c r="D522" s="1158"/>
      <c r="E522" s="1158"/>
      <c r="F522" s="1159"/>
      <c r="G522" s="1159"/>
      <c r="H522" s="1160"/>
    </row>
    <row r="523" spans="1:8" ht="15.75" x14ac:dyDescent="0.25">
      <c r="A523" s="1158"/>
      <c r="B523" s="1159"/>
      <c r="C523" s="1158"/>
      <c r="D523" s="1158"/>
      <c r="E523" s="1158"/>
      <c r="F523" s="1159"/>
      <c r="G523" s="1159"/>
      <c r="H523" s="1160"/>
    </row>
    <row r="524" spans="1:8" ht="15.75" x14ac:dyDescent="0.25">
      <c r="A524" s="1158"/>
      <c r="B524" s="1159"/>
      <c r="C524" s="1158"/>
      <c r="D524" s="1158"/>
      <c r="E524" s="1158"/>
      <c r="F524" s="1159"/>
      <c r="G524" s="1159"/>
      <c r="H524" s="1160"/>
    </row>
    <row r="525" spans="1:8" ht="15.75" x14ac:dyDescent="0.25">
      <c r="A525" s="1158"/>
      <c r="B525" s="1159"/>
      <c r="C525" s="1158"/>
      <c r="D525" s="1158"/>
      <c r="E525" s="1158"/>
      <c r="F525" s="1159"/>
      <c r="G525" s="1159"/>
      <c r="H525" s="1160"/>
    </row>
    <row r="526" spans="1:8" ht="15.75" x14ac:dyDescent="0.25">
      <c r="A526" s="1158"/>
      <c r="B526" s="1159"/>
      <c r="C526" s="1158"/>
      <c r="D526" s="1158"/>
      <c r="E526" s="1158"/>
      <c r="F526" s="1159"/>
      <c r="G526" s="1159"/>
      <c r="H526" s="1160"/>
    </row>
    <row r="527" spans="1:8" ht="15.75" x14ac:dyDescent="0.25">
      <c r="A527" s="1158"/>
      <c r="B527" s="1159"/>
      <c r="C527" s="1158"/>
      <c r="D527" s="1158"/>
      <c r="E527" s="1158"/>
      <c r="F527" s="1159"/>
      <c r="G527" s="1159"/>
      <c r="H527" s="1160"/>
    </row>
    <row r="528" spans="1:8" ht="15.75" x14ac:dyDescent="0.25">
      <c r="A528" s="1158"/>
      <c r="B528" s="1159"/>
      <c r="C528" s="1158"/>
      <c r="D528" s="1158"/>
      <c r="E528" s="1158"/>
      <c r="F528" s="1159"/>
      <c r="G528" s="1159"/>
      <c r="H528" s="1160"/>
    </row>
    <row r="529" spans="1:8" ht="15.75" x14ac:dyDescent="0.25">
      <c r="A529" s="1158"/>
      <c r="B529" s="1159"/>
      <c r="C529" s="1158"/>
      <c r="D529" s="1158"/>
      <c r="E529" s="1158"/>
      <c r="F529" s="1159"/>
      <c r="G529" s="1159"/>
      <c r="H529" s="1160"/>
    </row>
    <row r="530" spans="1:8" ht="15.75" x14ac:dyDescent="0.25">
      <c r="A530" s="1158"/>
      <c r="B530" s="1159"/>
      <c r="C530" s="1158"/>
      <c r="D530" s="1158"/>
      <c r="E530" s="1158"/>
      <c r="F530" s="1159"/>
      <c r="G530" s="1159"/>
      <c r="H530" s="1160"/>
    </row>
    <row r="531" spans="1:8" ht="15.75" x14ac:dyDescent="0.25">
      <c r="A531" s="1158"/>
      <c r="B531" s="1159"/>
      <c r="C531" s="1158"/>
      <c r="D531" s="1158"/>
      <c r="E531" s="1158"/>
      <c r="F531" s="1159"/>
      <c r="G531" s="1159"/>
      <c r="H531" s="1160"/>
    </row>
    <row r="532" spans="1:8" ht="15.75" x14ac:dyDescent="0.25">
      <c r="A532" s="1158"/>
      <c r="B532" s="1159"/>
      <c r="C532" s="1158"/>
      <c r="D532" s="1158"/>
      <c r="E532" s="1158"/>
      <c r="F532" s="1159"/>
      <c r="G532" s="1159"/>
      <c r="H532" s="1160"/>
    </row>
    <row r="533" spans="1:8" ht="15.75" x14ac:dyDescent="0.25">
      <c r="A533" s="1158"/>
      <c r="B533" s="1159"/>
      <c r="C533" s="1158"/>
      <c r="D533" s="1158"/>
      <c r="E533" s="1158"/>
      <c r="F533" s="1159"/>
      <c r="G533" s="1159"/>
      <c r="H533" s="1160"/>
    </row>
    <row r="534" spans="1:8" ht="15.75" x14ac:dyDescent="0.25">
      <c r="A534" s="1158"/>
      <c r="B534" s="1159"/>
      <c r="C534" s="1158"/>
      <c r="D534" s="1158"/>
      <c r="E534" s="1158"/>
      <c r="F534" s="1159"/>
      <c r="G534" s="1159"/>
      <c r="H534" s="1160"/>
    </row>
    <row r="535" spans="1:8" ht="15.75" x14ac:dyDescent="0.25">
      <c r="A535" s="1158"/>
      <c r="B535" s="1159"/>
      <c r="C535" s="1158"/>
      <c r="D535" s="1158"/>
      <c r="E535" s="1158"/>
      <c r="F535" s="1159"/>
      <c r="G535" s="1159"/>
      <c r="H535" s="1160"/>
    </row>
    <row r="536" spans="1:8" ht="15.75" x14ac:dyDescent="0.25">
      <c r="A536" s="1158"/>
      <c r="B536" s="1159"/>
      <c r="C536" s="1158"/>
      <c r="D536" s="1158"/>
      <c r="E536" s="1158"/>
      <c r="F536" s="1159"/>
      <c r="G536" s="1159"/>
      <c r="H536" s="1160"/>
    </row>
    <row r="537" spans="1:8" ht="15.75" x14ac:dyDescent="0.25">
      <c r="A537" s="1158"/>
      <c r="B537" s="1159"/>
      <c r="C537" s="1158"/>
      <c r="D537" s="1158"/>
      <c r="E537" s="1158"/>
      <c r="F537" s="1159"/>
      <c r="G537" s="1159"/>
      <c r="H537" s="1160"/>
    </row>
    <row r="538" spans="1:8" ht="15.75" x14ac:dyDescent="0.25">
      <c r="A538" s="1158"/>
      <c r="B538" s="1159"/>
      <c r="C538" s="1158"/>
      <c r="D538" s="1158"/>
      <c r="E538" s="1158"/>
      <c r="F538" s="1159"/>
      <c r="G538" s="1159"/>
      <c r="H538" s="1160"/>
    </row>
    <row r="539" spans="1:8" ht="15.75" x14ac:dyDescent="0.25">
      <c r="A539" s="1158"/>
      <c r="B539" s="1159"/>
      <c r="C539" s="1158"/>
      <c r="D539" s="1158"/>
      <c r="E539" s="1158"/>
      <c r="F539" s="1159"/>
      <c r="G539" s="1159"/>
      <c r="H539" s="1160"/>
    </row>
    <row r="540" spans="1:8" ht="15.75" x14ac:dyDescent="0.25">
      <c r="A540" s="1158"/>
      <c r="B540" s="1159"/>
      <c r="C540" s="1158"/>
      <c r="D540" s="1158"/>
      <c r="E540" s="1158"/>
      <c r="F540" s="1159"/>
      <c r="G540" s="1159"/>
      <c r="H540" s="1160"/>
    </row>
    <row r="541" spans="1:8" ht="15.75" x14ac:dyDescent="0.25">
      <c r="A541" s="1158"/>
      <c r="B541" s="1159"/>
      <c r="C541" s="1158"/>
      <c r="D541" s="1158"/>
      <c r="E541" s="1158"/>
      <c r="F541" s="1159"/>
      <c r="G541" s="1159"/>
      <c r="H541" s="1160"/>
    </row>
    <row r="542" spans="1:8" ht="15.75" x14ac:dyDescent="0.25">
      <c r="A542" s="1158"/>
      <c r="B542" s="1159"/>
      <c r="C542" s="1158"/>
      <c r="D542" s="1158"/>
      <c r="E542" s="1158"/>
      <c r="F542" s="1159"/>
      <c r="G542" s="1159"/>
      <c r="H542" s="1160"/>
    </row>
    <row r="543" spans="1:8" ht="15.75" x14ac:dyDescent="0.25">
      <c r="A543" s="1158"/>
      <c r="B543" s="1159"/>
      <c r="C543" s="1158"/>
      <c r="D543" s="1158"/>
      <c r="E543" s="1158"/>
      <c r="F543" s="1159"/>
      <c r="G543" s="1159"/>
      <c r="H543" s="1160"/>
    </row>
    <row r="544" spans="1:8" ht="15.75" x14ac:dyDescent="0.25">
      <c r="A544" s="1158"/>
      <c r="B544" s="1159"/>
      <c r="C544" s="1158"/>
      <c r="D544" s="1158"/>
      <c r="E544" s="1158"/>
      <c r="F544" s="1159"/>
      <c r="G544" s="1159"/>
      <c r="H544" s="1160"/>
    </row>
    <row r="545" spans="1:8" ht="15.75" x14ac:dyDescent="0.25">
      <c r="A545" s="1158"/>
      <c r="B545" s="1159"/>
      <c r="C545" s="1158"/>
      <c r="D545" s="1158"/>
      <c r="E545" s="1158"/>
      <c r="F545" s="1159"/>
      <c r="G545" s="1159"/>
      <c r="H545" s="1160"/>
    </row>
    <row r="546" spans="1:8" ht="15.75" x14ac:dyDescent="0.25">
      <c r="A546" s="1158"/>
      <c r="B546" s="1159"/>
      <c r="C546" s="1158"/>
      <c r="D546" s="1158"/>
      <c r="E546" s="1158"/>
      <c r="F546" s="1159"/>
      <c r="G546" s="1159"/>
      <c r="H546" s="1160"/>
    </row>
    <row r="547" spans="1:8" ht="15.75" x14ac:dyDescent="0.25">
      <c r="A547" s="1158"/>
      <c r="B547" s="1159"/>
      <c r="C547" s="1158"/>
      <c r="D547" s="1158"/>
      <c r="E547" s="1158"/>
      <c r="F547" s="1159"/>
      <c r="G547" s="1159"/>
      <c r="H547" s="1160"/>
    </row>
    <row r="548" spans="1:8" ht="15.75" x14ac:dyDescent="0.25">
      <c r="A548" s="1158"/>
      <c r="B548" s="1159"/>
      <c r="C548" s="1158"/>
      <c r="D548" s="1158"/>
      <c r="E548" s="1158"/>
      <c r="F548" s="1159"/>
      <c r="G548" s="1159"/>
      <c r="H548" s="1160"/>
    </row>
    <row r="549" spans="1:8" ht="15.75" x14ac:dyDescent="0.25">
      <c r="A549" s="1158"/>
      <c r="B549" s="1159"/>
      <c r="C549" s="1158"/>
      <c r="D549" s="1158"/>
      <c r="E549" s="1158"/>
      <c r="F549" s="1159"/>
      <c r="G549" s="1159"/>
      <c r="H549" s="1160"/>
    </row>
    <row r="550" spans="1:8" ht="15.75" x14ac:dyDescent="0.25">
      <c r="A550" s="1158"/>
      <c r="B550" s="1159"/>
      <c r="C550" s="1158"/>
      <c r="D550" s="1158"/>
      <c r="E550" s="1158"/>
      <c r="F550" s="1159"/>
      <c r="G550" s="1159"/>
      <c r="H550" s="1160"/>
    </row>
    <row r="551" spans="1:8" ht="15.75" x14ac:dyDescent="0.25">
      <c r="A551" s="1158"/>
      <c r="B551" s="1159"/>
      <c r="C551" s="1158"/>
      <c r="D551" s="1158"/>
      <c r="E551" s="1158"/>
      <c r="F551" s="1159"/>
      <c r="G551" s="1159"/>
      <c r="H551" s="1160"/>
    </row>
    <row r="552" spans="1:8" ht="15.75" x14ac:dyDescent="0.25">
      <c r="A552" s="1158"/>
      <c r="B552" s="1159"/>
      <c r="C552" s="1158"/>
      <c r="D552" s="1158"/>
      <c r="E552" s="1158"/>
      <c r="F552" s="1159"/>
      <c r="G552" s="1159"/>
      <c r="H552" s="1160"/>
    </row>
    <row r="553" spans="1:8" ht="15.75" x14ac:dyDescent="0.25">
      <c r="A553" s="1158"/>
      <c r="B553" s="1159"/>
      <c r="C553" s="1158"/>
      <c r="D553" s="1158"/>
      <c r="E553" s="1158"/>
      <c r="F553" s="1159"/>
      <c r="G553" s="1159"/>
      <c r="H553" s="1160"/>
    </row>
    <row r="554" spans="1:8" ht="15.75" x14ac:dyDescent="0.25">
      <c r="A554" s="1158"/>
      <c r="B554" s="1159"/>
      <c r="C554" s="1158"/>
      <c r="D554" s="1158"/>
      <c r="E554" s="1158"/>
      <c r="F554" s="1159"/>
      <c r="G554" s="1159"/>
      <c r="H554" s="1160"/>
    </row>
    <row r="555" spans="1:8" ht="15.75" x14ac:dyDescent="0.25">
      <c r="A555" s="1158"/>
      <c r="B555" s="1159"/>
      <c r="C555" s="1158"/>
      <c r="D555" s="1158"/>
      <c r="E555" s="1158"/>
      <c r="F555" s="1159"/>
      <c r="G555" s="1159"/>
      <c r="H555" s="1160"/>
    </row>
    <row r="556" spans="1:8" ht="15.75" x14ac:dyDescent="0.25">
      <c r="A556" s="1158"/>
      <c r="B556" s="1159"/>
      <c r="C556" s="1158"/>
      <c r="D556" s="1158"/>
      <c r="E556" s="1158"/>
      <c r="F556" s="1159"/>
      <c r="G556" s="1159"/>
      <c r="H556" s="1160"/>
    </row>
    <row r="557" spans="1:8" ht="15.75" x14ac:dyDescent="0.25">
      <c r="A557" s="1158"/>
      <c r="B557" s="1159"/>
      <c r="C557" s="1158"/>
      <c r="D557" s="1158"/>
      <c r="E557" s="1158"/>
      <c r="F557" s="1159"/>
      <c r="G557" s="1159"/>
      <c r="H557" s="1160"/>
    </row>
    <row r="558" spans="1:8" ht="15.75" x14ac:dyDescent="0.25">
      <c r="A558" s="1158"/>
      <c r="B558" s="1159"/>
      <c r="C558" s="1158"/>
      <c r="D558" s="1158"/>
      <c r="E558" s="1158"/>
      <c r="F558" s="1159"/>
      <c r="G558" s="1159"/>
      <c r="H558" s="1160"/>
    </row>
    <row r="559" spans="1:8" ht="15.75" x14ac:dyDescent="0.25">
      <c r="A559" s="1158"/>
      <c r="B559" s="1159"/>
      <c r="C559" s="1158"/>
      <c r="D559" s="1158"/>
      <c r="E559" s="1158"/>
      <c r="F559" s="1159"/>
      <c r="G559" s="1159"/>
      <c r="H559" s="1160"/>
    </row>
    <row r="560" spans="1:8" ht="15.75" x14ac:dyDescent="0.25">
      <c r="A560" s="1158"/>
      <c r="B560" s="1159"/>
      <c r="C560" s="1158"/>
      <c r="D560" s="1158"/>
      <c r="E560" s="1158"/>
      <c r="F560" s="1159"/>
      <c r="G560" s="1159"/>
      <c r="H560" s="1160"/>
    </row>
    <row r="561" spans="1:8" ht="15.75" x14ac:dyDescent="0.25">
      <c r="A561" s="1158"/>
      <c r="B561" s="1159"/>
      <c r="C561" s="1158"/>
      <c r="D561" s="1158"/>
      <c r="E561" s="1158"/>
      <c r="F561" s="1159"/>
      <c r="G561" s="1159"/>
      <c r="H561" s="1160"/>
    </row>
    <row r="562" spans="1:8" ht="15.75" x14ac:dyDescent="0.25">
      <c r="A562" s="1158"/>
      <c r="B562" s="1159"/>
      <c r="C562" s="1158"/>
      <c r="D562" s="1158"/>
      <c r="E562" s="1158"/>
      <c r="F562" s="1159"/>
      <c r="G562" s="1159"/>
      <c r="H562" s="1160"/>
    </row>
    <row r="563" spans="1:8" ht="15.75" x14ac:dyDescent="0.25">
      <c r="A563" s="1158"/>
      <c r="B563" s="1159"/>
      <c r="C563" s="1158"/>
      <c r="D563" s="1158"/>
      <c r="E563" s="1158"/>
      <c r="F563" s="1159"/>
      <c r="G563" s="1159"/>
      <c r="H563" s="1160"/>
    </row>
    <row r="564" spans="1:8" ht="15.75" x14ac:dyDescent="0.25">
      <c r="A564" s="1158"/>
      <c r="B564" s="1159"/>
      <c r="C564" s="1158"/>
      <c r="D564" s="1158"/>
      <c r="E564" s="1158"/>
      <c r="F564" s="1159"/>
      <c r="G564" s="1159"/>
      <c r="H564" s="1160"/>
    </row>
    <row r="565" spans="1:8" ht="15.75" x14ac:dyDescent="0.25">
      <c r="A565" s="1158"/>
      <c r="B565" s="1159"/>
      <c r="C565" s="1158"/>
      <c r="D565" s="1158"/>
      <c r="E565" s="1158"/>
      <c r="F565" s="1159"/>
      <c r="G565" s="1159"/>
      <c r="H565" s="1160"/>
    </row>
    <row r="566" spans="1:8" ht="15.75" x14ac:dyDescent="0.25">
      <c r="A566" s="1158"/>
      <c r="B566" s="1159"/>
      <c r="C566" s="1158"/>
      <c r="D566" s="1158"/>
      <c r="E566" s="1158"/>
      <c r="F566" s="1159"/>
      <c r="G566" s="1159"/>
      <c r="H566" s="1160"/>
    </row>
    <row r="567" spans="1:8" ht="15.75" x14ac:dyDescent="0.25">
      <c r="A567" s="1158"/>
      <c r="B567" s="1159"/>
      <c r="C567" s="1158"/>
      <c r="D567" s="1158"/>
      <c r="E567" s="1158"/>
      <c r="F567" s="1159"/>
      <c r="G567" s="1159"/>
      <c r="H567" s="1160"/>
    </row>
    <row r="568" spans="1:8" ht="15.75" x14ac:dyDescent="0.25">
      <c r="A568" s="1158"/>
      <c r="B568" s="1159"/>
      <c r="C568" s="1158"/>
      <c r="D568" s="1158"/>
      <c r="E568" s="1158"/>
      <c r="F568" s="1159"/>
      <c r="G568" s="1159"/>
      <c r="H568" s="1160"/>
    </row>
    <row r="569" spans="1:8" ht="15.75" x14ac:dyDescent="0.25">
      <c r="A569" s="1158"/>
      <c r="B569" s="1159"/>
      <c r="C569" s="1158"/>
      <c r="D569" s="1158"/>
      <c r="E569" s="1158"/>
      <c r="F569" s="1159"/>
      <c r="G569" s="1159"/>
      <c r="H569" s="1160"/>
    </row>
    <row r="570" spans="1:8" ht="15.75" x14ac:dyDescent="0.25">
      <c r="A570" s="1158"/>
      <c r="B570" s="1159"/>
      <c r="C570" s="1158"/>
      <c r="D570" s="1158"/>
      <c r="E570" s="1158"/>
      <c r="F570" s="1159"/>
      <c r="G570" s="1159"/>
      <c r="H570" s="1160"/>
    </row>
    <row r="571" spans="1:8" ht="15.75" x14ac:dyDescent="0.25">
      <c r="A571" s="1158"/>
      <c r="B571" s="1159"/>
      <c r="C571" s="1158"/>
      <c r="D571" s="1158"/>
      <c r="E571" s="1158"/>
      <c r="F571" s="1159"/>
      <c r="G571" s="1159"/>
      <c r="H571" s="1160"/>
    </row>
    <row r="572" spans="1:8" ht="15.75" x14ac:dyDescent="0.25">
      <c r="A572" s="1158"/>
      <c r="B572" s="1159"/>
      <c r="C572" s="1158"/>
      <c r="D572" s="1158"/>
      <c r="E572" s="1158"/>
      <c r="F572" s="1159"/>
      <c r="G572" s="1159"/>
      <c r="H572" s="1160"/>
    </row>
    <row r="573" spans="1:8" ht="15.75" x14ac:dyDescent="0.25">
      <c r="A573" s="1158"/>
      <c r="B573" s="1159"/>
      <c r="C573" s="1158"/>
      <c r="D573" s="1158"/>
      <c r="E573" s="1158"/>
      <c r="F573" s="1159"/>
      <c r="G573" s="1159"/>
      <c r="H573" s="1160"/>
    </row>
    <row r="574" spans="1:8" ht="15.75" x14ac:dyDescent="0.25">
      <c r="A574" s="1158"/>
      <c r="B574" s="1159"/>
      <c r="C574" s="1158"/>
      <c r="D574" s="1158"/>
      <c r="E574" s="1158"/>
      <c r="F574" s="1159"/>
      <c r="G574" s="1159"/>
      <c r="H574" s="1160"/>
    </row>
    <row r="575" spans="1:8" ht="15.75" x14ac:dyDescent="0.25">
      <c r="A575" s="1158"/>
      <c r="B575" s="1159"/>
      <c r="C575" s="1158"/>
      <c r="D575" s="1158"/>
      <c r="E575" s="1158"/>
      <c r="F575" s="1159"/>
      <c r="G575" s="1159"/>
      <c r="H575" s="1160"/>
    </row>
    <row r="576" spans="1:8" ht="15.75" x14ac:dyDescent="0.25">
      <c r="A576" s="1158"/>
      <c r="B576" s="1159"/>
      <c r="C576" s="1158"/>
      <c r="D576" s="1158"/>
      <c r="E576" s="1158"/>
      <c r="F576" s="1159"/>
      <c r="G576" s="1159"/>
      <c r="H576" s="1160"/>
    </row>
    <row r="577" spans="1:8" ht="15.75" x14ac:dyDescent="0.25">
      <c r="A577" s="1158"/>
      <c r="B577" s="1159"/>
      <c r="C577" s="1158"/>
      <c r="D577" s="1158"/>
      <c r="E577" s="1158"/>
      <c r="F577" s="1159"/>
      <c r="G577" s="1159"/>
      <c r="H577" s="1160"/>
    </row>
    <row r="578" spans="1:8" ht="15.75" x14ac:dyDescent="0.25">
      <c r="A578" s="1158"/>
      <c r="B578" s="1159"/>
      <c r="C578" s="1158"/>
      <c r="D578" s="1158"/>
      <c r="E578" s="1158"/>
      <c r="F578" s="1159"/>
      <c r="G578" s="1159"/>
      <c r="H578" s="1160"/>
    </row>
    <row r="579" spans="1:8" ht="15.75" x14ac:dyDescent="0.25">
      <c r="A579" s="1158"/>
      <c r="B579" s="1159"/>
      <c r="C579" s="1158"/>
      <c r="D579" s="1158"/>
      <c r="E579" s="1158"/>
      <c r="F579" s="1159"/>
      <c r="G579" s="1159"/>
      <c r="H579" s="1160"/>
    </row>
    <row r="580" spans="1:8" ht="15.75" x14ac:dyDescent="0.25">
      <c r="A580" s="1158"/>
      <c r="B580" s="1159"/>
      <c r="C580" s="1158"/>
      <c r="D580" s="1158"/>
      <c r="E580" s="1158"/>
      <c r="F580" s="1159"/>
      <c r="G580" s="1159"/>
      <c r="H580" s="1160"/>
    </row>
    <row r="581" spans="1:8" ht="15.75" x14ac:dyDescent="0.25">
      <c r="A581" s="1158"/>
      <c r="B581" s="1159"/>
      <c r="C581" s="1158"/>
      <c r="D581" s="1158"/>
      <c r="E581" s="1158"/>
      <c r="F581" s="1159"/>
      <c r="G581" s="1159"/>
      <c r="H581" s="1160"/>
    </row>
    <row r="582" spans="1:8" ht="15.75" x14ac:dyDescent="0.25">
      <c r="A582" s="1158"/>
      <c r="B582" s="1159"/>
      <c r="C582" s="1158"/>
      <c r="D582" s="1158"/>
      <c r="E582" s="1158"/>
      <c r="F582" s="1159"/>
      <c r="G582" s="1159"/>
      <c r="H582" s="1160"/>
    </row>
    <row r="583" spans="1:8" ht="15.75" x14ac:dyDescent="0.25">
      <c r="A583" s="1158"/>
      <c r="B583" s="1159"/>
      <c r="C583" s="1158"/>
      <c r="D583" s="1158"/>
      <c r="E583" s="1158"/>
      <c r="F583" s="1159"/>
      <c r="G583" s="1159"/>
      <c r="H583" s="1160"/>
    </row>
    <row r="584" spans="1:8" ht="15.75" x14ac:dyDescent="0.25">
      <c r="A584" s="1158"/>
      <c r="B584" s="1159"/>
      <c r="C584" s="1158"/>
      <c r="D584" s="1158"/>
      <c r="E584" s="1158"/>
      <c r="F584" s="1159"/>
      <c r="G584" s="1159"/>
      <c r="H584" s="1160"/>
    </row>
    <row r="585" spans="1:8" ht="15.75" x14ac:dyDescent="0.25">
      <c r="A585" s="1158"/>
      <c r="B585" s="1159"/>
      <c r="C585" s="1158"/>
      <c r="D585" s="1158"/>
      <c r="E585" s="1158"/>
      <c r="F585" s="1159"/>
      <c r="G585" s="1159"/>
      <c r="H585" s="1160"/>
    </row>
    <row r="586" spans="1:8" ht="15.75" x14ac:dyDescent="0.25">
      <c r="A586" s="1158"/>
      <c r="B586" s="1159"/>
      <c r="C586" s="1158"/>
      <c r="D586" s="1158"/>
      <c r="E586" s="1158"/>
      <c r="F586" s="1159"/>
      <c r="G586" s="1159"/>
      <c r="H586" s="1160"/>
    </row>
    <row r="587" spans="1:8" ht="15.75" x14ac:dyDescent="0.25">
      <c r="A587" s="1158"/>
      <c r="B587" s="1159"/>
      <c r="C587" s="1158"/>
      <c r="D587" s="1158"/>
      <c r="E587" s="1158"/>
      <c r="F587" s="1159"/>
      <c r="G587" s="1159"/>
      <c r="H587" s="1160"/>
    </row>
    <row r="588" spans="1:8" ht="15.75" x14ac:dyDescent="0.25">
      <c r="A588" s="1158"/>
      <c r="B588" s="1159"/>
      <c r="C588" s="1158"/>
      <c r="D588" s="1158"/>
      <c r="E588" s="1158"/>
      <c r="F588" s="1159"/>
      <c r="G588" s="1159"/>
      <c r="H588" s="1160"/>
    </row>
    <row r="589" spans="1:8" ht="15.75" x14ac:dyDescent="0.25">
      <c r="A589" s="1158"/>
      <c r="B589" s="1159"/>
      <c r="C589" s="1158"/>
      <c r="D589" s="1158"/>
      <c r="E589" s="1158"/>
      <c r="F589" s="1159"/>
      <c r="G589" s="1159"/>
      <c r="H589" s="1160"/>
    </row>
    <row r="590" spans="1:8" ht="15.75" x14ac:dyDescent="0.25">
      <c r="A590" s="1158"/>
      <c r="B590" s="1159"/>
      <c r="C590" s="1158"/>
      <c r="D590" s="1158"/>
      <c r="E590" s="1158"/>
      <c r="F590" s="1159"/>
      <c r="G590" s="1159"/>
      <c r="H590" s="1160"/>
    </row>
    <row r="591" spans="1:8" ht="15.75" x14ac:dyDescent="0.25">
      <c r="A591" s="1158"/>
      <c r="B591" s="1159"/>
      <c r="C591" s="1158"/>
      <c r="D591" s="1158"/>
      <c r="E591" s="1158"/>
      <c r="F591" s="1159"/>
      <c r="G591" s="1159"/>
      <c r="H591" s="1160"/>
    </row>
    <row r="592" spans="1:8" ht="15.75" x14ac:dyDescent="0.25">
      <c r="A592" s="1158"/>
      <c r="B592" s="1159"/>
      <c r="C592" s="1158"/>
      <c r="D592" s="1158"/>
      <c r="E592" s="1158"/>
      <c r="F592" s="1159"/>
      <c r="G592" s="1159"/>
      <c r="H592" s="1160"/>
    </row>
    <row r="593" spans="1:8" ht="15.75" x14ac:dyDescent="0.25">
      <c r="A593" s="1158"/>
      <c r="B593" s="1159"/>
      <c r="C593" s="1158"/>
      <c r="D593" s="1158"/>
      <c r="E593" s="1158"/>
      <c r="F593" s="1159"/>
      <c r="G593" s="1159"/>
      <c r="H593" s="1160"/>
    </row>
    <row r="594" spans="1:8" ht="15.75" x14ac:dyDescent="0.25">
      <c r="A594" s="1158"/>
      <c r="B594" s="1159"/>
      <c r="C594" s="1158"/>
      <c r="D594" s="1158"/>
      <c r="E594" s="1158"/>
      <c r="F594" s="1159"/>
      <c r="G594" s="1159"/>
      <c r="H594" s="1160"/>
    </row>
    <row r="595" spans="1:8" ht="15.75" x14ac:dyDescent="0.25">
      <c r="A595" s="1158"/>
      <c r="B595" s="1159"/>
      <c r="C595" s="1158"/>
      <c r="D595" s="1158"/>
      <c r="E595" s="1158"/>
      <c r="F595" s="1159"/>
      <c r="G595" s="1159"/>
      <c r="H595" s="1160"/>
    </row>
    <row r="596" spans="1:8" ht="15.75" x14ac:dyDescent="0.25">
      <c r="A596" s="1158"/>
      <c r="B596" s="1159"/>
      <c r="C596" s="1158"/>
      <c r="D596" s="1158"/>
      <c r="E596" s="1158"/>
      <c r="F596" s="1159"/>
      <c r="G596" s="1159"/>
      <c r="H596" s="1160"/>
    </row>
    <row r="597" spans="1:8" ht="15.75" x14ac:dyDescent="0.25">
      <c r="A597" s="1158"/>
      <c r="B597" s="1159"/>
      <c r="C597" s="1158"/>
      <c r="D597" s="1158"/>
      <c r="E597" s="1158"/>
      <c r="F597" s="1159"/>
      <c r="G597" s="1159"/>
      <c r="H597" s="1160"/>
    </row>
    <row r="598" spans="1:8" ht="15.75" x14ac:dyDescent="0.25">
      <c r="A598" s="1158"/>
      <c r="B598" s="1159"/>
      <c r="C598" s="1158"/>
      <c r="D598" s="1158"/>
      <c r="E598" s="1158"/>
      <c r="F598" s="1159"/>
      <c r="G598" s="1159"/>
      <c r="H598" s="1160"/>
    </row>
    <row r="599" spans="1:8" ht="15.75" x14ac:dyDescent="0.25">
      <c r="A599" s="1158"/>
      <c r="B599" s="1159"/>
      <c r="C599" s="1158"/>
      <c r="D599" s="1158"/>
      <c r="E599" s="1158"/>
      <c r="F599" s="1159"/>
      <c r="G599" s="1159"/>
      <c r="H599" s="1160"/>
    </row>
    <row r="600" spans="1:8" ht="15.75" x14ac:dyDescent="0.25">
      <c r="A600" s="1158"/>
      <c r="B600" s="1159"/>
      <c r="C600" s="1158"/>
      <c r="D600" s="1158"/>
      <c r="E600" s="1158"/>
      <c r="F600" s="1159"/>
      <c r="G600" s="1159"/>
      <c r="H600" s="1160"/>
    </row>
    <row r="601" spans="1:8" ht="15.75" x14ac:dyDescent="0.25">
      <c r="A601" s="1158"/>
      <c r="B601" s="1159"/>
      <c r="C601" s="1158"/>
      <c r="D601" s="1158"/>
      <c r="E601" s="1158"/>
      <c r="F601" s="1159"/>
      <c r="G601" s="1159"/>
      <c r="H601" s="1160"/>
    </row>
    <row r="602" spans="1:8" ht="15.75" x14ac:dyDescent="0.25">
      <c r="A602" s="1158"/>
      <c r="B602" s="1159"/>
      <c r="C602" s="1158"/>
      <c r="D602" s="1158"/>
      <c r="E602" s="1158"/>
      <c r="F602" s="1159"/>
      <c r="G602" s="1159"/>
      <c r="H602" s="1160"/>
    </row>
    <row r="603" spans="1:8" ht="15.75" x14ac:dyDescent="0.25">
      <c r="A603" s="1158"/>
      <c r="B603" s="1159"/>
      <c r="C603" s="1158"/>
      <c r="D603" s="1158"/>
      <c r="E603" s="1158"/>
      <c r="F603" s="1159"/>
      <c r="G603" s="1159"/>
      <c r="H603" s="1160"/>
    </row>
    <row r="604" spans="1:8" ht="15.75" x14ac:dyDescent="0.25">
      <c r="A604" s="1158"/>
      <c r="B604" s="1159"/>
      <c r="C604" s="1158"/>
      <c r="D604" s="1158"/>
      <c r="E604" s="1158"/>
      <c r="F604" s="1159"/>
      <c r="G604" s="1159"/>
      <c r="H604" s="1160"/>
    </row>
    <row r="605" spans="1:8" ht="15.75" x14ac:dyDescent="0.25">
      <c r="A605" s="1158"/>
      <c r="B605" s="1159"/>
      <c r="C605" s="1158"/>
      <c r="D605" s="1158"/>
      <c r="E605" s="1158"/>
      <c r="F605" s="1159"/>
      <c r="G605" s="1159"/>
      <c r="H605" s="1160"/>
    </row>
    <row r="606" spans="1:8" ht="15.75" x14ac:dyDescent="0.25">
      <c r="A606" s="1158"/>
      <c r="B606" s="1159"/>
      <c r="C606" s="1158"/>
      <c r="D606" s="1158"/>
      <c r="E606" s="1158"/>
      <c r="F606" s="1159"/>
      <c r="G606" s="1159"/>
      <c r="H606" s="1160"/>
    </row>
    <row r="607" spans="1:8" ht="15.75" x14ac:dyDescent="0.25">
      <c r="A607" s="1158"/>
      <c r="B607" s="1159"/>
      <c r="C607" s="1158"/>
      <c r="D607" s="1158"/>
      <c r="E607" s="1158"/>
      <c r="F607" s="1159"/>
      <c r="G607" s="1159"/>
      <c r="H607" s="1160"/>
    </row>
    <row r="608" spans="1:8" ht="15.75" x14ac:dyDescent="0.25">
      <c r="A608" s="1158"/>
      <c r="B608" s="1159"/>
      <c r="C608" s="1158"/>
      <c r="D608" s="1158"/>
      <c r="E608" s="1158"/>
      <c r="F608" s="1159"/>
      <c r="G608" s="1159"/>
      <c r="H608" s="1160"/>
    </row>
    <row r="609" spans="1:8" ht="15.75" x14ac:dyDescent="0.25">
      <c r="A609" s="1158"/>
      <c r="B609" s="1159"/>
      <c r="C609" s="1158"/>
      <c r="D609" s="1158"/>
      <c r="E609" s="1158"/>
      <c r="F609" s="1159"/>
      <c r="G609" s="1159"/>
      <c r="H609" s="1160"/>
    </row>
    <row r="610" spans="1:8" ht="15.75" x14ac:dyDescent="0.25">
      <c r="A610" s="1158"/>
      <c r="B610" s="1159"/>
      <c r="C610" s="1158"/>
      <c r="D610" s="1158"/>
      <c r="E610" s="1158"/>
      <c r="F610" s="1159"/>
      <c r="G610" s="1159"/>
      <c r="H610" s="1160"/>
    </row>
    <row r="611" spans="1:8" ht="15.75" x14ac:dyDescent="0.25">
      <c r="A611" s="1158"/>
      <c r="B611" s="1159"/>
      <c r="C611" s="1158"/>
      <c r="D611" s="1158"/>
      <c r="E611" s="1158"/>
      <c r="F611" s="1159"/>
      <c r="G611" s="1159"/>
      <c r="H611" s="1160"/>
    </row>
    <row r="612" spans="1:8" ht="15.75" x14ac:dyDescent="0.25">
      <c r="A612" s="1158"/>
      <c r="B612" s="1159"/>
      <c r="C612" s="1158"/>
      <c r="D612" s="1158"/>
      <c r="E612" s="1158"/>
      <c r="F612" s="1159"/>
      <c r="G612" s="1159"/>
      <c r="H612" s="1160"/>
    </row>
    <row r="613" spans="1:8" ht="15.75" x14ac:dyDescent="0.25">
      <c r="A613" s="1158"/>
      <c r="B613" s="1159"/>
      <c r="C613" s="1158"/>
      <c r="D613" s="1158"/>
      <c r="E613" s="1158"/>
      <c r="F613" s="1159"/>
      <c r="G613" s="1159"/>
      <c r="H613" s="1160"/>
    </row>
    <row r="614" spans="1:8" ht="15.75" x14ac:dyDescent="0.25">
      <c r="A614" s="1158"/>
      <c r="B614" s="1159"/>
      <c r="C614" s="1158"/>
      <c r="D614" s="1158"/>
      <c r="E614" s="1158"/>
      <c r="F614" s="1159"/>
      <c r="G614" s="1159"/>
      <c r="H614" s="1160"/>
    </row>
    <row r="615" spans="1:8" ht="15.75" x14ac:dyDescent="0.25">
      <c r="A615" s="1158"/>
      <c r="B615" s="1159"/>
      <c r="C615" s="1158"/>
      <c r="D615" s="1158"/>
      <c r="E615" s="1158"/>
      <c r="F615" s="1159"/>
      <c r="G615" s="1159"/>
      <c r="H615" s="1160"/>
    </row>
    <row r="616" spans="1:8" ht="15.75" x14ac:dyDescent="0.25">
      <c r="A616" s="1158"/>
      <c r="B616" s="1159"/>
      <c r="C616" s="1158"/>
      <c r="D616" s="1158"/>
      <c r="E616" s="1158"/>
      <c r="F616" s="1159"/>
      <c r="G616" s="1159"/>
      <c r="H616" s="1160"/>
    </row>
    <row r="617" spans="1:8" ht="15.75" x14ac:dyDescent="0.25">
      <c r="A617" s="1158"/>
      <c r="B617" s="1159"/>
      <c r="C617" s="1158"/>
      <c r="D617" s="1158"/>
      <c r="E617" s="1158"/>
      <c r="F617" s="1159"/>
      <c r="G617" s="1159"/>
      <c r="H617" s="1160"/>
    </row>
    <row r="618" spans="1:8" ht="15.75" x14ac:dyDescent="0.25">
      <c r="A618" s="1158"/>
      <c r="B618" s="1159"/>
      <c r="C618" s="1158"/>
      <c r="D618" s="1158"/>
      <c r="E618" s="1158"/>
      <c r="F618" s="1159"/>
      <c r="G618" s="1159"/>
      <c r="H618" s="1160"/>
    </row>
    <row r="619" spans="1:8" ht="15.75" x14ac:dyDescent="0.25">
      <c r="A619" s="1158"/>
      <c r="B619" s="1159"/>
      <c r="C619" s="1158"/>
      <c r="D619" s="1158"/>
      <c r="E619" s="1158"/>
      <c r="F619" s="1159"/>
      <c r="G619" s="1159"/>
      <c r="H619" s="1160"/>
    </row>
    <row r="620" spans="1:8" ht="15.75" x14ac:dyDescent="0.25">
      <c r="A620" s="1158"/>
      <c r="B620" s="1159"/>
      <c r="C620" s="1158"/>
      <c r="D620" s="1158"/>
      <c r="E620" s="1158"/>
      <c r="F620" s="1159"/>
      <c r="G620" s="1159"/>
      <c r="H620" s="1160"/>
    </row>
    <row r="621" spans="1:8" ht="15.75" x14ac:dyDescent="0.25">
      <c r="A621" s="1158"/>
      <c r="B621" s="1159"/>
      <c r="C621" s="1158"/>
      <c r="D621" s="1158"/>
      <c r="E621" s="1158"/>
      <c r="F621" s="1159"/>
      <c r="G621" s="1159"/>
      <c r="H621" s="1160"/>
    </row>
    <row r="622" spans="1:8" ht="15.75" x14ac:dyDescent="0.25">
      <c r="A622" s="1158"/>
      <c r="B622" s="1159"/>
      <c r="C622" s="1158"/>
      <c r="D622" s="1158"/>
      <c r="E622" s="1158"/>
      <c r="F622" s="1159"/>
      <c r="G622" s="1159"/>
      <c r="H622" s="1160"/>
    </row>
    <row r="623" spans="1:8" ht="15.75" x14ac:dyDescent="0.25">
      <c r="A623" s="1158"/>
      <c r="B623" s="1159"/>
      <c r="C623" s="1158"/>
      <c r="D623" s="1158"/>
      <c r="E623" s="1158"/>
      <c r="F623" s="1159"/>
      <c r="G623" s="1159"/>
      <c r="H623" s="1160"/>
    </row>
    <row r="624" spans="1:8" ht="15.75" x14ac:dyDescent="0.25">
      <c r="A624" s="1158"/>
      <c r="B624" s="1159"/>
      <c r="C624" s="1158"/>
      <c r="D624" s="1158"/>
      <c r="E624" s="1158"/>
      <c r="F624" s="1159"/>
      <c r="G624" s="1159"/>
      <c r="H624" s="1160"/>
    </row>
    <row r="625" spans="1:8" ht="15.75" x14ac:dyDescent="0.25">
      <c r="A625" s="1158"/>
      <c r="B625" s="1159"/>
      <c r="C625" s="1158"/>
      <c r="D625" s="1158"/>
      <c r="E625" s="1158"/>
      <c r="F625" s="1159"/>
      <c r="G625" s="1159"/>
      <c r="H625" s="1160"/>
    </row>
    <row r="626" spans="1:8" ht="15.75" x14ac:dyDescent="0.25">
      <c r="A626" s="1158"/>
      <c r="B626" s="1159"/>
      <c r="C626" s="1158"/>
      <c r="D626" s="1158"/>
      <c r="E626" s="1158"/>
      <c r="F626" s="1159"/>
      <c r="G626" s="1159"/>
      <c r="H626" s="1160"/>
    </row>
    <row r="627" spans="1:8" ht="15.75" x14ac:dyDescent="0.25">
      <c r="A627" s="1158"/>
      <c r="B627" s="1159"/>
      <c r="C627" s="1158"/>
      <c r="D627" s="1158"/>
      <c r="E627" s="1158"/>
      <c r="F627" s="1159"/>
      <c r="G627" s="1159"/>
      <c r="H627" s="1160"/>
    </row>
    <row r="628" spans="1:8" ht="15.75" x14ac:dyDescent="0.25">
      <c r="A628" s="1158"/>
      <c r="B628" s="1159"/>
      <c r="C628" s="1158"/>
      <c r="D628" s="1158"/>
      <c r="E628" s="1158"/>
      <c r="F628" s="1159"/>
      <c r="G628" s="1159"/>
      <c r="H628" s="1160"/>
    </row>
    <row r="629" spans="1:8" ht="15.75" x14ac:dyDescent="0.25">
      <c r="A629" s="1158"/>
      <c r="B629" s="1159"/>
      <c r="C629" s="1158"/>
      <c r="D629" s="1158"/>
      <c r="E629" s="1158"/>
      <c r="F629" s="1159"/>
      <c r="G629" s="1159"/>
      <c r="H629" s="1160"/>
    </row>
    <row r="630" spans="1:8" ht="15.75" x14ac:dyDescent="0.25">
      <c r="A630" s="1158"/>
      <c r="B630" s="1159"/>
      <c r="C630" s="1158"/>
      <c r="D630" s="1158"/>
      <c r="E630" s="1158"/>
      <c r="F630" s="1159"/>
      <c r="G630" s="1159"/>
      <c r="H630" s="1160"/>
    </row>
    <row r="631" spans="1:8" ht="15.75" x14ac:dyDescent="0.25">
      <c r="A631" s="1158"/>
      <c r="B631" s="1159"/>
      <c r="C631" s="1158"/>
      <c r="D631" s="1158"/>
      <c r="E631" s="1158"/>
      <c r="F631" s="1159"/>
      <c r="G631" s="1159"/>
      <c r="H631" s="1160"/>
    </row>
    <row r="632" spans="1:8" ht="15.75" x14ac:dyDescent="0.25">
      <c r="A632" s="1158"/>
      <c r="B632" s="1159"/>
      <c r="C632" s="1158"/>
      <c r="D632" s="1158"/>
      <c r="E632" s="1158"/>
      <c r="F632" s="1159"/>
      <c r="G632" s="1159"/>
      <c r="H632" s="1160"/>
    </row>
    <row r="633" spans="1:8" ht="15.75" x14ac:dyDescent="0.25">
      <c r="A633" s="1158"/>
      <c r="B633" s="1159"/>
      <c r="C633" s="1158"/>
      <c r="D633" s="1158"/>
      <c r="E633" s="1158"/>
      <c r="F633" s="1159"/>
      <c r="G633" s="1159"/>
      <c r="H633" s="1160"/>
    </row>
    <row r="634" spans="1:8" ht="15.75" x14ac:dyDescent="0.25">
      <c r="A634" s="1158"/>
      <c r="B634" s="1159"/>
      <c r="C634" s="1158"/>
      <c r="D634" s="1158"/>
      <c r="E634" s="1158"/>
      <c r="F634" s="1159"/>
      <c r="G634" s="1159"/>
      <c r="H634" s="1160"/>
    </row>
    <row r="635" spans="1:8" ht="15.75" x14ac:dyDescent="0.25">
      <c r="A635" s="1158"/>
      <c r="B635" s="1159"/>
      <c r="C635" s="1158"/>
      <c r="D635" s="1158"/>
      <c r="E635" s="1158"/>
      <c r="F635" s="1159"/>
      <c r="G635" s="1159"/>
      <c r="H635" s="1160"/>
    </row>
    <row r="636" spans="1:8" ht="15.75" x14ac:dyDescent="0.25">
      <c r="A636" s="1158"/>
      <c r="B636" s="1159"/>
      <c r="C636" s="1158"/>
      <c r="D636" s="1158"/>
      <c r="E636" s="1158"/>
      <c r="F636" s="1159"/>
      <c r="G636" s="1159"/>
      <c r="H636" s="1160"/>
    </row>
    <row r="637" spans="1:8" ht="15.75" x14ac:dyDescent="0.25">
      <c r="A637" s="1158"/>
      <c r="B637" s="1159"/>
      <c r="C637" s="1158"/>
      <c r="D637" s="1158"/>
      <c r="E637" s="1158"/>
      <c r="F637" s="1159"/>
      <c r="G637" s="1159"/>
      <c r="H637" s="1160"/>
    </row>
    <row r="638" spans="1:8" ht="15.75" x14ac:dyDescent="0.25">
      <c r="A638" s="1158"/>
      <c r="B638" s="1159"/>
      <c r="C638" s="1158"/>
      <c r="D638" s="1158"/>
      <c r="E638" s="1158"/>
      <c r="F638" s="1159"/>
      <c r="G638" s="1159"/>
      <c r="H638" s="1160"/>
    </row>
    <row r="639" spans="1:8" ht="15.75" x14ac:dyDescent="0.25">
      <c r="A639" s="1158"/>
      <c r="B639" s="1159"/>
      <c r="C639" s="1158"/>
      <c r="D639" s="1158"/>
      <c r="E639" s="1158"/>
      <c r="F639" s="1159"/>
      <c r="G639" s="1159"/>
      <c r="H639" s="1160"/>
    </row>
    <row r="640" spans="1:8" ht="15.75" x14ac:dyDescent="0.25">
      <c r="A640" s="1158"/>
      <c r="B640" s="1159"/>
      <c r="C640" s="1158"/>
      <c r="D640" s="1158"/>
      <c r="E640" s="1158"/>
      <c r="F640" s="1159"/>
      <c r="G640" s="1159"/>
      <c r="H640" s="1160"/>
    </row>
    <row r="641" spans="1:8" ht="15.75" x14ac:dyDescent="0.25">
      <c r="A641" s="1158"/>
      <c r="B641" s="1159"/>
      <c r="C641" s="1158"/>
      <c r="D641" s="1158"/>
      <c r="E641" s="1158"/>
      <c r="F641" s="1159"/>
      <c r="G641" s="1159"/>
      <c r="H641" s="1160"/>
    </row>
    <row r="642" spans="1:8" ht="15.75" x14ac:dyDescent="0.25">
      <c r="A642" s="1158"/>
      <c r="B642" s="1159"/>
      <c r="C642" s="1158"/>
      <c r="D642" s="1158"/>
      <c r="E642" s="1158"/>
      <c r="F642" s="1159"/>
      <c r="G642" s="1159"/>
      <c r="H642" s="1160"/>
    </row>
    <row r="643" spans="1:8" ht="15.75" x14ac:dyDescent="0.25">
      <c r="A643" s="1158"/>
      <c r="B643" s="1159"/>
      <c r="C643" s="1158"/>
      <c r="D643" s="1158"/>
      <c r="E643" s="1158"/>
      <c r="F643" s="1159"/>
      <c r="G643" s="1159"/>
      <c r="H643" s="1160"/>
    </row>
    <row r="644" spans="1:8" ht="15.75" x14ac:dyDescent="0.25">
      <c r="A644" s="1158"/>
      <c r="B644" s="1159"/>
      <c r="C644" s="1158"/>
      <c r="D644" s="1158"/>
      <c r="E644" s="1158"/>
      <c r="F644" s="1159"/>
      <c r="G644" s="1159"/>
      <c r="H644" s="1160"/>
    </row>
    <row r="645" spans="1:8" ht="15.75" x14ac:dyDescent="0.25">
      <c r="A645" s="1158"/>
      <c r="B645" s="1159"/>
      <c r="C645" s="1158"/>
      <c r="D645" s="1158"/>
      <c r="E645" s="1158"/>
      <c r="F645" s="1159"/>
      <c r="G645" s="1159"/>
      <c r="H645" s="1160"/>
    </row>
    <row r="646" spans="1:8" ht="15.75" x14ac:dyDescent="0.25">
      <c r="A646" s="1158"/>
      <c r="B646" s="1159"/>
      <c r="C646" s="1158"/>
      <c r="D646" s="1158"/>
      <c r="E646" s="1158"/>
      <c r="F646" s="1159"/>
      <c r="G646" s="1159"/>
      <c r="H646" s="1160"/>
    </row>
    <row r="647" spans="1:8" ht="15.75" x14ac:dyDescent="0.25">
      <c r="A647" s="1158"/>
      <c r="B647" s="1159"/>
      <c r="C647" s="1158"/>
      <c r="D647" s="1158"/>
      <c r="E647" s="1158"/>
      <c r="F647" s="1159"/>
      <c r="G647" s="1159"/>
      <c r="H647" s="1160"/>
    </row>
    <row r="648" spans="1:8" ht="15.75" x14ac:dyDescent="0.25">
      <c r="A648" s="1158"/>
      <c r="B648" s="1159"/>
      <c r="C648" s="1158"/>
      <c r="D648" s="1158"/>
      <c r="E648" s="1158"/>
      <c r="F648" s="1159"/>
      <c r="G648" s="1159"/>
      <c r="H648" s="1160"/>
    </row>
    <row r="649" spans="1:8" ht="15.75" x14ac:dyDescent="0.25">
      <c r="A649" s="1158"/>
      <c r="B649" s="1159"/>
      <c r="C649" s="1158"/>
      <c r="D649" s="1158"/>
      <c r="E649" s="1158"/>
      <c r="F649" s="1159"/>
      <c r="G649" s="1159"/>
      <c r="H649" s="1160"/>
    </row>
    <row r="650" spans="1:8" ht="15.75" x14ac:dyDescent="0.25">
      <c r="A650" s="1158"/>
      <c r="B650" s="1159"/>
      <c r="C650" s="1158"/>
      <c r="D650" s="1158"/>
      <c r="E650" s="1158"/>
      <c r="F650" s="1159"/>
      <c r="G650" s="1159"/>
      <c r="H650" s="1160"/>
    </row>
    <row r="651" spans="1:8" ht="15.75" x14ac:dyDescent="0.25">
      <c r="A651" s="1158"/>
      <c r="B651" s="1159"/>
      <c r="C651" s="1158"/>
      <c r="D651" s="1158"/>
      <c r="E651" s="1158"/>
      <c r="F651" s="1159"/>
      <c r="G651" s="1159"/>
      <c r="H651" s="1160"/>
    </row>
    <row r="652" spans="1:8" ht="15.75" x14ac:dyDescent="0.25">
      <c r="A652" s="1158"/>
      <c r="B652" s="1159"/>
      <c r="C652" s="1158"/>
      <c r="D652" s="1158"/>
      <c r="E652" s="1158"/>
      <c r="F652" s="1159"/>
      <c r="G652" s="1159"/>
      <c r="H652" s="1160"/>
    </row>
    <row r="653" spans="1:8" ht="15.75" x14ac:dyDescent="0.25">
      <c r="A653" s="1158"/>
      <c r="B653" s="1159"/>
      <c r="C653" s="1158"/>
      <c r="D653" s="1158"/>
      <c r="E653" s="1158"/>
      <c r="F653" s="1159"/>
      <c r="G653" s="1159"/>
      <c r="H653" s="1160"/>
    </row>
    <row r="654" spans="1:8" ht="15.75" x14ac:dyDescent="0.25">
      <c r="A654" s="1158"/>
      <c r="B654" s="1159"/>
      <c r="C654" s="1158"/>
      <c r="D654" s="1158"/>
      <c r="E654" s="1158"/>
      <c r="F654" s="1159"/>
      <c r="G654" s="1159"/>
      <c r="H654" s="1160"/>
    </row>
    <row r="655" spans="1:8" ht="15.75" x14ac:dyDescent="0.25">
      <c r="A655" s="1158"/>
      <c r="B655" s="1159"/>
      <c r="C655" s="1158"/>
      <c r="D655" s="1158"/>
      <c r="E655" s="1158"/>
      <c r="F655" s="1159"/>
      <c r="G655" s="1159"/>
      <c r="H655" s="1160"/>
    </row>
    <row r="656" spans="1:8" ht="15.75" x14ac:dyDescent="0.25">
      <c r="A656" s="1158"/>
      <c r="B656" s="1159"/>
      <c r="C656" s="1158"/>
      <c r="D656" s="1158"/>
      <c r="E656" s="1158"/>
      <c r="F656" s="1159"/>
      <c r="G656" s="1159"/>
      <c r="H656" s="1160"/>
    </row>
    <row r="657" spans="1:8" ht="15.75" x14ac:dyDescent="0.25">
      <c r="A657" s="1158"/>
      <c r="B657" s="1159"/>
      <c r="C657" s="1158"/>
      <c r="D657" s="1158"/>
      <c r="E657" s="1158"/>
      <c r="F657" s="1159"/>
      <c r="G657" s="1159"/>
      <c r="H657" s="1160"/>
    </row>
    <row r="658" spans="1:8" ht="15.75" x14ac:dyDescent="0.25">
      <c r="A658" s="1158"/>
      <c r="B658" s="1159"/>
      <c r="C658" s="1158"/>
      <c r="D658" s="1158"/>
      <c r="E658" s="1158"/>
      <c r="F658" s="1159"/>
      <c r="G658" s="1159"/>
      <c r="H658" s="1160"/>
    </row>
    <row r="659" spans="1:8" ht="15.75" x14ac:dyDescent="0.25">
      <c r="A659" s="1158"/>
      <c r="B659" s="1159"/>
      <c r="C659" s="1158"/>
      <c r="D659" s="1158"/>
      <c r="E659" s="1158"/>
      <c r="F659" s="1159"/>
      <c r="G659" s="1159"/>
      <c r="H659" s="1160"/>
    </row>
    <row r="660" spans="1:8" ht="15.75" x14ac:dyDescent="0.25">
      <c r="A660" s="1158"/>
      <c r="B660" s="1159"/>
      <c r="C660" s="1158"/>
      <c r="D660" s="1158"/>
      <c r="E660" s="1158"/>
      <c r="F660" s="1159"/>
      <c r="G660" s="1159"/>
      <c r="H660" s="1160"/>
    </row>
    <row r="661" spans="1:8" ht="15.75" x14ac:dyDescent="0.25">
      <c r="A661" s="1158"/>
      <c r="B661" s="1159"/>
      <c r="C661" s="1158"/>
      <c r="D661" s="1158"/>
      <c r="E661" s="1158"/>
      <c r="F661" s="1159"/>
      <c r="G661" s="1159"/>
      <c r="H661" s="1160"/>
    </row>
    <row r="662" spans="1:8" ht="15.75" x14ac:dyDescent="0.25">
      <c r="A662" s="1158"/>
      <c r="B662" s="1159"/>
      <c r="C662" s="1158"/>
      <c r="D662" s="1158"/>
      <c r="E662" s="1158"/>
      <c r="F662" s="1159"/>
      <c r="G662" s="1159"/>
      <c r="H662" s="1160"/>
    </row>
    <row r="663" spans="1:8" ht="15.75" x14ac:dyDescent="0.25">
      <c r="A663" s="1158"/>
      <c r="B663" s="1159"/>
      <c r="C663" s="1158"/>
      <c r="D663" s="1158"/>
      <c r="E663" s="1158"/>
      <c r="F663" s="1159"/>
      <c r="G663" s="1159"/>
      <c r="H663" s="1160"/>
    </row>
    <row r="664" spans="1:8" ht="15.75" x14ac:dyDescent="0.25">
      <c r="A664" s="1158"/>
      <c r="B664" s="1159"/>
      <c r="C664" s="1158"/>
      <c r="D664" s="1158"/>
      <c r="E664" s="1158"/>
      <c r="F664" s="1159"/>
      <c r="G664" s="1159"/>
      <c r="H664" s="1160"/>
    </row>
    <row r="665" spans="1:8" ht="15.75" x14ac:dyDescent="0.25">
      <c r="A665" s="1158"/>
      <c r="B665" s="1159"/>
      <c r="C665" s="1158"/>
      <c r="D665" s="1158"/>
      <c r="E665" s="1158"/>
      <c r="F665" s="1159"/>
      <c r="G665" s="1159"/>
      <c r="H665" s="1160"/>
    </row>
    <row r="666" spans="1:8" ht="15.75" x14ac:dyDescent="0.25">
      <c r="A666" s="1158"/>
      <c r="B666" s="1159"/>
      <c r="C666" s="1158"/>
      <c r="D666" s="1158"/>
      <c r="E666" s="1158"/>
      <c r="F666" s="1159"/>
      <c r="G666" s="1159"/>
      <c r="H666" s="1160"/>
    </row>
    <row r="667" spans="1:8" ht="15.75" x14ac:dyDescent="0.25">
      <c r="A667" s="1158"/>
      <c r="B667" s="1159"/>
      <c r="C667" s="1158"/>
      <c r="D667" s="1158"/>
      <c r="E667" s="1158"/>
      <c r="F667" s="1159"/>
      <c r="G667" s="1159"/>
      <c r="H667" s="1160"/>
    </row>
    <row r="668" spans="1:8" ht="15.75" x14ac:dyDescent="0.25">
      <c r="A668" s="1158"/>
      <c r="B668" s="1159"/>
      <c r="C668" s="1158"/>
      <c r="D668" s="1158"/>
      <c r="E668" s="1158"/>
      <c r="F668" s="1159"/>
      <c r="G668" s="1159"/>
      <c r="H668" s="1160"/>
    </row>
    <row r="669" spans="1:8" ht="15.75" x14ac:dyDescent="0.25">
      <c r="A669" s="1158"/>
      <c r="B669" s="1159"/>
      <c r="C669" s="1158"/>
      <c r="D669" s="1158"/>
      <c r="E669" s="1158"/>
      <c r="F669" s="1159"/>
      <c r="G669" s="1159"/>
      <c r="H669" s="1160"/>
    </row>
    <row r="670" spans="1:8" ht="15.75" x14ac:dyDescent="0.25">
      <c r="A670" s="1158"/>
      <c r="B670" s="1159"/>
      <c r="C670" s="1158"/>
      <c r="D670" s="1158"/>
      <c r="E670" s="1158"/>
      <c r="F670" s="1159"/>
      <c r="G670" s="1159"/>
      <c r="H670" s="1160"/>
    </row>
    <row r="671" spans="1:8" ht="15.75" x14ac:dyDescent="0.25">
      <c r="A671" s="1158"/>
      <c r="B671" s="1159"/>
      <c r="C671" s="1158"/>
      <c r="D671" s="1158"/>
      <c r="E671" s="1158"/>
      <c r="F671" s="1159"/>
      <c r="G671" s="1159"/>
      <c r="H671" s="1160"/>
    </row>
    <row r="672" spans="1:8" ht="15.75" x14ac:dyDescent="0.25">
      <c r="A672" s="1158"/>
      <c r="B672" s="1159"/>
      <c r="C672" s="1158"/>
      <c r="D672" s="1158"/>
      <c r="E672" s="1158"/>
      <c r="F672" s="1159"/>
      <c r="G672" s="1159"/>
      <c r="H672" s="1160"/>
    </row>
    <row r="673" spans="1:8" ht="15.75" x14ac:dyDescent="0.25">
      <c r="A673" s="1158"/>
      <c r="B673" s="1159"/>
      <c r="C673" s="1158"/>
      <c r="D673" s="1158"/>
      <c r="E673" s="1158"/>
      <c r="F673" s="1159"/>
      <c r="G673" s="1159"/>
      <c r="H673" s="1160"/>
    </row>
    <row r="674" spans="1:8" ht="15.75" x14ac:dyDescent="0.25">
      <c r="A674" s="1158"/>
      <c r="B674" s="1159"/>
      <c r="C674" s="1158"/>
      <c r="D674" s="1158"/>
      <c r="E674" s="1158"/>
      <c r="F674" s="1159"/>
      <c r="G674" s="1159"/>
      <c r="H674" s="1160"/>
    </row>
    <row r="675" spans="1:8" ht="15.75" x14ac:dyDescent="0.25">
      <c r="A675" s="1158"/>
      <c r="B675" s="1159"/>
      <c r="C675" s="1158"/>
      <c r="D675" s="1158"/>
      <c r="E675" s="1158"/>
      <c r="F675" s="1159"/>
      <c r="G675" s="1159"/>
      <c r="H675" s="1160"/>
    </row>
    <row r="676" spans="1:8" ht="15.75" x14ac:dyDescent="0.25">
      <c r="A676" s="1158"/>
      <c r="B676" s="1159"/>
      <c r="C676" s="1158"/>
      <c r="D676" s="1158"/>
      <c r="E676" s="1158"/>
      <c r="F676" s="1159"/>
      <c r="G676" s="1159"/>
      <c r="H676" s="1160"/>
    </row>
    <row r="677" spans="1:8" ht="15.75" x14ac:dyDescent="0.25">
      <c r="A677" s="1158"/>
      <c r="B677" s="1159"/>
      <c r="C677" s="1158"/>
      <c r="D677" s="1158"/>
      <c r="E677" s="1158"/>
      <c r="F677" s="1159"/>
      <c r="G677" s="1159"/>
      <c r="H677" s="1160"/>
    </row>
    <row r="678" spans="1:8" ht="15.75" x14ac:dyDescent="0.25">
      <c r="A678" s="1158"/>
      <c r="B678" s="1159"/>
      <c r="C678" s="1158"/>
      <c r="D678" s="1158"/>
      <c r="E678" s="1158"/>
      <c r="F678" s="1159"/>
      <c r="G678" s="1159"/>
      <c r="H678" s="1160"/>
    </row>
    <row r="679" spans="1:8" ht="15.75" x14ac:dyDescent="0.25">
      <c r="A679" s="1158"/>
      <c r="B679" s="1159"/>
      <c r="C679" s="1158"/>
      <c r="D679" s="1158"/>
      <c r="E679" s="1158"/>
      <c r="F679" s="1159"/>
      <c r="G679" s="1159"/>
      <c r="H679" s="1160"/>
    </row>
    <row r="680" spans="1:8" ht="15.75" x14ac:dyDescent="0.25">
      <c r="A680" s="1158"/>
      <c r="B680" s="1159"/>
      <c r="C680" s="1158"/>
      <c r="D680" s="1158"/>
      <c r="E680" s="1158"/>
      <c r="F680" s="1159"/>
      <c r="G680" s="1159"/>
      <c r="H680" s="1160"/>
    </row>
    <row r="681" spans="1:8" ht="15.75" x14ac:dyDescent="0.25">
      <c r="A681" s="1158"/>
      <c r="B681" s="1159"/>
      <c r="C681" s="1158"/>
      <c r="D681" s="1158"/>
      <c r="E681" s="1158"/>
      <c r="F681" s="1159"/>
      <c r="G681" s="1159"/>
      <c r="H681" s="1160"/>
    </row>
    <row r="682" spans="1:8" ht="15.75" x14ac:dyDescent="0.25">
      <c r="A682" s="1158"/>
      <c r="B682" s="1159"/>
      <c r="C682" s="1158"/>
      <c r="D682" s="1158"/>
      <c r="E682" s="1158"/>
      <c r="F682" s="1159"/>
      <c r="G682" s="1159"/>
      <c r="H682" s="1160"/>
    </row>
    <row r="683" spans="1:8" ht="15.75" x14ac:dyDescent="0.25">
      <c r="A683" s="1158"/>
      <c r="B683" s="1159"/>
      <c r="C683" s="1158"/>
      <c r="D683" s="1158"/>
      <c r="E683" s="1158"/>
      <c r="F683" s="1159"/>
      <c r="G683" s="1159"/>
      <c r="H683" s="1160"/>
    </row>
    <row r="684" spans="1:8" ht="15.75" x14ac:dyDescent="0.25">
      <c r="A684" s="1158"/>
      <c r="B684" s="1159"/>
      <c r="C684" s="1158"/>
      <c r="D684" s="1158"/>
      <c r="E684" s="1158"/>
      <c r="F684" s="1159"/>
      <c r="G684" s="1159"/>
      <c r="H684" s="1160"/>
    </row>
    <row r="685" spans="1:8" ht="15.75" x14ac:dyDescent="0.25">
      <c r="A685" s="1158"/>
      <c r="B685" s="1159"/>
      <c r="C685" s="1158"/>
      <c r="D685" s="1158"/>
      <c r="E685" s="1158"/>
      <c r="F685" s="1159"/>
      <c r="G685" s="1159"/>
      <c r="H685" s="1160"/>
    </row>
    <row r="686" spans="1:8" ht="15.75" x14ac:dyDescent="0.25">
      <c r="A686" s="1158"/>
      <c r="B686" s="1159"/>
      <c r="C686" s="1158"/>
      <c r="D686" s="1158"/>
      <c r="E686" s="1158"/>
      <c r="F686" s="1159"/>
      <c r="G686" s="1159"/>
      <c r="H686" s="1160"/>
    </row>
    <row r="687" spans="1:8" ht="15.75" x14ac:dyDescent="0.25">
      <c r="A687" s="1158"/>
      <c r="B687" s="1159"/>
      <c r="C687" s="1158"/>
      <c r="D687" s="1158"/>
      <c r="E687" s="1158"/>
      <c r="F687" s="1159"/>
      <c r="G687" s="1159"/>
      <c r="H687" s="1160"/>
    </row>
    <row r="688" spans="1:8" ht="15.75" x14ac:dyDescent="0.25">
      <c r="A688" s="1158"/>
      <c r="B688" s="1159"/>
      <c r="C688" s="1158"/>
      <c r="D688" s="1158"/>
      <c r="E688" s="1158"/>
      <c r="F688" s="1159"/>
      <c r="G688" s="1159"/>
      <c r="H688" s="1160"/>
    </row>
    <row r="689" spans="1:8" ht="15.75" x14ac:dyDescent="0.25">
      <c r="A689" s="1158"/>
      <c r="B689" s="1159"/>
      <c r="C689" s="1158"/>
      <c r="D689" s="1158"/>
      <c r="E689" s="1158"/>
      <c r="F689" s="1159"/>
      <c r="G689" s="1159"/>
      <c r="H689" s="1160"/>
    </row>
    <row r="690" spans="1:8" ht="15.75" x14ac:dyDescent="0.25">
      <c r="A690" s="1158"/>
      <c r="B690" s="1159"/>
      <c r="C690" s="1158"/>
      <c r="D690" s="1158"/>
      <c r="E690" s="1158"/>
      <c r="F690" s="1159"/>
      <c r="G690" s="1159"/>
      <c r="H690" s="1160"/>
    </row>
    <row r="691" spans="1:8" ht="15.75" x14ac:dyDescent="0.25">
      <c r="A691" s="1158"/>
      <c r="B691" s="1159"/>
      <c r="C691" s="1158"/>
      <c r="D691" s="1158"/>
      <c r="E691" s="1158"/>
      <c r="F691" s="1159"/>
      <c r="G691" s="1159"/>
      <c r="H691" s="1160"/>
    </row>
    <row r="692" spans="1:8" ht="15.75" x14ac:dyDescent="0.25">
      <c r="A692" s="1158"/>
      <c r="B692" s="1159"/>
      <c r="C692" s="1158"/>
      <c r="D692" s="1158"/>
      <c r="E692" s="1158"/>
      <c r="F692" s="1159"/>
      <c r="G692" s="1159"/>
      <c r="H692" s="1160"/>
    </row>
    <row r="693" spans="1:8" ht="15.75" x14ac:dyDescent="0.25">
      <c r="A693" s="1158"/>
      <c r="B693" s="1159"/>
      <c r="C693" s="1158"/>
      <c r="D693" s="1158"/>
      <c r="E693" s="1158"/>
      <c r="F693" s="1159"/>
      <c r="G693" s="1159"/>
      <c r="H693" s="1160"/>
    </row>
    <row r="694" spans="1:8" ht="15.75" x14ac:dyDescent="0.25">
      <c r="A694" s="1158"/>
      <c r="B694" s="1159"/>
      <c r="C694" s="1158"/>
      <c r="D694" s="1158"/>
      <c r="E694" s="1158"/>
      <c r="F694" s="1159"/>
      <c r="G694" s="1159"/>
      <c r="H694" s="1160"/>
    </row>
    <row r="695" spans="1:8" ht="15.75" x14ac:dyDescent="0.25">
      <c r="A695" s="1158"/>
      <c r="B695" s="1159"/>
      <c r="C695" s="1158"/>
      <c r="D695" s="1158"/>
      <c r="E695" s="1158"/>
      <c r="F695" s="1159"/>
      <c r="G695" s="1159"/>
      <c r="H695" s="1160"/>
    </row>
    <row r="696" spans="1:8" ht="15.75" x14ac:dyDescent="0.25">
      <c r="A696" s="1158"/>
      <c r="B696" s="1159"/>
      <c r="C696" s="1158"/>
      <c r="D696" s="1158"/>
      <c r="E696" s="1158"/>
      <c r="F696" s="1159"/>
      <c r="G696" s="1159"/>
      <c r="H696" s="1160"/>
    </row>
    <row r="697" spans="1:8" ht="15.75" x14ac:dyDescent="0.25">
      <c r="A697" s="1158"/>
      <c r="B697" s="1159"/>
      <c r="C697" s="1158"/>
      <c r="D697" s="1158"/>
      <c r="E697" s="1158"/>
      <c r="F697" s="1159"/>
      <c r="G697" s="1159"/>
      <c r="H697" s="1160"/>
    </row>
    <row r="698" spans="1:8" ht="15.75" x14ac:dyDescent="0.25">
      <c r="A698" s="1158"/>
      <c r="B698" s="1159"/>
      <c r="C698" s="1158"/>
      <c r="D698" s="1158"/>
      <c r="E698" s="1158"/>
      <c r="F698" s="1159"/>
      <c r="G698" s="1159"/>
      <c r="H698" s="1160"/>
    </row>
    <row r="699" spans="1:8" ht="15.75" x14ac:dyDescent="0.25">
      <c r="A699" s="1158"/>
      <c r="B699" s="1159"/>
      <c r="C699" s="1158"/>
      <c r="D699" s="1158"/>
      <c r="E699" s="1158"/>
      <c r="F699" s="1159"/>
      <c r="G699" s="1159"/>
      <c r="H699" s="1160"/>
    </row>
    <row r="700" spans="1:8" ht="15.75" x14ac:dyDescent="0.25">
      <c r="A700" s="1158"/>
      <c r="B700" s="1159"/>
      <c r="C700" s="1158"/>
      <c r="D700" s="1158"/>
      <c r="E700" s="1158"/>
      <c r="F700" s="1159"/>
      <c r="G700" s="1159"/>
      <c r="H700" s="1160"/>
    </row>
    <row r="701" spans="1:8" ht="15.75" x14ac:dyDescent="0.25">
      <c r="A701" s="1158"/>
      <c r="B701" s="1159"/>
      <c r="C701" s="1158"/>
      <c r="D701" s="1158"/>
      <c r="E701" s="1158"/>
      <c r="F701" s="1159"/>
      <c r="G701" s="1159"/>
      <c r="H701" s="1160"/>
    </row>
    <row r="702" spans="1:8" ht="15.75" x14ac:dyDescent="0.25">
      <c r="A702" s="1158"/>
      <c r="B702" s="1159"/>
      <c r="C702" s="1158"/>
      <c r="D702" s="1158"/>
      <c r="E702" s="1158"/>
      <c r="F702" s="1159"/>
      <c r="G702" s="1159"/>
      <c r="H702" s="1160"/>
    </row>
    <row r="703" spans="1:8" ht="15.75" x14ac:dyDescent="0.25">
      <c r="A703" s="1158"/>
      <c r="B703" s="1159"/>
      <c r="C703" s="1158"/>
      <c r="D703" s="1158"/>
      <c r="E703" s="1158"/>
      <c r="F703" s="1159"/>
      <c r="G703" s="1159"/>
      <c r="H703" s="1160"/>
    </row>
    <row r="704" spans="1:8" ht="15.75" x14ac:dyDescent="0.25">
      <c r="A704" s="1158"/>
      <c r="B704" s="1159"/>
      <c r="C704" s="1158"/>
      <c r="D704" s="1158"/>
      <c r="E704" s="1158"/>
      <c r="F704" s="1159"/>
      <c r="G704" s="1159"/>
      <c r="H704" s="1160"/>
    </row>
    <row r="705" spans="1:8" ht="15.75" x14ac:dyDescent="0.25">
      <c r="A705" s="1158"/>
      <c r="B705" s="1159"/>
      <c r="C705" s="1158"/>
      <c r="D705" s="1158"/>
      <c r="E705" s="1158"/>
      <c r="F705" s="1159"/>
      <c r="G705" s="1159"/>
      <c r="H705" s="1160"/>
    </row>
    <row r="706" spans="1:8" ht="15.75" x14ac:dyDescent="0.25">
      <c r="A706" s="1158"/>
      <c r="B706" s="1159"/>
      <c r="C706" s="1158"/>
      <c r="D706" s="1158"/>
      <c r="E706" s="1158"/>
      <c r="F706" s="1159"/>
      <c r="G706" s="1159"/>
      <c r="H706" s="1160"/>
    </row>
    <row r="707" spans="1:8" ht="15.75" x14ac:dyDescent="0.25">
      <c r="A707" s="1158"/>
      <c r="B707" s="1159"/>
      <c r="C707" s="1158"/>
      <c r="D707" s="1158"/>
      <c r="E707" s="1158"/>
      <c r="F707" s="1159"/>
      <c r="G707" s="1159"/>
      <c r="H707" s="1160"/>
    </row>
    <row r="708" spans="1:8" ht="15.75" x14ac:dyDescent="0.25">
      <c r="A708" s="1158"/>
      <c r="B708" s="1159"/>
      <c r="C708" s="1158"/>
      <c r="D708" s="1158"/>
      <c r="E708" s="1158"/>
      <c r="F708" s="1159"/>
      <c r="G708" s="1159"/>
      <c r="H708" s="1160"/>
    </row>
    <row r="709" spans="1:8" ht="15.75" x14ac:dyDescent="0.25">
      <c r="A709" s="1158"/>
      <c r="B709" s="1159"/>
      <c r="C709" s="1158"/>
      <c r="D709" s="1158"/>
      <c r="E709" s="1158"/>
      <c r="F709" s="1159"/>
      <c r="G709" s="1159"/>
      <c r="H709" s="1160"/>
    </row>
    <row r="710" spans="1:8" ht="15.75" x14ac:dyDescent="0.25">
      <c r="A710" s="1158"/>
      <c r="B710" s="1159"/>
      <c r="C710" s="1158"/>
      <c r="D710" s="1158"/>
      <c r="E710" s="1158"/>
      <c r="F710" s="1159"/>
      <c r="G710" s="1159"/>
      <c r="H710" s="1160"/>
    </row>
    <row r="711" spans="1:8" ht="15.75" x14ac:dyDescent="0.25">
      <c r="A711" s="1158"/>
      <c r="B711" s="1159"/>
      <c r="C711" s="1158"/>
      <c r="D711" s="1158"/>
      <c r="E711" s="1158"/>
      <c r="F711" s="1159"/>
      <c r="G711" s="1159"/>
      <c r="H711" s="1160"/>
    </row>
    <row r="712" spans="1:8" ht="15.75" x14ac:dyDescent="0.25">
      <c r="A712" s="1158"/>
      <c r="B712" s="1159"/>
      <c r="C712" s="1158"/>
      <c r="D712" s="1158"/>
      <c r="E712" s="1158"/>
      <c r="F712" s="1159"/>
      <c r="G712" s="1159"/>
      <c r="H712" s="1160"/>
    </row>
    <row r="713" spans="1:8" ht="15.75" x14ac:dyDescent="0.25">
      <c r="A713" s="1158"/>
      <c r="B713" s="1159"/>
      <c r="C713" s="1158"/>
      <c r="D713" s="1158"/>
      <c r="E713" s="1158"/>
      <c r="F713" s="1159"/>
      <c r="G713" s="1159"/>
      <c r="H713" s="1160"/>
    </row>
    <row r="714" spans="1:8" ht="15.75" x14ac:dyDescent="0.25">
      <c r="A714" s="1158"/>
      <c r="B714" s="1159"/>
      <c r="C714" s="1158"/>
      <c r="D714" s="1158"/>
      <c r="E714" s="1158"/>
      <c r="F714" s="1159"/>
      <c r="G714" s="1159"/>
      <c r="H714" s="1160"/>
    </row>
    <row r="715" spans="1:8" ht="15.75" x14ac:dyDescent="0.25">
      <c r="A715" s="1158"/>
      <c r="B715" s="1159"/>
      <c r="C715" s="1158"/>
      <c r="D715" s="1158"/>
      <c r="E715" s="1158"/>
      <c r="F715" s="1159"/>
      <c r="G715" s="1159"/>
      <c r="H715" s="1160"/>
    </row>
    <row r="716" spans="1:8" ht="15.75" x14ac:dyDescent="0.25">
      <c r="A716" s="1158"/>
      <c r="B716" s="1159"/>
      <c r="C716" s="1158"/>
      <c r="D716" s="1158"/>
      <c r="E716" s="1158"/>
      <c r="F716" s="1159"/>
      <c r="G716" s="1159"/>
      <c r="H716" s="1160"/>
    </row>
    <row r="717" spans="1:8" ht="15.75" x14ac:dyDescent="0.25">
      <c r="A717" s="1158"/>
      <c r="B717" s="1159"/>
      <c r="C717" s="1158"/>
      <c r="D717" s="1158"/>
      <c r="E717" s="1158"/>
      <c r="F717" s="1159"/>
      <c r="G717" s="1159"/>
      <c r="H717" s="1160"/>
    </row>
    <row r="718" spans="1:8" ht="15.75" x14ac:dyDescent="0.25">
      <c r="A718" s="1158"/>
      <c r="B718" s="1159"/>
      <c r="C718" s="1158"/>
      <c r="D718" s="1158"/>
      <c r="E718" s="1158"/>
      <c r="F718" s="1159"/>
      <c r="G718" s="1159"/>
      <c r="H718" s="1160"/>
    </row>
    <row r="719" spans="1:8" ht="15.75" x14ac:dyDescent="0.25">
      <c r="A719" s="1158"/>
      <c r="B719" s="1159"/>
      <c r="C719" s="1158"/>
      <c r="D719" s="1158"/>
      <c r="E719" s="1158"/>
      <c r="F719" s="1159"/>
      <c r="G719" s="1159"/>
      <c r="H719" s="1160"/>
    </row>
    <row r="720" spans="1:8" ht="15.75" x14ac:dyDescent="0.25">
      <c r="A720" s="1158"/>
      <c r="B720" s="1159"/>
      <c r="C720" s="1158"/>
      <c r="D720" s="1158"/>
      <c r="E720" s="1158"/>
      <c r="F720" s="1159"/>
      <c r="G720" s="1159"/>
      <c r="H720" s="1160"/>
    </row>
    <row r="721" spans="1:8" ht="15.75" x14ac:dyDescent="0.25">
      <c r="A721" s="1158"/>
      <c r="B721" s="1159"/>
      <c r="C721" s="1158"/>
      <c r="D721" s="1158"/>
      <c r="E721" s="1158"/>
      <c r="F721" s="1159"/>
      <c r="G721" s="1159"/>
      <c r="H721" s="1160"/>
    </row>
    <row r="722" spans="1:8" ht="15.75" x14ac:dyDescent="0.25">
      <c r="A722" s="1158"/>
      <c r="B722" s="1159"/>
      <c r="C722" s="1158"/>
      <c r="D722" s="1158"/>
      <c r="E722" s="1158"/>
      <c r="F722" s="1159"/>
      <c r="G722" s="1159"/>
      <c r="H722" s="1160"/>
    </row>
    <row r="723" spans="1:8" ht="15.75" x14ac:dyDescent="0.25">
      <c r="A723" s="1158"/>
      <c r="B723" s="1159"/>
      <c r="C723" s="1158"/>
      <c r="D723" s="1158"/>
      <c r="E723" s="1158"/>
      <c r="F723" s="1159"/>
      <c r="G723" s="1159"/>
      <c r="H723" s="1160"/>
    </row>
    <row r="724" spans="1:8" ht="15.75" x14ac:dyDescent="0.25">
      <c r="A724" s="1158"/>
      <c r="B724" s="1159"/>
      <c r="C724" s="1158"/>
      <c r="D724" s="1158"/>
      <c r="E724" s="1158"/>
      <c r="F724" s="1159"/>
      <c r="G724" s="1159"/>
      <c r="H724" s="1160"/>
    </row>
    <row r="725" spans="1:8" ht="15.75" x14ac:dyDescent="0.25">
      <c r="A725" s="1158"/>
      <c r="B725" s="1159"/>
      <c r="C725" s="1158"/>
      <c r="D725" s="1158"/>
      <c r="E725" s="1158"/>
      <c r="F725" s="1159"/>
      <c r="G725" s="1159"/>
      <c r="H725" s="1160"/>
    </row>
    <row r="726" spans="1:8" ht="15.75" x14ac:dyDescent="0.25">
      <c r="A726" s="1158"/>
      <c r="B726" s="1159"/>
      <c r="C726" s="1158"/>
      <c r="D726" s="1158"/>
      <c r="E726" s="1158"/>
      <c r="F726" s="1159"/>
      <c r="G726" s="1159"/>
      <c r="H726" s="1160"/>
    </row>
    <row r="727" spans="1:8" ht="15.75" x14ac:dyDescent="0.25">
      <c r="A727" s="1158"/>
      <c r="B727" s="1159"/>
      <c r="C727" s="1158"/>
      <c r="D727" s="1158"/>
      <c r="E727" s="1158"/>
      <c r="F727" s="1159"/>
      <c r="G727" s="1159"/>
      <c r="H727" s="1160"/>
    </row>
    <row r="728" spans="1:8" ht="15.75" x14ac:dyDescent="0.25">
      <c r="A728" s="1158"/>
      <c r="B728" s="1159"/>
      <c r="C728" s="1158"/>
      <c r="D728" s="1158"/>
      <c r="E728" s="1158"/>
      <c r="F728" s="1159"/>
      <c r="G728" s="1159"/>
      <c r="H728" s="1160"/>
    </row>
    <row r="729" spans="1:8" ht="15.75" x14ac:dyDescent="0.25">
      <c r="A729" s="1158"/>
      <c r="B729" s="1159"/>
      <c r="C729" s="1158"/>
      <c r="D729" s="1158"/>
      <c r="E729" s="1158"/>
      <c r="F729" s="1159"/>
      <c r="G729" s="1159"/>
      <c r="H729" s="1160"/>
    </row>
    <row r="730" spans="1:8" ht="15.75" x14ac:dyDescent="0.25">
      <c r="A730" s="1158"/>
      <c r="B730" s="1159"/>
      <c r="C730" s="1158"/>
      <c r="D730" s="1158"/>
      <c r="E730" s="1158"/>
      <c r="F730" s="1159"/>
      <c r="G730" s="1159"/>
      <c r="H730" s="1160"/>
    </row>
    <row r="731" spans="1:8" ht="15.75" x14ac:dyDescent="0.25">
      <c r="A731" s="1158"/>
      <c r="B731" s="1159"/>
      <c r="C731" s="1158"/>
      <c r="D731" s="1158"/>
      <c r="E731" s="1158"/>
      <c r="F731" s="1159"/>
      <c r="G731" s="1159"/>
      <c r="H731" s="1160"/>
    </row>
    <row r="732" spans="1:8" ht="15.75" x14ac:dyDescent="0.25">
      <c r="A732" s="1158"/>
      <c r="B732" s="1159"/>
      <c r="C732" s="1158"/>
      <c r="D732" s="1158"/>
      <c r="E732" s="1158"/>
      <c r="F732" s="1159"/>
      <c r="G732" s="1159"/>
      <c r="H732" s="1160"/>
    </row>
    <row r="733" spans="1:8" ht="15.75" x14ac:dyDescent="0.25">
      <c r="A733" s="1158"/>
      <c r="B733" s="1159"/>
      <c r="C733" s="1158"/>
      <c r="D733" s="1158"/>
      <c r="E733" s="1158"/>
      <c r="F733" s="1159"/>
      <c r="G733" s="1159"/>
      <c r="H733" s="1160"/>
    </row>
    <row r="734" spans="1:8" ht="15.75" x14ac:dyDescent="0.25">
      <c r="A734" s="1158"/>
      <c r="B734" s="1159"/>
      <c r="C734" s="1158"/>
      <c r="D734" s="1158"/>
      <c r="E734" s="1158"/>
      <c r="F734" s="1159"/>
      <c r="G734" s="1159"/>
      <c r="H734" s="1160"/>
    </row>
    <row r="735" spans="1:8" ht="15.75" x14ac:dyDescent="0.25">
      <c r="A735" s="1158"/>
      <c r="B735" s="1159"/>
      <c r="C735" s="1158"/>
      <c r="D735" s="1158"/>
      <c r="E735" s="1158"/>
      <c r="F735" s="1159"/>
      <c r="G735" s="1159"/>
      <c r="H735" s="1160"/>
    </row>
    <row r="736" spans="1:8" ht="15.75" x14ac:dyDescent="0.25">
      <c r="A736" s="1158"/>
      <c r="B736" s="1159"/>
      <c r="C736" s="1158"/>
      <c r="D736" s="1158"/>
      <c r="E736" s="1158"/>
      <c r="F736" s="1159"/>
      <c r="G736" s="1159"/>
      <c r="H736" s="1160"/>
    </row>
    <row r="737" spans="1:8" ht="15.75" x14ac:dyDescent="0.25">
      <c r="A737" s="1158"/>
      <c r="B737" s="1159"/>
      <c r="C737" s="1158"/>
      <c r="D737" s="1158"/>
      <c r="E737" s="1158"/>
      <c r="F737" s="1159"/>
      <c r="G737" s="1159"/>
      <c r="H737" s="1160"/>
    </row>
    <row r="738" spans="1:8" ht="15.75" x14ac:dyDescent="0.25">
      <c r="A738" s="1158"/>
      <c r="B738" s="1159"/>
      <c r="C738" s="1158"/>
      <c r="D738" s="1158"/>
      <c r="E738" s="1158"/>
      <c r="F738" s="1159"/>
      <c r="G738" s="1159"/>
      <c r="H738" s="1160"/>
    </row>
    <row r="739" spans="1:8" ht="15.75" x14ac:dyDescent="0.25">
      <c r="A739" s="1158"/>
      <c r="B739" s="1159"/>
      <c r="C739" s="1158"/>
      <c r="D739" s="1158"/>
      <c r="E739" s="1158"/>
      <c r="F739" s="1159"/>
      <c r="G739" s="1159"/>
      <c r="H739" s="1160"/>
    </row>
    <row r="740" spans="1:8" ht="15.75" x14ac:dyDescent="0.25">
      <c r="A740" s="1158"/>
      <c r="B740" s="1159"/>
      <c r="C740" s="1158"/>
      <c r="D740" s="1158"/>
      <c r="E740" s="1158"/>
      <c r="F740" s="1159"/>
      <c r="G740" s="1159"/>
      <c r="H740" s="1160"/>
    </row>
    <row r="741" spans="1:8" ht="15.75" x14ac:dyDescent="0.25">
      <c r="A741" s="1158"/>
      <c r="B741" s="1159"/>
      <c r="C741" s="1158"/>
      <c r="D741" s="1158"/>
      <c r="E741" s="1158"/>
      <c r="F741" s="1159"/>
      <c r="G741" s="1159"/>
      <c r="H741" s="1160"/>
    </row>
    <row r="742" spans="1:8" ht="15.75" x14ac:dyDescent="0.25">
      <c r="A742" s="1158"/>
      <c r="B742" s="1159"/>
      <c r="C742" s="1158"/>
      <c r="D742" s="1158"/>
      <c r="E742" s="1158"/>
      <c r="F742" s="1159"/>
      <c r="G742" s="1159"/>
      <c r="H742" s="1160"/>
    </row>
    <row r="743" spans="1:8" ht="15.75" x14ac:dyDescent="0.25">
      <c r="A743" s="1158"/>
      <c r="B743" s="1159"/>
      <c r="C743" s="1158"/>
      <c r="D743" s="1158"/>
      <c r="E743" s="1158"/>
      <c r="F743" s="1159"/>
      <c r="G743" s="1159"/>
      <c r="H743" s="1160"/>
    </row>
    <row r="744" spans="1:8" ht="15.75" x14ac:dyDescent="0.25">
      <c r="A744" s="1158"/>
      <c r="B744" s="1159"/>
      <c r="C744" s="1158"/>
      <c r="D744" s="1158"/>
      <c r="E744" s="1158"/>
      <c r="F744" s="1159"/>
      <c r="G744" s="1159"/>
      <c r="H744" s="1160"/>
    </row>
    <row r="745" spans="1:8" ht="15.75" x14ac:dyDescent="0.25">
      <c r="A745" s="1158"/>
      <c r="B745" s="1159"/>
      <c r="C745" s="1158"/>
      <c r="D745" s="1158"/>
      <c r="E745" s="1158"/>
      <c r="F745" s="1159"/>
      <c r="G745" s="1159"/>
      <c r="H745" s="1160"/>
    </row>
    <row r="746" spans="1:8" ht="15.75" x14ac:dyDescent="0.25">
      <c r="A746" s="1158"/>
      <c r="B746" s="1159"/>
      <c r="C746" s="1158"/>
      <c r="D746" s="1158"/>
      <c r="E746" s="1158"/>
      <c r="F746" s="1159"/>
      <c r="G746" s="1159"/>
      <c r="H746" s="1160"/>
    </row>
    <row r="747" spans="1:8" ht="15.75" x14ac:dyDescent="0.25">
      <c r="A747" s="1158"/>
      <c r="B747" s="1159"/>
      <c r="C747" s="1158"/>
      <c r="D747" s="1158"/>
      <c r="E747" s="1158"/>
      <c r="F747" s="1159"/>
      <c r="G747" s="1159"/>
      <c r="H747" s="1160"/>
    </row>
    <row r="748" spans="1:8" ht="15.75" x14ac:dyDescent="0.25">
      <c r="A748" s="1158"/>
      <c r="B748" s="1159"/>
      <c r="C748" s="1158"/>
      <c r="D748" s="1158"/>
      <c r="E748" s="1158"/>
      <c r="F748" s="1159"/>
      <c r="G748" s="1159"/>
      <c r="H748" s="1160"/>
    </row>
    <row r="749" spans="1:8" ht="15.75" x14ac:dyDescent="0.25">
      <c r="A749" s="1158"/>
      <c r="B749" s="1159"/>
      <c r="C749" s="1158"/>
      <c r="D749" s="1158"/>
      <c r="E749" s="1158"/>
      <c r="F749" s="1159"/>
      <c r="G749" s="1159"/>
      <c r="H749" s="1160"/>
    </row>
    <row r="750" spans="1:8" ht="15.75" x14ac:dyDescent="0.25">
      <c r="A750" s="1158"/>
      <c r="B750" s="1159"/>
      <c r="C750" s="1158"/>
      <c r="D750" s="1158"/>
      <c r="E750" s="1158"/>
      <c r="F750" s="1159"/>
      <c r="G750" s="1159"/>
      <c r="H750" s="1160"/>
    </row>
    <row r="751" spans="1:8" ht="15.75" x14ac:dyDescent="0.25">
      <c r="A751" s="1158"/>
      <c r="B751" s="1159"/>
      <c r="C751" s="1158"/>
      <c r="D751" s="1158"/>
      <c r="E751" s="1158"/>
      <c r="F751" s="1159"/>
      <c r="G751" s="1159"/>
      <c r="H751" s="1160"/>
    </row>
    <row r="752" spans="1:8" ht="15.75" x14ac:dyDescent="0.25">
      <c r="A752" s="1158"/>
      <c r="B752" s="1159"/>
      <c r="C752" s="1158"/>
      <c r="D752" s="1158"/>
      <c r="E752" s="1158"/>
      <c r="F752" s="1159"/>
      <c r="G752" s="1159"/>
      <c r="H752" s="1160"/>
    </row>
    <row r="753" spans="1:8" ht="15.75" x14ac:dyDescent="0.25">
      <c r="A753" s="1158"/>
      <c r="B753" s="1159"/>
      <c r="C753" s="1158"/>
      <c r="D753" s="1158"/>
      <c r="E753" s="1158"/>
      <c r="F753" s="1159"/>
      <c r="G753" s="1159"/>
      <c r="H753" s="1160"/>
    </row>
    <row r="754" spans="1:8" ht="15.75" x14ac:dyDescent="0.25">
      <c r="A754" s="1158"/>
      <c r="B754" s="1159"/>
      <c r="C754" s="1158"/>
      <c r="D754" s="1158"/>
      <c r="E754" s="1158"/>
      <c r="F754" s="1159"/>
      <c r="G754" s="1159"/>
      <c r="H754" s="1160"/>
    </row>
    <row r="755" spans="1:8" ht="15.75" x14ac:dyDescent="0.25">
      <c r="A755" s="1158"/>
      <c r="B755" s="1159"/>
      <c r="C755" s="1158"/>
      <c r="D755" s="1158"/>
      <c r="E755" s="1158"/>
      <c r="F755" s="1159"/>
      <c r="G755" s="1159"/>
      <c r="H755" s="1160"/>
    </row>
    <row r="756" spans="1:8" ht="15.75" x14ac:dyDescent="0.25">
      <c r="A756" s="1158"/>
      <c r="B756" s="1159"/>
      <c r="C756" s="1158"/>
      <c r="D756" s="1158"/>
      <c r="E756" s="1158"/>
      <c r="F756" s="1159"/>
      <c r="G756" s="1159"/>
      <c r="H756" s="1160"/>
    </row>
    <row r="757" spans="1:8" ht="15.75" x14ac:dyDescent="0.25">
      <c r="A757" s="1158"/>
      <c r="B757" s="1159"/>
      <c r="C757" s="1158"/>
      <c r="D757" s="1158"/>
      <c r="E757" s="1158"/>
      <c r="F757" s="1159"/>
      <c r="G757" s="1159"/>
      <c r="H757" s="1160"/>
    </row>
    <row r="758" spans="1:8" ht="15.75" x14ac:dyDescent="0.25">
      <c r="A758" s="1158"/>
      <c r="B758" s="1159"/>
      <c r="C758" s="1158"/>
      <c r="D758" s="1158"/>
      <c r="E758" s="1158"/>
      <c r="F758" s="1159"/>
      <c r="G758" s="1159"/>
      <c r="H758" s="1160"/>
    </row>
    <row r="759" spans="1:8" ht="15.75" x14ac:dyDescent="0.25">
      <c r="A759" s="1158"/>
      <c r="B759" s="1159"/>
      <c r="C759" s="1158"/>
      <c r="D759" s="1158"/>
      <c r="E759" s="1158"/>
      <c r="F759" s="1159"/>
      <c r="G759" s="1159"/>
      <c r="H759" s="1160"/>
    </row>
    <row r="760" spans="1:8" ht="15.75" x14ac:dyDescent="0.25">
      <c r="A760" s="1158"/>
      <c r="B760" s="1159"/>
      <c r="C760" s="1158"/>
      <c r="D760" s="1158"/>
      <c r="E760" s="1158"/>
      <c r="F760" s="1159"/>
      <c r="G760" s="1159"/>
      <c r="H760" s="1160"/>
    </row>
    <row r="761" spans="1:8" ht="15.75" x14ac:dyDescent="0.25">
      <c r="A761" s="1158"/>
      <c r="B761" s="1159"/>
      <c r="C761" s="1158"/>
      <c r="D761" s="1158"/>
      <c r="E761" s="1158"/>
      <c r="F761" s="1159"/>
      <c r="G761" s="1159"/>
      <c r="H761" s="1160"/>
    </row>
    <row r="762" spans="1:8" ht="15.75" x14ac:dyDescent="0.25">
      <c r="A762" s="1158"/>
      <c r="B762" s="1159"/>
      <c r="C762" s="1158"/>
      <c r="D762" s="1158"/>
      <c r="E762" s="1158"/>
      <c r="F762" s="1159"/>
      <c r="G762" s="1159"/>
      <c r="H762" s="1160"/>
    </row>
    <row r="763" spans="1:8" ht="15.75" x14ac:dyDescent="0.25">
      <c r="A763" s="1158"/>
      <c r="B763" s="1159"/>
      <c r="C763" s="1158"/>
      <c r="D763" s="1158"/>
      <c r="E763" s="1158"/>
      <c r="F763" s="1159"/>
      <c r="G763" s="1159"/>
      <c r="H763" s="1160"/>
    </row>
    <row r="764" spans="1:8" ht="15.75" x14ac:dyDescent="0.25">
      <c r="A764" s="1158"/>
      <c r="B764" s="1159"/>
      <c r="C764" s="1158"/>
      <c r="D764" s="1158"/>
      <c r="E764" s="1158"/>
      <c r="F764" s="1159"/>
      <c r="G764" s="1159"/>
      <c r="H764" s="1160"/>
    </row>
    <row r="765" spans="1:8" ht="15.75" x14ac:dyDescent="0.25">
      <c r="A765" s="1158"/>
      <c r="B765" s="1159"/>
      <c r="C765" s="1158"/>
      <c r="D765" s="1158"/>
      <c r="E765" s="1158"/>
      <c r="F765" s="1159"/>
      <c r="G765" s="1159"/>
      <c r="H765" s="1160"/>
    </row>
    <row r="766" spans="1:8" ht="15.75" x14ac:dyDescent="0.25">
      <c r="A766" s="1158"/>
      <c r="B766" s="1159"/>
      <c r="C766" s="1158"/>
      <c r="D766" s="1158"/>
      <c r="E766" s="1158"/>
      <c r="F766" s="1159"/>
      <c r="G766" s="1159"/>
      <c r="H766" s="1160"/>
    </row>
    <row r="767" spans="1:8" ht="15.75" x14ac:dyDescent="0.25">
      <c r="A767" s="1158"/>
      <c r="B767" s="1159"/>
      <c r="C767" s="1158"/>
      <c r="D767" s="1158"/>
      <c r="E767" s="1158"/>
      <c r="F767" s="1159"/>
      <c r="G767" s="1159"/>
      <c r="H767" s="1160"/>
    </row>
    <row r="768" spans="1:8" ht="15.75" x14ac:dyDescent="0.25">
      <c r="A768" s="1158"/>
      <c r="B768" s="1159"/>
      <c r="C768" s="1158"/>
      <c r="D768" s="1158"/>
      <c r="E768" s="1158"/>
      <c r="F768" s="1159"/>
      <c r="G768" s="1159"/>
      <c r="H768" s="1160"/>
    </row>
    <row r="769" spans="1:8" ht="15.75" x14ac:dyDescent="0.25">
      <c r="A769" s="1158"/>
      <c r="B769" s="1159"/>
      <c r="C769" s="1158"/>
      <c r="D769" s="1158"/>
      <c r="E769" s="1158"/>
      <c r="F769" s="1159"/>
      <c r="G769" s="1159"/>
      <c r="H769" s="1160"/>
    </row>
    <row r="770" spans="1:8" ht="15.75" x14ac:dyDescent="0.25">
      <c r="A770" s="1158"/>
      <c r="B770" s="1159"/>
      <c r="C770" s="1158"/>
      <c r="D770" s="1158"/>
      <c r="E770" s="1158"/>
      <c r="F770" s="1159"/>
      <c r="G770" s="1159"/>
      <c r="H770" s="1160"/>
    </row>
    <row r="771" spans="1:8" ht="15.75" x14ac:dyDescent="0.25">
      <c r="A771" s="1158"/>
      <c r="B771" s="1159"/>
      <c r="C771" s="1158"/>
      <c r="D771" s="1158"/>
      <c r="E771" s="1158"/>
      <c r="F771" s="1159"/>
      <c r="G771" s="1159"/>
      <c r="H771" s="1160"/>
    </row>
    <row r="772" spans="1:8" ht="15.75" x14ac:dyDescent="0.25">
      <c r="A772" s="1158"/>
      <c r="B772" s="1159"/>
      <c r="C772" s="1158"/>
      <c r="D772" s="1158"/>
      <c r="E772" s="1158"/>
      <c r="F772" s="1159"/>
      <c r="G772" s="1159"/>
      <c r="H772" s="1160"/>
    </row>
    <row r="773" spans="1:8" ht="15.75" x14ac:dyDescent="0.25">
      <c r="A773" s="1158"/>
      <c r="B773" s="1159"/>
      <c r="C773" s="1158"/>
      <c r="D773" s="1158"/>
      <c r="E773" s="1158"/>
      <c r="F773" s="1159"/>
      <c r="G773" s="1159"/>
      <c r="H773" s="1160"/>
    </row>
    <row r="774" spans="1:8" ht="15.75" x14ac:dyDescent="0.25">
      <c r="A774" s="1158"/>
      <c r="B774" s="1159"/>
      <c r="C774" s="1158"/>
      <c r="D774" s="1158"/>
      <c r="E774" s="1158"/>
      <c r="F774" s="1159"/>
      <c r="G774" s="1159"/>
      <c r="H774" s="1160"/>
    </row>
    <row r="775" spans="1:8" ht="15.75" x14ac:dyDescent="0.25">
      <c r="A775" s="1158"/>
      <c r="B775" s="1159"/>
      <c r="C775" s="1158"/>
      <c r="D775" s="1158"/>
      <c r="E775" s="1158"/>
      <c r="F775" s="1159"/>
      <c r="G775" s="1159"/>
      <c r="H775" s="1160"/>
    </row>
    <row r="776" spans="1:8" ht="15.75" x14ac:dyDescent="0.25">
      <c r="A776" s="1158"/>
      <c r="B776" s="1159"/>
      <c r="C776" s="1158"/>
      <c r="D776" s="1158"/>
      <c r="E776" s="1158"/>
      <c r="F776" s="1159"/>
      <c r="G776" s="1159"/>
      <c r="H776" s="1160"/>
    </row>
    <row r="777" spans="1:8" ht="15.75" x14ac:dyDescent="0.25">
      <c r="A777" s="1158"/>
      <c r="B777" s="1159"/>
      <c r="C777" s="1158"/>
      <c r="D777" s="1158"/>
      <c r="E777" s="1158"/>
      <c r="F777" s="1159"/>
      <c r="G777" s="1159"/>
      <c r="H777" s="1160"/>
    </row>
    <row r="778" spans="1:8" ht="15.75" x14ac:dyDescent="0.25">
      <c r="A778" s="1158"/>
      <c r="B778" s="1159"/>
      <c r="C778" s="1158"/>
      <c r="D778" s="1158"/>
      <c r="E778" s="1158"/>
      <c r="F778" s="1159"/>
      <c r="G778" s="1159"/>
      <c r="H778" s="1160"/>
    </row>
    <row r="779" spans="1:8" ht="15.75" x14ac:dyDescent="0.25">
      <c r="A779" s="1158"/>
      <c r="B779" s="1159"/>
      <c r="C779" s="1158"/>
      <c r="D779" s="1158"/>
      <c r="E779" s="1158"/>
      <c r="F779" s="1159"/>
      <c r="G779" s="1159"/>
      <c r="H779" s="1160"/>
    </row>
    <row r="780" spans="1:8" ht="15.75" x14ac:dyDescent="0.25">
      <c r="A780" s="1158"/>
      <c r="B780" s="1159"/>
      <c r="C780" s="1158"/>
      <c r="D780" s="1158"/>
      <c r="E780" s="1158"/>
      <c r="F780" s="1159"/>
      <c r="G780" s="1159"/>
      <c r="H780" s="1160"/>
    </row>
    <row r="781" spans="1:8" ht="15.75" x14ac:dyDescent="0.25">
      <c r="A781" s="1158"/>
      <c r="B781" s="1159"/>
      <c r="C781" s="1158"/>
      <c r="D781" s="1158"/>
      <c r="E781" s="1158"/>
      <c r="F781" s="1159"/>
      <c r="G781" s="1159"/>
      <c r="H781" s="1160"/>
    </row>
    <row r="782" spans="1:8" ht="15.75" x14ac:dyDescent="0.25">
      <c r="A782" s="1158"/>
      <c r="B782" s="1159"/>
      <c r="C782" s="1158"/>
      <c r="D782" s="1158"/>
      <c r="E782" s="1158"/>
      <c r="F782" s="1159"/>
      <c r="G782" s="1159"/>
      <c r="H782" s="1160"/>
    </row>
    <row r="783" spans="1:8" ht="15.75" x14ac:dyDescent="0.25">
      <c r="A783" s="1158"/>
      <c r="B783" s="1159"/>
      <c r="C783" s="1158"/>
      <c r="D783" s="1158"/>
      <c r="E783" s="1158"/>
      <c r="F783" s="1159"/>
      <c r="G783" s="1159"/>
      <c r="H783" s="1160"/>
    </row>
    <row r="784" spans="1:8" ht="15.75" x14ac:dyDescent="0.25">
      <c r="A784" s="1158"/>
      <c r="B784" s="1159"/>
      <c r="C784" s="1158"/>
      <c r="D784" s="1158"/>
      <c r="E784" s="1158"/>
      <c r="F784" s="1159"/>
      <c r="G784" s="1159"/>
      <c r="H784" s="1160"/>
    </row>
    <row r="785" spans="1:8" ht="15.75" x14ac:dyDescent="0.25">
      <c r="A785" s="1158"/>
      <c r="B785" s="1159"/>
      <c r="C785" s="1158"/>
      <c r="D785" s="1158"/>
      <c r="E785" s="1158"/>
      <c r="F785" s="1159"/>
      <c r="G785" s="1159"/>
      <c r="H785" s="1160"/>
    </row>
    <row r="786" spans="1:8" ht="15.75" x14ac:dyDescent="0.25">
      <c r="A786" s="1158"/>
      <c r="B786" s="1159"/>
      <c r="C786" s="1158"/>
      <c r="D786" s="1158"/>
      <c r="E786" s="1158"/>
      <c r="F786" s="1159"/>
      <c r="G786" s="1159"/>
      <c r="H786" s="1160"/>
    </row>
    <row r="787" spans="1:8" ht="15.75" x14ac:dyDescent="0.25">
      <c r="A787" s="1158"/>
      <c r="B787" s="1159"/>
      <c r="C787" s="1158"/>
      <c r="D787" s="1158"/>
      <c r="E787" s="1158"/>
      <c r="F787" s="1159"/>
      <c r="G787" s="1159"/>
      <c r="H787" s="1160"/>
    </row>
    <row r="788" spans="1:8" ht="15.75" x14ac:dyDescent="0.25">
      <c r="A788" s="1158"/>
      <c r="B788" s="1159"/>
      <c r="C788" s="1158"/>
      <c r="D788" s="1158"/>
      <c r="E788" s="1158"/>
      <c r="F788" s="1159"/>
      <c r="G788" s="1159"/>
      <c r="H788" s="1160"/>
    </row>
    <row r="789" spans="1:8" ht="15.75" x14ac:dyDescent="0.25">
      <c r="A789" s="1158"/>
      <c r="B789" s="1159"/>
      <c r="C789" s="1158"/>
      <c r="D789" s="1158"/>
      <c r="E789" s="1158"/>
      <c r="F789" s="1159"/>
      <c r="G789" s="1159"/>
      <c r="H789" s="1160"/>
    </row>
    <row r="790" spans="1:8" ht="15.75" x14ac:dyDescent="0.25">
      <c r="A790" s="1158"/>
      <c r="B790" s="1159"/>
      <c r="C790" s="1158"/>
      <c r="D790" s="1158"/>
      <c r="E790" s="1158"/>
      <c r="F790" s="1159"/>
      <c r="G790" s="1159"/>
      <c r="H790" s="1160"/>
    </row>
    <row r="791" spans="1:8" ht="15.75" x14ac:dyDescent="0.25">
      <c r="A791" s="1158"/>
      <c r="B791" s="1159"/>
      <c r="C791" s="1158"/>
      <c r="D791" s="1158"/>
      <c r="E791" s="1158"/>
      <c r="F791" s="1159"/>
      <c r="G791" s="1159"/>
      <c r="H791" s="1160"/>
    </row>
    <row r="792" spans="1:8" ht="15.75" x14ac:dyDescent="0.25">
      <c r="A792" s="1158"/>
      <c r="B792" s="1159"/>
      <c r="C792" s="1158"/>
      <c r="D792" s="1158"/>
      <c r="E792" s="1158"/>
      <c r="F792" s="1159"/>
      <c r="G792" s="1159"/>
      <c r="H792" s="1160"/>
    </row>
    <row r="793" spans="1:8" ht="15.75" x14ac:dyDescent="0.25">
      <c r="A793" s="1158"/>
      <c r="B793" s="1159"/>
      <c r="C793" s="1158"/>
      <c r="D793" s="1158"/>
      <c r="E793" s="1158"/>
      <c r="F793" s="1159"/>
      <c r="G793" s="1159"/>
      <c r="H793" s="1160"/>
    </row>
    <row r="794" spans="1:8" ht="15.75" x14ac:dyDescent="0.25">
      <c r="A794" s="1158"/>
      <c r="B794" s="1159"/>
      <c r="C794" s="1158"/>
      <c r="D794" s="1158"/>
      <c r="E794" s="1158"/>
      <c r="F794" s="1159"/>
      <c r="G794" s="1159"/>
      <c r="H794" s="1160"/>
    </row>
    <row r="795" spans="1:8" ht="15.75" x14ac:dyDescent="0.25">
      <c r="A795" s="1158"/>
      <c r="B795" s="1159"/>
      <c r="C795" s="1158"/>
      <c r="D795" s="1158"/>
      <c r="E795" s="1158"/>
      <c r="F795" s="1159"/>
      <c r="G795" s="1159"/>
      <c r="H795" s="1160"/>
    </row>
    <row r="796" spans="1:8" ht="15.75" x14ac:dyDescent="0.25">
      <c r="A796" s="1158"/>
      <c r="B796" s="1159"/>
      <c r="C796" s="1158"/>
      <c r="D796" s="1158"/>
      <c r="E796" s="1158"/>
      <c r="F796" s="1159"/>
      <c r="G796" s="1159"/>
      <c r="H796" s="1160"/>
    </row>
    <row r="797" spans="1:8" ht="15.75" x14ac:dyDescent="0.25">
      <c r="A797" s="1158"/>
      <c r="B797" s="1159"/>
      <c r="C797" s="1158"/>
      <c r="D797" s="1158"/>
      <c r="E797" s="1158"/>
      <c r="F797" s="1159"/>
      <c r="G797" s="1159"/>
      <c r="H797" s="1160"/>
    </row>
    <row r="798" spans="1:8" ht="15.75" x14ac:dyDescent="0.25">
      <c r="A798" s="1158"/>
      <c r="B798" s="1159"/>
      <c r="C798" s="1158"/>
      <c r="D798" s="1158"/>
      <c r="E798" s="1158"/>
      <c r="F798" s="1159"/>
      <c r="G798" s="1159"/>
      <c r="H798" s="1160"/>
    </row>
    <row r="799" spans="1:8" ht="15.75" x14ac:dyDescent="0.25">
      <c r="A799" s="1158"/>
      <c r="B799" s="1159"/>
      <c r="C799" s="1158"/>
      <c r="D799" s="1158"/>
      <c r="E799" s="1158"/>
      <c r="F799" s="1159"/>
      <c r="G799" s="1159"/>
      <c r="H799" s="1160"/>
    </row>
    <row r="800" spans="1:8" ht="15.75" x14ac:dyDescent="0.25">
      <c r="A800" s="1158"/>
      <c r="B800" s="1159"/>
      <c r="C800" s="1158"/>
      <c r="D800" s="1158"/>
      <c r="E800" s="1158"/>
      <c r="F800" s="1159"/>
      <c r="G800" s="1159"/>
      <c r="H800" s="1160"/>
    </row>
    <row r="801" spans="1:8" ht="15.75" x14ac:dyDescent="0.25">
      <c r="A801" s="1158"/>
      <c r="B801" s="1159"/>
      <c r="C801" s="1158"/>
      <c r="D801" s="1158"/>
      <c r="E801" s="1158"/>
      <c r="F801" s="1159"/>
      <c r="G801" s="1159"/>
      <c r="H801" s="1160"/>
    </row>
    <row r="802" spans="1:8" ht="15.75" x14ac:dyDescent="0.25">
      <c r="A802" s="1158"/>
      <c r="B802" s="1159"/>
      <c r="C802" s="1158"/>
      <c r="D802" s="1158"/>
      <c r="E802" s="1158"/>
      <c r="F802" s="1159"/>
      <c r="G802" s="1159"/>
      <c r="H802" s="1160"/>
    </row>
    <row r="803" spans="1:8" ht="15.75" x14ac:dyDescent="0.25">
      <c r="A803" s="1158"/>
      <c r="B803" s="1159"/>
      <c r="C803" s="1158"/>
      <c r="D803" s="1158"/>
      <c r="E803" s="1158"/>
      <c r="F803" s="1159"/>
      <c r="G803" s="1159"/>
      <c r="H803" s="1160"/>
    </row>
    <row r="804" spans="1:8" ht="15.75" x14ac:dyDescent="0.25">
      <c r="A804" s="1158"/>
      <c r="B804" s="1159"/>
      <c r="C804" s="1158"/>
      <c r="D804" s="1158"/>
      <c r="E804" s="1158"/>
      <c r="F804" s="1159"/>
      <c r="G804" s="1159"/>
      <c r="H804" s="1160"/>
    </row>
    <row r="805" spans="1:8" ht="15.75" x14ac:dyDescent="0.25">
      <c r="A805" s="1158"/>
      <c r="B805" s="1159"/>
      <c r="C805" s="1158"/>
      <c r="D805" s="1158"/>
      <c r="E805" s="1158"/>
      <c r="F805" s="1159"/>
      <c r="G805" s="1159"/>
      <c r="H805" s="1160"/>
    </row>
    <row r="806" spans="1:8" ht="15.75" x14ac:dyDescent="0.25">
      <c r="A806" s="1158"/>
      <c r="B806" s="1159"/>
      <c r="C806" s="1158"/>
      <c r="D806" s="1158"/>
      <c r="E806" s="1158"/>
      <c r="F806" s="1159"/>
      <c r="G806" s="1159"/>
      <c r="H806" s="1160"/>
    </row>
    <row r="807" spans="1:8" ht="15.75" x14ac:dyDescent="0.25">
      <c r="A807" s="1158"/>
      <c r="B807" s="1159"/>
      <c r="C807" s="1158"/>
      <c r="D807" s="1158"/>
      <c r="E807" s="1158"/>
      <c r="F807" s="1159"/>
      <c r="G807" s="1159"/>
      <c r="H807" s="1160"/>
    </row>
    <row r="808" spans="1:8" ht="15.75" x14ac:dyDescent="0.25">
      <c r="A808" s="1158"/>
      <c r="B808" s="1159"/>
      <c r="C808" s="1158"/>
      <c r="D808" s="1158"/>
      <c r="E808" s="1158"/>
      <c r="F808" s="1159"/>
      <c r="G808" s="1159"/>
      <c r="H808" s="1160"/>
    </row>
    <row r="809" spans="1:8" ht="15.75" x14ac:dyDescent="0.25">
      <c r="A809" s="1158"/>
      <c r="B809" s="1159"/>
      <c r="C809" s="1158"/>
      <c r="D809" s="1158"/>
      <c r="E809" s="1158"/>
      <c r="F809" s="1159"/>
      <c r="G809" s="1159"/>
      <c r="H809" s="1160"/>
    </row>
    <row r="810" spans="1:8" ht="15.75" x14ac:dyDescent="0.25">
      <c r="A810" s="1158"/>
      <c r="B810" s="1159"/>
      <c r="C810" s="1158"/>
      <c r="D810" s="1158"/>
      <c r="E810" s="1158"/>
      <c r="F810" s="1159"/>
      <c r="G810" s="1159"/>
      <c r="H810" s="1160"/>
    </row>
    <row r="811" spans="1:8" ht="15.75" x14ac:dyDescent="0.25">
      <c r="A811" s="1158"/>
      <c r="B811" s="1159"/>
      <c r="C811" s="1158"/>
      <c r="D811" s="1158"/>
      <c r="E811" s="1158"/>
      <c r="F811" s="1159"/>
      <c r="G811" s="1159"/>
      <c r="H811" s="1160"/>
    </row>
    <row r="812" spans="1:8" ht="15.75" x14ac:dyDescent="0.25">
      <c r="A812" s="1158"/>
      <c r="B812" s="1159"/>
      <c r="C812" s="1158"/>
      <c r="D812" s="1158"/>
      <c r="E812" s="1158"/>
      <c r="F812" s="1159"/>
      <c r="G812" s="1159"/>
      <c r="H812" s="1160"/>
    </row>
    <row r="813" spans="1:8" ht="15.75" x14ac:dyDescent="0.25">
      <c r="A813" s="1158"/>
      <c r="B813" s="1159"/>
      <c r="C813" s="1158"/>
      <c r="D813" s="1158"/>
      <c r="E813" s="1158"/>
      <c r="F813" s="1159"/>
      <c r="G813" s="1159"/>
      <c r="H813" s="1160"/>
    </row>
    <row r="814" spans="1:8" ht="15.75" x14ac:dyDescent="0.25">
      <c r="A814" s="1158"/>
      <c r="B814" s="1159"/>
      <c r="C814" s="1158"/>
      <c r="D814" s="1158"/>
      <c r="E814" s="1158"/>
      <c r="F814" s="1159"/>
      <c r="G814" s="1159"/>
      <c r="H814" s="1160"/>
    </row>
    <row r="815" spans="1:8" ht="15.75" x14ac:dyDescent="0.25">
      <c r="A815" s="1158"/>
      <c r="B815" s="1159"/>
      <c r="C815" s="1158"/>
      <c r="D815" s="1158"/>
      <c r="E815" s="1158"/>
      <c r="F815" s="1159"/>
      <c r="G815" s="1159"/>
      <c r="H815" s="1160"/>
    </row>
    <row r="816" spans="1:8" ht="15.75" x14ac:dyDescent="0.25">
      <c r="A816" s="1158"/>
      <c r="B816" s="1159"/>
      <c r="C816" s="1158"/>
      <c r="D816" s="1158"/>
      <c r="E816" s="1158"/>
      <c r="F816" s="1159"/>
      <c r="G816" s="1159"/>
      <c r="H816" s="1160"/>
    </row>
    <row r="817" spans="1:8" ht="15.75" x14ac:dyDescent="0.25">
      <c r="A817" s="1158"/>
      <c r="B817" s="1159"/>
      <c r="C817" s="1158"/>
      <c r="D817" s="1158"/>
      <c r="E817" s="1158"/>
      <c r="F817" s="1159"/>
      <c r="G817" s="1159"/>
      <c r="H817" s="1160"/>
    </row>
    <row r="818" spans="1:8" ht="15.75" x14ac:dyDescent="0.25">
      <c r="A818" s="1158"/>
      <c r="B818" s="1159"/>
      <c r="C818" s="1158"/>
      <c r="D818" s="1158"/>
      <c r="E818" s="1158"/>
      <c r="F818" s="1159"/>
      <c r="G818" s="1159"/>
      <c r="H818" s="1160"/>
    </row>
  </sheetData>
  <mergeCells count="5">
    <mergeCell ref="C13:H13"/>
    <mergeCell ref="C14:H14"/>
    <mergeCell ref="C15:H15"/>
    <mergeCell ref="A16:H16"/>
    <mergeCell ref="C27:D27"/>
  </mergeCells>
  <conditionalFormatting sqref="H19:H31">
    <cfRule type="containsText" dxfId="2085" priority="1" operator="containsText" text="média">
      <formula>NOT(ISERROR(SEARCH("média",H19)))</formula>
    </cfRule>
    <cfRule type="containsText" dxfId="2084" priority="2" operator="containsText" text="informado">
      <formula>NOT(ISERROR(SEARCH("informado",H19)))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D712-CA18-470F-BADC-AD6F0F87E32D}">
  <sheetPr codeName="Planilha36">
    <tabColor rgb="FF1851D6"/>
  </sheetPr>
  <dimension ref="A1:G876"/>
  <sheetViews>
    <sheetView topLeftCell="A13" zoomScaleNormal="100" workbookViewId="0">
      <selection activeCell="C13" sqref="A13:F43"/>
    </sheetView>
  </sheetViews>
  <sheetFormatPr defaultRowHeight="15" x14ac:dyDescent="0.25"/>
  <cols>
    <col min="1" max="1" width="54.7109375" style="810" customWidth="1"/>
    <col min="2" max="2" width="11" style="810" customWidth="1"/>
    <col min="3" max="3" width="12.7109375" style="810" bestFit="1" customWidth="1"/>
    <col min="4" max="5" width="15.5703125" style="810" customWidth="1"/>
    <col min="6" max="6" width="20.42578125" style="811" customWidth="1"/>
    <col min="7" max="7" width="10.42578125" style="810" bestFit="1" customWidth="1"/>
    <col min="8" max="8" width="9.42578125" style="810" bestFit="1" customWidth="1"/>
    <col min="9" max="11" width="10.42578125" style="810" bestFit="1" customWidth="1"/>
    <col min="12" max="16384" width="9.140625" style="810"/>
  </cols>
  <sheetData>
    <row r="1" spans="1:6" hidden="1" x14ac:dyDescent="0.25"/>
    <row r="2" spans="1:6" hidden="1" x14ac:dyDescent="0.25"/>
    <row r="3" spans="1:6" hidden="1" x14ac:dyDescent="0.25"/>
    <row r="4" spans="1:6" hidden="1" x14ac:dyDescent="0.25"/>
    <row r="5" spans="1:6" hidden="1" x14ac:dyDescent="0.25"/>
    <row r="6" spans="1:6" hidden="1" x14ac:dyDescent="0.25"/>
    <row r="7" spans="1:6" hidden="1" x14ac:dyDescent="0.25"/>
    <row r="8" spans="1:6" hidden="1" x14ac:dyDescent="0.25"/>
    <row r="9" spans="1:6" hidden="1" x14ac:dyDescent="0.25"/>
    <row r="10" spans="1:6" hidden="1" x14ac:dyDescent="0.25"/>
    <row r="11" spans="1:6" hidden="1" x14ac:dyDescent="0.25"/>
    <row r="12" spans="1:6" hidden="1" x14ac:dyDescent="0.25"/>
    <row r="13" spans="1:6" x14ac:dyDescent="0.25">
      <c r="A13" s="1179"/>
      <c r="B13" s="1008" t="s">
        <v>388</v>
      </c>
      <c r="C13" s="1280" t="str">
        <f>'Obra '!D1</f>
        <v>Mowe</v>
      </c>
      <c r="D13" s="1281"/>
      <c r="E13" s="1281"/>
      <c r="F13" s="1282"/>
    </row>
    <row r="14" spans="1:6" ht="15" customHeight="1" x14ac:dyDescent="0.25">
      <c r="A14" s="1183"/>
      <c r="B14" s="797" t="s">
        <v>358</v>
      </c>
      <c r="C14" s="1280" t="str">
        <f>'Obra '!D2</f>
        <v>MARTINS|FRANCEZ ENGENHARIA</v>
      </c>
      <c r="D14" s="1281"/>
      <c r="E14" s="1281"/>
      <c r="F14" s="1282"/>
    </row>
    <row r="15" spans="1:6" x14ac:dyDescent="0.25">
      <c r="A15" s="1169"/>
      <c r="B15" s="826" t="s">
        <v>359</v>
      </c>
      <c r="C15" s="1289" t="str">
        <f>'Obra '!D3</f>
        <v>R00</v>
      </c>
      <c r="D15" s="1290"/>
      <c r="E15" s="1290"/>
      <c r="F15" s="1291"/>
    </row>
    <row r="16" spans="1:6" ht="18.75" x14ac:dyDescent="0.25">
      <c r="A16" s="1286" t="s">
        <v>440</v>
      </c>
      <c r="B16" s="1287"/>
      <c r="C16" s="1287"/>
      <c r="D16" s="1287"/>
      <c r="E16" s="1287"/>
      <c r="F16" s="1288"/>
    </row>
    <row r="17" spans="1:7" ht="15.75" x14ac:dyDescent="0.25">
      <c r="A17" s="827" t="s">
        <v>0</v>
      </c>
      <c r="B17" s="815" t="s">
        <v>96</v>
      </c>
      <c r="C17" s="815" t="s">
        <v>110</v>
      </c>
      <c r="D17" s="815" t="s">
        <v>441</v>
      </c>
      <c r="E17" s="815" t="s">
        <v>16</v>
      </c>
      <c r="F17" s="1172" t="s">
        <v>744</v>
      </c>
    </row>
    <row r="18" spans="1:7" x14ac:dyDescent="0.25">
      <c r="A18" s="828" t="s">
        <v>442</v>
      </c>
      <c r="B18" s="816"/>
      <c r="C18" s="816"/>
      <c r="D18" s="816"/>
      <c r="E18" s="816">
        <f>SUM(E19:E26)</f>
        <v>48349.003055000001</v>
      </c>
      <c r="F18" s="1174"/>
    </row>
    <row r="19" spans="1:7" x14ac:dyDescent="0.25">
      <c r="A19" s="829" t="s">
        <v>443</v>
      </c>
      <c r="B19" s="817" t="s">
        <v>419</v>
      </c>
      <c r="C19" s="818">
        <v>1</v>
      </c>
      <c r="D19" s="1154">
        <v>3555.31</v>
      </c>
      <c r="E19" s="818">
        <f>D19*C19</f>
        <v>3555.31</v>
      </c>
      <c r="F19" s="1166" t="s">
        <v>388</v>
      </c>
    </row>
    <row r="20" spans="1:7" x14ac:dyDescent="0.25">
      <c r="A20" s="829" t="s">
        <v>444</v>
      </c>
      <c r="B20" s="817" t="s">
        <v>419</v>
      </c>
      <c r="C20" s="818">
        <v>1</v>
      </c>
      <c r="D20" s="1154">
        <v>6185.58</v>
      </c>
      <c r="E20" s="818">
        <f t="shared" ref="E20:E25" si="0">D20*C20</f>
        <v>6185.58</v>
      </c>
      <c r="F20" s="1166" t="s">
        <v>388</v>
      </c>
    </row>
    <row r="21" spans="1:7" x14ac:dyDescent="0.25">
      <c r="A21" s="829" t="s">
        <v>445</v>
      </c>
      <c r="B21" s="817" t="s">
        <v>419</v>
      </c>
      <c r="C21" s="818">
        <v>1</v>
      </c>
      <c r="D21" s="1154">
        <v>2889.6677</v>
      </c>
      <c r="E21" s="818">
        <f t="shared" si="0"/>
        <v>2889.6677</v>
      </c>
      <c r="F21" s="1166" t="s">
        <v>388</v>
      </c>
    </row>
    <row r="22" spans="1:7" x14ac:dyDescent="0.25">
      <c r="A22" s="829" t="s">
        <v>747</v>
      </c>
      <c r="B22" s="817" t="s">
        <v>419</v>
      </c>
      <c r="C22" s="818">
        <v>1</v>
      </c>
      <c r="D22" s="1154">
        <v>5517.767355</v>
      </c>
      <c r="E22" s="818">
        <f t="shared" si="0"/>
        <v>5517.767355</v>
      </c>
      <c r="F22" s="1166" t="s">
        <v>388</v>
      </c>
    </row>
    <row r="23" spans="1:7" x14ac:dyDescent="0.25">
      <c r="A23" s="829" t="s">
        <v>748</v>
      </c>
      <c r="B23" s="817" t="s">
        <v>419</v>
      </c>
      <c r="C23" s="818">
        <v>1</v>
      </c>
      <c r="D23" s="1154">
        <v>891.01000000000022</v>
      </c>
      <c r="E23" s="818">
        <f t="shared" si="0"/>
        <v>891.01000000000022</v>
      </c>
      <c r="F23" s="1166" t="s">
        <v>388</v>
      </c>
    </row>
    <row r="24" spans="1:7" x14ac:dyDescent="0.25">
      <c r="A24" s="829" t="s">
        <v>749</v>
      </c>
      <c r="B24" s="817" t="s">
        <v>419</v>
      </c>
      <c r="C24" s="818">
        <v>1</v>
      </c>
      <c r="D24" s="1154">
        <v>15717.41</v>
      </c>
      <c r="E24" s="818">
        <f t="shared" si="0"/>
        <v>15717.41</v>
      </c>
      <c r="F24" s="1166" t="s">
        <v>388</v>
      </c>
    </row>
    <row r="25" spans="1:7" x14ac:dyDescent="0.25">
      <c r="A25" s="829" t="s">
        <v>750</v>
      </c>
      <c r="B25" s="817" t="s">
        <v>419</v>
      </c>
      <c r="C25" s="818">
        <v>1</v>
      </c>
      <c r="D25" s="1161">
        <v>10955.697999999999</v>
      </c>
      <c r="E25" s="818">
        <f t="shared" si="0"/>
        <v>10955.697999999999</v>
      </c>
      <c r="F25" s="1166" t="s">
        <v>2629</v>
      </c>
    </row>
    <row r="26" spans="1:7" x14ac:dyDescent="0.25">
      <c r="A26" s="829" t="s">
        <v>751</v>
      </c>
      <c r="B26" s="817" t="s">
        <v>419</v>
      </c>
      <c r="C26" s="818">
        <v>1</v>
      </c>
      <c r="D26" s="1161">
        <v>8</v>
      </c>
      <c r="E26" s="818">
        <f>D26*C26*'Obra '!$E$9</f>
        <v>2636.56</v>
      </c>
      <c r="F26" s="1166" t="s">
        <v>746</v>
      </c>
      <c r="G26" s="819"/>
    </row>
    <row r="27" spans="1:7" x14ac:dyDescent="0.25">
      <c r="A27" s="828" t="s">
        <v>752</v>
      </c>
      <c r="B27" s="816"/>
      <c r="C27" s="816"/>
      <c r="D27" s="816"/>
      <c r="E27" s="816">
        <f>SUM(E28:E34)</f>
        <v>81219.861602796998</v>
      </c>
      <c r="F27" s="1174"/>
    </row>
    <row r="28" spans="1:7" x14ac:dyDescent="0.25">
      <c r="A28" s="829" t="s">
        <v>753</v>
      </c>
      <c r="B28" s="817" t="s">
        <v>419</v>
      </c>
      <c r="C28" s="818">
        <v>1</v>
      </c>
      <c r="D28" s="818">
        <v>16525.246800000001</v>
      </c>
      <c r="E28" s="818">
        <f t="shared" ref="E28:E33" si="1">D28*C28</f>
        <v>16525.246800000001</v>
      </c>
      <c r="F28" s="1166" t="s">
        <v>388</v>
      </c>
    </row>
    <row r="29" spans="1:7" x14ac:dyDescent="0.25">
      <c r="A29" s="829" t="s">
        <v>754</v>
      </c>
      <c r="B29" s="817" t="s">
        <v>419</v>
      </c>
      <c r="C29" s="818">
        <v>1</v>
      </c>
      <c r="D29" s="818">
        <v>1998.348</v>
      </c>
      <c r="E29" s="818">
        <f t="shared" si="1"/>
        <v>1998.348</v>
      </c>
      <c r="F29" s="1166" t="s">
        <v>388</v>
      </c>
    </row>
    <row r="30" spans="1:7" x14ac:dyDescent="0.25">
      <c r="A30" s="829" t="s">
        <v>2634</v>
      </c>
      <c r="B30" s="817" t="s">
        <v>419</v>
      </c>
      <c r="C30" s="818">
        <v>1</v>
      </c>
      <c r="D30" s="818">
        <v>13610.296733333334</v>
      </c>
      <c r="E30" s="818">
        <f t="shared" si="1"/>
        <v>13610.296733333334</v>
      </c>
      <c r="F30" s="1166" t="s">
        <v>388</v>
      </c>
    </row>
    <row r="31" spans="1:7" x14ac:dyDescent="0.25">
      <c r="A31" s="829" t="s">
        <v>755</v>
      </c>
      <c r="B31" s="817" t="s">
        <v>419</v>
      </c>
      <c r="C31" s="818">
        <v>1</v>
      </c>
      <c r="D31" s="818">
        <v>154.38</v>
      </c>
      <c r="E31" s="818">
        <f>D31*C31</f>
        <v>154.38</v>
      </c>
      <c r="F31" s="1166" t="s">
        <v>388</v>
      </c>
    </row>
    <row r="32" spans="1:7" x14ac:dyDescent="0.25">
      <c r="A32" s="829" t="s">
        <v>743</v>
      </c>
      <c r="B32" s="817" t="s">
        <v>419</v>
      </c>
      <c r="C32" s="818">
        <v>1</v>
      </c>
      <c r="D32" s="818">
        <v>4733.4779999999992</v>
      </c>
      <c r="E32" s="818">
        <f t="shared" ref="E32" si="2">D32*C32</f>
        <v>4733.4779999999992</v>
      </c>
      <c r="F32" s="1166" t="s">
        <v>388</v>
      </c>
    </row>
    <row r="33" spans="1:6" x14ac:dyDescent="0.25">
      <c r="A33" s="829" t="s">
        <v>756</v>
      </c>
      <c r="B33" s="817" t="s">
        <v>419</v>
      </c>
      <c r="C33" s="818">
        <v>1</v>
      </c>
      <c r="D33" s="818">
        <f>(37000/2651.17)*2978.02</f>
        <v>41561.552069463673</v>
      </c>
      <c r="E33" s="818">
        <f t="shared" si="1"/>
        <v>41561.552069463673</v>
      </c>
      <c r="F33" s="1166" t="s">
        <v>388</v>
      </c>
    </row>
    <row r="34" spans="1:6" x14ac:dyDescent="0.25">
      <c r="A34" s="829" t="s">
        <v>2633</v>
      </c>
      <c r="B34" s="817" t="s">
        <v>419</v>
      </c>
      <c r="C34" s="818">
        <v>1</v>
      </c>
      <c r="D34" s="818">
        <v>8</v>
      </c>
      <c r="E34" s="818">
        <f>D34*C34*'Obra '!$E$9</f>
        <v>2636.56</v>
      </c>
      <c r="F34" s="1165" t="s">
        <v>746</v>
      </c>
    </row>
    <row r="35" spans="1:6" x14ac:dyDescent="0.25">
      <c r="A35" s="828" t="s">
        <v>757</v>
      </c>
      <c r="B35" s="816"/>
      <c r="C35" s="816"/>
      <c r="D35" s="816"/>
      <c r="E35" s="816">
        <f>SUM(E36:E37)</f>
        <v>8588.5941999999995</v>
      </c>
      <c r="F35" s="1174"/>
    </row>
    <row r="36" spans="1:6" x14ac:dyDescent="0.25">
      <c r="A36" s="829" t="s">
        <v>758</v>
      </c>
      <c r="B36" s="817" t="s">
        <v>419</v>
      </c>
      <c r="C36" s="818">
        <v>1</v>
      </c>
      <c r="D36" s="818">
        <v>21.06</v>
      </c>
      <c r="E36" s="818">
        <f>D36*C36*'Obra '!$E$9</f>
        <v>6940.7441999999992</v>
      </c>
      <c r="F36" s="1165" t="s">
        <v>746</v>
      </c>
    </row>
    <row r="37" spans="1:6" x14ac:dyDescent="0.25">
      <c r="A37" s="830" t="s">
        <v>759</v>
      </c>
      <c r="B37" s="817" t="s">
        <v>419</v>
      </c>
      <c r="C37" s="818">
        <v>1</v>
      </c>
      <c r="D37" s="818">
        <v>5</v>
      </c>
      <c r="E37" s="818">
        <f>D37*C37*'Obra '!$E$9</f>
        <v>1647.85</v>
      </c>
      <c r="F37" s="1165" t="s">
        <v>746</v>
      </c>
    </row>
    <row r="38" spans="1:6" x14ac:dyDescent="0.25">
      <c r="A38" s="828" t="s">
        <v>760</v>
      </c>
      <c r="B38" s="816"/>
      <c r="C38" s="816"/>
      <c r="D38" s="816"/>
      <c r="E38" s="816">
        <f>SUM(E39:E40)</f>
        <v>11221.223</v>
      </c>
      <c r="F38" s="1174"/>
    </row>
    <row r="39" spans="1:6" x14ac:dyDescent="0.25">
      <c r="A39" s="1152" t="s">
        <v>761</v>
      </c>
      <c r="B39" s="817" t="s">
        <v>96</v>
      </c>
      <c r="C39" s="1154">
        <v>8</v>
      </c>
      <c r="D39" s="818">
        <v>1200</v>
      </c>
      <c r="E39" s="1067">
        <f>C39*D39</f>
        <v>9600</v>
      </c>
      <c r="F39" s="1165" t="s">
        <v>763</v>
      </c>
    </row>
    <row r="40" spans="1:6" x14ac:dyDescent="0.25">
      <c r="A40" s="1152" t="s">
        <v>762</v>
      </c>
      <c r="B40" s="817" t="s">
        <v>96</v>
      </c>
      <c r="C40" s="1154">
        <v>1</v>
      </c>
      <c r="D40" s="818">
        <f>E41+E42+E43</f>
        <v>1621.223</v>
      </c>
      <c r="E40" s="1067">
        <f>C40*D40</f>
        <v>1621.223</v>
      </c>
      <c r="F40" s="1165" t="s">
        <v>763</v>
      </c>
    </row>
    <row r="41" spans="1:6" x14ac:dyDescent="0.25">
      <c r="A41" s="1168" t="s">
        <v>2626</v>
      </c>
      <c r="B41" s="823" t="s">
        <v>96</v>
      </c>
      <c r="C41" s="1170">
        <v>1</v>
      </c>
      <c r="D41" s="824">
        <v>990</v>
      </c>
      <c r="E41" s="1177">
        <f>D41*C41</f>
        <v>990</v>
      </c>
      <c r="F41" s="1165"/>
    </row>
    <row r="42" spans="1:6" x14ac:dyDescent="0.25">
      <c r="A42" s="1168" t="s">
        <v>2627</v>
      </c>
      <c r="B42" s="823" t="s">
        <v>96</v>
      </c>
      <c r="C42" s="1170">
        <v>2</v>
      </c>
      <c r="D42" s="824">
        <v>250</v>
      </c>
      <c r="E42" s="1177">
        <f t="shared" ref="E42" si="3">D42*C42</f>
        <v>500</v>
      </c>
      <c r="F42" s="1165"/>
    </row>
    <row r="43" spans="1:6" x14ac:dyDescent="0.25">
      <c r="A43" s="1182" t="s">
        <v>2628</v>
      </c>
      <c r="B43" s="1180" t="s">
        <v>3</v>
      </c>
      <c r="C43" s="1171">
        <f>3.1*1.5</f>
        <v>4.6500000000000004</v>
      </c>
      <c r="D43" s="1164">
        <v>28.22</v>
      </c>
      <c r="E43" s="1178">
        <f>D43*C43</f>
        <v>131.22300000000001</v>
      </c>
      <c r="F43" s="1176"/>
    </row>
    <row r="44" spans="1:6" ht="15.75" x14ac:dyDescent="0.25">
      <c r="A44" s="1167"/>
      <c r="B44" s="1173"/>
      <c r="C44" s="1167"/>
      <c r="D44" s="1173"/>
      <c r="E44" s="1173"/>
      <c r="F44" s="820"/>
    </row>
    <row r="45" spans="1:6" ht="15.75" x14ac:dyDescent="0.25">
      <c r="A45" s="812"/>
      <c r="B45" s="813"/>
      <c r="C45" s="812"/>
      <c r="D45" s="813"/>
      <c r="E45" s="813"/>
      <c r="F45" s="820"/>
    </row>
    <row r="46" spans="1:6" ht="15.75" x14ac:dyDescent="0.25">
      <c r="A46" s="812"/>
      <c r="B46" s="813"/>
      <c r="C46" s="812"/>
      <c r="D46" s="813"/>
      <c r="E46" s="813"/>
      <c r="F46" s="820"/>
    </row>
    <row r="47" spans="1:6" ht="15.75" x14ac:dyDescent="0.25">
      <c r="A47" s="812"/>
      <c r="B47" s="813"/>
      <c r="C47" s="812"/>
      <c r="D47" s="813"/>
      <c r="E47" s="813"/>
      <c r="F47" s="820"/>
    </row>
    <row r="48" spans="1:6" ht="15.75" x14ac:dyDescent="0.25">
      <c r="A48" s="812"/>
      <c r="B48" s="813"/>
      <c r="C48" s="812"/>
      <c r="D48" s="813"/>
      <c r="E48" s="813"/>
      <c r="F48" s="820"/>
    </row>
    <row r="49" spans="1:6" ht="15.75" x14ac:dyDescent="0.25">
      <c r="A49" s="812"/>
      <c r="B49" s="813"/>
      <c r="C49" s="812"/>
      <c r="D49" s="813"/>
      <c r="E49" s="813"/>
      <c r="F49" s="820"/>
    </row>
    <row r="50" spans="1:6" ht="15.75" x14ac:dyDescent="0.25">
      <c r="A50" s="812"/>
      <c r="B50" s="813"/>
      <c r="C50" s="812"/>
      <c r="D50" s="813"/>
      <c r="E50" s="813"/>
      <c r="F50" s="820"/>
    </row>
    <row r="51" spans="1:6" ht="15.75" x14ac:dyDescent="0.25">
      <c r="A51" s="812"/>
      <c r="B51" s="813"/>
      <c r="C51" s="812"/>
      <c r="D51" s="813"/>
      <c r="E51" s="813"/>
      <c r="F51" s="820"/>
    </row>
    <row r="52" spans="1:6" ht="15.75" x14ac:dyDescent="0.25">
      <c r="A52" s="812"/>
      <c r="B52" s="813"/>
      <c r="C52" s="812"/>
      <c r="D52" s="813"/>
      <c r="E52" s="813"/>
      <c r="F52" s="820"/>
    </row>
    <row r="53" spans="1:6" ht="15.75" x14ac:dyDescent="0.25">
      <c r="A53" s="812"/>
      <c r="B53" s="813"/>
      <c r="C53" s="812"/>
      <c r="D53" s="813"/>
      <c r="E53" s="813"/>
      <c r="F53" s="820"/>
    </row>
    <row r="54" spans="1:6" ht="15.75" x14ac:dyDescent="0.25">
      <c r="A54" s="812"/>
      <c r="B54" s="813"/>
      <c r="C54" s="812"/>
      <c r="D54" s="813"/>
      <c r="E54" s="813"/>
      <c r="F54" s="820"/>
    </row>
    <row r="55" spans="1:6" ht="15.75" x14ac:dyDescent="0.25">
      <c r="A55" s="812"/>
      <c r="B55" s="813"/>
      <c r="C55" s="812"/>
      <c r="D55" s="813"/>
      <c r="E55" s="813"/>
      <c r="F55" s="814"/>
    </row>
    <row r="56" spans="1:6" ht="15.75" x14ac:dyDescent="0.25">
      <c r="A56" s="812"/>
      <c r="B56" s="813"/>
      <c r="C56" s="812"/>
      <c r="D56" s="813"/>
      <c r="E56" s="813"/>
      <c r="F56" s="814"/>
    </row>
    <row r="57" spans="1:6" ht="15.75" x14ac:dyDescent="0.25">
      <c r="A57" s="812"/>
      <c r="B57" s="813"/>
      <c r="C57" s="812"/>
      <c r="D57" s="813"/>
      <c r="E57" s="813"/>
      <c r="F57" s="814"/>
    </row>
    <row r="58" spans="1:6" ht="15.75" x14ac:dyDescent="0.25">
      <c r="A58" s="812"/>
      <c r="B58" s="813"/>
      <c r="C58" s="812"/>
      <c r="D58" s="813"/>
      <c r="E58" s="813"/>
      <c r="F58" s="814"/>
    </row>
    <row r="59" spans="1:6" ht="15.75" x14ac:dyDescent="0.25">
      <c r="A59" s="812"/>
      <c r="B59" s="813"/>
      <c r="C59" s="812"/>
      <c r="D59" s="813"/>
      <c r="E59" s="813"/>
      <c r="F59" s="814"/>
    </row>
    <row r="60" spans="1:6" ht="15.75" x14ac:dyDescent="0.25">
      <c r="A60" s="812"/>
      <c r="B60" s="813"/>
      <c r="C60" s="812"/>
      <c r="D60" s="813"/>
      <c r="E60" s="813"/>
      <c r="F60" s="814"/>
    </row>
    <row r="61" spans="1:6" ht="15.75" x14ac:dyDescent="0.25">
      <c r="A61" s="812"/>
      <c r="B61" s="813"/>
      <c r="C61" s="812"/>
      <c r="D61" s="813"/>
      <c r="E61" s="813"/>
      <c r="F61" s="814"/>
    </row>
    <row r="62" spans="1:6" ht="15.75" x14ac:dyDescent="0.25">
      <c r="A62" s="812"/>
      <c r="B62" s="813"/>
      <c r="C62" s="812"/>
      <c r="D62" s="813"/>
      <c r="E62" s="813"/>
      <c r="F62" s="814"/>
    </row>
    <row r="63" spans="1:6" ht="15.75" x14ac:dyDescent="0.25">
      <c r="A63" s="812"/>
      <c r="B63" s="813"/>
      <c r="C63" s="812"/>
      <c r="D63" s="813"/>
      <c r="E63" s="813"/>
      <c r="F63" s="814"/>
    </row>
    <row r="64" spans="1:6" ht="15.75" x14ac:dyDescent="0.25">
      <c r="A64" s="812"/>
      <c r="B64" s="813"/>
      <c r="C64" s="812"/>
      <c r="D64" s="813"/>
      <c r="E64" s="813"/>
      <c r="F64" s="814"/>
    </row>
    <row r="65" spans="1:6" ht="15.75" x14ac:dyDescent="0.25">
      <c r="A65" s="812"/>
      <c r="B65" s="813"/>
      <c r="C65" s="812"/>
      <c r="D65" s="813"/>
      <c r="E65" s="813"/>
      <c r="F65" s="814"/>
    </row>
    <row r="66" spans="1:6" ht="15.75" x14ac:dyDescent="0.25">
      <c r="A66" s="812"/>
      <c r="B66" s="813"/>
      <c r="C66" s="812"/>
      <c r="D66" s="813"/>
      <c r="E66" s="813"/>
      <c r="F66" s="814"/>
    </row>
    <row r="67" spans="1:6" ht="15.75" x14ac:dyDescent="0.25">
      <c r="A67" s="812"/>
      <c r="B67" s="813"/>
      <c r="C67" s="812"/>
      <c r="D67" s="813"/>
      <c r="E67" s="813"/>
      <c r="F67" s="814"/>
    </row>
    <row r="68" spans="1:6" ht="15.75" x14ac:dyDescent="0.25">
      <c r="A68" s="812"/>
      <c r="B68" s="813"/>
      <c r="C68" s="812"/>
      <c r="D68" s="813"/>
      <c r="E68" s="813"/>
      <c r="F68" s="814"/>
    </row>
    <row r="69" spans="1:6" ht="15.75" x14ac:dyDescent="0.25">
      <c r="A69" s="812"/>
      <c r="B69" s="813"/>
      <c r="C69" s="812"/>
      <c r="D69" s="813"/>
      <c r="E69" s="813"/>
      <c r="F69" s="814"/>
    </row>
    <row r="70" spans="1:6" ht="15.75" x14ac:dyDescent="0.25">
      <c r="A70" s="812"/>
      <c r="B70" s="813"/>
      <c r="C70" s="812"/>
      <c r="D70" s="813"/>
      <c r="E70" s="813"/>
      <c r="F70" s="814"/>
    </row>
    <row r="71" spans="1:6" ht="15.75" x14ac:dyDescent="0.25">
      <c r="A71" s="812"/>
      <c r="B71" s="813"/>
      <c r="C71" s="812"/>
      <c r="D71" s="813"/>
      <c r="E71" s="813"/>
      <c r="F71" s="814"/>
    </row>
    <row r="72" spans="1:6" ht="15.75" x14ac:dyDescent="0.25">
      <c r="A72" s="812"/>
      <c r="B72" s="813"/>
      <c r="C72" s="812"/>
      <c r="D72" s="813"/>
      <c r="E72" s="813"/>
      <c r="F72" s="814"/>
    </row>
    <row r="73" spans="1:6" ht="15.75" x14ac:dyDescent="0.25">
      <c r="A73" s="812"/>
      <c r="B73" s="813"/>
      <c r="C73" s="812"/>
      <c r="D73" s="813"/>
      <c r="E73" s="813"/>
      <c r="F73" s="814"/>
    </row>
    <row r="74" spans="1:6" ht="15.75" x14ac:dyDescent="0.25">
      <c r="A74" s="812"/>
      <c r="B74" s="813"/>
      <c r="C74" s="812"/>
      <c r="D74" s="813"/>
      <c r="E74" s="813"/>
      <c r="F74" s="814"/>
    </row>
    <row r="75" spans="1:6" ht="15.75" x14ac:dyDescent="0.25">
      <c r="A75" s="812"/>
      <c r="B75" s="813"/>
      <c r="C75" s="812"/>
      <c r="D75" s="813"/>
      <c r="E75" s="813"/>
      <c r="F75" s="814"/>
    </row>
    <row r="76" spans="1:6" ht="15.75" x14ac:dyDescent="0.25">
      <c r="A76" s="812"/>
      <c r="B76" s="813"/>
      <c r="C76" s="812"/>
      <c r="D76" s="813"/>
      <c r="E76" s="813"/>
      <c r="F76" s="814"/>
    </row>
    <row r="77" spans="1:6" ht="15.75" x14ac:dyDescent="0.25">
      <c r="A77" s="812"/>
      <c r="B77" s="813"/>
      <c r="C77" s="812"/>
      <c r="D77" s="813"/>
      <c r="E77" s="813"/>
      <c r="F77" s="814"/>
    </row>
    <row r="78" spans="1:6" ht="15.75" x14ac:dyDescent="0.25">
      <c r="A78" s="812"/>
      <c r="B78" s="813"/>
      <c r="C78" s="812"/>
      <c r="D78" s="813"/>
      <c r="E78" s="813"/>
      <c r="F78" s="814"/>
    </row>
    <row r="79" spans="1:6" ht="15.75" x14ac:dyDescent="0.25">
      <c r="A79" s="812"/>
      <c r="B79" s="813"/>
      <c r="C79" s="812"/>
      <c r="D79" s="813"/>
      <c r="E79" s="813"/>
      <c r="F79" s="814"/>
    </row>
    <row r="80" spans="1:6" ht="15.75" x14ac:dyDescent="0.25">
      <c r="A80" s="812"/>
      <c r="B80" s="813"/>
      <c r="C80" s="812"/>
      <c r="D80" s="813"/>
      <c r="E80" s="813"/>
      <c r="F80" s="814"/>
    </row>
    <row r="81" spans="1:6" ht="15.75" x14ac:dyDescent="0.25">
      <c r="A81" s="812"/>
      <c r="B81" s="813"/>
      <c r="C81" s="812"/>
      <c r="D81" s="813"/>
      <c r="E81" s="813"/>
      <c r="F81" s="814"/>
    </row>
    <row r="82" spans="1:6" ht="15.75" x14ac:dyDescent="0.25">
      <c r="A82" s="812"/>
      <c r="B82" s="813"/>
      <c r="C82" s="812"/>
      <c r="D82" s="813"/>
      <c r="E82" s="813"/>
      <c r="F82" s="814"/>
    </row>
    <row r="83" spans="1:6" ht="15.75" x14ac:dyDescent="0.25">
      <c r="A83" s="812"/>
      <c r="B83" s="813"/>
      <c r="C83" s="812"/>
      <c r="D83" s="813"/>
      <c r="E83" s="813"/>
      <c r="F83" s="814"/>
    </row>
    <row r="84" spans="1:6" ht="15.75" x14ac:dyDescent="0.25">
      <c r="A84" s="812"/>
      <c r="B84" s="813"/>
      <c r="C84" s="812"/>
      <c r="D84" s="813"/>
      <c r="E84" s="813"/>
      <c r="F84" s="814"/>
    </row>
    <row r="85" spans="1:6" ht="15.75" x14ac:dyDescent="0.25">
      <c r="A85" s="812"/>
      <c r="B85" s="813"/>
      <c r="C85" s="812"/>
      <c r="D85" s="813"/>
      <c r="E85" s="813"/>
      <c r="F85" s="814"/>
    </row>
    <row r="86" spans="1:6" ht="15.75" x14ac:dyDescent="0.25">
      <c r="A86" s="812"/>
      <c r="B86" s="813"/>
      <c r="C86" s="812"/>
      <c r="D86" s="813"/>
      <c r="E86" s="813"/>
      <c r="F86" s="814"/>
    </row>
    <row r="87" spans="1:6" ht="15.75" x14ac:dyDescent="0.25">
      <c r="A87" s="812"/>
      <c r="B87" s="813"/>
      <c r="C87" s="812"/>
      <c r="D87" s="813"/>
      <c r="E87" s="813"/>
      <c r="F87" s="814"/>
    </row>
    <row r="88" spans="1:6" ht="15.75" x14ac:dyDescent="0.25">
      <c r="A88" s="812"/>
      <c r="B88" s="813"/>
      <c r="C88" s="812"/>
      <c r="D88" s="813"/>
      <c r="E88" s="813"/>
      <c r="F88" s="814"/>
    </row>
    <row r="89" spans="1:6" ht="15.75" x14ac:dyDescent="0.25">
      <c r="A89" s="812"/>
      <c r="B89" s="813"/>
      <c r="C89" s="812"/>
      <c r="D89" s="813"/>
      <c r="E89" s="813"/>
      <c r="F89" s="814"/>
    </row>
    <row r="90" spans="1:6" ht="15.75" x14ac:dyDescent="0.25">
      <c r="A90" s="812"/>
      <c r="B90" s="813"/>
      <c r="C90" s="812"/>
      <c r="D90" s="813"/>
      <c r="E90" s="813"/>
      <c r="F90" s="814"/>
    </row>
    <row r="91" spans="1:6" ht="15.75" x14ac:dyDescent="0.25">
      <c r="A91" s="812"/>
      <c r="B91" s="813"/>
      <c r="C91" s="812"/>
      <c r="D91" s="813"/>
      <c r="E91" s="813"/>
      <c r="F91" s="814"/>
    </row>
    <row r="92" spans="1:6" ht="15.75" x14ac:dyDescent="0.25">
      <c r="A92" s="812"/>
      <c r="B92" s="813"/>
      <c r="C92" s="812"/>
      <c r="D92" s="813"/>
      <c r="E92" s="813"/>
      <c r="F92" s="814"/>
    </row>
    <row r="93" spans="1:6" ht="15.75" x14ac:dyDescent="0.25">
      <c r="A93" s="812"/>
      <c r="B93" s="813"/>
      <c r="C93" s="812"/>
      <c r="D93" s="813"/>
      <c r="E93" s="813"/>
      <c r="F93" s="814"/>
    </row>
    <row r="94" spans="1:6" ht="15.75" x14ac:dyDescent="0.25">
      <c r="A94" s="812"/>
      <c r="B94" s="813"/>
      <c r="C94" s="812"/>
      <c r="D94" s="813"/>
      <c r="E94" s="813"/>
      <c r="F94" s="814"/>
    </row>
    <row r="95" spans="1:6" ht="15.75" x14ac:dyDescent="0.25">
      <c r="A95" s="812"/>
      <c r="B95" s="813"/>
      <c r="C95" s="812"/>
      <c r="D95" s="813"/>
      <c r="E95" s="813"/>
      <c r="F95" s="814"/>
    </row>
    <row r="96" spans="1:6" ht="15.75" x14ac:dyDescent="0.25">
      <c r="A96" s="812"/>
      <c r="B96" s="813"/>
      <c r="C96" s="812"/>
      <c r="D96" s="813"/>
      <c r="E96" s="813"/>
      <c r="F96" s="814"/>
    </row>
    <row r="97" spans="1:6" ht="15.75" x14ac:dyDescent="0.25">
      <c r="A97" s="812"/>
      <c r="B97" s="813"/>
      <c r="C97" s="812"/>
      <c r="D97" s="813"/>
      <c r="E97" s="813"/>
      <c r="F97" s="814"/>
    </row>
    <row r="98" spans="1:6" ht="15.75" x14ac:dyDescent="0.25">
      <c r="A98" s="812"/>
      <c r="B98" s="813"/>
      <c r="C98" s="812"/>
      <c r="D98" s="813"/>
      <c r="E98" s="813"/>
      <c r="F98" s="814"/>
    </row>
    <row r="99" spans="1:6" ht="15.75" x14ac:dyDescent="0.25">
      <c r="A99" s="812"/>
      <c r="B99" s="813"/>
      <c r="C99" s="812"/>
      <c r="D99" s="813"/>
      <c r="E99" s="813"/>
      <c r="F99" s="814"/>
    </row>
    <row r="100" spans="1:6" ht="15.75" x14ac:dyDescent="0.25">
      <c r="A100" s="812"/>
      <c r="B100" s="813"/>
      <c r="C100" s="812"/>
      <c r="D100" s="813"/>
      <c r="E100" s="813"/>
      <c r="F100" s="814"/>
    </row>
    <row r="101" spans="1:6" ht="15.75" x14ac:dyDescent="0.25">
      <c r="A101" s="812"/>
      <c r="B101" s="813"/>
      <c r="C101" s="812"/>
      <c r="D101" s="813"/>
      <c r="E101" s="813"/>
      <c r="F101" s="814"/>
    </row>
    <row r="102" spans="1:6" ht="15.75" x14ac:dyDescent="0.25">
      <c r="A102" s="812"/>
      <c r="B102" s="813"/>
      <c r="C102" s="812"/>
      <c r="D102" s="813"/>
      <c r="E102" s="813"/>
      <c r="F102" s="814"/>
    </row>
    <row r="103" spans="1:6" ht="15.75" x14ac:dyDescent="0.25">
      <c r="A103" s="812"/>
      <c r="B103" s="813"/>
      <c r="C103" s="812"/>
      <c r="D103" s="813"/>
      <c r="E103" s="813"/>
      <c r="F103" s="814"/>
    </row>
    <row r="104" spans="1:6" ht="15.75" x14ac:dyDescent="0.25">
      <c r="A104" s="812"/>
      <c r="B104" s="813"/>
      <c r="C104" s="812"/>
      <c r="D104" s="813"/>
      <c r="E104" s="813"/>
      <c r="F104" s="814"/>
    </row>
    <row r="105" spans="1:6" ht="15.75" x14ac:dyDescent="0.25">
      <c r="A105" s="812"/>
      <c r="B105" s="813"/>
      <c r="C105" s="812"/>
      <c r="D105" s="813"/>
      <c r="E105" s="813"/>
      <c r="F105" s="814"/>
    </row>
    <row r="106" spans="1:6" ht="15.75" x14ac:dyDescent="0.25">
      <c r="A106" s="812"/>
      <c r="B106" s="813"/>
      <c r="C106" s="812"/>
      <c r="D106" s="813"/>
      <c r="E106" s="813"/>
      <c r="F106" s="814"/>
    </row>
    <row r="107" spans="1:6" ht="15.75" x14ac:dyDescent="0.25">
      <c r="A107" s="812"/>
      <c r="B107" s="813"/>
      <c r="C107" s="812"/>
      <c r="D107" s="813"/>
      <c r="E107" s="813"/>
      <c r="F107" s="814"/>
    </row>
    <row r="108" spans="1:6" ht="15.75" x14ac:dyDescent="0.25">
      <c r="A108" s="812"/>
      <c r="B108" s="813"/>
      <c r="C108" s="812"/>
      <c r="D108" s="813"/>
      <c r="E108" s="813"/>
      <c r="F108" s="814"/>
    </row>
    <row r="109" spans="1:6" ht="15.75" x14ac:dyDescent="0.25">
      <c r="A109" s="812"/>
      <c r="B109" s="813"/>
      <c r="C109" s="812"/>
      <c r="D109" s="813"/>
      <c r="E109" s="813"/>
      <c r="F109" s="814"/>
    </row>
    <row r="110" spans="1:6" ht="15.75" x14ac:dyDescent="0.25">
      <c r="A110" s="812"/>
      <c r="B110" s="813"/>
      <c r="C110" s="812"/>
      <c r="D110" s="813"/>
      <c r="E110" s="813"/>
      <c r="F110" s="814"/>
    </row>
    <row r="111" spans="1:6" ht="15.75" x14ac:dyDescent="0.25">
      <c r="A111" s="812"/>
      <c r="B111" s="813"/>
      <c r="C111" s="812"/>
      <c r="D111" s="813"/>
      <c r="E111" s="813"/>
      <c r="F111" s="814"/>
    </row>
    <row r="112" spans="1:6" ht="15.75" x14ac:dyDescent="0.25">
      <c r="A112" s="812"/>
      <c r="B112" s="813"/>
      <c r="C112" s="812"/>
      <c r="D112" s="813"/>
      <c r="E112" s="813"/>
      <c r="F112" s="814"/>
    </row>
    <row r="113" spans="1:6" ht="15.75" x14ac:dyDescent="0.25">
      <c r="A113" s="812"/>
      <c r="B113" s="813"/>
      <c r="C113" s="812"/>
      <c r="D113" s="813"/>
      <c r="E113" s="813"/>
      <c r="F113" s="814"/>
    </row>
    <row r="114" spans="1:6" ht="15.75" x14ac:dyDescent="0.25">
      <c r="A114" s="812"/>
      <c r="B114" s="813"/>
      <c r="C114" s="812"/>
      <c r="D114" s="813"/>
      <c r="E114" s="813"/>
      <c r="F114" s="814"/>
    </row>
    <row r="115" spans="1:6" ht="15.75" x14ac:dyDescent="0.25">
      <c r="A115" s="812"/>
      <c r="B115" s="813"/>
      <c r="C115" s="812"/>
      <c r="D115" s="813"/>
      <c r="E115" s="813"/>
      <c r="F115" s="814"/>
    </row>
    <row r="116" spans="1:6" ht="15.75" x14ac:dyDescent="0.25">
      <c r="A116" s="812"/>
      <c r="B116" s="813"/>
      <c r="C116" s="812"/>
      <c r="D116" s="813"/>
      <c r="E116" s="813"/>
      <c r="F116" s="814"/>
    </row>
    <row r="117" spans="1:6" ht="15.75" x14ac:dyDescent="0.25">
      <c r="A117" s="812"/>
      <c r="B117" s="813"/>
      <c r="C117" s="812"/>
      <c r="D117" s="813"/>
      <c r="E117" s="813"/>
      <c r="F117" s="814"/>
    </row>
    <row r="118" spans="1:6" ht="15.75" x14ac:dyDescent="0.25">
      <c r="A118" s="812"/>
      <c r="B118" s="813"/>
      <c r="C118" s="812"/>
      <c r="D118" s="813"/>
      <c r="E118" s="813"/>
      <c r="F118" s="814"/>
    </row>
    <row r="119" spans="1:6" ht="15.75" x14ac:dyDescent="0.25">
      <c r="A119" s="812"/>
      <c r="B119" s="813"/>
      <c r="C119" s="812"/>
      <c r="D119" s="813"/>
      <c r="E119" s="813"/>
      <c r="F119" s="814"/>
    </row>
    <row r="120" spans="1:6" ht="15.75" x14ac:dyDescent="0.25">
      <c r="A120" s="812"/>
      <c r="B120" s="813"/>
      <c r="C120" s="812"/>
      <c r="D120" s="813"/>
      <c r="E120" s="813"/>
      <c r="F120" s="814"/>
    </row>
    <row r="121" spans="1:6" ht="15.75" x14ac:dyDescent="0.25">
      <c r="A121" s="812"/>
      <c r="B121" s="813"/>
      <c r="C121" s="812"/>
      <c r="D121" s="813"/>
      <c r="E121" s="813"/>
      <c r="F121" s="814"/>
    </row>
    <row r="122" spans="1:6" ht="15.75" x14ac:dyDescent="0.25">
      <c r="A122" s="812"/>
      <c r="B122" s="813"/>
      <c r="C122" s="812"/>
      <c r="D122" s="813"/>
      <c r="E122" s="813"/>
      <c r="F122" s="814"/>
    </row>
    <row r="123" spans="1:6" ht="15.75" x14ac:dyDescent="0.25">
      <c r="A123" s="812"/>
      <c r="B123" s="813"/>
      <c r="C123" s="812"/>
      <c r="D123" s="813"/>
      <c r="E123" s="813"/>
      <c r="F123" s="814"/>
    </row>
    <row r="124" spans="1:6" ht="15.75" x14ac:dyDescent="0.25">
      <c r="A124" s="812"/>
      <c r="B124" s="813"/>
      <c r="C124" s="812"/>
      <c r="D124" s="813"/>
      <c r="E124" s="813"/>
      <c r="F124" s="814"/>
    </row>
    <row r="125" spans="1:6" ht="15.75" x14ac:dyDescent="0.25">
      <c r="A125" s="812"/>
      <c r="B125" s="813"/>
      <c r="C125" s="812"/>
      <c r="D125" s="813"/>
      <c r="E125" s="813"/>
      <c r="F125" s="814"/>
    </row>
    <row r="126" spans="1:6" ht="15.75" x14ac:dyDescent="0.25">
      <c r="A126" s="812"/>
      <c r="B126" s="813"/>
      <c r="C126" s="812"/>
      <c r="D126" s="813"/>
      <c r="E126" s="813"/>
      <c r="F126" s="814"/>
    </row>
    <row r="127" spans="1:6" ht="15.75" x14ac:dyDescent="0.25">
      <c r="A127" s="812"/>
      <c r="B127" s="813"/>
      <c r="C127" s="812"/>
      <c r="D127" s="813"/>
      <c r="E127" s="813"/>
      <c r="F127" s="814"/>
    </row>
    <row r="128" spans="1:6" ht="15.75" x14ac:dyDescent="0.25">
      <c r="A128" s="812"/>
      <c r="B128" s="813"/>
      <c r="C128" s="812"/>
      <c r="D128" s="813"/>
      <c r="E128" s="813"/>
      <c r="F128" s="814"/>
    </row>
    <row r="129" spans="1:6" ht="15.75" x14ac:dyDescent="0.25">
      <c r="A129" s="812"/>
      <c r="B129" s="813"/>
      <c r="C129" s="812"/>
      <c r="D129" s="813"/>
      <c r="E129" s="813"/>
      <c r="F129" s="814"/>
    </row>
    <row r="130" spans="1:6" ht="15.75" x14ac:dyDescent="0.25">
      <c r="A130" s="812"/>
      <c r="B130" s="813"/>
      <c r="C130" s="812"/>
      <c r="D130" s="813"/>
      <c r="E130" s="813"/>
      <c r="F130" s="814"/>
    </row>
    <row r="131" spans="1:6" ht="15.75" x14ac:dyDescent="0.25">
      <c r="A131" s="812"/>
      <c r="B131" s="813"/>
      <c r="C131" s="812"/>
      <c r="D131" s="813"/>
      <c r="E131" s="813"/>
      <c r="F131" s="814"/>
    </row>
    <row r="132" spans="1:6" ht="15.75" x14ac:dyDescent="0.25">
      <c r="A132" s="812"/>
      <c r="B132" s="813"/>
      <c r="C132" s="812"/>
      <c r="D132" s="813"/>
      <c r="E132" s="813"/>
      <c r="F132" s="814"/>
    </row>
    <row r="133" spans="1:6" ht="15.75" x14ac:dyDescent="0.25">
      <c r="A133" s="812"/>
      <c r="B133" s="813"/>
      <c r="C133" s="812"/>
      <c r="D133" s="813"/>
      <c r="E133" s="813"/>
      <c r="F133" s="814"/>
    </row>
    <row r="134" spans="1:6" ht="15.75" x14ac:dyDescent="0.25">
      <c r="A134" s="812"/>
      <c r="B134" s="813"/>
      <c r="C134" s="812"/>
      <c r="D134" s="813"/>
      <c r="E134" s="813"/>
      <c r="F134" s="814"/>
    </row>
    <row r="135" spans="1:6" ht="15.75" x14ac:dyDescent="0.25">
      <c r="A135" s="812"/>
      <c r="B135" s="813"/>
      <c r="C135" s="812"/>
      <c r="D135" s="813"/>
      <c r="E135" s="813"/>
      <c r="F135" s="814"/>
    </row>
    <row r="136" spans="1:6" ht="15.75" x14ac:dyDescent="0.25">
      <c r="A136" s="812"/>
      <c r="B136" s="813"/>
      <c r="C136" s="812"/>
      <c r="D136" s="813"/>
      <c r="E136" s="813"/>
      <c r="F136" s="814"/>
    </row>
    <row r="137" spans="1:6" ht="15.75" x14ac:dyDescent="0.25">
      <c r="A137" s="812"/>
      <c r="B137" s="813"/>
      <c r="C137" s="812"/>
      <c r="D137" s="813"/>
      <c r="E137" s="813"/>
      <c r="F137" s="814"/>
    </row>
    <row r="138" spans="1:6" ht="15.75" x14ac:dyDescent="0.25">
      <c r="A138" s="812"/>
      <c r="B138" s="813"/>
      <c r="C138" s="812"/>
      <c r="D138" s="813"/>
      <c r="E138" s="813"/>
      <c r="F138" s="814"/>
    </row>
    <row r="139" spans="1:6" ht="15.75" x14ac:dyDescent="0.25">
      <c r="A139" s="812"/>
      <c r="B139" s="813"/>
      <c r="C139" s="812"/>
      <c r="D139" s="813"/>
      <c r="E139" s="813"/>
      <c r="F139" s="814"/>
    </row>
    <row r="140" spans="1:6" ht="15.75" x14ac:dyDescent="0.25">
      <c r="A140" s="812"/>
      <c r="B140" s="813"/>
      <c r="C140" s="812"/>
      <c r="D140" s="813"/>
      <c r="E140" s="813"/>
      <c r="F140" s="814"/>
    </row>
    <row r="141" spans="1:6" ht="15.75" x14ac:dyDescent="0.25">
      <c r="A141" s="812"/>
      <c r="B141" s="813"/>
      <c r="C141" s="812"/>
      <c r="D141" s="813"/>
      <c r="E141" s="813"/>
      <c r="F141" s="814"/>
    </row>
    <row r="142" spans="1:6" ht="15.75" x14ac:dyDescent="0.25">
      <c r="A142" s="812"/>
      <c r="B142" s="813"/>
      <c r="C142" s="812"/>
      <c r="D142" s="813"/>
      <c r="E142" s="813"/>
      <c r="F142" s="814"/>
    </row>
    <row r="143" spans="1:6" ht="15.75" x14ac:dyDescent="0.25">
      <c r="A143" s="812"/>
      <c r="B143" s="813"/>
      <c r="C143" s="812"/>
      <c r="D143" s="813"/>
      <c r="E143" s="813"/>
      <c r="F143" s="814"/>
    </row>
    <row r="144" spans="1:6" ht="15.75" x14ac:dyDescent="0.25">
      <c r="A144" s="812"/>
      <c r="B144" s="813"/>
      <c r="C144" s="812"/>
      <c r="D144" s="813"/>
      <c r="E144" s="813"/>
      <c r="F144" s="814"/>
    </row>
    <row r="145" spans="1:6" ht="15.75" x14ac:dyDescent="0.25">
      <c r="A145" s="812"/>
      <c r="B145" s="813"/>
      <c r="C145" s="812"/>
      <c r="D145" s="813"/>
      <c r="E145" s="813"/>
      <c r="F145" s="814"/>
    </row>
    <row r="146" spans="1:6" ht="15.75" x14ac:dyDescent="0.25">
      <c r="A146" s="812"/>
      <c r="B146" s="813"/>
      <c r="C146" s="812"/>
      <c r="D146" s="813"/>
      <c r="E146" s="813"/>
      <c r="F146" s="814"/>
    </row>
    <row r="147" spans="1:6" ht="15.75" x14ac:dyDescent="0.25">
      <c r="A147" s="812"/>
      <c r="B147" s="813"/>
      <c r="C147" s="812"/>
      <c r="D147" s="813"/>
      <c r="E147" s="813"/>
      <c r="F147" s="814"/>
    </row>
    <row r="148" spans="1:6" ht="15.75" x14ac:dyDescent="0.25">
      <c r="A148" s="812"/>
      <c r="B148" s="813"/>
      <c r="C148" s="812"/>
      <c r="D148" s="813"/>
      <c r="E148" s="813"/>
      <c r="F148" s="814"/>
    </row>
    <row r="149" spans="1:6" ht="15.75" x14ac:dyDescent="0.25">
      <c r="A149" s="812"/>
      <c r="B149" s="813"/>
      <c r="C149" s="812"/>
      <c r="D149" s="813"/>
      <c r="E149" s="813"/>
      <c r="F149" s="814"/>
    </row>
    <row r="150" spans="1:6" ht="15.75" x14ac:dyDescent="0.25">
      <c r="A150" s="812"/>
      <c r="B150" s="813"/>
      <c r="C150" s="812"/>
      <c r="D150" s="813"/>
      <c r="E150" s="813"/>
      <c r="F150" s="814"/>
    </row>
    <row r="151" spans="1:6" ht="15.75" x14ac:dyDescent="0.25">
      <c r="A151" s="812"/>
      <c r="B151" s="813"/>
      <c r="C151" s="812"/>
      <c r="D151" s="813"/>
      <c r="E151" s="813"/>
      <c r="F151" s="814"/>
    </row>
    <row r="152" spans="1:6" ht="15.75" x14ac:dyDescent="0.25">
      <c r="A152" s="812"/>
      <c r="B152" s="813"/>
      <c r="C152" s="812"/>
      <c r="D152" s="813"/>
      <c r="E152" s="813"/>
      <c r="F152" s="814"/>
    </row>
    <row r="153" spans="1:6" ht="15.75" x14ac:dyDescent="0.25">
      <c r="A153" s="812"/>
      <c r="B153" s="813"/>
      <c r="C153" s="812"/>
      <c r="D153" s="813"/>
      <c r="E153" s="813"/>
      <c r="F153" s="814"/>
    </row>
    <row r="154" spans="1:6" ht="15.75" x14ac:dyDescent="0.25">
      <c r="A154" s="812"/>
      <c r="B154" s="813"/>
      <c r="C154" s="812"/>
      <c r="D154" s="813"/>
      <c r="E154" s="813"/>
      <c r="F154" s="814"/>
    </row>
    <row r="155" spans="1:6" ht="15.75" x14ac:dyDescent="0.25">
      <c r="A155" s="812"/>
      <c r="B155" s="813"/>
      <c r="C155" s="812"/>
      <c r="D155" s="813"/>
      <c r="E155" s="813"/>
      <c r="F155" s="814"/>
    </row>
    <row r="156" spans="1:6" ht="15.75" x14ac:dyDescent="0.25">
      <c r="A156" s="812"/>
      <c r="B156" s="813"/>
      <c r="C156" s="812"/>
      <c r="D156" s="813"/>
      <c r="E156" s="813"/>
      <c r="F156" s="814"/>
    </row>
    <row r="157" spans="1:6" ht="15.75" x14ac:dyDescent="0.25">
      <c r="A157" s="812"/>
      <c r="B157" s="813"/>
      <c r="C157" s="812"/>
      <c r="D157" s="813"/>
      <c r="E157" s="813"/>
      <c r="F157" s="814"/>
    </row>
    <row r="158" spans="1:6" ht="15.75" x14ac:dyDescent="0.25">
      <c r="A158" s="812"/>
      <c r="B158" s="813"/>
      <c r="C158" s="812"/>
      <c r="D158" s="813"/>
      <c r="E158" s="813"/>
      <c r="F158" s="814"/>
    </row>
    <row r="159" spans="1:6" ht="15.75" x14ac:dyDescent="0.25">
      <c r="A159" s="812"/>
      <c r="B159" s="813"/>
      <c r="C159" s="812"/>
      <c r="D159" s="813"/>
      <c r="E159" s="813"/>
      <c r="F159" s="814"/>
    </row>
    <row r="160" spans="1:6" ht="15.75" x14ac:dyDescent="0.25">
      <c r="A160" s="812"/>
      <c r="B160" s="813"/>
      <c r="C160" s="812"/>
      <c r="D160" s="813"/>
      <c r="E160" s="813"/>
      <c r="F160" s="814"/>
    </row>
    <row r="161" spans="1:6" ht="15.75" x14ac:dyDescent="0.25">
      <c r="A161" s="812"/>
      <c r="B161" s="813"/>
      <c r="C161" s="812"/>
      <c r="D161" s="813"/>
      <c r="E161" s="813"/>
      <c r="F161" s="814"/>
    </row>
    <row r="162" spans="1:6" ht="15.75" x14ac:dyDescent="0.25">
      <c r="A162" s="812"/>
      <c r="B162" s="813"/>
      <c r="C162" s="812"/>
      <c r="D162" s="813"/>
      <c r="E162" s="813"/>
      <c r="F162" s="814"/>
    </row>
    <row r="163" spans="1:6" ht="15.75" x14ac:dyDescent="0.25">
      <c r="A163" s="812"/>
      <c r="B163" s="813"/>
      <c r="C163" s="812"/>
      <c r="D163" s="813"/>
      <c r="E163" s="813"/>
      <c r="F163" s="814"/>
    </row>
    <row r="164" spans="1:6" ht="15.75" x14ac:dyDescent="0.25">
      <c r="A164" s="812"/>
      <c r="B164" s="813"/>
      <c r="C164" s="812"/>
      <c r="D164" s="813"/>
      <c r="E164" s="813"/>
      <c r="F164" s="814"/>
    </row>
    <row r="165" spans="1:6" ht="15.75" x14ac:dyDescent="0.25">
      <c r="A165" s="812"/>
      <c r="B165" s="813"/>
      <c r="C165" s="812"/>
      <c r="D165" s="813"/>
      <c r="E165" s="813"/>
      <c r="F165" s="814"/>
    </row>
    <row r="166" spans="1:6" ht="15.75" x14ac:dyDescent="0.25">
      <c r="A166" s="812"/>
      <c r="B166" s="813"/>
      <c r="C166" s="812"/>
      <c r="D166" s="813"/>
      <c r="E166" s="813"/>
      <c r="F166" s="814"/>
    </row>
    <row r="167" spans="1:6" ht="15.75" x14ac:dyDescent="0.25">
      <c r="A167" s="812"/>
      <c r="B167" s="813"/>
      <c r="C167" s="812"/>
      <c r="D167" s="813"/>
      <c r="E167" s="813"/>
      <c r="F167" s="814"/>
    </row>
    <row r="168" spans="1:6" ht="15.75" x14ac:dyDescent="0.25">
      <c r="A168" s="812"/>
      <c r="B168" s="813"/>
      <c r="C168" s="812"/>
      <c r="D168" s="813"/>
      <c r="E168" s="813"/>
      <c r="F168" s="814"/>
    </row>
    <row r="169" spans="1:6" ht="15.75" x14ac:dyDescent="0.25">
      <c r="A169" s="812"/>
      <c r="B169" s="813"/>
      <c r="C169" s="812"/>
      <c r="D169" s="813"/>
      <c r="E169" s="813"/>
      <c r="F169" s="814"/>
    </row>
    <row r="170" spans="1:6" ht="15.75" x14ac:dyDescent="0.25">
      <c r="A170" s="812"/>
      <c r="B170" s="813"/>
      <c r="C170" s="812"/>
      <c r="D170" s="813"/>
      <c r="E170" s="813"/>
      <c r="F170" s="814"/>
    </row>
    <row r="171" spans="1:6" ht="15.75" x14ac:dyDescent="0.25">
      <c r="A171" s="812"/>
      <c r="B171" s="813"/>
      <c r="C171" s="812"/>
      <c r="D171" s="813"/>
      <c r="E171" s="813"/>
      <c r="F171" s="814"/>
    </row>
    <row r="172" spans="1:6" ht="15.75" x14ac:dyDescent="0.25">
      <c r="A172" s="812"/>
      <c r="B172" s="813"/>
      <c r="C172" s="812"/>
      <c r="D172" s="813"/>
      <c r="E172" s="813"/>
      <c r="F172" s="814"/>
    </row>
    <row r="173" spans="1:6" ht="15.75" x14ac:dyDescent="0.25">
      <c r="A173" s="812"/>
      <c r="B173" s="813"/>
      <c r="C173" s="812"/>
      <c r="D173" s="813"/>
      <c r="E173" s="813"/>
      <c r="F173" s="814"/>
    </row>
    <row r="174" spans="1:6" ht="15.75" x14ac:dyDescent="0.25">
      <c r="A174" s="812"/>
      <c r="B174" s="813"/>
      <c r="C174" s="812"/>
      <c r="D174" s="813"/>
      <c r="E174" s="813"/>
      <c r="F174" s="814"/>
    </row>
    <row r="175" spans="1:6" ht="15.75" x14ac:dyDescent="0.25">
      <c r="A175" s="812"/>
      <c r="B175" s="813"/>
      <c r="C175" s="812"/>
      <c r="D175" s="813"/>
      <c r="E175" s="813"/>
      <c r="F175" s="814"/>
    </row>
    <row r="176" spans="1:6" ht="15.75" x14ac:dyDescent="0.25">
      <c r="A176" s="812"/>
      <c r="B176" s="813"/>
      <c r="C176" s="812"/>
      <c r="D176" s="813"/>
      <c r="E176" s="813"/>
      <c r="F176" s="814"/>
    </row>
    <row r="177" spans="1:6" ht="15.75" x14ac:dyDescent="0.25">
      <c r="A177" s="812"/>
      <c r="B177" s="813"/>
      <c r="C177" s="812"/>
      <c r="D177" s="813"/>
      <c r="E177" s="813"/>
      <c r="F177" s="814"/>
    </row>
    <row r="178" spans="1:6" ht="15.75" x14ac:dyDescent="0.25">
      <c r="A178" s="812"/>
      <c r="B178" s="813"/>
      <c r="C178" s="812"/>
      <c r="D178" s="813"/>
      <c r="E178" s="813"/>
      <c r="F178" s="814"/>
    </row>
    <row r="179" spans="1:6" ht="15.75" x14ac:dyDescent="0.25">
      <c r="A179" s="812"/>
      <c r="B179" s="813"/>
      <c r="C179" s="812"/>
      <c r="D179" s="813"/>
      <c r="E179" s="813"/>
      <c r="F179" s="814"/>
    </row>
    <row r="180" spans="1:6" ht="15.75" x14ac:dyDescent="0.25">
      <c r="A180" s="812"/>
      <c r="B180" s="813"/>
      <c r="C180" s="812"/>
      <c r="D180" s="813"/>
      <c r="E180" s="813"/>
      <c r="F180" s="814"/>
    </row>
    <row r="181" spans="1:6" ht="15.75" x14ac:dyDescent="0.25">
      <c r="A181" s="812"/>
      <c r="B181" s="813"/>
      <c r="C181" s="812"/>
      <c r="D181" s="813"/>
      <c r="E181" s="813"/>
      <c r="F181" s="814"/>
    </row>
    <row r="182" spans="1:6" ht="15.75" x14ac:dyDescent="0.25">
      <c r="A182" s="812"/>
      <c r="B182" s="813"/>
      <c r="C182" s="812"/>
      <c r="D182" s="813"/>
      <c r="E182" s="813"/>
      <c r="F182" s="814"/>
    </row>
    <row r="183" spans="1:6" ht="15.75" x14ac:dyDescent="0.25">
      <c r="A183" s="812"/>
      <c r="B183" s="813"/>
      <c r="C183" s="812"/>
      <c r="D183" s="813"/>
      <c r="E183" s="813"/>
      <c r="F183" s="814"/>
    </row>
    <row r="184" spans="1:6" ht="15.75" x14ac:dyDescent="0.25">
      <c r="A184" s="812"/>
      <c r="B184" s="813"/>
      <c r="C184" s="812"/>
      <c r="D184" s="813"/>
      <c r="E184" s="813"/>
      <c r="F184" s="814"/>
    </row>
    <row r="185" spans="1:6" ht="15.75" x14ac:dyDescent="0.25">
      <c r="A185" s="812"/>
      <c r="B185" s="813"/>
      <c r="C185" s="812"/>
      <c r="D185" s="813"/>
      <c r="E185" s="813"/>
      <c r="F185" s="814"/>
    </row>
    <row r="186" spans="1:6" ht="15.75" x14ac:dyDescent="0.25">
      <c r="A186" s="812"/>
      <c r="B186" s="813"/>
      <c r="C186" s="812"/>
      <c r="D186" s="813"/>
      <c r="E186" s="813"/>
      <c r="F186" s="814"/>
    </row>
    <row r="187" spans="1:6" ht="15.75" x14ac:dyDescent="0.25">
      <c r="A187" s="812"/>
      <c r="B187" s="813"/>
      <c r="C187" s="812"/>
      <c r="D187" s="813"/>
      <c r="E187" s="813"/>
      <c r="F187" s="814"/>
    </row>
    <row r="188" spans="1:6" ht="15.75" x14ac:dyDescent="0.25">
      <c r="A188" s="812"/>
      <c r="B188" s="813"/>
      <c r="C188" s="812"/>
      <c r="D188" s="813"/>
      <c r="E188" s="813"/>
      <c r="F188" s="814"/>
    </row>
    <row r="189" spans="1:6" ht="15.75" x14ac:dyDescent="0.25">
      <c r="A189" s="812"/>
      <c r="B189" s="813"/>
      <c r="C189" s="812"/>
      <c r="D189" s="813"/>
      <c r="E189" s="813"/>
      <c r="F189" s="814"/>
    </row>
    <row r="190" spans="1:6" ht="15.75" x14ac:dyDescent="0.25">
      <c r="A190" s="812"/>
      <c r="B190" s="813"/>
      <c r="C190" s="812"/>
      <c r="D190" s="813"/>
      <c r="E190" s="813"/>
      <c r="F190" s="814"/>
    </row>
    <row r="191" spans="1:6" ht="15.75" x14ac:dyDescent="0.25">
      <c r="A191" s="812"/>
      <c r="B191" s="813"/>
      <c r="C191" s="812"/>
      <c r="D191" s="813"/>
      <c r="E191" s="813"/>
      <c r="F191" s="814"/>
    </row>
    <row r="192" spans="1:6" ht="15.75" x14ac:dyDescent="0.25">
      <c r="A192" s="812"/>
      <c r="B192" s="813"/>
      <c r="C192" s="812"/>
      <c r="D192" s="813"/>
      <c r="E192" s="813"/>
      <c r="F192" s="814"/>
    </row>
    <row r="193" spans="1:6" ht="15.75" x14ac:dyDescent="0.25">
      <c r="A193" s="812"/>
      <c r="B193" s="813"/>
      <c r="C193" s="812"/>
      <c r="D193" s="813"/>
      <c r="E193" s="813"/>
      <c r="F193" s="814"/>
    </row>
    <row r="194" spans="1:6" ht="15.75" x14ac:dyDescent="0.25">
      <c r="A194" s="812"/>
      <c r="B194" s="813"/>
      <c r="C194" s="812"/>
      <c r="D194" s="813"/>
      <c r="E194" s="813"/>
      <c r="F194" s="814"/>
    </row>
    <row r="195" spans="1:6" ht="15.75" x14ac:dyDescent="0.25">
      <c r="A195" s="812"/>
      <c r="B195" s="813"/>
      <c r="C195" s="812"/>
      <c r="D195" s="813"/>
      <c r="E195" s="813"/>
      <c r="F195" s="814"/>
    </row>
    <row r="196" spans="1:6" ht="15.75" x14ac:dyDescent="0.25">
      <c r="A196" s="812"/>
      <c r="B196" s="813"/>
      <c r="C196" s="812"/>
      <c r="D196" s="813"/>
      <c r="E196" s="813"/>
      <c r="F196" s="814"/>
    </row>
    <row r="197" spans="1:6" ht="15.75" x14ac:dyDescent="0.25">
      <c r="A197" s="812"/>
      <c r="B197" s="813"/>
      <c r="C197" s="812"/>
      <c r="D197" s="813"/>
      <c r="E197" s="813"/>
      <c r="F197" s="814"/>
    </row>
    <row r="198" spans="1:6" ht="15.75" x14ac:dyDescent="0.25">
      <c r="A198" s="812"/>
      <c r="B198" s="813"/>
      <c r="C198" s="812"/>
      <c r="D198" s="813"/>
      <c r="E198" s="813"/>
      <c r="F198" s="814"/>
    </row>
    <row r="199" spans="1:6" ht="15.75" x14ac:dyDescent="0.25">
      <c r="A199" s="812"/>
      <c r="B199" s="813"/>
      <c r="C199" s="812"/>
      <c r="D199" s="813"/>
      <c r="E199" s="813"/>
      <c r="F199" s="814"/>
    </row>
    <row r="200" spans="1:6" ht="15.75" x14ac:dyDescent="0.25">
      <c r="A200" s="812"/>
      <c r="B200" s="813"/>
      <c r="C200" s="812"/>
      <c r="D200" s="813"/>
      <c r="E200" s="813"/>
      <c r="F200" s="814"/>
    </row>
    <row r="201" spans="1:6" ht="15.75" x14ac:dyDescent="0.25">
      <c r="A201" s="812"/>
      <c r="B201" s="813"/>
      <c r="C201" s="812"/>
      <c r="D201" s="813"/>
      <c r="E201" s="813"/>
      <c r="F201" s="814"/>
    </row>
    <row r="202" spans="1:6" ht="15.75" x14ac:dyDescent="0.25">
      <c r="A202" s="812"/>
      <c r="B202" s="813"/>
      <c r="C202" s="812"/>
      <c r="D202" s="813"/>
      <c r="E202" s="813"/>
      <c r="F202" s="814"/>
    </row>
    <row r="203" spans="1:6" ht="15.75" x14ac:dyDescent="0.25">
      <c r="A203" s="812"/>
      <c r="B203" s="813"/>
      <c r="C203" s="812"/>
      <c r="D203" s="813"/>
      <c r="E203" s="813"/>
      <c r="F203" s="814"/>
    </row>
    <row r="204" spans="1:6" ht="15.75" x14ac:dyDescent="0.25">
      <c r="A204" s="812"/>
      <c r="B204" s="813"/>
      <c r="C204" s="812"/>
      <c r="D204" s="813"/>
      <c r="E204" s="813"/>
      <c r="F204" s="814"/>
    </row>
    <row r="205" spans="1:6" ht="15.75" x14ac:dyDescent="0.25">
      <c r="A205" s="812"/>
      <c r="B205" s="813"/>
      <c r="C205" s="812"/>
      <c r="D205" s="813"/>
      <c r="E205" s="813"/>
      <c r="F205" s="814"/>
    </row>
    <row r="206" spans="1:6" ht="15.75" x14ac:dyDescent="0.25">
      <c r="A206" s="812"/>
      <c r="B206" s="813"/>
      <c r="C206" s="812"/>
      <c r="D206" s="813"/>
      <c r="E206" s="813"/>
      <c r="F206" s="814"/>
    </row>
    <row r="207" spans="1:6" ht="15.75" x14ac:dyDescent="0.25">
      <c r="A207" s="812"/>
      <c r="B207" s="813"/>
      <c r="C207" s="812"/>
      <c r="D207" s="813"/>
      <c r="E207" s="813"/>
      <c r="F207" s="814"/>
    </row>
    <row r="208" spans="1:6" ht="15.75" x14ac:dyDescent="0.25">
      <c r="A208" s="812"/>
      <c r="B208" s="813"/>
      <c r="C208" s="812"/>
      <c r="D208" s="813"/>
      <c r="E208" s="813"/>
      <c r="F208" s="814"/>
    </row>
    <row r="209" spans="1:6" ht="15.75" x14ac:dyDescent="0.25">
      <c r="A209" s="812"/>
      <c r="B209" s="813"/>
      <c r="C209" s="812"/>
      <c r="D209" s="813"/>
      <c r="E209" s="813"/>
      <c r="F209" s="814"/>
    </row>
    <row r="210" spans="1:6" ht="15.75" x14ac:dyDescent="0.25">
      <c r="A210" s="812"/>
      <c r="B210" s="813"/>
      <c r="C210" s="812"/>
      <c r="D210" s="813"/>
      <c r="E210" s="813"/>
      <c r="F210" s="814"/>
    </row>
    <row r="211" spans="1:6" ht="15.75" x14ac:dyDescent="0.25">
      <c r="A211" s="812"/>
      <c r="B211" s="813"/>
      <c r="C211" s="812"/>
      <c r="D211" s="813"/>
      <c r="E211" s="813"/>
      <c r="F211" s="814"/>
    </row>
    <row r="212" spans="1:6" ht="15.75" x14ac:dyDescent="0.25">
      <c r="A212" s="812"/>
      <c r="B212" s="813"/>
      <c r="C212" s="812"/>
      <c r="D212" s="813"/>
      <c r="E212" s="813"/>
      <c r="F212" s="814"/>
    </row>
    <row r="213" spans="1:6" ht="15.75" x14ac:dyDescent="0.25">
      <c r="A213" s="812"/>
      <c r="B213" s="813"/>
      <c r="C213" s="812"/>
      <c r="D213" s="813"/>
      <c r="E213" s="813"/>
      <c r="F213" s="814"/>
    </row>
    <row r="214" spans="1:6" ht="15.75" x14ac:dyDescent="0.25">
      <c r="A214" s="812"/>
      <c r="B214" s="813"/>
      <c r="C214" s="812"/>
      <c r="D214" s="813"/>
      <c r="E214" s="813"/>
      <c r="F214" s="814"/>
    </row>
    <row r="215" spans="1:6" ht="15.75" x14ac:dyDescent="0.25">
      <c r="A215" s="812"/>
      <c r="B215" s="813"/>
      <c r="C215" s="812"/>
      <c r="D215" s="813"/>
      <c r="E215" s="813"/>
      <c r="F215" s="814"/>
    </row>
    <row r="216" spans="1:6" ht="15.75" x14ac:dyDescent="0.25">
      <c r="A216" s="812"/>
      <c r="B216" s="813"/>
      <c r="C216" s="812"/>
      <c r="D216" s="813"/>
      <c r="E216" s="813"/>
      <c r="F216" s="814"/>
    </row>
    <row r="217" spans="1:6" ht="15.75" x14ac:dyDescent="0.25">
      <c r="A217" s="812"/>
      <c r="B217" s="813"/>
      <c r="C217" s="812"/>
      <c r="D217" s="813"/>
      <c r="E217" s="813"/>
      <c r="F217" s="814"/>
    </row>
    <row r="218" spans="1:6" ht="15.75" x14ac:dyDescent="0.25">
      <c r="A218" s="812"/>
      <c r="B218" s="813"/>
      <c r="C218" s="812"/>
      <c r="D218" s="813"/>
      <c r="E218" s="813"/>
      <c r="F218" s="814"/>
    </row>
    <row r="219" spans="1:6" ht="15.75" x14ac:dyDescent="0.25">
      <c r="A219" s="812"/>
      <c r="B219" s="813"/>
      <c r="C219" s="812"/>
      <c r="D219" s="813"/>
      <c r="E219" s="813"/>
      <c r="F219" s="814"/>
    </row>
    <row r="220" spans="1:6" ht="15.75" x14ac:dyDescent="0.25">
      <c r="A220" s="812"/>
      <c r="B220" s="813"/>
      <c r="C220" s="812"/>
      <c r="D220" s="813"/>
      <c r="E220" s="813"/>
      <c r="F220" s="814"/>
    </row>
    <row r="221" spans="1:6" ht="15.75" x14ac:dyDescent="0.25">
      <c r="A221" s="812"/>
      <c r="B221" s="813"/>
      <c r="C221" s="812"/>
      <c r="D221" s="813"/>
      <c r="E221" s="813"/>
      <c r="F221" s="814"/>
    </row>
    <row r="222" spans="1:6" ht="15.75" x14ac:dyDescent="0.25">
      <c r="A222" s="812"/>
      <c r="B222" s="813"/>
      <c r="C222" s="812"/>
      <c r="D222" s="813"/>
      <c r="E222" s="813"/>
      <c r="F222" s="814"/>
    </row>
    <row r="223" spans="1:6" ht="15.75" x14ac:dyDescent="0.25">
      <c r="A223" s="812"/>
      <c r="B223" s="813"/>
      <c r="C223" s="812"/>
      <c r="D223" s="813"/>
      <c r="E223" s="813"/>
      <c r="F223" s="814"/>
    </row>
    <row r="224" spans="1:6" ht="15.75" x14ac:dyDescent="0.25">
      <c r="A224" s="812"/>
      <c r="B224" s="813"/>
      <c r="C224" s="812"/>
      <c r="D224" s="813"/>
      <c r="E224" s="813"/>
      <c r="F224" s="814"/>
    </row>
    <row r="225" spans="1:6" ht="15.75" x14ac:dyDescent="0.25">
      <c r="A225" s="812"/>
      <c r="B225" s="813"/>
      <c r="C225" s="812"/>
      <c r="D225" s="813"/>
      <c r="E225" s="813"/>
      <c r="F225" s="814"/>
    </row>
    <row r="226" spans="1:6" ht="15.75" x14ac:dyDescent="0.25">
      <c r="A226" s="812"/>
      <c r="B226" s="813"/>
      <c r="C226" s="812"/>
      <c r="D226" s="813"/>
      <c r="E226" s="813"/>
      <c r="F226" s="814"/>
    </row>
    <row r="227" spans="1:6" ht="15.75" x14ac:dyDescent="0.25">
      <c r="A227" s="812"/>
      <c r="B227" s="813"/>
      <c r="C227" s="812"/>
      <c r="D227" s="813"/>
      <c r="E227" s="813"/>
      <c r="F227" s="814"/>
    </row>
    <row r="228" spans="1:6" ht="15.75" x14ac:dyDescent="0.25">
      <c r="A228" s="812"/>
      <c r="B228" s="813"/>
      <c r="C228" s="812"/>
      <c r="D228" s="813"/>
      <c r="E228" s="813"/>
      <c r="F228" s="814"/>
    </row>
    <row r="229" spans="1:6" ht="15.75" x14ac:dyDescent="0.25">
      <c r="A229" s="812"/>
      <c r="B229" s="813"/>
      <c r="C229" s="812"/>
      <c r="D229" s="813"/>
      <c r="E229" s="813"/>
      <c r="F229" s="814"/>
    </row>
    <row r="230" spans="1:6" ht="15.75" x14ac:dyDescent="0.25">
      <c r="A230" s="812"/>
      <c r="B230" s="813"/>
      <c r="C230" s="812"/>
      <c r="D230" s="813"/>
      <c r="E230" s="813"/>
      <c r="F230" s="814"/>
    </row>
    <row r="231" spans="1:6" ht="15.75" x14ac:dyDescent="0.25">
      <c r="A231" s="812"/>
      <c r="B231" s="813"/>
      <c r="C231" s="812"/>
      <c r="D231" s="813"/>
      <c r="E231" s="813"/>
      <c r="F231" s="814"/>
    </row>
    <row r="232" spans="1:6" ht="15.75" x14ac:dyDescent="0.25">
      <c r="A232" s="812"/>
      <c r="B232" s="813"/>
      <c r="C232" s="812"/>
      <c r="D232" s="813"/>
      <c r="E232" s="813"/>
      <c r="F232" s="814"/>
    </row>
    <row r="233" spans="1:6" ht="15.75" x14ac:dyDescent="0.25">
      <c r="A233" s="812"/>
      <c r="B233" s="813"/>
      <c r="C233" s="812"/>
      <c r="D233" s="813"/>
      <c r="E233" s="813"/>
      <c r="F233" s="814"/>
    </row>
    <row r="234" spans="1:6" ht="15.75" x14ac:dyDescent="0.25">
      <c r="A234" s="812"/>
      <c r="B234" s="813"/>
      <c r="C234" s="812"/>
      <c r="D234" s="813"/>
      <c r="E234" s="813"/>
      <c r="F234" s="814"/>
    </row>
    <row r="235" spans="1:6" ht="15.75" x14ac:dyDescent="0.25">
      <c r="A235" s="812"/>
      <c r="B235" s="813"/>
      <c r="C235" s="812"/>
      <c r="D235" s="813"/>
      <c r="E235" s="813"/>
      <c r="F235" s="814"/>
    </row>
    <row r="236" spans="1:6" ht="15.75" x14ac:dyDescent="0.25">
      <c r="A236" s="812"/>
      <c r="B236" s="813"/>
      <c r="C236" s="812"/>
      <c r="D236" s="813"/>
      <c r="E236" s="813"/>
      <c r="F236" s="814"/>
    </row>
    <row r="237" spans="1:6" ht="15.75" x14ac:dyDescent="0.25">
      <c r="A237" s="812"/>
      <c r="B237" s="813"/>
      <c r="C237" s="812"/>
      <c r="D237" s="813"/>
      <c r="E237" s="813"/>
      <c r="F237" s="814"/>
    </row>
    <row r="238" spans="1:6" ht="15.75" x14ac:dyDescent="0.25">
      <c r="A238" s="812"/>
      <c r="B238" s="813"/>
      <c r="C238" s="812"/>
      <c r="D238" s="813"/>
      <c r="E238" s="813"/>
      <c r="F238" s="814"/>
    </row>
    <row r="239" spans="1:6" ht="15.75" x14ac:dyDescent="0.25">
      <c r="A239" s="812"/>
      <c r="B239" s="813"/>
      <c r="C239" s="812"/>
      <c r="D239" s="813"/>
      <c r="E239" s="813"/>
      <c r="F239" s="814"/>
    </row>
    <row r="240" spans="1:6" ht="15.75" x14ac:dyDescent="0.25">
      <c r="A240" s="812"/>
      <c r="B240" s="813"/>
      <c r="C240" s="812"/>
      <c r="D240" s="813"/>
      <c r="E240" s="813"/>
      <c r="F240" s="814"/>
    </row>
    <row r="241" spans="1:6" ht="15.75" x14ac:dyDescent="0.25">
      <c r="A241" s="812"/>
      <c r="B241" s="813"/>
      <c r="C241" s="812"/>
      <c r="D241" s="813"/>
      <c r="E241" s="813"/>
      <c r="F241" s="814"/>
    </row>
    <row r="242" spans="1:6" ht="15.75" x14ac:dyDescent="0.25">
      <c r="A242" s="812"/>
      <c r="B242" s="813"/>
      <c r="C242" s="812"/>
      <c r="D242" s="813"/>
      <c r="E242" s="813"/>
      <c r="F242" s="814"/>
    </row>
    <row r="243" spans="1:6" ht="15.75" x14ac:dyDescent="0.25">
      <c r="A243" s="812"/>
      <c r="B243" s="813"/>
      <c r="C243" s="812"/>
      <c r="D243" s="813"/>
      <c r="E243" s="813"/>
      <c r="F243" s="814"/>
    </row>
    <row r="244" spans="1:6" ht="15.75" x14ac:dyDescent="0.25">
      <c r="A244" s="812"/>
      <c r="B244" s="813"/>
      <c r="C244" s="812"/>
      <c r="D244" s="813"/>
      <c r="E244" s="813"/>
      <c r="F244" s="814"/>
    </row>
    <row r="245" spans="1:6" ht="15.75" x14ac:dyDescent="0.25">
      <c r="A245" s="812"/>
      <c r="B245" s="813"/>
      <c r="C245" s="812"/>
      <c r="D245" s="813"/>
      <c r="E245" s="813"/>
      <c r="F245" s="814"/>
    </row>
    <row r="246" spans="1:6" ht="15.75" x14ac:dyDescent="0.25">
      <c r="A246" s="812"/>
      <c r="B246" s="813"/>
      <c r="C246" s="812"/>
      <c r="D246" s="813"/>
      <c r="E246" s="813"/>
      <c r="F246" s="814"/>
    </row>
    <row r="247" spans="1:6" ht="15.75" x14ac:dyDescent="0.25">
      <c r="A247" s="812"/>
      <c r="B247" s="813"/>
      <c r="C247" s="812"/>
      <c r="D247" s="813"/>
      <c r="E247" s="813"/>
      <c r="F247" s="814"/>
    </row>
    <row r="248" spans="1:6" ht="15.75" x14ac:dyDescent="0.25">
      <c r="A248" s="812"/>
      <c r="B248" s="813"/>
      <c r="C248" s="812"/>
      <c r="D248" s="813"/>
      <c r="E248" s="813"/>
      <c r="F248" s="814"/>
    </row>
    <row r="249" spans="1:6" ht="15.75" x14ac:dyDescent="0.25">
      <c r="A249" s="812"/>
      <c r="B249" s="813"/>
      <c r="C249" s="812"/>
      <c r="D249" s="813"/>
      <c r="E249" s="813"/>
      <c r="F249" s="814"/>
    </row>
    <row r="250" spans="1:6" ht="15.75" x14ac:dyDescent="0.25">
      <c r="A250" s="812"/>
      <c r="B250" s="813"/>
      <c r="C250" s="812"/>
      <c r="D250" s="813"/>
      <c r="E250" s="813"/>
      <c r="F250" s="814"/>
    </row>
    <row r="251" spans="1:6" ht="15.75" x14ac:dyDescent="0.25">
      <c r="A251" s="812"/>
      <c r="B251" s="813"/>
      <c r="C251" s="812"/>
      <c r="D251" s="813"/>
      <c r="E251" s="813"/>
      <c r="F251" s="814"/>
    </row>
    <row r="252" spans="1:6" ht="15.75" x14ac:dyDescent="0.25">
      <c r="A252" s="812"/>
      <c r="B252" s="813"/>
      <c r="C252" s="812"/>
      <c r="D252" s="813"/>
      <c r="E252" s="813"/>
      <c r="F252" s="814"/>
    </row>
    <row r="253" spans="1:6" ht="15.75" x14ac:dyDescent="0.25">
      <c r="A253" s="812"/>
      <c r="B253" s="813"/>
      <c r="C253" s="812"/>
      <c r="D253" s="813"/>
      <c r="E253" s="813"/>
      <c r="F253" s="814"/>
    </row>
    <row r="254" spans="1:6" ht="15.75" x14ac:dyDescent="0.25">
      <c r="A254" s="812"/>
      <c r="B254" s="813"/>
      <c r="C254" s="812"/>
      <c r="D254" s="813"/>
      <c r="E254" s="813"/>
      <c r="F254" s="814"/>
    </row>
    <row r="255" spans="1:6" ht="15.75" x14ac:dyDescent="0.25">
      <c r="A255" s="812"/>
      <c r="B255" s="813"/>
      <c r="C255" s="812"/>
      <c r="D255" s="813"/>
      <c r="E255" s="813"/>
      <c r="F255" s="814"/>
    </row>
    <row r="256" spans="1:6" ht="15.75" x14ac:dyDescent="0.25">
      <c r="A256" s="812"/>
      <c r="B256" s="813"/>
      <c r="C256" s="812"/>
      <c r="D256" s="813"/>
      <c r="E256" s="813"/>
      <c r="F256" s="814"/>
    </row>
    <row r="257" spans="1:6" ht="15.75" x14ac:dyDescent="0.25">
      <c r="A257" s="812"/>
      <c r="B257" s="813"/>
      <c r="C257" s="812"/>
      <c r="D257" s="813"/>
      <c r="E257" s="813"/>
      <c r="F257" s="814"/>
    </row>
    <row r="258" spans="1:6" ht="15.75" x14ac:dyDescent="0.25">
      <c r="A258" s="812"/>
      <c r="B258" s="813"/>
      <c r="C258" s="812"/>
      <c r="D258" s="813"/>
      <c r="E258" s="813"/>
      <c r="F258" s="814"/>
    </row>
    <row r="259" spans="1:6" ht="15.75" x14ac:dyDescent="0.25">
      <c r="A259" s="812"/>
      <c r="B259" s="813"/>
      <c r="C259" s="812"/>
      <c r="D259" s="813"/>
      <c r="E259" s="813"/>
      <c r="F259" s="814"/>
    </row>
    <row r="260" spans="1:6" ht="15.75" x14ac:dyDescent="0.25">
      <c r="A260" s="812"/>
      <c r="B260" s="813"/>
      <c r="C260" s="812"/>
      <c r="D260" s="813"/>
      <c r="E260" s="813"/>
      <c r="F260" s="814"/>
    </row>
    <row r="261" spans="1:6" ht="15.75" x14ac:dyDescent="0.25">
      <c r="A261" s="812"/>
      <c r="B261" s="813"/>
      <c r="C261" s="812"/>
      <c r="D261" s="813"/>
      <c r="E261" s="813"/>
      <c r="F261" s="814"/>
    </row>
    <row r="262" spans="1:6" ht="15.75" x14ac:dyDescent="0.25">
      <c r="A262" s="812"/>
      <c r="B262" s="813"/>
      <c r="C262" s="812"/>
      <c r="D262" s="813"/>
      <c r="E262" s="813"/>
      <c r="F262" s="814"/>
    </row>
    <row r="263" spans="1:6" ht="15.75" x14ac:dyDescent="0.25">
      <c r="A263" s="812"/>
      <c r="B263" s="813"/>
      <c r="C263" s="812"/>
      <c r="D263" s="813"/>
      <c r="E263" s="813"/>
      <c r="F263" s="814"/>
    </row>
    <row r="264" spans="1:6" ht="15.75" x14ac:dyDescent="0.25">
      <c r="A264" s="812"/>
      <c r="B264" s="813"/>
      <c r="C264" s="812"/>
      <c r="D264" s="813"/>
      <c r="E264" s="813"/>
      <c r="F264" s="814"/>
    </row>
    <row r="265" spans="1:6" ht="15.75" x14ac:dyDescent="0.25">
      <c r="A265" s="812"/>
      <c r="B265" s="813"/>
      <c r="C265" s="812"/>
      <c r="D265" s="813"/>
      <c r="E265" s="813"/>
      <c r="F265" s="814"/>
    </row>
    <row r="266" spans="1:6" ht="15.75" x14ac:dyDescent="0.25">
      <c r="A266" s="812"/>
      <c r="B266" s="813"/>
      <c r="C266" s="812"/>
      <c r="D266" s="813"/>
      <c r="E266" s="813"/>
      <c r="F266" s="814"/>
    </row>
    <row r="267" spans="1:6" ht="15.75" x14ac:dyDescent="0.25">
      <c r="A267" s="812"/>
      <c r="B267" s="813"/>
      <c r="C267" s="812"/>
      <c r="D267" s="813"/>
      <c r="E267" s="813"/>
      <c r="F267" s="814"/>
    </row>
    <row r="268" spans="1:6" ht="15.75" x14ac:dyDescent="0.25">
      <c r="A268" s="812"/>
      <c r="B268" s="813"/>
      <c r="C268" s="812"/>
      <c r="D268" s="813"/>
      <c r="E268" s="813"/>
      <c r="F268" s="814"/>
    </row>
    <row r="269" spans="1:6" ht="15.75" x14ac:dyDescent="0.25">
      <c r="A269" s="812"/>
      <c r="B269" s="813"/>
      <c r="C269" s="812"/>
      <c r="D269" s="813"/>
      <c r="E269" s="813"/>
      <c r="F269" s="814"/>
    </row>
    <row r="270" spans="1:6" ht="15.75" x14ac:dyDescent="0.25">
      <c r="A270" s="812"/>
      <c r="B270" s="813"/>
      <c r="C270" s="812"/>
      <c r="D270" s="813"/>
      <c r="E270" s="813"/>
      <c r="F270" s="814"/>
    </row>
    <row r="271" spans="1:6" ht="15.75" x14ac:dyDescent="0.25">
      <c r="A271" s="812"/>
      <c r="B271" s="813"/>
      <c r="C271" s="812"/>
      <c r="D271" s="813"/>
      <c r="E271" s="813"/>
      <c r="F271" s="814"/>
    </row>
    <row r="272" spans="1:6" ht="15.75" x14ac:dyDescent="0.25">
      <c r="A272" s="812"/>
      <c r="B272" s="813"/>
      <c r="C272" s="812"/>
      <c r="D272" s="813"/>
      <c r="E272" s="813"/>
      <c r="F272" s="814"/>
    </row>
    <row r="273" spans="1:6" ht="15.75" x14ac:dyDescent="0.25">
      <c r="A273" s="812"/>
      <c r="B273" s="813"/>
      <c r="C273" s="812"/>
      <c r="D273" s="813"/>
      <c r="E273" s="813"/>
      <c r="F273" s="814"/>
    </row>
    <row r="274" spans="1:6" ht="15.75" x14ac:dyDescent="0.25">
      <c r="A274" s="812"/>
      <c r="B274" s="813"/>
      <c r="C274" s="812"/>
      <c r="D274" s="813"/>
      <c r="E274" s="813"/>
      <c r="F274" s="814"/>
    </row>
    <row r="275" spans="1:6" ht="15.75" x14ac:dyDescent="0.25">
      <c r="A275" s="812"/>
      <c r="B275" s="813"/>
      <c r="C275" s="812"/>
      <c r="D275" s="813"/>
      <c r="E275" s="813"/>
      <c r="F275" s="814"/>
    </row>
    <row r="276" spans="1:6" ht="15.75" x14ac:dyDescent="0.25">
      <c r="A276" s="812"/>
      <c r="B276" s="813"/>
      <c r="C276" s="812"/>
      <c r="D276" s="813"/>
      <c r="E276" s="813"/>
      <c r="F276" s="814"/>
    </row>
    <row r="277" spans="1:6" ht="15.75" x14ac:dyDescent="0.25">
      <c r="A277" s="812"/>
      <c r="B277" s="813"/>
      <c r="C277" s="812"/>
      <c r="D277" s="813"/>
      <c r="E277" s="813"/>
      <c r="F277" s="814"/>
    </row>
    <row r="278" spans="1:6" ht="15.75" x14ac:dyDescent="0.25">
      <c r="A278" s="812"/>
      <c r="B278" s="813"/>
      <c r="C278" s="812"/>
      <c r="D278" s="813"/>
      <c r="E278" s="813"/>
      <c r="F278" s="814"/>
    </row>
    <row r="279" spans="1:6" ht="15.75" x14ac:dyDescent="0.25">
      <c r="A279" s="812"/>
      <c r="B279" s="813"/>
      <c r="C279" s="812"/>
      <c r="D279" s="813"/>
      <c r="E279" s="813"/>
      <c r="F279" s="814"/>
    </row>
    <row r="280" spans="1:6" ht="15.75" x14ac:dyDescent="0.25">
      <c r="A280" s="812"/>
      <c r="B280" s="813"/>
      <c r="C280" s="812"/>
      <c r="D280" s="813"/>
      <c r="E280" s="813"/>
      <c r="F280" s="814"/>
    </row>
    <row r="281" spans="1:6" ht="15.75" x14ac:dyDescent="0.25">
      <c r="A281" s="812"/>
      <c r="B281" s="813"/>
      <c r="C281" s="812"/>
      <c r="D281" s="813"/>
      <c r="E281" s="813"/>
      <c r="F281" s="814"/>
    </row>
    <row r="282" spans="1:6" ht="15.75" x14ac:dyDescent="0.25">
      <c r="A282" s="812"/>
      <c r="B282" s="813"/>
      <c r="C282" s="812"/>
      <c r="D282" s="813"/>
      <c r="E282" s="813"/>
      <c r="F282" s="814"/>
    </row>
    <row r="283" spans="1:6" ht="15.75" x14ac:dyDescent="0.25">
      <c r="A283" s="812"/>
      <c r="B283" s="813"/>
      <c r="C283" s="812"/>
      <c r="D283" s="813"/>
      <c r="E283" s="813"/>
      <c r="F283" s="814"/>
    </row>
    <row r="284" spans="1:6" ht="15.75" x14ac:dyDescent="0.25">
      <c r="A284" s="812"/>
      <c r="B284" s="813"/>
      <c r="C284" s="812"/>
      <c r="D284" s="813"/>
      <c r="E284" s="813"/>
      <c r="F284" s="814"/>
    </row>
    <row r="285" spans="1:6" ht="15.75" x14ac:dyDescent="0.25">
      <c r="A285" s="812"/>
      <c r="B285" s="813"/>
      <c r="C285" s="812"/>
      <c r="D285" s="813"/>
      <c r="E285" s="813"/>
      <c r="F285" s="814"/>
    </row>
    <row r="286" spans="1:6" ht="15.75" x14ac:dyDescent="0.25">
      <c r="A286" s="812"/>
      <c r="B286" s="813"/>
      <c r="C286" s="812"/>
      <c r="D286" s="813"/>
      <c r="E286" s="813"/>
      <c r="F286" s="814"/>
    </row>
    <row r="287" spans="1:6" ht="15.75" x14ac:dyDescent="0.25">
      <c r="A287" s="812"/>
      <c r="B287" s="813"/>
      <c r="C287" s="812"/>
      <c r="D287" s="813"/>
      <c r="E287" s="813"/>
      <c r="F287" s="814"/>
    </row>
    <row r="288" spans="1:6" ht="15.75" x14ac:dyDescent="0.25">
      <c r="A288" s="812"/>
      <c r="B288" s="813"/>
      <c r="C288" s="812"/>
      <c r="D288" s="813"/>
      <c r="E288" s="813"/>
      <c r="F288" s="814"/>
    </row>
    <row r="289" spans="1:6" ht="15.75" x14ac:dyDescent="0.25">
      <c r="A289" s="812"/>
      <c r="B289" s="813"/>
      <c r="C289" s="812"/>
      <c r="D289" s="813"/>
      <c r="E289" s="813"/>
      <c r="F289" s="814"/>
    </row>
    <row r="290" spans="1:6" ht="15.75" x14ac:dyDescent="0.25">
      <c r="A290" s="812"/>
      <c r="B290" s="813"/>
      <c r="C290" s="812"/>
      <c r="D290" s="813"/>
      <c r="E290" s="813"/>
      <c r="F290" s="814"/>
    </row>
    <row r="291" spans="1:6" ht="15.75" x14ac:dyDescent="0.25">
      <c r="A291" s="812"/>
      <c r="B291" s="813"/>
      <c r="C291" s="812"/>
      <c r="D291" s="813"/>
      <c r="E291" s="813"/>
      <c r="F291" s="814"/>
    </row>
    <row r="292" spans="1:6" ht="15.75" x14ac:dyDescent="0.25">
      <c r="A292" s="812"/>
      <c r="B292" s="813"/>
      <c r="C292" s="812"/>
      <c r="D292" s="813"/>
      <c r="E292" s="813"/>
      <c r="F292" s="814"/>
    </row>
    <row r="293" spans="1:6" ht="15.75" x14ac:dyDescent="0.25">
      <c r="A293" s="812"/>
      <c r="B293" s="813"/>
      <c r="C293" s="812"/>
      <c r="D293" s="813"/>
      <c r="E293" s="813"/>
      <c r="F293" s="814"/>
    </row>
    <row r="294" spans="1:6" ht="15.75" x14ac:dyDescent="0.25">
      <c r="A294" s="812"/>
      <c r="B294" s="813"/>
      <c r="C294" s="812"/>
      <c r="D294" s="813"/>
      <c r="E294" s="813"/>
      <c r="F294" s="814"/>
    </row>
    <row r="295" spans="1:6" ht="15.75" x14ac:dyDescent="0.25">
      <c r="A295" s="812"/>
      <c r="B295" s="813"/>
      <c r="C295" s="812"/>
      <c r="D295" s="813"/>
      <c r="E295" s="813"/>
      <c r="F295" s="814"/>
    </row>
    <row r="296" spans="1:6" ht="15.75" x14ac:dyDescent="0.25">
      <c r="A296" s="812"/>
      <c r="B296" s="813"/>
      <c r="C296" s="812"/>
      <c r="D296" s="813"/>
      <c r="E296" s="813"/>
      <c r="F296" s="814"/>
    </row>
    <row r="297" spans="1:6" ht="15.75" x14ac:dyDescent="0.25">
      <c r="A297" s="812"/>
      <c r="B297" s="813"/>
      <c r="C297" s="812"/>
      <c r="D297" s="813"/>
      <c r="E297" s="813"/>
      <c r="F297" s="814"/>
    </row>
    <row r="298" spans="1:6" ht="15.75" x14ac:dyDescent="0.25">
      <c r="A298" s="812"/>
      <c r="B298" s="813"/>
      <c r="C298" s="812"/>
      <c r="D298" s="813"/>
      <c r="E298" s="813"/>
      <c r="F298" s="814"/>
    </row>
    <row r="299" spans="1:6" ht="15.75" x14ac:dyDescent="0.25">
      <c r="A299" s="812"/>
      <c r="B299" s="813"/>
      <c r="C299" s="812"/>
      <c r="D299" s="813"/>
      <c r="E299" s="813"/>
      <c r="F299" s="814"/>
    </row>
    <row r="300" spans="1:6" ht="15.75" x14ac:dyDescent="0.25">
      <c r="A300" s="812"/>
      <c r="B300" s="813"/>
      <c r="C300" s="812"/>
      <c r="D300" s="813"/>
      <c r="E300" s="813"/>
      <c r="F300" s="814"/>
    </row>
    <row r="301" spans="1:6" ht="15.75" x14ac:dyDescent="0.25">
      <c r="A301" s="812"/>
      <c r="B301" s="813"/>
      <c r="C301" s="812"/>
      <c r="D301" s="813"/>
      <c r="E301" s="813"/>
      <c r="F301" s="814"/>
    </row>
    <row r="302" spans="1:6" ht="15.75" x14ac:dyDescent="0.25">
      <c r="A302" s="812"/>
      <c r="B302" s="813"/>
      <c r="C302" s="812"/>
      <c r="D302" s="813"/>
      <c r="E302" s="813"/>
      <c r="F302" s="814"/>
    </row>
    <row r="303" spans="1:6" ht="15.75" x14ac:dyDescent="0.25">
      <c r="A303" s="812"/>
      <c r="B303" s="813"/>
      <c r="C303" s="812"/>
      <c r="D303" s="813"/>
      <c r="E303" s="813"/>
      <c r="F303" s="814"/>
    </row>
    <row r="304" spans="1:6" ht="15.75" x14ac:dyDescent="0.25">
      <c r="A304" s="812"/>
      <c r="B304" s="813"/>
      <c r="C304" s="812"/>
      <c r="D304" s="813"/>
      <c r="E304" s="813"/>
      <c r="F304" s="814"/>
    </row>
    <row r="305" spans="1:6" ht="15.75" x14ac:dyDescent="0.25">
      <c r="A305" s="812"/>
      <c r="B305" s="813"/>
      <c r="C305" s="812"/>
      <c r="D305" s="813"/>
      <c r="E305" s="813"/>
      <c r="F305" s="814"/>
    </row>
    <row r="306" spans="1:6" ht="15.75" x14ac:dyDescent="0.25">
      <c r="A306" s="812"/>
      <c r="B306" s="813"/>
      <c r="C306" s="812"/>
      <c r="D306" s="813"/>
      <c r="E306" s="813"/>
      <c r="F306" s="814"/>
    </row>
    <row r="307" spans="1:6" ht="15.75" x14ac:dyDescent="0.25">
      <c r="A307" s="812"/>
      <c r="B307" s="813"/>
      <c r="C307" s="812"/>
      <c r="D307" s="813"/>
      <c r="E307" s="813"/>
      <c r="F307" s="814"/>
    </row>
    <row r="308" spans="1:6" ht="15.75" x14ac:dyDescent="0.25">
      <c r="A308" s="812"/>
      <c r="B308" s="813"/>
      <c r="C308" s="812"/>
      <c r="D308" s="813"/>
      <c r="E308" s="813"/>
      <c r="F308" s="814"/>
    </row>
    <row r="309" spans="1:6" ht="15.75" x14ac:dyDescent="0.25">
      <c r="A309" s="812"/>
      <c r="B309" s="813"/>
      <c r="C309" s="812"/>
      <c r="D309" s="813"/>
      <c r="E309" s="813"/>
      <c r="F309" s="814"/>
    </row>
    <row r="310" spans="1:6" ht="15.75" x14ac:dyDescent="0.25">
      <c r="A310" s="812"/>
      <c r="B310" s="813"/>
      <c r="C310" s="812"/>
      <c r="D310" s="813"/>
      <c r="E310" s="813"/>
      <c r="F310" s="814"/>
    </row>
    <row r="311" spans="1:6" ht="15.75" x14ac:dyDescent="0.25">
      <c r="A311" s="812"/>
      <c r="B311" s="813"/>
      <c r="C311" s="812"/>
      <c r="D311" s="813"/>
      <c r="E311" s="813"/>
      <c r="F311" s="814"/>
    </row>
    <row r="312" spans="1:6" ht="15.75" x14ac:dyDescent="0.25">
      <c r="A312" s="812"/>
      <c r="B312" s="813"/>
      <c r="C312" s="812"/>
      <c r="D312" s="813"/>
      <c r="E312" s="813"/>
      <c r="F312" s="814"/>
    </row>
    <row r="313" spans="1:6" ht="15.75" x14ac:dyDescent="0.25">
      <c r="A313" s="812"/>
      <c r="B313" s="813"/>
      <c r="C313" s="812"/>
      <c r="D313" s="813"/>
      <c r="E313" s="813"/>
      <c r="F313" s="814"/>
    </row>
    <row r="314" spans="1:6" ht="15.75" x14ac:dyDescent="0.25">
      <c r="A314" s="812"/>
      <c r="B314" s="813"/>
      <c r="C314" s="812"/>
      <c r="D314" s="813"/>
      <c r="E314" s="813"/>
      <c r="F314" s="814"/>
    </row>
    <row r="315" spans="1:6" ht="15.75" x14ac:dyDescent="0.25">
      <c r="A315" s="812"/>
      <c r="B315" s="813"/>
      <c r="C315" s="812"/>
      <c r="D315" s="813"/>
      <c r="E315" s="813"/>
      <c r="F315" s="814"/>
    </row>
    <row r="316" spans="1:6" ht="15.75" x14ac:dyDescent="0.25">
      <c r="A316" s="812"/>
      <c r="B316" s="813"/>
      <c r="C316" s="812"/>
      <c r="D316" s="813"/>
      <c r="E316" s="813"/>
      <c r="F316" s="814"/>
    </row>
    <row r="317" spans="1:6" ht="15.75" x14ac:dyDescent="0.25">
      <c r="A317" s="812"/>
      <c r="B317" s="813"/>
      <c r="C317" s="812"/>
      <c r="D317" s="813"/>
      <c r="E317" s="813"/>
      <c r="F317" s="814"/>
    </row>
    <row r="318" spans="1:6" ht="15.75" x14ac:dyDescent="0.25">
      <c r="A318" s="812"/>
      <c r="B318" s="813"/>
      <c r="C318" s="812"/>
      <c r="D318" s="813"/>
      <c r="E318" s="813"/>
      <c r="F318" s="814"/>
    </row>
    <row r="319" spans="1:6" ht="15.75" x14ac:dyDescent="0.25">
      <c r="A319" s="812"/>
      <c r="B319" s="813"/>
      <c r="C319" s="812"/>
      <c r="D319" s="813"/>
      <c r="E319" s="813"/>
      <c r="F319" s="814"/>
    </row>
    <row r="320" spans="1:6" ht="15.75" x14ac:dyDescent="0.25">
      <c r="A320" s="812"/>
      <c r="B320" s="813"/>
      <c r="C320" s="812"/>
      <c r="D320" s="813"/>
      <c r="E320" s="813"/>
      <c r="F320" s="814"/>
    </row>
    <row r="321" spans="1:6" ht="15.75" x14ac:dyDescent="0.25">
      <c r="A321" s="812"/>
      <c r="B321" s="813"/>
      <c r="C321" s="812"/>
      <c r="D321" s="813"/>
      <c r="E321" s="813"/>
      <c r="F321" s="814"/>
    </row>
    <row r="322" spans="1:6" ht="15.75" x14ac:dyDescent="0.25">
      <c r="A322" s="812"/>
      <c r="B322" s="813"/>
      <c r="C322" s="812"/>
      <c r="D322" s="813"/>
      <c r="E322" s="813"/>
      <c r="F322" s="814"/>
    </row>
    <row r="323" spans="1:6" ht="15.75" x14ac:dyDescent="0.25">
      <c r="A323" s="812"/>
      <c r="B323" s="813"/>
      <c r="C323" s="812"/>
      <c r="D323" s="813"/>
      <c r="E323" s="813"/>
      <c r="F323" s="814"/>
    </row>
    <row r="324" spans="1:6" ht="15.75" x14ac:dyDescent="0.25">
      <c r="A324" s="812"/>
      <c r="B324" s="813"/>
      <c r="C324" s="812"/>
      <c r="D324" s="813"/>
      <c r="E324" s="813"/>
      <c r="F324" s="814"/>
    </row>
    <row r="325" spans="1:6" ht="15.75" x14ac:dyDescent="0.25">
      <c r="A325" s="812"/>
      <c r="B325" s="813"/>
      <c r="C325" s="812"/>
      <c r="D325" s="813"/>
      <c r="E325" s="813"/>
      <c r="F325" s="814"/>
    </row>
    <row r="326" spans="1:6" ht="15.75" x14ac:dyDescent="0.25">
      <c r="A326" s="812"/>
      <c r="B326" s="813"/>
      <c r="C326" s="812"/>
      <c r="D326" s="813"/>
      <c r="E326" s="813"/>
      <c r="F326" s="814"/>
    </row>
    <row r="327" spans="1:6" ht="15.75" x14ac:dyDescent="0.25">
      <c r="A327" s="812"/>
      <c r="B327" s="813"/>
      <c r="C327" s="812"/>
      <c r="D327" s="813"/>
      <c r="E327" s="813"/>
      <c r="F327" s="814"/>
    </row>
    <row r="328" spans="1:6" ht="15.75" x14ac:dyDescent="0.25">
      <c r="A328" s="812"/>
      <c r="B328" s="813"/>
      <c r="C328" s="812"/>
      <c r="D328" s="813"/>
      <c r="E328" s="813"/>
      <c r="F328" s="814"/>
    </row>
    <row r="329" spans="1:6" ht="15.75" x14ac:dyDescent="0.25">
      <c r="A329" s="812"/>
      <c r="B329" s="813"/>
      <c r="C329" s="812"/>
      <c r="D329" s="813"/>
      <c r="E329" s="813"/>
      <c r="F329" s="814"/>
    </row>
    <row r="330" spans="1:6" ht="15.75" x14ac:dyDescent="0.25">
      <c r="A330" s="812"/>
      <c r="B330" s="813"/>
      <c r="C330" s="812"/>
      <c r="D330" s="813"/>
      <c r="E330" s="813"/>
      <c r="F330" s="814"/>
    </row>
    <row r="331" spans="1:6" ht="15.75" x14ac:dyDescent="0.25">
      <c r="A331" s="812"/>
      <c r="B331" s="813"/>
      <c r="C331" s="812"/>
      <c r="D331" s="813"/>
      <c r="E331" s="813"/>
      <c r="F331" s="814"/>
    </row>
    <row r="332" spans="1:6" ht="15.75" x14ac:dyDescent="0.25">
      <c r="A332" s="812"/>
      <c r="B332" s="813"/>
      <c r="C332" s="812"/>
      <c r="D332" s="813"/>
      <c r="E332" s="813"/>
      <c r="F332" s="814"/>
    </row>
    <row r="333" spans="1:6" ht="15.75" x14ac:dyDescent="0.25">
      <c r="A333" s="812"/>
      <c r="B333" s="813"/>
      <c r="C333" s="812"/>
      <c r="D333" s="813"/>
      <c r="E333" s="813"/>
      <c r="F333" s="814"/>
    </row>
    <row r="334" spans="1:6" ht="15.75" x14ac:dyDescent="0.25">
      <c r="A334" s="812"/>
      <c r="B334" s="813"/>
      <c r="C334" s="812"/>
      <c r="D334" s="813"/>
      <c r="E334" s="813"/>
      <c r="F334" s="814"/>
    </row>
    <row r="335" spans="1:6" ht="15.75" x14ac:dyDescent="0.25">
      <c r="A335" s="812"/>
      <c r="B335" s="813"/>
      <c r="C335" s="812"/>
      <c r="D335" s="813"/>
      <c r="E335" s="813"/>
      <c r="F335" s="814"/>
    </row>
    <row r="336" spans="1:6" ht="15.75" x14ac:dyDescent="0.25">
      <c r="A336" s="812"/>
      <c r="B336" s="813"/>
      <c r="C336" s="812"/>
      <c r="D336" s="813"/>
      <c r="E336" s="813"/>
      <c r="F336" s="814"/>
    </row>
    <row r="337" spans="1:6" ht="15.75" x14ac:dyDescent="0.25">
      <c r="A337" s="812"/>
      <c r="B337" s="813"/>
      <c r="C337" s="812"/>
      <c r="D337" s="813"/>
      <c r="E337" s="813"/>
      <c r="F337" s="814"/>
    </row>
    <row r="338" spans="1:6" ht="15.75" x14ac:dyDescent="0.25">
      <c r="A338" s="812"/>
      <c r="B338" s="813"/>
      <c r="C338" s="812"/>
      <c r="D338" s="813"/>
      <c r="E338" s="813"/>
      <c r="F338" s="814"/>
    </row>
    <row r="339" spans="1:6" ht="15.75" x14ac:dyDescent="0.25">
      <c r="A339" s="812"/>
      <c r="B339" s="813"/>
      <c r="C339" s="812"/>
      <c r="D339" s="813"/>
      <c r="E339" s="813"/>
      <c r="F339" s="814"/>
    </row>
    <row r="340" spans="1:6" ht="15.75" x14ac:dyDescent="0.25">
      <c r="A340" s="812"/>
      <c r="B340" s="813"/>
      <c r="C340" s="812"/>
      <c r="D340" s="813"/>
      <c r="E340" s="813"/>
      <c r="F340" s="814"/>
    </row>
    <row r="341" spans="1:6" ht="15.75" x14ac:dyDescent="0.25">
      <c r="A341" s="812"/>
      <c r="B341" s="813"/>
      <c r="C341" s="812"/>
      <c r="D341" s="813"/>
      <c r="E341" s="813"/>
      <c r="F341" s="814"/>
    </row>
    <row r="342" spans="1:6" ht="15.75" x14ac:dyDescent="0.25">
      <c r="A342" s="812"/>
      <c r="B342" s="813"/>
      <c r="C342" s="812"/>
      <c r="D342" s="813"/>
      <c r="E342" s="813"/>
      <c r="F342" s="814"/>
    </row>
    <row r="343" spans="1:6" ht="15.75" x14ac:dyDescent="0.25">
      <c r="A343" s="812"/>
      <c r="B343" s="813"/>
      <c r="C343" s="812"/>
      <c r="D343" s="813"/>
      <c r="E343" s="813"/>
      <c r="F343" s="814"/>
    </row>
    <row r="344" spans="1:6" ht="15.75" x14ac:dyDescent="0.25">
      <c r="A344" s="812"/>
      <c r="B344" s="813"/>
      <c r="C344" s="812"/>
      <c r="D344" s="813"/>
      <c r="E344" s="813"/>
      <c r="F344" s="814"/>
    </row>
    <row r="345" spans="1:6" ht="15.75" x14ac:dyDescent="0.25">
      <c r="A345" s="812"/>
      <c r="B345" s="813"/>
      <c r="C345" s="812"/>
      <c r="D345" s="813"/>
      <c r="E345" s="813"/>
      <c r="F345" s="814"/>
    </row>
    <row r="346" spans="1:6" ht="15.75" x14ac:dyDescent="0.25">
      <c r="A346" s="812"/>
      <c r="B346" s="813"/>
      <c r="C346" s="812"/>
      <c r="D346" s="813"/>
      <c r="E346" s="813"/>
      <c r="F346" s="814"/>
    </row>
    <row r="347" spans="1:6" ht="15.75" x14ac:dyDescent="0.25">
      <c r="A347" s="812"/>
      <c r="B347" s="813"/>
      <c r="C347" s="812"/>
      <c r="D347" s="813"/>
      <c r="E347" s="813"/>
      <c r="F347" s="814"/>
    </row>
    <row r="348" spans="1:6" ht="15.75" x14ac:dyDescent="0.25">
      <c r="A348" s="812"/>
      <c r="B348" s="813"/>
      <c r="C348" s="812"/>
      <c r="D348" s="813"/>
      <c r="E348" s="813"/>
      <c r="F348" s="814"/>
    </row>
    <row r="349" spans="1:6" ht="15.75" x14ac:dyDescent="0.25">
      <c r="A349" s="812"/>
      <c r="B349" s="813"/>
      <c r="C349" s="812"/>
      <c r="D349" s="813"/>
      <c r="E349" s="813"/>
      <c r="F349" s="814"/>
    </row>
    <row r="350" spans="1:6" ht="15.75" x14ac:dyDescent="0.25">
      <c r="A350" s="812"/>
      <c r="B350" s="813"/>
      <c r="C350" s="812"/>
      <c r="D350" s="813"/>
      <c r="E350" s="813"/>
      <c r="F350" s="814"/>
    </row>
    <row r="351" spans="1:6" ht="15.75" x14ac:dyDescent="0.25">
      <c r="A351" s="812"/>
      <c r="B351" s="813"/>
      <c r="C351" s="812"/>
      <c r="D351" s="813"/>
      <c r="E351" s="813"/>
      <c r="F351" s="814"/>
    </row>
    <row r="352" spans="1:6" ht="15.75" x14ac:dyDescent="0.25">
      <c r="A352" s="812"/>
      <c r="B352" s="813"/>
      <c r="C352" s="812"/>
      <c r="D352" s="813"/>
      <c r="E352" s="813"/>
      <c r="F352" s="814"/>
    </row>
    <row r="353" spans="1:6" ht="15.75" x14ac:dyDescent="0.25">
      <c r="A353" s="812"/>
      <c r="B353" s="813"/>
      <c r="C353" s="812"/>
      <c r="D353" s="813"/>
      <c r="E353" s="813"/>
      <c r="F353" s="814"/>
    </row>
    <row r="354" spans="1:6" ht="15.75" x14ac:dyDescent="0.25">
      <c r="A354" s="812"/>
      <c r="B354" s="813"/>
      <c r="C354" s="812"/>
      <c r="D354" s="813"/>
      <c r="E354" s="813"/>
      <c r="F354" s="814"/>
    </row>
    <row r="355" spans="1:6" ht="15.75" x14ac:dyDescent="0.25">
      <c r="A355" s="812"/>
      <c r="B355" s="813"/>
      <c r="C355" s="812"/>
      <c r="D355" s="813"/>
      <c r="E355" s="813"/>
      <c r="F355" s="814"/>
    </row>
    <row r="356" spans="1:6" ht="15.75" x14ac:dyDescent="0.25">
      <c r="A356" s="812"/>
      <c r="B356" s="813"/>
      <c r="C356" s="812"/>
      <c r="D356" s="813"/>
      <c r="E356" s="813"/>
      <c r="F356" s="814"/>
    </row>
    <row r="357" spans="1:6" ht="15.75" x14ac:dyDescent="0.25">
      <c r="A357" s="812"/>
      <c r="B357" s="813"/>
      <c r="C357" s="812"/>
      <c r="D357" s="813"/>
      <c r="E357" s="813"/>
      <c r="F357" s="814"/>
    </row>
    <row r="358" spans="1:6" ht="15.75" x14ac:dyDescent="0.25">
      <c r="A358" s="812"/>
      <c r="B358" s="813"/>
      <c r="C358" s="812"/>
      <c r="D358" s="813"/>
      <c r="E358" s="813"/>
      <c r="F358" s="814"/>
    </row>
    <row r="359" spans="1:6" ht="15.75" x14ac:dyDescent="0.25">
      <c r="A359" s="812"/>
      <c r="B359" s="813"/>
      <c r="C359" s="812"/>
      <c r="D359" s="813"/>
      <c r="E359" s="813"/>
      <c r="F359" s="814"/>
    </row>
    <row r="360" spans="1:6" ht="15.75" x14ac:dyDescent="0.25">
      <c r="A360" s="812"/>
      <c r="B360" s="813"/>
      <c r="C360" s="812"/>
      <c r="D360" s="813"/>
      <c r="E360" s="813"/>
      <c r="F360" s="814"/>
    </row>
    <row r="361" spans="1:6" ht="15.75" x14ac:dyDescent="0.25">
      <c r="A361" s="812"/>
      <c r="B361" s="813"/>
      <c r="C361" s="812"/>
      <c r="D361" s="813"/>
      <c r="E361" s="813"/>
      <c r="F361" s="814"/>
    </row>
    <row r="362" spans="1:6" ht="15.75" x14ac:dyDescent="0.25">
      <c r="A362" s="812"/>
      <c r="B362" s="813"/>
      <c r="C362" s="812"/>
      <c r="D362" s="813"/>
      <c r="E362" s="813"/>
      <c r="F362" s="814"/>
    </row>
    <row r="363" spans="1:6" ht="15.75" x14ac:dyDescent="0.25">
      <c r="A363" s="812"/>
      <c r="B363" s="813"/>
      <c r="C363" s="812"/>
      <c r="D363" s="813"/>
      <c r="E363" s="813"/>
      <c r="F363" s="814"/>
    </row>
    <row r="364" spans="1:6" ht="15.75" x14ac:dyDescent="0.25">
      <c r="A364" s="812"/>
      <c r="B364" s="813"/>
      <c r="C364" s="812"/>
      <c r="D364" s="813"/>
      <c r="E364" s="813"/>
      <c r="F364" s="814"/>
    </row>
    <row r="365" spans="1:6" ht="15.75" x14ac:dyDescent="0.25">
      <c r="A365" s="812"/>
      <c r="B365" s="813"/>
      <c r="C365" s="812"/>
      <c r="D365" s="813"/>
      <c r="E365" s="813"/>
      <c r="F365" s="814"/>
    </row>
    <row r="366" spans="1:6" ht="15.75" x14ac:dyDescent="0.25">
      <c r="A366" s="812"/>
      <c r="B366" s="813"/>
      <c r="C366" s="812"/>
      <c r="D366" s="813"/>
      <c r="E366" s="813"/>
      <c r="F366" s="814"/>
    </row>
    <row r="367" spans="1:6" ht="15.75" x14ac:dyDescent="0.25">
      <c r="A367" s="812"/>
      <c r="B367" s="813"/>
      <c r="C367" s="812"/>
      <c r="D367" s="813"/>
      <c r="E367" s="813"/>
      <c r="F367" s="814"/>
    </row>
    <row r="368" spans="1:6" ht="15.75" x14ac:dyDescent="0.25">
      <c r="A368" s="812"/>
      <c r="B368" s="813"/>
      <c r="C368" s="812"/>
      <c r="D368" s="813"/>
      <c r="E368" s="813"/>
      <c r="F368" s="814"/>
    </row>
    <row r="369" spans="1:6" ht="15.75" x14ac:dyDescent="0.25">
      <c r="A369" s="812"/>
      <c r="B369" s="813"/>
      <c r="C369" s="812"/>
      <c r="D369" s="813"/>
      <c r="E369" s="813"/>
      <c r="F369" s="814"/>
    </row>
    <row r="370" spans="1:6" ht="15.75" x14ac:dyDescent="0.25">
      <c r="A370" s="812"/>
      <c r="B370" s="813"/>
      <c r="C370" s="812"/>
      <c r="D370" s="813"/>
      <c r="E370" s="813"/>
      <c r="F370" s="814"/>
    </row>
    <row r="371" spans="1:6" ht="15.75" x14ac:dyDescent="0.25">
      <c r="A371" s="812"/>
      <c r="B371" s="813"/>
      <c r="C371" s="812"/>
      <c r="D371" s="813"/>
      <c r="E371" s="813"/>
      <c r="F371" s="814"/>
    </row>
    <row r="372" spans="1:6" ht="15.75" x14ac:dyDescent="0.25">
      <c r="A372" s="812"/>
      <c r="B372" s="813"/>
      <c r="C372" s="812"/>
      <c r="D372" s="813"/>
      <c r="E372" s="813"/>
      <c r="F372" s="814"/>
    </row>
    <row r="373" spans="1:6" ht="15.75" x14ac:dyDescent="0.25">
      <c r="A373" s="812"/>
      <c r="B373" s="813"/>
      <c r="C373" s="812"/>
      <c r="D373" s="813"/>
      <c r="E373" s="813"/>
      <c r="F373" s="814"/>
    </row>
    <row r="374" spans="1:6" ht="15.75" x14ac:dyDescent="0.25">
      <c r="A374" s="812"/>
      <c r="B374" s="813"/>
      <c r="C374" s="812"/>
      <c r="D374" s="813"/>
      <c r="E374" s="813"/>
      <c r="F374" s="814"/>
    </row>
    <row r="375" spans="1:6" ht="15.75" x14ac:dyDescent="0.25">
      <c r="A375" s="812"/>
      <c r="B375" s="813"/>
      <c r="C375" s="812"/>
      <c r="D375" s="813"/>
      <c r="E375" s="813"/>
      <c r="F375" s="814"/>
    </row>
    <row r="376" spans="1:6" ht="15.75" x14ac:dyDescent="0.25">
      <c r="A376" s="812"/>
      <c r="B376" s="813"/>
      <c r="C376" s="812"/>
      <c r="D376" s="813"/>
      <c r="E376" s="813"/>
      <c r="F376" s="814"/>
    </row>
    <row r="377" spans="1:6" ht="15.75" x14ac:dyDescent="0.25">
      <c r="A377" s="812"/>
      <c r="B377" s="813"/>
      <c r="C377" s="812"/>
      <c r="D377" s="813"/>
      <c r="E377" s="813"/>
      <c r="F377" s="814"/>
    </row>
    <row r="378" spans="1:6" ht="15.75" x14ac:dyDescent="0.25">
      <c r="A378" s="812"/>
      <c r="B378" s="813"/>
      <c r="C378" s="812"/>
      <c r="D378" s="813"/>
      <c r="E378" s="813"/>
      <c r="F378" s="814"/>
    </row>
    <row r="379" spans="1:6" ht="15.75" x14ac:dyDescent="0.25">
      <c r="A379" s="812"/>
      <c r="B379" s="813"/>
      <c r="C379" s="812"/>
      <c r="D379" s="813"/>
      <c r="E379" s="813"/>
      <c r="F379" s="814"/>
    </row>
    <row r="380" spans="1:6" ht="15.75" x14ac:dyDescent="0.25">
      <c r="A380" s="812"/>
      <c r="B380" s="813"/>
      <c r="C380" s="812"/>
      <c r="D380" s="813"/>
      <c r="E380" s="813"/>
      <c r="F380" s="814"/>
    </row>
    <row r="381" spans="1:6" ht="15.75" x14ac:dyDescent="0.25">
      <c r="A381" s="812"/>
      <c r="B381" s="813"/>
      <c r="C381" s="812"/>
      <c r="D381" s="813"/>
      <c r="E381" s="813"/>
      <c r="F381" s="814"/>
    </row>
    <row r="382" spans="1:6" ht="15.75" x14ac:dyDescent="0.25">
      <c r="A382" s="812"/>
      <c r="B382" s="813"/>
      <c r="C382" s="812"/>
      <c r="D382" s="813"/>
      <c r="E382" s="813"/>
      <c r="F382" s="814"/>
    </row>
    <row r="383" spans="1:6" ht="15.75" x14ac:dyDescent="0.25">
      <c r="A383" s="812"/>
      <c r="B383" s="813"/>
      <c r="C383" s="812"/>
      <c r="D383" s="813"/>
      <c r="E383" s="813"/>
      <c r="F383" s="814"/>
    </row>
    <row r="384" spans="1:6" ht="15.75" x14ac:dyDescent="0.25">
      <c r="A384" s="812"/>
      <c r="B384" s="813"/>
      <c r="C384" s="812"/>
      <c r="D384" s="813"/>
      <c r="E384" s="813"/>
      <c r="F384" s="814"/>
    </row>
    <row r="385" spans="1:6" ht="15.75" x14ac:dyDescent="0.25">
      <c r="A385" s="812"/>
      <c r="B385" s="813"/>
      <c r="C385" s="812"/>
      <c r="D385" s="813"/>
      <c r="E385" s="813"/>
      <c r="F385" s="814"/>
    </row>
    <row r="386" spans="1:6" ht="15.75" x14ac:dyDescent="0.25">
      <c r="A386" s="812"/>
      <c r="B386" s="813"/>
      <c r="C386" s="812"/>
      <c r="D386" s="813"/>
      <c r="E386" s="813"/>
      <c r="F386" s="814"/>
    </row>
    <row r="387" spans="1:6" ht="15.75" x14ac:dyDescent="0.25">
      <c r="A387" s="812"/>
      <c r="B387" s="813"/>
      <c r="C387" s="812"/>
      <c r="D387" s="813"/>
      <c r="E387" s="813"/>
      <c r="F387" s="814"/>
    </row>
    <row r="388" spans="1:6" ht="15.75" x14ac:dyDescent="0.25">
      <c r="A388" s="812"/>
      <c r="B388" s="813"/>
      <c r="C388" s="812"/>
      <c r="D388" s="813"/>
      <c r="E388" s="813"/>
      <c r="F388" s="814"/>
    </row>
    <row r="389" spans="1:6" ht="15.75" x14ac:dyDescent="0.25">
      <c r="A389" s="812"/>
      <c r="B389" s="813"/>
      <c r="C389" s="812"/>
      <c r="D389" s="813"/>
      <c r="E389" s="813"/>
      <c r="F389" s="814"/>
    </row>
    <row r="390" spans="1:6" ht="15.75" x14ac:dyDescent="0.25">
      <c r="A390" s="812"/>
      <c r="B390" s="813"/>
      <c r="C390" s="812"/>
      <c r="D390" s="813"/>
      <c r="E390" s="813"/>
      <c r="F390" s="814"/>
    </row>
    <row r="391" spans="1:6" ht="15.75" x14ac:dyDescent="0.25">
      <c r="A391" s="812"/>
      <c r="B391" s="813"/>
      <c r="C391" s="812"/>
      <c r="D391" s="813"/>
      <c r="E391" s="813"/>
      <c r="F391" s="814"/>
    </row>
    <row r="392" spans="1:6" ht="15.75" x14ac:dyDescent="0.25">
      <c r="A392" s="812"/>
      <c r="B392" s="813"/>
      <c r="C392" s="812"/>
      <c r="D392" s="813"/>
      <c r="E392" s="813"/>
      <c r="F392" s="814"/>
    </row>
    <row r="393" spans="1:6" ht="15.75" x14ac:dyDescent="0.25">
      <c r="A393" s="812"/>
      <c r="B393" s="813"/>
      <c r="C393" s="812"/>
      <c r="D393" s="813"/>
      <c r="E393" s="813"/>
      <c r="F393" s="814"/>
    </row>
    <row r="394" spans="1:6" ht="15.75" x14ac:dyDescent="0.25">
      <c r="A394" s="812"/>
      <c r="B394" s="813"/>
      <c r="C394" s="812"/>
      <c r="D394" s="813"/>
      <c r="E394" s="813"/>
      <c r="F394" s="814"/>
    </row>
    <row r="395" spans="1:6" ht="15.75" x14ac:dyDescent="0.25">
      <c r="A395" s="812"/>
      <c r="B395" s="813"/>
      <c r="C395" s="812"/>
      <c r="D395" s="813"/>
      <c r="E395" s="813"/>
      <c r="F395" s="814"/>
    </row>
    <row r="396" spans="1:6" ht="15.75" x14ac:dyDescent="0.25">
      <c r="A396" s="812"/>
      <c r="B396" s="813"/>
      <c r="C396" s="812"/>
      <c r="D396" s="813"/>
      <c r="E396" s="813"/>
      <c r="F396" s="814"/>
    </row>
    <row r="397" spans="1:6" ht="15.75" x14ac:dyDescent="0.25">
      <c r="A397" s="812"/>
      <c r="B397" s="813"/>
      <c r="C397" s="812"/>
      <c r="D397" s="813"/>
      <c r="E397" s="813"/>
      <c r="F397" s="814"/>
    </row>
    <row r="398" spans="1:6" ht="15.75" x14ac:dyDescent="0.25">
      <c r="A398" s="812"/>
      <c r="B398" s="813"/>
      <c r="C398" s="812"/>
      <c r="D398" s="813"/>
      <c r="E398" s="813"/>
      <c r="F398" s="814"/>
    </row>
    <row r="399" spans="1:6" ht="15.75" x14ac:dyDescent="0.25">
      <c r="A399" s="812"/>
      <c r="B399" s="813"/>
      <c r="C399" s="812"/>
      <c r="D399" s="813"/>
      <c r="E399" s="813"/>
      <c r="F399" s="814"/>
    </row>
    <row r="400" spans="1:6" ht="15.75" x14ac:dyDescent="0.25">
      <c r="A400" s="812"/>
      <c r="B400" s="813"/>
      <c r="C400" s="812"/>
      <c r="D400" s="813"/>
      <c r="E400" s="813"/>
      <c r="F400" s="814"/>
    </row>
    <row r="401" spans="1:6" ht="15.75" x14ac:dyDescent="0.25">
      <c r="A401" s="812"/>
      <c r="B401" s="813"/>
      <c r="C401" s="812"/>
      <c r="D401" s="813"/>
      <c r="E401" s="813"/>
      <c r="F401" s="814"/>
    </row>
    <row r="402" spans="1:6" ht="15.75" x14ac:dyDescent="0.25">
      <c r="A402" s="812"/>
      <c r="B402" s="813"/>
      <c r="C402" s="812"/>
      <c r="D402" s="813"/>
      <c r="E402" s="813"/>
      <c r="F402" s="814"/>
    </row>
    <row r="403" spans="1:6" ht="15.75" x14ac:dyDescent="0.25">
      <c r="A403" s="812"/>
      <c r="B403" s="813"/>
      <c r="C403" s="812"/>
      <c r="D403" s="813"/>
      <c r="E403" s="813"/>
      <c r="F403" s="814"/>
    </row>
    <row r="404" spans="1:6" ht="15.75" x14ac:dyDescent="0.25">
      <c r="A404" s="812"/>
      <c r="B404" s="813"/>
      <c r="C404" s="812"/>
      <c r="D404" s="813"/>
      <c r="E404" s="813"/>
      <c r="F404" s="814"/>
    </row>
    <row r="405" spans="1:6" ht="15.75" x14ac:dyDescent="0.25">
      <c r="A405" s="812"/>
      <c r="B405" s="813"/>
      <c r="C405" s="812"/>
      <c r="D405" s="813"/>
      <c r="E405" s="813"/>
      <c r="F405" s="814"/>
    </row>
    <row r="406" spans="1:6" ht="15.75" x14ac:dyDescent="0.25">
      <c r="A406" s="812"/>
      <c r="B406" s="813"/>
      <c r="C406" s="812"/>
      <c r="D406" s="813"/>
      <c r="E406" s="813"/>
      <c r="F406" s="814"/>
    </row>
    <row r="407" spans="1:6" ht="15.75" x14ac:dyDescent="0.25">
      <c r="A407" s="812"/>
      <c r="B407" s="813"/>
      <c r="C407" s="812"/>
      <c r="D407" s="813"/>
      <c r="E407" s="813"/>
      <c r="F407" s="814"/>
    </row>
    <row r="408" spans="1:6" ht="15.75" x14ac:dyDescent="0.25">
      <c r="A408" s="812"/>
      <c r="B408" s="813"/>
      <c r="C408" s="812"/>
      <c r="D408" s="813"/>
      <c r="E408" s="813"/>
      <c r="F408" s="814"/>
    </row>
    <row r="409" spans="1:6" ht="15.75" x14ac:dyDescent="0.25">
      <c r="A409" s="812"/>
      <c r="B409" s="813"/>
      <c r="C409" s="812"/>
      <c r="D409" s="813"/>
      <c r="E409" s="813"/>
      <c r="F409" s="814"/>
    </row>
    <row r="410" spans="1:6" ht="15.75" x14ac:dyDescent="0.25">
      <c r="A410" s="812"/>
      <c r="B410" s="813"/>
      <c r="C410" s="812"/>
      <c r="D410" s="813"/>
      <c r="E410" s="813"/>
      <c r="F410" s="814"/>
    </row>
    <row r="411" spans="1:6" ht="15.75" x14ac:dyDescent="0.25">
      <c r="A411" s="812"/>
      <c r="B411" s="813"/>
      <c r="C411" s="812"/>
      <c r="D411" s="813"/>
      <c r="E411" s="813"/>
      <c r="F411" s="814"/>
    </row>
    <row r="412" spans="1:6" ht="15.75" x14ac:dyDescent="0.25">
      <c r="A412" s="812"/>
      <c r="B412" s="813"/>
      <c r="C412" s="812"/>
      <c r="D412" s="813"/>
      <c r="E412" s="813"/>
      <c r="F412" s="814"/>
    </row>
    <row r="413" spans="1:6" ht="15.75" x14ac:dyDescent="0.25">
      <c r="A413" s="812"/>
      <c r="B413" s="813"/>
      <c r="C413" s="812"/>
      <c r="D413" s="813"/>
      <c r="E413" s="813"/>
      <c r="F413" s="814"/>
    </row>
    <row r="414" spans="1:6" ht="15.75" x14ac:dyDescent="0.25">
      <c r="A414" s="812"/>
      <c r="B414" s="813"/>
      <c r="C414" s="812"/>
      <c r="D414" s="813"/>
      <c r="E414" s="813"/>
      <c r="F414" s="814"/>
    </row>
    <row r="415" spans="1:6" ht="15.75" x14ac:dyDescent="0.25">
      <c r="A415" s="812"/>
      <c r="B415" s="813"/>
      <c r="C415" s="812"/>
      <c r="D415" s="813"/>
      <c r="E415" s="813"/>
      <c r="F415" s="814"/>
    </row>
    <row r="416" spans="1:6" ht="15.75" x14ac:dyDescent="0.25">
      <c r="A416" s="812"/>
      <c r="B416" s="813"/>
      <c r="C416" s="812"/>
      <c r="D416" s="813"/>
      <c r="E416" s="813"/>
      <c r="F416" s="814"/>
    </row>
    <row r="417" spans="1:6" ht="15.75" x14ac:dyDescent="0.25">
      <c r="A417" s="812"/>
      <c r="B417" s="813"/>
      <c r="C417" s="812"/>
      <c r="D417" s="813"/>
      <c r="E417" s="813"/>
      <c r="F417" s="814"/>
    </row>
    <row r="418" spans="1:6" ht="15.75" x14ac:dyDescent="0.25">
      <c r="A418" s="812"/>
      <c r="B418" s="813"/>
      <c r="C418" s="812"/>
      <c r="D418" s="813"/>
      <c r="E418" s="813"/>
      <c r="F418" s="814"/>
    </row>
    <row r="419" spans="1:6" ht="15.75" x14ac:dyDescent="0.25">
      <c r="A419" s="812"/>
      <c r="B419" s="813"/>
      <c r="C419" s="812"/>
      <c r="D419" s="813"/>
      <c r="E419" s="813"/>
      <c r="F419" s="814"/>
    </row>
    <row r="420" spans="1:6" ht="15.75" x14ac:dyDescent="0.25">
      <c r="A420" s="812"/>
      <c r="B420" s="813"/>
      <c r="C420" s="812"/>
      <c r="D420" s="813"/>
      <c r="E420" s="813"/>
      <c r="F420" s="814"/>
    </row>
    <row r="421" spans="1:6" ht="15.75" x14ac:dyDescent="0.25">
      <c r="A421" s="812"/>
      <c r="B421" s="813"/>
      <c r="C421" s="812"/>
      <c r="D421" s="813"/>
      <c r="E421" s="813"/>
      <c r="F421" s="814"/>
    </row>
    <row r="422" spans="1:6" ht="15.75" x14ac:dyDescent="0.25">
      <c r="A422" s="812"/>
      <c r="B422" s="813"/>
      <c r="C422" s="812"/>
      <c r="D422" s="813"/>
      <c r="E422" s="813"/>
      <c r="F422" s="814"/>
    </row>
    <row r="423" spans="1:6" ht="15.75" x14ac:dyDescent="0.25">
      <c r="A423" s="812"/>
      <c r="B423" s="813"/>
      <c r="C423" s="812"/>
      <c r="D423" s="813"/>
      <c r="E423" s="813"/>
      <c r="F423" s="814"/>
    </row>
    <row r="424" spans="1:6" ht="15.75" x14ac:dyDescent="0.25">
      <c r="A424" s="812"/>
      <c r="B424" s="813"/>
      <c r="C424" s="812"/>
      <c r="D424" s="813"/>
      <c r="E424" s="813"/>
      <c r="F424" s="814"/>
    </row>
    <row r="425" spans="1:6" ht="15.75" x14ac:dyDescent="0.25">
      <c r="A425" s="812"/>
      <c r="B425" s="813"/>
      <c r="C425" s="812"/>
      <c r="D425" s="813"/>
      <c r="E425" s="813"/>
      <c r="F425" s="814"/>
    </row>
    <row r="426" spans="1:6" ht="15.75" x14ac:dyDescent="0.25">
      <c r="A426" s="812"/>
      <c r="B426" s="813"/>
      <c r="C426" s="812"/>
      <c r="D426" s="813"/>
      <c r="E426" s="813"/>
      <c r="F426" s="814"/>
    </row>
    <row r="427" spans="1:6" ht="15.75" x14ac:dyDescent="0.25">
      <c r="A427" s="812"/>
      <c r="B427" s="813"/>
      <c r="C427" s="812"/>
      <c r="D427" s="813"/>
      <c r="E427" s="813"/>
      <c r="F427" s="814"/>
    </row>
    <row r="428" spans="1:6" ht="15.75" x14ac:dyDescent="0.25">
      <c r="A428" s="812"/>
      <c r="B428" s="813"/>
      <c r="C428" s="812"/>
      <c r="D428" s="813"/>
      <c r="E428" s="813"/>
      <c r="F428" s="814"/>
    </row>
    <row r="429" spans="1:6" ht="15.75" x14ac:dyDescent="0.25">
      <c r="A429" s="812"/>
      <c r="B429" s="813"/>
      <c r="C429" s="812"/>
      <c r="D429" s="813"/>
      <c r="E429" s="813"/>
      <c r="F429" s="814"/>
    </row>
    <row r="430" spans="1:6" ht="15.75" x14ac:dyDescent="0.25">
      <c r="A430" s="812"/>
      <c r="B430" s="813"/>
      <c r="C430" s="812"/>
      <c r="D430" s="813"/>
      <c r="E430" s="813"/>
      <c r="F430" s="814"/>
    </row>
    <row r="431" spans="1:6" ht="15.75" x14ac:dyDescent="0.25">
      <c r="A431" s="812"/>
      <c r="B431" s="813"/>
      <c r="C431" s="812"/>
      <c r="D431" s="813"/>
      <c r="E431" s="813"/>
      <c r="F431" s="814"/>
    </row>
    <row r="432" spans="1:6" ht="15.75" x14ac:dyDescent="0.25">
      <c r="A432" s="812"/>
      <c r="B432" s="813"/>
      <c r="C432" s="812"/>
      <c r="D432" s="813"/>
      <c r="E432" s="813"/>
      <c r="F432" s="814"/>
    </row>
    <row r="433" spans="1:6" ht="15.75" x14ac:dyDescent="0.25">
      <c r="A433" s="812"/>
      <c r="B433" s="813"/>
      <c r="C433" s="812"/>
      <c r="D433" s="813"/>
      <c r="E433" s="813"/>
      <c r="F433" s="814"/>
    </row>
    <row r="434" spans="1:6" ht="15.75" x14ac:dyDescent="0.25">
      <c r="A434" s="812"/>
      <c r="B434" s="813"/>
      <c r="C434" s="812"/>
      <c r="D434" s="813"/>
      <c r="E434" s="813"/>
      <c r="F434" s="814"/>
    </row>
    <row r="435" spans="1:6" ht="15.75" x14ac:dyDescent="0.25">
      <c r="A435" s="812"/>
      <c r="B435" s="813"/>
      <c r="C435" s="812"/>
      <c r="D435" s="813"/>
      <c r="E435" s="813"/>
      <c r="F435" s="814"/>
    </row>
    <row r="436" spans="1:6" ht="15.75" x14ac:dyDescent="0.25">
      <c r="A436" s="812"/>
      <c r="B436" s="813"/>
      <c r="C436" s="812"/>
      <c r="D436" s="813"/>
      <c r="E436" s="813"/>
      <c r="F436" s="814"/>
    </row>
    <row r="437" spans="1:6" ht="15.75" x14ac:dyDescent="0.25">
      <c r="A437" s="812"/>
      <c r="B437" s="813"/>
      <c r="C437" s="812"/>
      <c r="D437" s="813"/>
      <c r="E437" s="813"/>
      <c r="F437" s="814"/>
    </row>
    <row r="438" spans="1:6" ht="15.75" x14ac:dyDescent="0.25">
      <c r="A438" s="812"/>
      <c r="B438" s="813"/>
      <c r="C438" s="812"/>
      <c r="D438" s="813"/>
      <c r="E438" s="813"/>
      <c r="F438" s="814"/>
    </row>
    <row r="439" spans="1:6" ht="15.75" x14ac:dyDescent="0.25">
      <c r="A439" s="812"/>
      <c r="B439" s="813"/>
      <c r="C439" s="812"/>
      <c r="D439" s="813"/>
      <c r="E439" s="813"/>
      <c r="F439" s="814"/>
    </row>
    <row r="440" spans="1:6" ht="15.75" x14ac:dyDescent="0.25">
      <c r="A440" s="812"/>
      <c r="B440" s="813"/>
      <c r="C440" s="812"/>
      <c r="D440" s="813"/>
      <c r="E440" s="813"/>
      <c r="F440" s="814"/>
    </row>
    <row r="441" spans="1:6" ht="15.75" x14ac:dyDescent="0.25">
      <c r="A441" s="812"/>
      <c r="B441" s="813"/>
      <c r="C441" s="812"/>
      <c r="D441" s="813"/>
      <c r="E441" s="813"/>
      <c r="F441" s="814"/>
    </row>
    <row r="442" spans="1:6" ht="15.75" x14ac:dyDescent="0.25">
      <c r="A442" s="812"/>
      <c r="B442" s="813"/>
      <c r="C442" s="812"/>
      <c r="D442" s="813"/>
      <c r="E442" s="813"/>
      <c r="F442" s="814"/>
    </row>
    <row r="443" spans="1:6" ht="15.75" x14ac:dyDescent="0.25">
      <c r="A443" s="812"/>
      <c r="B443" s="813"/>
      <c r="C443" s="812"/>
      <c r="D443" s="813"/>
      <c r="E443" s="813"/>
      <c r="F443" s="814"/>
    </row>
    <row r="444" spans="1:6" ht="15.75" x14ac:dyDescent="0.25">
      <c r="A444" s="812"/>
      <c r="B444" s="813"/>
      <c r="C444" s="812"/>
      <c r="D444" s="813"/>
      <c r="E444" s="813"/>
      <c r="F444" s="814"/>
    </row>
    <row r="445" spans="1:6" ht="15.75" x14ac:dyDescent="0.25">
      <c r="A445" s="812"/>
      <c r="B445" s="813"/>
      <c r="C445" s="812"/>
      <c r="D445" s="813"/>
      <c r="E445" s="813"/>
      <c r="F445" s="814"/>
    </row>
    <row r="446" spans="1:6" ht="15.75" x14ac:dyDescent="0.25">
      <c r="A446" s="812"/>
      <c r="B446" s="813"/>
      <c r="C446" s="812"/>
      <c r="D446" s="813"/>
      <c r="E446" s="813"/>
      <c r="F446" s="814"/>
    </row>
    <row r="447" spans="1:6" ht="15.75" x14ac:dyDescent="0.25">
      <c r="A447" s="812"/>
      <c r="B447" s="813"/>
      <c r="C447" s="812"/>
      <c r="D447" s="813"/>
      <c r="E447" s="813"/>
      <c r="F447" s="814"/>
    </row>
    <row r="448" spans="1:6" ht="15.75" x14ac:dyDescent="0.25">
      <c r="A448" s="812"/>
      <c r="B448" s="813"/>
      <c r="C448" s="812"/>
      <c r="D448" s="813"/>
      <c r="E448" s="813"/>
      <c r="F448" s="814"/>
    </row>
    <row r="449" spans="1:6" ht="15.75" x14ac:dyDescent="0.25">
      <c r="A449" s="812"/>
      <c r="B449" s="813"/>
      <c r="C449" s="812"/>
      <c r="D449" s="813"/>
      <c r="E449" s="813"/>
      <c r="F449" s="814"/>
    </row>
    <row r="450" spans="1:6" ht="15.75" x14ac:dyDescent="0.25">
      <c r="A450" s="812"/>
      <c r="B450" s="813"/>
      <c r="C450" s="812"/>
      <c r="D450" s="813"/>
      <c r="E450" s="813"/>
      <c r="F450" s="814"/>
    </row>
    <row r="451" spans="1:6" ht="15.75" x14ac:dyDescent="0.25">
      <c r="A451" s="812"/>
      <c r="B451" s="813"/>
      <c r="C451" s="812"/>
      <c r="D451" s="813"/>
      <c r="E451" s="813"/>
      <c r="F451" s="814"/>
    </row>
    <row r="452" spans="1:6" ht="15.75" x14ac:dyDescent="0.25">
      <c r="A452" s="812"/>
      <c r="B452" s="813"/>
      <c r="C452" s="812"/>
      <c r="D452" s="813"/>
      <c r="E452" s="813"/>
      <c r="F452" s="814"/>
    </row>
    <row r="453" spans="1:6" ht="15.75" x14ac:dyDescent="0.25">
      <c r="A453" s="812"/>
      <c r="B453" s="813"/>
      <c r="C453" s="812"/>
      <c r="D453" s="813"/>
      <c r="E453" s="813"/>
      <c r="F453" s="814"/>
    </row>
    <row r="454" spans="1:6" ht="15.75" x14ac:dyDescent="0.25">
      <c r="A454" s="812"/>
      <c r="B454" s="813"/>
      <c r="C454" s="812"/>
      <c r="D454" s="813"/>
      <c r="E454" s="813"/>
      <c r="F454" s="814"/>
    </row>
    <row r="455" spans="1:6" ht="15.75" x14ac:dyDescent="0.25">
      <c r="A455" s="812"/>
      <c r="B455" s="813"/>
      <c r="C455" s="812"/>
      <c r="D455" s="813"/>
      <c r="E455" s="813"/>
      <c r="F455" s="814"/>
    </row>
    <row r="456" spans="1:6" ht="15.75" x14ac:dyDescent="0.25">
      <c r="A456" s="812"/>
      <c r="B456" s="813"/>
      <c r="C456" s="812"/>
      <c r="D456" s="813"/>
      <c r="E456" s="813"/>
      <c r="F456" s="814"/>
    </row>
    <row r="457" spans="1:6" ht="15.75" x14ac:dyDescent="0.25">
      <c r="A457" s="812"/>
      <c r="B457" s="813"/>
      <c r="C457" s="812"/>
      <c r="D457" s="813"/>
      <c r="E457" s="813"/>
      <c r="F457" s="814"/>
    </row>
    <row r="458" spans="1:6" ht="15.75" x14ac:dyDescent="0.25">
      <c r="A458" s="812"/>
      <c r="B458" s="813"/>
      <c r="C458" s="812"/>
      <c r="D458" s="813"/>
      <c r="E458" s="813"/>
      <c r="F458" s="814"/>
    </row>
    <row r="459" spans="1:6" ht="15.75" x14ac:dyDescent="0.25">
      <c r="A459" s="812"/>
      <c r="B459" s="813"/>
      <c r="C459" s="812"/>
      <c r="D459" s="813"/>
      <c r="E459" s="813"/>
      <c r="F459" s="814"/>
    </row>
    <row r="460" spans="1:6" ht="15.75" x14ac:dyDescent="0.25">
      <c r="A460" s="812"/>
      <c r="B460" s="813"/>
      <c r="C460" s="812"/>
      <c r="D460" s="813"/>
      <c r="E460" s="813"/>
      <c r="F460" s="814"/>
    </row>
    <row r="461" spans="1:6" ht="15.75" x14ac:dyDescent="0.25">
      <c r="A461" s="812"/>
      <c r="B461" s="813"/>
      <c r="C461" s="812"/>
      <c r="D461" s="813"/>
      <c r="E461" s="813"/>
      <c r="F461" s="814"/>
    </row>
    <row r="462" spans="1:6" ht="15.75" x14ac:dyDescent="0.25">
      <c r="A462" s="812"/>
      <c r="B462" s="813"/>
      <c r="C462" s="812"/>
      <c r="D462" s="813"/>
      <c r="E462" s="813"/>
      <c r="F462" s="814"/>
    </row>
    <row r="463" spans="1:6" ht="15.75" x14ac:dyDescent="0.25">
      <c r="A463" s="812"/>
      <c r="B463" s="813"/>
      <c r="C463" s="812"/>
      <c r="D463" s="813"/>
      <c r="E463" s="813"/>
      <c r="F463" s="814"/>
    </row>
    <row r="464" spans="1:6" ht="15.75" x14ac:dyDescent="0.25">
      <c r="A464" s="812"/>
      <c r="B464" s="813"/>
      <c r="C464" s="812"/>
      <c r="D464" s="813"/>
      <c r="E464" s="813"/>
      <c r="F464" s="814"/>
    </row>
    <row r="465" spans="1:6" ht="15.75" x14ac:dyDescent="0.25">
      <c r="A465" s="812"/>
      <c r="B465" s="813"/>
      <c r="C465" s="812"/>
      <c r="D465" s="813"/>
      <c r="E465" s="813"/>
      <c r="F465" s="814"/>
    </row>
    <row r="466" spans="1:6" ht="15.75" x14ac:dyDescent="0.25">
      <c r="A466" s="812"/>
      <c r="B466" s="813"/>
      <c r="C466" s="812"/>
      <c r="D466" s="813"/>
      <c r="E466" s="813"/>
      <c r="F466" s="814"/>
    </row>
    <row r="467" spans="1:6" ht="15.75" x14ac:dyDescent="0.25">
      <c r="A467" s="812"/>
      <c r="B467" s="813"/>
      <c r="C467" s="812"/>
      <c r="D467" s="813"/>
      <c r="E467" s="813"/>
      <c r="F467" s="814"/>
    </row>
    <row r="468" spans="1:6" ht="15.75" x14ac:dyDescent="0.25">
      <c r="A468" s="812"/>
      <c r="B468" s="813"/>
      <c r="C468" s="812"/>
      <c r="D468" s="813"/>
      <c r="E468" s="813"/>
      <c r="F468" s="814"/>
    </row>
    <row r="469" spans="1:6" ht="15.75" x14ac:dyDescent="0.25">
      <c r="A469" s="812"/>
      <c r="B469" s="813"/>
      <c r="C469" s="812"/>
      <c r="D469" s="813"/>
      <c r="E469" s="813"/>
      <c r="F469" s="814"/>
    </row>
    <row r="470" spans="1:6" ht="15.75" x14ac:dyDescent="0.25">
      <c r="A470" s="812"/>
      <c r="B470" s="813"/>
      <c r="C470" s="812"/>
      <c r="D470" s="813"/>
      <c r="E470" s="813"/>
      <c r="F470" s="814"/>
    </row>
    <row r="471" spans="1:6" ht="15.75" x14ac:dyDescent="0.25">
      <c r="A471" s="812"/>
      <c r="B471" s="813"/>
      <c r="C471" s="812"/>
      <c r="D471" s="813"/>
      <c r="E471" s="813"/>
      <c r="F471" s="814"/>
    </row>
    <row r="472" spans="1:6" ht="15.75" x14ac:dyDescent="0.25">
      <c r="A472" s="812"/>
      <c r="B472" s="813"/>
      <c r="C472" s="812"/>
      <c r="D472" s="813"/>
      <c r="E472" s="813"/>
      <c r="F472" s="814"/>
    </row>
    <row r="473" spans="1:6" ht="15.75" x14ac:dyDescent="0.25">
      <c r="A473" s="812"/>
      <c r="B473" s="813"/>
      <c r="C473" s="812"/>
      <c r="D473" s="813"/>
      <c r="E473" s="813"/>
      <c r="F473" s="814"/>
    </row>
    <row r="474" spans="1:6" ht="15.75" x14ac:dyDescent="0.25">
      <c r="A474" s="812"/>
      <c r="B474" s="813"/>
      <c r="C474" s="812"/>
      <c r="D474" s="813"/>
      <c r="E474" s="813"/>
      <c r="F474" s="814"/>
    </row>
    <row r="475" spans="1:6" ht="15.75" x14ac:dyDescent="0.25">
      <c r="A475" s="812"/>
      <c r="B475" s="813"/>
      <c r="C475" s="812"/>
      <c r="D475" s="813"/>
      <c r="E475" s="813"/>
      <c r="F475" s="814"/>
    </row>
    <row r="476" spans="1:6" ht="15.75" x14ac:dyDescent="0.25">
      <c r="A476" s="812"/>
      <c r="B476" s="813"/>
      <c r="C476" s="812"/>
      <c r="D476" s="813"/>
      <c r="E476" s="813"/>
      <c r="F476" s="814"/>
    </row>
    <row r="477" spans="1:6" ht="15.75" x14ac:dyDescent="0.25">
      <c r="A477" s="812"/>
      <c r="B477" s="813"/>
      <c r="C477" s="812"/>
      <c r="D477" s="813"/>
      <c r="E477" s="813"/>
      <c r="F477" s="814"/>
    </row>
    <row r="478" spans="1:6" ht="15.75" x14ac:dyDescent="0.25">
      <c r="A478" s="812"/>
      <c r="B478" s="813"/>
      <c r="C478" s="812"/>
      <c r="D478" s="813"/>
      <c r="E478" s="813"/>
      <c r="F478" s="814"/>
    </row>
    <row r="479" spans="1:6" ht="15.75" x14ac:dyDescent="0.25">
      <c r="A479" s="812"/>
      <c r="B479" s="813"/>
      <c r="C479" s="812"/>
      <c r="D479" s="813"/>
      <c r="E479" s="813"/>
      <c r="F479" s="814"/>
    </row>
    <row r="480" spans="1:6" ht="15.75" x14ac:dyDescent="0.25">
      <c r="A480" s="812"/>
      <c r="B480" s="813"/>
      <c r="C480" s="812"/>
      <c r="D480" s="813"/>
      <c r="E480" s="813"/>
      <c r="F480" s="814"/>
    </row>
    <row r="481" spans="1:6" ht="15.75" x14ac:dyDescent="0.25">
      <c r="A481" s="812"/>
      <c r="B481" s="813"/>
      <c r="C481" s="812"/>
      <c r="D481" s="813"/>
      <c r="E481" s="813"/>
      <c r="F481" s="814"/>
    </row>
    <row r="482" spans="1:6" ht="15.75" x14ac:dyDescent="0.25">
      <c r="A482" s="812"/>
      <c r="B482" s="813"/>
      <c r="C482" s="812"/>
      <c r="D482" s="813"/>
      <c r="E482" s="813"/>
      <c r="F482" s="814"/>
    </row>
    <row r="483" spans="1:6" ht="15.75" x14ac:dyDescent="0.25">
      <c r="A483" s="812"/>
      <c r="B483" s="813"/>
      <c r="C483" s="812"/>
      <c r="D483" s="813"/>
      <c r="E483" s="813"/>
      <c r="F483" s="814"/>
    </row>
    <row r="484" spans="1:6" ht="15.75" x14ac:dyDescent="0.25">
      <c r="A484" s="812"/>
      <c r="B484" s="813"/>
      <c r="C484" s="812"/>
      <c r="D484" s="813"/>
      <c r="E484" s="813"/>
      <c r="F484" s="814"/>
    </row>
    <row r="485" spans="1:6" ht="15.75" x14ac:dyDescent="0.25">
      <c r="A485" s="812"/>
      <c r="B485" s="813"/>
      <c r="C485" s="812"/>
      <c r="D485" s="813"/>
      <c r="E485" s="813"/>
      <c r="F485" s="814"/>
    </row>
    <row r="486" spans="1:6" ht="15.75" x14ac:dyDescent="0.25">
      <c r="A486" s="812"/>
      <c r="B486" s="813"/>
      <c r="C486" s="812"/>
      <c r="D486" s="813"/>
      <c r="E486" s="813"/>
      <c r="F486" s="814"/>
    </row>
    <row r="487" spans="1:6" ht="15.75" x14ac:dyDescent="0.25">
      <c r="A487" s="812"/>
      <c r="B487" s="813"/>
      <c r="C487" s="812"/>
      <c r="D487" s="813"/>
      <c r="E487" s="813"/>
      <c r="F487" s="814"/>
    </row>
    <row r="488" spans="1:6" ht="15.75" x14ac:dyDescent="0.25">
      <c r="A488" s="812"/>
      <c r="B488" s="813"/>
      <c r="C488" s="812"/>
      <c r="D488" s="813"/>
      <c r="E488" s="813"/>
      <c r="F488" s="814"/>
    </row>
    <row r="489" spans="1:6" ht="15.75" x14ac:dyDescent="0.25">
      <c r="A489" s="812"/>
      <c r="B489" s="813"/>
      <c r="C489" s="812"/>
      <c r="D489" s="813"/>
      <c r="E489" s="813"/>
      <c r="F489" s="814"/>
    </row>
    <row r="490" spans="1:6" ht="15.75" x14ac:dyDescent="0.25">
      <c r="A490" s="812"/>
      <c r="B490" s="813"/>
      <c r="C490" s="812"/>
      <c r="D490" s="813"/>
      <c r="E490" s="813"/>
      <c r="F490" s="814"/>
    </row>
    <row r="491" spans="1:6" ht="15.75" x14ac:dyDescent="0.25">
      <c r="A491" s="812"/>
      <c r="B491" s="813"/>
      <c r="C491" s="812"/>
      <c r="D491" s="813"/>
      <c r="E491" s="813"/>
      <c r="F491" s="814"/>
    </row>
    <row r="492" spans="1:6" ht="15.75" x14ac:dyDescent="0.25">
      <c r="A492" s="812"/>
      <c r="B492" s="813"/>
      <c r="C492" s="812"/>
      <c r="D492" s="813"/>
      <c r="E492" s="813"/>
      <c r="F492" s="814"/>
    </row>
    <row r="493" spans="1:6" ht="15.75" x14ac:dyDescent="0.25">
      <c r="A493" s="812"/>
      <c r="B493" s="813"/>
      <c r="C493" s="812"/>
      <c r="D493" s="813"/>
      <c r="E493" s="813"/>
      <c r="F493" s="814"/>
    </row>
    <row r="494" spans="1:6" ht="15.75" x14ac:dyDescent="0.25">
      <c r="A494" s="812"/>
      <c r="B494" s="813"/>
      <c r="C494" s="812"/>
      <c r="D494" s="813"/>
      <c r="E494" s="813"/>
      <c r="F494" s="814"/>
    </row>
    <row r="495" spans="1:6" ht="15.75" x14ac:dyDescent="0.25">
      <c r="A495" s="812"/>
      <c r="B495" s="813"/>
      <c r="C495" s="812"/>
      <c r="D495" s="813"/>
      <c r="E495" s="813"/>
      <c r="F495" s="814"/>
    </row>
    <row r="496" spans="1:6" ht="15.75" x14ac:dyDescent="0.25">
      <c r="A496" s="812"/>
      <c r="B496" s="813"/>
      <c r="C496" s="812"/>
      <c r="D496" s="813"/>
      <c r="E496" s="813"/>
      <c r="F496" s="814"/>
    </row>
    <row r="497" spans="1:6" ht="15.75" x14ac:dyDescent="0.25">
      <c r="A497" s="812"/>
      <c r="B497" s="813"/>
      <c r="C497" s="812"/>
      <c r="D497" s="813"/>
      <c r="E497" s="813"/>
      <c r="F497" s="814"/>
    </row>
    <row r="498" spans="1:6" ht="15.75" x14ac:dyDescent="0.25">
      <c r="A498" s="812"/>
      <c r="B498" s="813"/>
      <c r="C498" s="812"/>
      <c r="D498" s="813"/>
      <c r="E498" s="813"/>
      <c r="F498" s="814"/>
    </row>
    <row r="499" spans="1:6" ht="15.75" x14ac:dyDescent="0.25">
      <c r="A499" s="812"/>
      <c r="B499" s="813"/>
      <c r="C499" s="812"/>
      <c r="D499" s="813"/>
      <c r="E499" s="813"/>
      <c r="F499" s="814"/>
    </row>
    <row r="500" spans="1:6" ht="15.75" x14ac:dyDescent="0.25">
      <c r="A500" s="812"/>
      <c r="B500" s="813"/>
      <c r="C500" s="812"/>
      <c r="D500" s="813"/>
      <c r="E500" s="813"/>
      <c r="F500" s="814"/>
    </row>
    <row r="501" spans="1:6" ht="15.75" x14ac:dyDescent="0.25">
      <c r="A501" s="812"/>
      <c r="B501" s="813"/>
      <c r="C501" s="812"/>
      <c r="D501" s="813"/>
      <c r="E501" s="813"/>
      <c r="F501" s="814"/>
    </row>
    <row r="502" spans="1:6" ht="15.75" x14ac:dyDescent="0.25">
      <c r="A502" s="812"/>
      <c r="B502" s="813"/>
      <c r="C502" s="812"/>
      <c r="D502" s="813"/>
      <c r="E502" s="813"/>
      <c r="F502" s="814"/>
    </row>
    <row r="503" spans="1:6" ht="15.75" x14ac:dyDescent="0.25">
      <c r="A503" s="812"/>
      <c r="B503" s="813"/>
      <c r="C503" s="812"/>
      <c r="D503" s="813"/>
      <c r="E503" s="813"/>
      <c r="F503" s="814"/>
    </row>
    <row r="504" spans="1:6" ht="15.75" x14ac:dyDescent="0.25">
      <c r="A504" s="812"/>
      <c r="B504" s="813"/>
      <c r="C504" s="812"/>
      <c r="D504" s="813"/>
      <c r="E504" s="813"/>
      <c r="F504" s="814"/>
    </row>
    <row r="505" spans="1:6" ht="15.75" x14ac:dyDescent="0.25">
      <c r="A505" s="812"/>
      <c r="B505" s="813"/>
      <c r="C505" s="812"/>
      <c r="D505" s="813"/>
      <c r="E505" s="813"/>
      <c r="F505" s="814"/>
    </row>
    <row r="506" spans="1:6" ht="15.75" x14ac:dyDescent="0.25">
      <c r="A506" s="812"/>
      <c r="B506" s="813"/>
      <c r="C506" s="812"/>
      <c r="D506" s="813"/>
      <c r="E506" s="813"/>
      <c r="F506" s="814"/>
    </row>
    <row r="507" spans="1:6" ht="15.75" x14ac:dyDescent="0.25">
      <c r="A507" s="812"/>
      <c r="B507" s="813"/>
      <c r="C507" s="812"/>
      <c r="D507" s="813"/>
      <c r="E507" s="813"/>
      <c r="F507" s="814"/>
    </row>
    <row r="508" spans="1:6" ht="15.75" x14ac:dyDescent="0.25">
      <c r="A508" s="812"/>
      <c r="B508" s="813"/>
      <c r="C508" s="812"/>
      <c r="D508" s="813"/>
      <c r="E508" s="813"/>
      <c r="F508" s="814"/>
    </row>
    <row r="509" spans="1:6" ht="15.75" x14ac:dyDescent="0.25">
      <c r="A509" s="812"/>
      <c r="B509" s="813"/>
      <c r="C509" s="812"/>
      <c r="D509" s="813"/>
      <c r="E509" s="813"/>
      <c r="F509" s="814"/>
    </row>
    <row r="510" spans="1:6" ht="15.75" x14ac:dyDescent="0.25">
      <c r="A510" s="812"/>
      <c r="B510" s="813"/>
      <c r="C510" s="812"/>
      <c r="D510" s="813"/>
      <c r="E510" s="813"/>
      <c r="F510" s="814"/>
    </row>
    <row r="511" spans="1:6" ht="15.75" x14ac:dyDescent="0.25">
      <c r="A511" s="812"/>
      <c r="B511" s="813"/>
      <c r="C511" s="812"/>
      <c r="D511" s="813"/>
      <c r="E511" s="813"/>
      <c r="F511" s="814"/>
    </row>
    <row r="512" spans="1:6" ht="15.75" x14ac:dyDescent="0.25">
      <c r="A512" s="812"/>
      <c r="B512" s="813"/>
      <c r="C512" s="812"/>
      <c r="D512" s="813"/>
      <c r="E512" s="813"/>
      <c r="F512" s="814"/>
    </row>
    <row r="513" spans="1:6" ht="15.75" x14ac:dyDescent="0.25">
      <c r="A513" s="812"/>
      <c r="B513" s="813"/>
      <c r="C513" s="812"/>
      <c r="D513" s="813"/>
      <c r="E513" s="813"/>
      <c r="F513" s="814"/>
    </row>
    <row r="514" spans="1:6" ht="15.75" x14ac:dyDescent="0.25">
      <c r="A514" s="812"/>
      <c r="B514" s="813"/>
      <c r="C514" s="812"/>
      <c r="D514" s="813"/>
      <c r="E514" s="813"/>
      <c r="F514" s="814"/>
    </row>
    <row r="515" spans="1:6" ht="15.75" x14ac:dyDescent="0.25">
      <c r="A515" s="812"/>
      <c r="B515" s="813"/>
      <c r="C515" s="812"/>
      <c r="D515" s="813"/>
      <c r="E515" s="813"/>
      <c r="F515" s="814"/>
    </row>
    <row r="516" spans="1:6" ht="15.75" x14ac:dyDescent="0.25">
      <c r="A516" s="812"/>
      <c r="B516" s="813"/>
      <c r="C516" s="812"/>
      <c r="D516" s="813"/>
      <c r="E516" s="813"/>
      <c r="F516" s="814"/>
    </row>
    <row r="517" spans="1:6" ht="15.75" x14ac:dyDescent="0.25">
      <c r="A517" s="812"/>
      <c r="B517" s="813"/>
      <c r="C517" s="812"/>
      <c r="D517" s="813"/>
      <c r="E517" s="813"/>
      <c r="F517" s="814"/>
    </row>
    <row r="518" spans="1:6" ht="15.75" x14ac:dyDescent="0.25">
      <c r="A518" s="812"/>
      <c r="B518" s="813"/>
      <c r="C518" s="812"/>
      <c r="D518" s="813"/>
      <c r="E518" s="813"/>
      <c r="F518" s="814"/>
    </row>
    <row r="519" spans="1:6" ht="15.75" x14ac:dyDescent="0.25">
      <c r="A519" s="812"/>
      <c r="B519" s="813"/>
      <c r="C519" s="812"/>
      <c r="D519" s="813"/>
      <c r="E519" s="813"/>
      <c r="F519" s="814"/>
    </row>
    <row r="520" spans="1:6" ht="15.75" x14ac:dyDescent="0.25">
      <c r="A520" s="812"/>
      <c r="B520" s="813"/>
      <c r="C520" s="812"/>
      <c r="D520" s="813"/>
      <c r="E520" s="813"/>
      <c r="F520" s="814"/>
    </row>
    <row r="521" spans="1:6" ht="15.75" x14ac:dyDescent="0.25">
      <c r="A521" s="812"/>
      <c r="B521" s="813"/>
      <c r="C521" s="812"/>
      <c r="D521" s="813"/>
      <c r="E521" s="813"/>
      <c r="F521" s="814"/>
    </row>
    <row r="522" spans="1:6" ht="15.75" x14ac:dyDescent="0.25">
      <c r="A522" s="812"/>
      <c r="B522" s="813"/>
      <c r="C522" s="812"/>
      <c r="D522" s="813"/>
      <c r="E522" s="813"/>
      <c r="F522" s="814"/>
    </row>
    <row r="523" spans="1:6" ht="15.75" x14ac:dyDescent="0.25">
      <c r="A523" s="812"/>
      <c r="B523" s="813"/>
      <c r="C523" s="812"/>
      <c r="D523" s="813"/>
      <c r="E523" s="813"/>
      <c r="F523" s="814"/>
    </row>
    <row r="524" spans="1:6" ht="15.75" x14ac:dyDescent="0.25">
      <c r="A524" s="812"/>
      <c r="B524" s="813"/>
      <c r="C524" s="812"/>
      <c r="D524" s="813"/>
      <c r="E524" s="813"/>
      <c r="F524" s="814"/>
    </row>
    <row r="525" spans="1:6" ht="15.75" x14ac:dyDescent="0.25">
      <c r="A525" s="812"/>
      <c r="B525" s="813"/>
      <c r="C525" s="812"/>
      <c r="D525" s="813"/>
      <c r="E525" s="813"/>
      <c r="F525" s="814"/>
    </row>
    <row r="526" spans="1:6" ht="15.75" x14ac:dyDescent="0.25">
      <c r="A526" s="812"/>
      <c r="B526" s="813"/>
      <c r="C526" s="812"/>
      <c r="D526" s="813"/>
      <c r="E526" s="813"/>
      <c r="F526" s="814"/>
    </row>
    <row r="527" spans="1:6" ht="15.75" x14ac:dyDescent="0.25">
      <c r="A527" s="812"/>
      <c r="B527" s="813"/>
      <c r="C527" s="812"/>
      <c r="D527" s="813"/>
      <c r="E527" s="813"/>
      <c r="F527" s="814"/>
    </row>
    <row r="528" spans="1:6" ht="15.75" x14ac:dyDescent="0.25">
      <c r="A528" s="812"/>
      <c r="B528" s="813"/>
      <c r="C528" s="812"/>
      <c r="D528" s="813"/>
      <c r="E528" s="813"/>
      <c r="F528" s="814"/>
    </row>
    <row r="529" spans="1:6" ht="15.75" x14ac:dyDescent="0.25">
      <c r="A529" s="812"/>
      <c r="B529" s="813"/>
      <c r="C529" s="812"/>
      <c r="D529" s="813"/>
      <c r="E529" s="813"/>
      <c r="F529" s="814"/>
    </row>
    <row r="530" spans="1:6" ht="15.75" x14ac:dyDescent="0.25">
      <c r="A530" s="812"/>
      <c r="B530" s="813"/>
      <c r="C530" s="812"/>
      <c r="D530" s="813"/>
      <c r="E530" s="813"/>
      <c r="F530" s="814"/>
    </row>
    <row r="531" spans="1:6" ht="15.75" x14ac:dyDescent="0.25">
      <c r="A531" s="812"/>
      <c r="B531" s="813"/>
      <c r="C531" s="812"/>
      <c r="D531" s="813"/>
      <c r="E531" s="813"/>
      <c r="F531" s="814"/>
    </row>
    <row r="532" spans="1:6" ht="15.75" x14ac:dyDescent="0.25">
      <c r="A532" s="812"/>
      <c r="B532" s="813"/>
      <c r="C532" s="812"/>
      <c r="D532" s="813"/>
      <c r="E532" s="813"/>
      <c r="F532" s="814"/>
    </row>
    <row r="533" spans="1:6" ht="15.75" x14ac:dyDescent="0.25">
      <c r="A533" s="812"/>
      <c r="B533" s="813"/>
      <c r="C533" s="812"/>
      <c r="D533" s="813"/>
      <c r="E533" s="813"/>
      <c r="F533" s="814"/>
    </row>
    <row r="534" spans="1:6" ht="15.75" x14ac:dyDescent="0.25">
      <c r="A534" s="812"/>
      <c r="B534" s="813"/>
      <c r="C534" s="812"/>
      <c r="D534" s="813"/>
      <c r="E534" s="813"/>
      <c r="F534" s="814"/>
    </row>
    <row r="535" spans="1:6" ht="15.75" x14ac:dyDescent="0.25">
      <c r="A535" s="812"/>
      <c r="B535" s="813"/>
      <c r="C535" s="812"/>
      <c r="D535" s="813"/>
      <c r="E535" s="813"/>
      <c r="F535" s="814"/>
    </row>
    <row r="536" spans="1:6" ht="15.75" x14ac:dyDescent="0.25">
      <c r="A536" s="812"/>
      <c r="B536" s="813"/>
      <c r="C536" s="812"/>
      <c r="D536" s="813"/>
      <c r="E536" s="813"/>
      <c r="F536" s="814"/>
    </row>
    <row r="537" spans="1:6" ht="15.75" x14ac:dyDescent="0.25">
      <c r="A537" s="812"/>
      <c r="B537" s="813"/>
      <c r="C537" s="812"/>
      <c r="D537" s="813"/>
      <c r="E537" s="813"/>
      <c r="F537" s="814"/>
    </row>
    <row r="538" spans="1:6" ht="15.75" x14ac:dyDescent="0.25">
      <c r="A538" s="812"/>
      <c r="B538" s="813"/>
      <c r="C538" s="812"/>
      <c r="D538" s="813"/>
      <c r="E538" s="813"/>
      <c r="F538" s="814"/>
    </row>
    <row r="539" spans="1:6" ht="15.75" x14ac:dyDescent="0.25">
      <c r="A539" s="812"/>
      <c r="B539" s="813"/>
      <c r="C539" s="812"/>
      <c r="D539" s="813"/>
      <c r="E539" s="813"/>
      <c r="F539" s="814"/>
    </row>
    <row r="540" spans="1:6" ht="15.75" x14ac:dyDescent="0.25">
      <c r="A540" s="812"/>
      <c r="B540" s="813"/>
      <c r="C540" s="812"/>
      <c r="D540" s="813"/>
      <c r="E540" s="813"/>
      <c r="F540" s="814"/>
    </row>
    <row r="541" spans="1:6" ht="15.75" x14ac:dyDescent="0.25">
      <c r="A541" s="812"/>
      <c r="B541" s="813"/>
      <c r="C541" s="812"/>
      <c r="D541" s="813"/>
      <c r="E541" s="813"/>
      <c r="F541" s="814"/>
    </row>
    <row r="542" spans="1:6" ht="15.75" x14ac:dyDescent="0.25">
      <c r="A542" s="812"/>
      <c r="B542" s="813"/>
      <c r="C542" s="812"/>
      <c r="D542" s="813"/>
      <c r="E542" s="813"/>
      <c r="F542" s="814"/>
    </row>
    <row r="543" spans="1:6" ht="15.75" x14ac:dyDescent="0.25">
      <c r="A543" s="812"/>
      <c r="B543" s="813"/>
      <c r="C543" s="812"/>
      <c r="D543" s="813"/>
      <c r="E543" s="813"/>
      <c r="F543" s="814"/>
    </row>
    <row r="544" spans="1:6" ht="15.75" x14ac:dyDescent="0.25">
      <c r="A544" s="812"/>
      <c r="B544" s="813"/>
      <c r="C544" s="812"/>
      <c r="D544" s="813"/>
      <c r="E544" s="813"/>
      <c r="F544" s="814"/>
    </row>
    <row r="545" spans="1:6" ht="15.75" x14ac:dyDescent="0.25">
      <c r="A545" s="812"/>
      <c r="B545" s="813"/>
      <c r="C545" s="812"/>
      <c r="D545" s="813"/>
      <c r="E545" s="813"/>
      <c r="F545" s="814"/>
    </row>
    <row r="546" spans="1:6" ht="15.75" x14ac:dyDescent="0.25">
      <c r="A546" s="812"/>
      <c r="B546" s="813"/>
      <c r="C546" s="812"/>
      <c r="D546" s="813"/>
      <c r="E546" s="813"/>
      <c r="F546" s="814"/>
    </row>
    <row r="547" spans="1:6" ht="15.75" x14ac:dyDescent="0.25">
      <c r="A547" s="812"/>
      <c r="B547" s="813"/>
      <c r="C547" s="812"/>
      <c r="D547" s="813"/>
      <c r="E547" s="813"/>
      <c r="F547" s="814"/>
    </row>
    <row r="548" spans="1:6" ht="15.75" x14ac:dyDescent="0.25">
      <c r="A548" s="812"/>
      <c r="B548" s="813"/>
      <c r="C548" s="812"/>
      <c r="D548" s="813"/>
      <c r="E548" s="813"/>
      <c r="F548" s="814"/>
    </row>
    <row r="549" spans="1:6" ht="15.75" x14ac:dyDescent="0.25">
      <c r="A549" s="812"/>
      <c r="B549" s="813"/>
      <c r="C549" s="812"/>
      <c r="D549" s="813"/>
      <c r="E549" s="813"/>
      <c r="F549" s="814"/>
    </row>
    <row r="550" spans="1:6" ht="15.75" x14ac:dyDescent="0.25">
      <c r="A550" s="812"/>
      <c r="B550" s="813"/>
      <c r="C550" s="812"/>
      <c r="D550" s="813"/>
      <c r="E550" s="813"/>
      <c r="F550" s="814"/>
    </row>
    <row r="551" spans="1:6" ht="15.75" x14ac:dyDescent="0.25">
      <c r="A551" s="812"/>
      <c r="B551" s="813"/>
      <c r="C551" s="812"/>
      <c r="D551" s="813"/>
      <c r="E551" s="813"/>
      <c r="F551" s="814"/>
    </row>
    <row r="552" spans="1:6" ht="15.75" x14ac:dyDescent="0.25">
      <c r="A552" s="812"/>
      <c r="B552" s="813"/>
      <c r="C552" s="812"/>
      <c r="D552" s="813"/>
      <c r="E552" s="813"/>
      <c r="F552" s="814"/>
    </row>
    <row r="553" spans="1:6" ht="15.75" x14ac:dyDescent="0.25">
      <c r="A553" s="812"/>
      <c r="B553" s="813"/>
      <c r="C553" s="812"/>
      <c r="D553" s="813"/>
      <c r="E553" s="813"/>
      <c r="F553" s="814"/>
    </row>
    <row r="554" spans="1:6" ht="15.75" x14ac:dyDescent="0.25">
      <c r="A554" s="812"/>
      <c r="B554" s="813"/>
      <c r="C554" s="812"/>
      <c r="D554" s="813"/>
      <c r="E554" s="813"/>
      <c r="F554" s="814"/>
    </row>
    <row r="555" spans="1:6" ht="15.75" x14ac:dyDescent="0.25">
      <c r="A555" s="812"/>
      <c r="B555" s="813"/>
      <c r="C555" s="812"/>
      <c r="D555" s="813"/>
      <c r="E555" s="813"/>
      <c r="F555" s="814"/>
    </row>
    <row r="556" spans="1:6" ht="15.75" x14ac:dyDescent="0.25">
      <c r="A556" s="812"/>
      <c r="B556" s="813"/>
      <c r="C556" s="812"/>
      <c r="D556" s="813"/>
      <c r="E556" s="813"/>
      <c r="F556" s="814"/>
    </row>
    <row r="557" spans="1:6" ht="15.75" x14ac:dyDescent="0.25">
      <c r="A557" s="812"/>
      <c r="B557" s="813"/>
      <c r="C557" s="812"/>
      <c r="D557" s="813"/>
      <c r="E557" s="813"/>
      <c r="F557" s="814"/>
    </row>
    <row r="558" spans="1:6" ht="15.75" x14ac:dyDescent="0.25">
      <c r="A558" s="812"/>
      <c r="B558" s="813"/>
      <c r="C558" s="812"/>
      <c r="D558" s="813"/>
      <c r="E558" s="813"/>
      <c r="F558" s="814"/>
    </row>
    <row r="559" spans="1:6" ht="15.75" x14ac:dyDescent="0.25">
      <c r="A559" s="812"/>
      <c r="B559" s="813"/>
      <c r="C559" s="812"/>
      <c r="D559" s="813"/>
      <c r="E559" s="813"/>
      <c r="F559" s="814"/>
    </row>
    <row r="560" spans="1:6" ht="15.75" x14ac:dyDescent="0.25">
      <c r="A560" s="812"/>
      <c r="B560" s="813"/>
      <c r="C560" s="812"/>
      <c r="D560" s="813"/>
      <c r="E560" s="813"/>
      <c r="F560" s="814"/>
    </row>
    <row r="561" spans="1:6" ht="15.75" x14ac:dyDescent="0.25">
      <c r="A561" s="812"/>
      <c r="B561" s="813"/>
      <c r="C561" s="812"/>
      <c r="D561" s="813"/>
      <c r="E561" s="813"/>
      <c r="F561" s="814"/>
    </row>
    <row r="562" spans="1:6" ht="15.75" x14ac:dyDescent="0.25">
      <c r="A562" s="812"/>
      <c r="B562" s="813"/>
      <c r="C562" s="812"/>
      <c r="D562" s="813"/>
      <c r="E562" s="813"/>
      <c r="F562" s="814"/>
    </row>
    <row r="563" spans="1:6" ht="15.75" x14ac:dyDescent="0.25">
      <c r="A563" s="812"/>
      <c r="B563" s="813"/>
      <c r="C563" s="812"/>
      <c r="D563" s="813"/>
      <c r="E563" s="813"/>
      <c r="F563" s="814"/>
    </row>
    <row r="564" spans="1:6" ht="15.75" x14ac:dyDescent="0.25">
      <c r="A564" s="812"/>
      <c r="B564" s="813"/>
      <c r="C564" s="812"/>
      <c r="D564" s="813"/>
      <c r="E564" s="813"/>
      <c r="F564" s="814"/>
    </row>
    <row r="565" spans="1:6" ht="15.75" x14ac:dyDescent="0.25">
      <c r="A565" s="812"/>
      <c r="B565" s="813"/>
      <c r="C565" s="812"/>
      <c r="D565" s="813"/>
      <c r="E565" s="813"/>
      <c r="F565" s="814"/>
    </row>
    <row r="566" spans="1:6" ht="15.75" x14ac:dyDescent="0.25">
      <c r="A566" s="812"/>
      <c r="B566" s="813"/>
      <c r="C566" s="812"/>
      <c r="D566" s="813"/>
      <c r="E566" s="813"/>
      <c r="F566" s="814"/>
    </row>
    <row r="567" spans="1:6" ht="15.75" x14ac:dyDescent="0.25">
      <c r="A567" s="812"/>
      <c r="B567" s="813"/>
      <c r="C567" s="812"/>
      <c r="D567" s="813"/>
      <c r="E567" s="813"/>
      <c r="F567" s="814"/>
    </row>
    <row r="568" spans="1:6" ht="15.75" x14ac:dyDescent="0.25">
      <c r="A568" s="812"/>
      <c r="B568" s="813"/>
      <c r="C568" s="812"/>
      <c r="D568" s="813"/>
      <c r="E568" s="813"/>
      <c r="F568" s="814"/>
    </row>
    <row r="569" spans="1:6" ht="15.75" x14ac:dyDescent="0.25">
      <c r="A569" s="812"/>
      <c r="B569" s="813"/>
      <c r="C569" s="812"/>
      <c r="D569" s="813"/>
      <c r="E569" s="813"/>
      <c r="F569" s="814"/>
    </row>
    <row r="570" spans="1:6" ht="15.75" x14ac:dyDescent="0.25">
      <c r="A570" s="812"/>
      <c r="B570" s="813"/>
      <c r="C570" s="812"/>
      <c r="D570" s="813"/>
      <c r="E570" s="813"/>
      <c r="F570" s="814"/>
    </row>
    <row r="571" spans="1:6" ht="15.75" x14ac:dyDescent="0.25">
      <c r="A571" s="812"/>
      <c r="B571" s="813"/>
      <c r="C571" s="812"/>
      <c r="D571" s="813"/>
      <c r="E571" s="813"/>
      <c r="F571" s="814"/>
    </row>
    <row r="572" spans="1:6" ht="15.75" x14ac:dyDescent="0.25">
      <c r="A572" s="812"/>
      <c r="B572" s="813"/>
      <c r="C572" s="812"/>
      <c r="D572" s="813"/>
      <c r="E572" s="813"/>
      <c r="F572" s="814"/>
    </row>
    <row r="573" spans="1:6" ht="15.75" x14ac:dyDescent="0.25">
      <c r="A573" s="812"/>
      <c r="B573" s="813"/>
      <c r="C573" s="812"/>
      <c r="D573" s="813"/>
      <c r="E573" s="813"/>
      <c r="F573" s="814"/>
    </row>
    <row r="574" spans="1:6" ht="15.75" x14ac:dyDescent="0.25">
      <c r="A574" s="812"/>
      <c r="B574" s="813"/>
      <c r="C574" s="812"/>
      <c r="D574" s="813"/>
      <c r="E574" s="813"/>
      <c r="F574" s="814"/>
    </row>
    <row r="575" spans="1:6" ht="15.75" x14ac:dyDescent="0.25">
      <c r="A575" s="812"/>
      <c r="B575" s="813"/>
      <c r="C575" s="812"/>
      <c r="D575" s="813"/>
      <c r="E575" s="813"/>
      <c r="F575" s="814"/>
    </row>
    <row r="576" spans="1:6" ht="15.75" x14ac:dyDescent="0.25">
      <c r="A576" s="812"/>
      <c r="B576" s="813"/>
      <c r="C576" s="812"/>
      <c r="D576" s="813"/>
      <c r="E576" s="813"/>
      <c r="F576" s="814"/>
    </row>
    <row r="577" spans="1:6" ht="15.75" x14ac:dyDescent="0.25">
      <c r="A577" s="812"/>
      <c r="B577" s="813"/>
      <c r="C577" s="812"/>
      <c r="D577" s="813"/>
      <c r="E577" s="813"/>
      <c r="F577" s="814"/>
    </row>
    <row r="578" spans="1:6" ht="15.75" x14ac:dyDescent="0.25">
      <c r="A578" s="812"/>
      <c r="B578" s="813"/>
      <c r="C578" s="812"/>
      <c r="D578" s="813"/>
      <c r="E578" s="813"/>
      <c r="F578" s="814"/>
    </row>
    <row r="579" spans="1:6" ht="15.75" x14ac:dyDescent="0.25">
      <c r="A579" s="812"/>
      <c r="B579" s="813"/>
      <c r="C579" s="812"/>
      <c r="D579" s="813"/>
      <c r="E579" s="813"/>
      <c r="F579" s="814"/>
    </row>
    <row r="580" spans="1:6" ht="15.75" x14ac:dyDescent="0.25">
      <c r="A580" s="812"/>
      <c r="B580" s="813"/>
      <c r="C580" s="812"/>
      <c r="D580" s="813"/>
      <c r="E580" s="813"/>
      <c r="F580" s="814"/>
    </row>
    <row r="581" spans="1:6" ht="15.75" x14ac:dyDescent="0.25">
      <c r="A581" s="812"/>
      <c r="B581" s="813"/>
      <c r="C581" s="812"/>
      <c r="D581" s="813"/>
      <c r="E581" s="813"/>
      <c r="F581" s="814"/>
    </row>
    <row r="582" spans="1:6" ht="15.75" x14ac:dyDescent="0.25">
      <c r="A582" s="812"/>
      <c r="B582" s="813"/>
      <c r="C582" s="812"/>
      <c r="D582" s="813"/>
      <c r="E582" s="813"/>
      <c r="F582" s="814"/>
    </row>
    <row r="583" spans="1:6" ht="15.75" x14ac:dyDescent="0.25">
      <c r="A583" s="812"/>
      <c r="B583" s="813"/>
      <c r="C583" s="812"/>
      <c r="D583" s="813"/>
      <c r="E583" s="813"/>
      <c r="F583" s="814"/>
    </row>
    <row r="584" spans="1:6" ht="15.75" x14ac:dyDescent="0.25">
      <c r="A584" s="812"/>
      <c r="B584" s="813"/>
      <c r="C584" s="812"/>
      <c r="D584" s="813"/>
      <c r="E584" s="813"/>
      <c r="F584" s="814"/>
    </row>
    <row r="585" spans="1:6" ht="15.75" x14ac:dyDescent="0.25">
      <c r="A585" s="812"/>
      <c r="B585" s="813"/>
      <c r="C585" s="812"/>
      <c r="D585" s="813"/>
      <c r="E585" s="813"/>
      <c r="F585" s="814"/>
    </row>
    <row r="586" spans="1:6" ht="15.75" x14ac:dyDescent="0.25">
      <c r="A586" s="812"/>
      <c r="B586" s="813"/>
      <c r="C586" s="812"/>
      <c r="D586" s="813"/>
      <c r="E586" s="813"/>
      <c r="F586" s="814"/>
    </row>
    <row r="587" spans="1:6" ht="15.75" x14ac:dyDescent="0.25">
      <c r="A587" s="812"/>
      <c r="B587" s="813"/>
      <c r="C587" s="812"/>
      <c r="D587" s="813"/>
      <c r="E587" s="813"/>
      <c r="F587" s="814"/>
    </row>
    <row r="588" spans="1:6" ht="15.75" x14ac:dyDescent="0.25">
      <c r="A588" s="812"/>
      <c r="B588" s="813"/>
      <c r="C588" s="812"/>
      <c r="D588" s="813"/>
      <c r="E588" s="813"/>
      <c r="F588" s="814"/>
    </row>
    <row r="589" spans="1:6" ht="15.75" x14ac:dyDescent="0.25">
      <c r="A589" s="812"/>
      <c r="B589" s="813"/>
      <c r="C589" s="812"/>
      <c r="D589" s="813"/>
      <c r="E589" s="813"/>
      <c r="F589" s="814"/>
    </row>
    <row r="590" spans="1:6" ht="15.75" x14ac:dyDescent="0.25">
      <c r="A590" s="812"/>
      <c r="B590" s="813"/>
      <c r="C590" s="812"/>
      <c r="D590" s="813"/>
      <c r="E590" s="813"/>
      <c r="F590" s="814"/>
    </row>
    <row r="591" spans="1:6" ht="15.75" x14ac:dyDescent="0.25">
      <c r="A591" s="812"/>
      <c r="B591" s="813"/>
      <c r="C591" s="812"/>
      <c r="D591" s="813"/>
      <c r="E591" s="813"/>
      <c r="F591" s="814"/>
    </row>
    <row r="592" spans="1:6" ht="15.75" x14ac:dyDescent="0.25">
      <c r="A592" s="812"/>
      <c r="B592" s="813"/>
      <c r="C592" s="812"/>
      <c r="D592" s="813"/>
      <c r="E592" s="813"/>
      <c r="F592" s="814"/>
    </row>
    <row r="593" spans="1:6" ht="15.75" x14ac:dyDescent="0.25">
      <c r="A593" s="812"/>
      <c r="B593" s="813"/>
      <c r="C593" s="812"/>
      <c r="D593" s="813"/>
      <c r="E593" s="813"/>
      <c r="F593" s="814"/>
    </row>
    <row r="594" spans="1:6" ht="15.75" x14ac:dyDescent="0.25">
      <c r="A594" s="812"/>
      <c r="B594" s="813"/>
      <c r="C594" s="812"/>
      <c r="D594" s="813"/>
      <c r="E594" s="813"/>
      <c r="F594" s="814"/>
    </row>
    <row r="595" spans="1:6" ht="15.75" x14ac:dyDescent="0.25">
      <c r="A595" s="812"/>
      <c r="B595" s="813"/>
      <c r="C595" s="812"/>
      <c r="D595" s="813"/>
      <c r="E595" s="813"/>
      <c r="F595" s="814"/>
    </row>
    <row r="596" spans="1:6" ht="15.75" x14ac:dyDescent="0.25">
      <c r="A596" s="812"/>
      <c r="B596" s="813"/>
      <c r="C596" s="812"/>
      <c r="D596" s="813"/>
      <c r="E596" s="813"/>
      <c r="F596" s="814"/>
    </row>
    <row r="597" spans="1:6" ht="15.75" x14ac:dyDescent="0.25">
      <c r="A597" s="812"/>
      <c r="B597" s="813"/>
      <c r="C597" s="812"/>
      <c r="D597" s="813"/>
      <c r="E597" s="813"/>
      <c r="F597" s="814"/>
    </row>
    <row r="598" spans="1:6" ht="15.75" x14ac:dyDescent="0.25">
      <c r="A598" s="812"/>
      <c r="B598" s="813"/>
      <c r="C598" s="812"/>
      <c r="D598" s="813"/>
      <c r="E598" s="813"/>
      <c r="F598" s="814"/>
    </row>
    <row r="599" spans="1:6" ht="15.75" x14ac:dyDescent="0.25">
      <c r="A599" s="812"/>
      <c r="B599" s="813"/>
      <c r="C599" s="812"/>
      <c r="D599" s="813"/>
      <c r="E599" s="813"/>
      <c r="F599" s="814"/>
    </row>
    <row r="600" spans="1:6" ht="15.75" x14ac:dyDescent="0.25">
      <c r="A600" s="812"/>
      <c r="B600" s="813"/>
      <c r="C600" s="812"/>
      <c r="D600" s="813"/>
      <c r="E600" s="813"/>
      <c r="F600" s="814"/>
    </row>
    <row r="601" spans="1:6" ht="15.75" x14ac:dyDescent="0.25">
      <c r="A601" s="812"/>
      <c r="B601" s="813"/>
      <c r="C601" s="812"/>
      <c r="D601" s="813"/>
      <c r="E601" s="813"/>
      <c r="F601" s="814"/>
    </row>
    <row r="602" spans="1:6" ht="15.75" x14ac:dyDescent="0.25">
      <c r="A602" s="812"/>
      <c r="B602" s="813"/>
      <c r="C602" s="812"/>
      <c r="D602" s="813"/>
      <c r="E602" s="813"/>
      <c r="F602" s="814"/>
    </row>
    <row r="603" spans="1:6" ht="15.75" x14ac:dyDescent="0.25">
      <c r="A603" s="812"/>
      <c r="B603" s="813"/>
      <c r="C603" s="812"/>
      <c r="D603" s="813"/>
      <c r="E603" s="813"/>
      <c r="F603" s="814"/>
    </row>
    <row r="604" spans="1:6" ht="15.75" x14ac:dyDescent="0.25">
      <c r="A604" s="812"/>
      <c r="B604" s="813"/>
      <c r="C604" s="812"/>
      <c r="D604" s="813"/>
      <c r="E604" s="813"/>
      <c r="F604" s="814"/>
    </row>
    <row r="605" spans="1:6" ht="15.75" x14ac:dyDescent="0.25">
      <c r="A605" s="812"/>
      <c r="B605" s="813"/>
      <c r="C605" s="812"/>
      <c r="D605" s="813"/>
      <c r="E605" s="813"/>
      <c r="F605" s="814"/>
    </row>
    <row r="606" spans="1:6" ht="15.75" x14ac:dyDescent="0.25">
      <c r="A606" s="812"/>
      <c r="B606" s="813"/>
      <c r="C606" s="812"/>
      <c r="D606" s="813"/>
      <c r="E606" s="813"/>
      <c r="F606" s="814"/>
    </row>
    <row r="607" spans="1:6" ht="15.75" x14ac:dyDescent="0.25">
      <c r="A607" s="812"/>
      <c r="B607" s="813"/>
      <c r="C607" s="812"/>
      <c r="D607" s="813"/>
      <c r="E607" s="813"/>
      <c r="F607" s="814"/>
    </row>
    <row r="608" spans="1:6" ht="15.75" x14ac:dyDescent="0.25">
      <c r="A608" s="812"/>
      <c r="B608" s="813"/>
      <c r="C608" s="812"/>
      <c r="D608" s="813"/>
      <c r="E608" s="813"/>
      <c r="F608" s="814"/>
    </row>
    <row r="609" spans="1:6" ht="15.75" x14ac:dyDescent="0.25">
      <c r="A609" s="812"/>
      <c r="B609" s="813"/>
      <c r="C609" s="812"/>
      <c r="D609" s="813"/>
      <c r="E609" s="813"/>
      <c r="F609" s="814"/>
    </row>
    <row r="610" spans="1:6" ht="15.75" x14ac:dyDescent="0.25">
      <c r="A610" s="812"/>
      <c r="B610" s="813"/>
      <c r="C610" s="812"/>
      <c r="D610" s="813"/>
      <c r="E610" s="813"/>
      <c r="F610" s="814"/>
    </row>
    <row r="611" spans="1:6" ht="15.75" x14ac:dyDescent="0.25">
      <c r="A611" s="812"/>
      <c r="B611" s="813"/>
      <c r="C611" s="812"/>
      <c r="D611" s="813"/>
      <c r="E611" s="813"/>
      <c r="F611" s="814"/>
    </row>
    <row r="612" spans="1:6" ht="15.75" x14ac:dyDescent="0.25">
      <c r="A612" s="812"/>
      <c r="B612" s="813"/>
      <c r="C612" s="812"/>
      <c r="D612" s="813"/>
      <c r="E612" s="813"/>
      <c r="F612" s="814"/>
    </row>
    <row r="613" spans="1:6" ht="15.75" x14ac:dyDescent="0.25">
      <c r="A613" s="812"/>
      <c r="B613" s="813"/>
      <c r="C613" s="812"/>
      <c r="D613" s="813"/>
      <c r="E613" s="813"/>
      <c r="F613" s="814"/>
    </row>
    <row r="614" spans="1:6" ht="15.75" x14ac:dyDescent="0.25">
      <c r="A614" s="812"/>
      <c r="B614" s="813"/>
      <c r="C614" s="812"/>
      <c r="D614" s="813"/>
      <c r="E614" s="813"/>
      <c r="F614" s="814"/>
    </row>
    <row r="615" spans="1:6" ht="15.75" x14ac:dyDescent="0.25">
      <c r="A615" s="812"/>
      <c r="B615" s="813"/>
      <c r="C615" s="812"/>
      <c r="D615" s="813"/>
      <c r="E615" s="813"/>
      <c r="F615" s="814"/>
    </row>
    <row r="616" spans="1:6" ht="15.75" x14ac:dyDescent="0.25">
      <c r="A616" s="812"/>
      <c r="B616" s="813"/>
      <c r="C616" s="812"/>
      <c r="D616" s="813"/>
      <c r="E616" s="813"/>
      <c r="F616" s="814"/>
    </row>
    <row r="617" spans="1:6" ht="15.75" x14ac:dyDescent="0.25">
      <c r="A617" s="812"/>
      <c r="B617" s="813"/>
      <c r="C617" s="812"/>
      <c r="D617" s="813"/>
      <c r="E617" s="813"/>
      <c r="F617" s="814"/>
    </row>
    <row r="618" spans="1:6" ht="15.75" x14ac:dyDescent="0.25">
      <c r="A618" s="812"/>
      <c r="B618" s="813"/>
      <c r="C618" s="812"/>
      <c r="D618" s="813"/>
      <c r="E618" s="813"/>
      <c r="F618" s="814"/>
    </row>
    <row r="619" spans="1:6" ht="15.75" x14ac:dyDescent="0.25">
      <c r="A619" s="812"/>
      <c r="B619" s="813"/>
      <c r="C619" s="812"/>
      <c r="D619" s="813"/>
      <c r="E619" s="813"/>
      <c r="F619" s="814"/>
    </row>
    <row r="620" spans="1:6" ht="15.75" x14ac:dyDescent="0.25">
      <c r="A620" s="812"/>
      <c r="B620" s="813"/>
      <c r="C620" s="812"/>
      <c r="D620" s="813"/>
      <c r="E620" s="813"/>
      <c r="F620" s="814"/>
    </row>
    <row r="621" spans="1:6" ht="15.75" x14ac:dyDescent="0.25">
      <c r="A621" s="812"/>
      <c r="B621" s="813"/>
      <c r="C621" s="812"/>
      <c r="D621" s="813"/>
      <c r="E621" s="813"/>
      <c r="F621" s="814"/>
    </row>
    <row r="622" spans="1:6" ht="15.75" x14ac:dyDescent="0.25">
      <c r="A622" s="812"/>
      <c r="B622" s="813"/>
      <c r="C622" s="812"/>
      <c r="D622" s="813"/>
      <c r="E622" s="813"/>
      <c r="F622" s="814"/>
    </row>
    <row r="623" spans="1:6" ht="15.75" x14ac:dyDescent="0.25">
      <c r="A623" s="812"/>
      <c r="B623" s="813"/>
      <c r="C623" s="812"/>
      <c r="D623" s="813"/>
      <c r="E623" s="813"/>
      <c r="F623" s="814"/>
    </row>
    <row r="624" spans="1:6" ht="15.75" x14ac:dyDescent="0.25">
      <c r="A624" s="812"/>
      <c r="B624" s="813"/>
      <c r="C624" s="812"/>
      <c r="D624" s="813"/>
      <c r="E624" s="813"/>
      <c r="F624" s="814"/>
    </row>
    <row r="625" spans="1:6" ht="15.75" x14ac:dyDescent="0.25">
      <c r="A625" s="812"/>
      <c r="B625" s="813"/>
      <c r="C625" s="812"/>
      <c r="D625" s="813"/>
      <c r="E625" s="813"/>
      <c r="F625" s="814"/>
    </row>
    <row r="626" spans="1:6" ht="15.75" x14ac:dyDescent="0.25">
      <c r="A626" s="812"/>
      <c r="B626" s="813"/>
      <c r="C626" s="812"/>
      <c r="D626" s="813"/>
      <c r="E626" s="813"/>
      <c r="F626" s="814"/>
    </row>
    <row r="627" spans="1:6" ht="15.75" x14ac:dyDescent="0.25">
      <c r="A627" s="812"/>
      <c r="B627" s="813"/>
      <c r="C627" s="812"/>
      <c r="D627" s="813"/>
      <c r="E627" s="813"/>
      <c r="F627" s="814"/>
    </row>
    <row r="628" spans="1:6" ht="15.75" x14ac:dyDescent="0.25">
      <c r="A628" s="812"/>
      <c r="B628" s="813"/>
      <c r="C628" s="812"/>
      <c r="D628" s="813"/>
      <c r="E628" s="813"/>
      <c r="F628" s="814"/>
    </row>
    <row r="629" spans="1:6" ht="15.75" x14ac:dyDescent="0.25">
      <c r="A629" s="812"/>
      <c r="B629" s="813"/>
      <c r="C629" s="812"/>
      <c r="D629" s="813"/>
      <c r="E629" s="813"/>
      <c r="F629" s="814"/>
    </row>
    <row r="630" spans="1:6" ht="15.75" x14ac:dyDescent="0.25">
      <c r="A630" s="812"/>
      <c r="B630" s="813"/>
      <c r="C630" s="812"/>
      <c r="D630" s="813"/>
      <c r="E630" s="813"/>
      <c r="F630" s="814"/>
    </row>
    <row r="631" spans="1:6" ht="15.75" x14ac:dyDescent="0.25">
      <c r="A631" s="812"/>
      <c r="B631" s="813"/>
      <c r="C631" s="812"/>
      <c r="D631" s="813"/>
      <c r="E631" s="813"/>
      <c r="F631" s="814"/>
    </row>
    <row r="632" spans="1:6" ht="15.75" x14ac:dyDescent="0.25">
      <c r="A632" s="812"/>
      <c r="B632" s="813"/>
      <c r="C632" s="812"/>
      <c r="D632" s="813"/>
      <c r="E632" s="813"/>
      <c r="F632" s="814"/>
    </row>
    <row r="633" spans="1:6" ht="15.75" x14ac:dyDescent="0.25">
      <c r="A633" s="812"/>
      <c r="B633" s="813"/>
      <c r="C633" s="812"/>
      <c r="D633" s="813"/>
      <c r="E633" s="813"/>
      <c r="F633" s="814"/>
    </row>
    <row r="634" spans="1:6" ht="15.75" x14ac:dyDescent="0.25">
      <c r="A634" s="812"/>
      <c r="B634" s="813"/>
      <c r="C634" s="812"/>
      <c r="D634" s="813"/>
      <c r="E634" s="813"/>
      <c r="F634" s="814"/>
    </row>
    <row r="635" spans="1:6" ht="15.75" x14ac:dyDescent="0.25">
      <c r="A635" s="812"/>
      <c r="B635" s="813"/>
      <c r="C635" s="812"/>
      <c r="D635" s="813"/>
      <c r="E635" s="813"/>
      <c r="F635" s="814"/>
    </row>
    <row r="636" spans="1:6" ht="15.75" x14ac:dyDescent="0.25">
      <c r="A636" s="812"/>
      <c r="B636" s="813"/>
      <c r="C636" s="812"/>
      <c r="D636" s="813"/>
      <c r="E636" s="813"/>
      <c r="F636" s="814"/>
    </row>
    <row r="637" spans="1:6" ht="15.75" x14ac:dyDescent="0.25">
      <c r="A637" s="812"/>
      <c r="B637" s="813"/>
      <c r="C637" s="812"/>
      <c r="D637" s="813"/>
      <c r="E637" s="813"/>
      <c r="F637" s="814"/>
    </row>
    <row r="638" spans="1:6" ht="15.75" x14ac:dyDescent="0.25">
      <c r="A638" s="812"/>
      <c r="B638" s="813"/>
      <c r="C638" s="812"/>
      <c r="D638" s="813"/>
      <c r="E638" s="813"/>
      <c r="F638" s="814"/>
    </row>
    <row r="639" spans="1:6" ht="15.75" x14ac:dyDescent="0.25">
      <c r="A639" s="812"/>
      <c r="B639" s="813"/>
      <c r="C639" s="812"/>
      <c r="D639" s="813"/>
      <c r="E639" s="813"/>
      <c r="F639" s="814"/>
    </row>
    <row r="640" spans="1:6" ht="15.75" x14ac:dyDescent="0.25">
      <c r="A640" s="812"/>
      <c r="B640" s="813"/>
      <c r="C640" s="812"/>
      <c r="D640" s="813"/>
      <c r="E640" s="813"/>
      <c r="F640" s="814"/>
    </row>
    <row r="641" spans="1:6" ht="15.75" x14ac:dyDescent="0.25">
      <c r="A641" s="812"/>
      <c r="B641" s="813"/>
      <c r="C641" s="812"/>
      <c r="D641" s="813"/>
      <c r="E641" s="813"/>
      <c r="F641" s="814"/>
    </row>
    <row r="642" spans="1:6" ht="15.75" x14ac:dyDescent="0.25">
      <c r="A642" s="812"/>
      <c r="B642" s="813"/>
      <c r="C642" s="812"/>
      <c r="D642" s="813"/>
      <c r="E642" s="813"/>
      <c r="F642" s="814"/>
    </row>
    <row r="643" spans="1:6" ht="15.75" x14ac:dyDescent="0.25">
      <c r="A643" s="812"/>
      <c r="B643" s="813"/>
      <c r="C643" s="812"/>
      <c r="D643" s="813"/>
      <c r="E643" s="813"/>
      <c r="F643" s="814"/>
    </row>
    <row r="644" spans="1:6" ht="15.75" x14ac:dyDescent="0.25">
      <c r="A644" s="812"/>
      <c r="B644" s="813"/>
      <c r="C644" s="812"/>
      <c r="D644" s="813"/>
      <c r="E644" s="813"/>
      <c r="F644" s="814"/>
    </row>
    <row r="645" spans="1:6" ht="15.75" x14ac:dyDescent="0.25">
      <c r="A645" s="812"/>
      <c r="B645" s="813"/>
      <c r="C645" s="812"/>
      <c r="D645" s="813"/>
      <c r="E645" s="813"/>
      <c r="F645" s="814"/>
    </row>
    <row r="646" spans="1:6" ht="15.75" x14ac:dyDescent="0.25">
      <c r="A646" s="812"/>
      <c r="B646" s="813"/>
      <c r="C646" s="812"/>
      <c r="D646" s="813"/>
      <c r="E646" s="813"/>
      <c r="F646" s="814"/>
    </row>
    <row r="647" spans="1:6" ht="15.75" x14ac:dyDescent="0.25">
      <c r="A647" s="812"/>
      <c r="B647" s="813"/>
      <c r="C647" s="812"/>
      <c r="D647" s="813"/>
      <c r="E647" s="813"/>
      <c r="F647" s="814"/>
    </row>
    <row r="648" spans="1:6" ht="15.75" x14ac:dyDescent="0.25">
      <c r="A648" s="812"/>
      <c r="B648" s="813"/>
      <c r="C648" s="812"/>
      <c r="D648" s="813"/>
      <c r="E648" s="813"/>
      <c r="F648" s="814"/>
    </row>
    <row r="649" spans="1:6" ht="15.75" x14ac:dyDescent="0.25">
      <c r="A649" s="812"/>
      <c r="B649" s="813"/>
      <c r="C649" s="812"/>
      <c r="D649" s="813"/>
      <c r="E649" s="813"/>
      <c r="F649" s="814"/>
    </row>
    <row r="650" spans="1:6" ht="15.75" x14ac:dyDescent="0.25">
      <c r="A650" s="812"/>
      <c r="B650" s="813"/>
      <c r="C650" s="812"/>
      <c r="D650" s="813"/>
      <c r="E650" s="813"/>
      <c r="F650" s="814"/>
    </row>
    <row r="651" spans="1:6" ht="15.75" x14ac:dyDescent="0.25">
      <c r="A651" s="812"/>
      <c r="B651" s="813"/>
      <c r="C651" s="812"/>
      <c r="D651" s="813"/>
      <c r="E651" s="813"/>
      <c r="F651" s="814"/>
    </row>
    <row r="652" spans="1:6" ht="15.75" x14ac:dyDescent="0.25">
      <c r="A652" s="812"/>
      <c r="B652" s="813"/>
      <c r="C652" s="812"/>
      <c r="D652" s="813"/>
      <c r="E652" s="813"/>
      <c r="F652" s="814"/>
    </row>
    <row r="653" spans="1:6" ht="15.75" x14ac:dyDescent="0.25">
      <c r="A653" s="812"/>
      <c r="B653" s="813"/>
      <c r="C653" s="812"/>
      <c r="D653" s="813"/>
      <c r="E653" s="813"/>
      <c r="F653" s="814"/>
    </row>
    <row r="654" spans="1:6" ht="15.75" x14ac:dyDescent="0.25">
      <c r="A654" s="812"/>
      <c r="B654" s="813"/>
      <c r="C654" s="812"/>
      <c r="D654" s="813"/>
      <c r="E654" s="813"/>
      <c r="F654" s="814"/>
    </row>
    <row r="655" spans="1:6" ht="15.75" x14ac:dyDescent="0.25">
      <c r="A655" s="812"/>
      <c r="B655" s="813"/>
      <c r="C655" s="812"/>
      <c r="D655" s="813"/>
      <c r="E655" s="813"/>
      <c r="F655" s="814"/>
    </row>
    <row r="656" spans="1:6" ht="15.75" x14ac:dyDescent="0.25">
      <c r="A656" s="812"/>
      <c r="B656" s="813"/>
      <c r="C656" s="812"/>
      <c r="D656" s="813"/>
      <c r="E656" s="813"/>
      <c r="F656" s="814"/>
    </row>
    <row r="657" spans="1:6" ht="15.75" x14ac:dyDescent="0.25">
      <c r="A657" s="812"/>
      <c r="B657" s="813"/>
      <c r="C657" s="812"/>
      <c r="D657" s="813"/>
      <c r="E657" s="813"/>
      <c r="F657" s="814"/>
    </row>
    <row r="658" spans="1:6" ht="15.75" x14ac:dyDescent="0.25">
      <c r="A658" s="812"/>
      <c r="B658" s="813"/>
      <c r="C658" s="812"/>
      <c r="D658" s="813"/>
      <c r="E658" s="813"/>
      <c r="F658" s="814"/>
    </row>
    <row r="659" spans="1:6" ht="15.75" x14ac:dyDescent="0.25">
      <c r="A659" s="812"/>
      <c r="B659" s="813"/>
      <c r="C659" s="812"/>
      <c r="D659" s="813"/>
      <c r="E659" s="813"/>
      <c r="F659" s="814"/>
    </row>
    <row r="660" spans="1:6" ht="15.75" x14ac:dyDescent="0.25">
      <c r="A660" s="812"/>
      <c r="B660" s="813"/>
      <c r="C660" s="812"/>
      <c r="D660" s="813"/>
      <c r="E660" s="813"/>
      <c r="F660" s="814"/>
    </row>
    <row r="661" spans="1:6" ht="15.75" x14ac:dyDescent="0.25">
      <c r="A661" s="812"/>
      <c r="B661" s="813"/>
      <c r="C661" s="812"/>
      <c r="D661" s="813"/>
      <c r="E661" s="813"/>
      <c r="F661" s="814"/>
    </row>
    <row r="662" spans="1:6" ht="15.75" x14ac:dyDescent="0.25">
      <c r="A662" s="812"/>
      <c r="B662" s="813"/>
      <c r="C662" s="812"/>
      <c r="D662" s="813"/>
      <c r="E662" s="813"/>
      <c r="F662" s="814"/>
    </row>
    <row r="663" spans="1:6" ht="15.75" x14ac:dyDescent="0.25">
      <c r="A663" s="812"/>
      <c r="B663" s="813"/>
      <c r="C663" s="812"/>
      <c r="D663" s="813"/>
      <c r="E663" s="813"/>
      <c r="F663" s="814"/>
    </row>
    <row r="664" spans="1:6" ht="15.75" x14ac:dyDescent="0.25">
      <c r="A664" s="812"/>
      <c r="B664" s="813"/>
      <c r="C664" s="812"/>
      <c r="D664" s="813"/>
      <c r="E664" s="813"/>
      <c r="F664" s="814"/>
    </row>
    <row r="665" spans="1:6" ht="15.75" x14ac:dyDescent="0.25">
      <c r="A665" s="812"/>
      <c r="B665" s="813"/>
      <c r="C665" s="812"/>
      <c r="D665" s="813"/>
      <c r="E665" s="813"/>
      <c r="F665" s="814"/>
    </row>
    <row r="666" spans="1:6" ht="15.75" x14ac:dyDescent="0.25">
      <c r="A666" s="812"/>
      <c r="B666" s="813"/>
      <c r="C666" s="812"/>
      <c r="D666" s="813"/>
      <c r="E666" s="813"/>
      <c r="F666" s="814"/>
    </row>
    <row r="667" spans="1:6" ht="15.75" x14ac:dyDescent="0.25">
      <c r="A667" s="812"/>
      <c r="B667" s="813"/>
      <c r="C667" s="812"/>
      <c r="D667" s="813"/>
      <c r="E667" s="813"/>
      <c r="F667" s="814"/>
    </row>
    <row r="668" spans="1:6" ht="15.75" x14ac:dyDescent="0.25">
      <c r="A668" s="812"/>
      <c r="B668" s="813"/>
      <c r="C668" s="812"/>
      <c r="D668" s="813"/>
      <c r="E668" s="813"/>
      <c r="F668" s="814"/>
    </row>
    <row r="669" spans="1:6" ht="15.75" x14ac:dyDescent="0.25">
      <c r="A669" s="812"/>
      <c r="B669" s="813"/>
      <c r="C669" s="812"/>
      <c r="D669" s="813"/>
      <c r="E669" s="813"/>
      <c r="F669" s="814"/>
    </row>
    <row r="670" spans="1:6" ht="15.75" x14ac:dyDescent="0.25">
      <c r="A670" s="812"/>
      <c r="B670" s="813"/>
      <c r="C670" s="812"/>
      <c r="D670" s="813"/>
      <c r="E670" s="813"/>
      <c r="F670" s="814"/>
    </row>
    <row r="671" spans="1:6" ht="15.75" x14ac:dyDescent="0.25">
      <c r="A671" s="812"/>
      <c r="B671" s="813"/>
      <c r="C671" s="812"/>
      <c r="D671" s="813"/>
      <c r="E671" s="813"/>
      <c r="F671" s="814"/>
    </row>
    <row r="672" spans="1:6" ht="15.75" x14ac:dyDescent="0.25">
      <c r="A672" s="812"/>
      <c r="B672" s="813"/>
      <c r="C672" s="812"/>
      <c r="D672" s="813"/>
      <c r="E672" s="813"/>
      <c r="F672" s="814"/>
    </row>
    <row r="673" spans="1:6" ht="15.75" x14ac:dyDescent="0.25">
      <c r="A673" s="812"/>
      <c r="B673" s="813"/>
      <c r="C673" s="812"/>
      <c r="D673" s="813"/>
      <c r="E673" s="813"/>
      <c r="F673" s="814"/>
    </row>
    <row r="674" spans="1:6" ht="15.75" x14ac:dyDescent="0.25">
      <c r="A674" s="812"/>
      <c r="B674" s="813"/>
      <c r="C674" s="812"/>
      <c r="D674" s="813"/>
      <c r="E674" s="813"/>
      <c r="F674" s="814"/>
    </row>
    <row r="675" spans="1:6" ht="15.75" x14ac:dyDescent="0.25">
      <c r="A675" s="812"/>
      <c r="B675" s="813"/>
      <c r="C675" s="812"/>
      <c r="D675" s="813"/>
      <c r="E675" s="813"/>
      <c r="F675" s="814"/>
    </row>
    <row r="676" spans="1:6" ht="15.75" x14ac:dyDescent="0.25">
      <c r="A676" s="812"/>
      <c r="B676" s="813"/>
      <c r="C676" s="812"/>
      <c r="D676" s="813"/>
      <c r="E676" s="813"/>
      <c r="F676" s="814"/>
    </row>
    <row r="677" spans="1:6" ht="15.75" x14ac:dyDescent="0.25">
      <c r="A677" s="812"/>
      <c r="B677" s="813"/>
      <c r="C677" s="812"/>
      <c r="D677" s="813"/>
      <c r="E677" s="813"/>
      <c r="F677" s="814"/>
    </row>
    <row r="678" spans="1:6" ht="15.75" x14ac:dyDescent="0.25">
      <c r="A678" s="812"/>
      <c r="B678" s="813"/>
      <c r="C678" s="812"/>
      <c r="D678" s="813"/>
      <c r="E678" s="813"/>
      <c r="F678" s="814"/>
    </row>
    <row r="679" spans="1:6" ht="15.75" x14ac:dyDescent="0.25">
      <c r="A679" s="812"/>
      <c r="B679" s="813"/>
      <c r="C679" s="812"/>
      <c r="D679" s="813"/>
      <c r="E679" s="813"/>
      <c r="F679" s="814"/>
    </row>
    <row r="680" spans="1:6" ht="15.75" x14ac:dyDescent="0.25">
      <c r="A680" s="812"/>
      <c r="B680" s="813"/>
      <c r="C680" s="812"/>
      <c r="D680" s="813"/>
      <c r="E680" s="813"/>
      <c r="F680" s="814"/>
    </row>
    <row r="681" spans="1:6" ht="15.75" x14ac:dyDescent="0.25">
      <c r="A681" s="812"/>
      <c r="B681" s="813"/>
      <c r="C681" s="812"/>
      <c r="D681" s="813"/>
      <c r="E681" s="813"/>
      <c r="F681" s="814"/>
    </row>
    <row r="682" spans="1:6" ht="15.75" x14ac:dyDescent="0.25">
      <c r="A682" s="812"/>
      <c r="B682" s="813"/>
      <c r="C682" s="812"/>
      <c r="D682" s="813"/>
      <c r="E682" s="813"/>
      <c r="F682" s="814"/>
    </row>
    <row r="683" spans="1:6" ht="15.75" x14ac:dyDescent="0.25">
      <c r="A683" s="812"/>
      <c r="B683" s="813"/>
      <c r="C683" s="812"/>
      <c r="D683" s="813"/>
      <c r="E683" s="813"/>
      <c r="F683" s="814"/>
    </row>
    <row r="684" spans="1:6" ht="15.75" x14ac:dyDescent="0.25">
      <c r="A684" s="812"/>
      <c r="B684" s="813"/>
      <c r="C684" s="812"/>
      <c r="D684" s="813"/>
      <c r="E684" s="813"/>
      <c r="F684" s="814"/>
    </row>
    <row r="685" spans="1:6" ht="15.75" x14ac:dyDescent="0.25">
      <c r="A685" s="812"/>
      <c r="B685" s="813"/>
      <c r="C685" s="812"/>
      <c r="D685" s="813"/>
      <c r="E685" s="813"/>
      <c r="F685" s="814"/>
    </row>
    <row r="686" spans="1:6" ht="15.75" x14ac:dyDescent="0.25">
      <c r="A686" s="812"/>
      <c r="B686" s="813"/>
      <c r="C686" s="812"/>
      <c r="D686" s="813"/>
      <c r="E686" s="813"/>
      <c r="F686" s="814"/>
    </row>
    <row r="687" spans="1:6" ht="15.75" x14ac:dyDescent="0.25">
      <c r="A687" s="812"/>
      <c r="B687" s="813"/>
      <c r="C687" s="812"/>
      <c r="D687" s="813"/>
      <c r="E687" s="813"/>
      <c r="F687" s="814"/>
    </row>
    <row r="688" spans="1:6" ht="15.75" x14ac:dyDescent="0.25">
      <c r="A688" s="812"/>
      <c r="B688" s="813"/>
      <c r="C688" s="812"/>
      <c r="D688" s="813"/>
      <c r="E688" s="813"/>
      <c r="F688" s="814"/>
    </row>
    <row r="689" spans="1:6" ht="15.75" x14ac:dyDescent="0.25">
      <c r="A689" s="812"/>
      <c r="B689" s="813"/>
      <c r="C689" s="812"/>
      <c r="D689" s="813"/>
      <c r="E689" s="813"/>
      <c r="F689" s="814"/>
    </row>
    <row r="690" spans="1:6" ht="15.75" x14ac:dyDescent="0.25">
      <c r="A690" s="812"/>
      <c r="B690" s="813"/>
      <c r="C690" s="812"/>
      <c r="D690" s="813"/>
      <c r="E690" s="813"/>
      <c r="F690" s="814"/>
    </row>
    <row r="691" spans="1:6" ht="15.75" x14ac:dyDescent="0.25">
      <c r="A691" s="812"/>
      <c r="B691" s="813"/>
      <c r="C691" s="812"/>
      <c r="D691" s="813"/>
      <c r="E691" s="813"/>
      <c r="F691" s="814"/>
    </row>
    <row r="692" spans="1:6" ht="15.75" x14ac:dyDescent="0.25">
      <c r="A692" s="812"/>
      <c r="B692" s="813"/>
      <c r="C692" s="812"/>
      <c r="D692" s="813"/>
      <c r="E692" s="813"/>
      <c r="F692" s="814"/>
    </row>
    <row r="693" spans="1:6" ht="15.75" x14ac:dyDescent="0.25">
      <c r="A693" s="812"/>
      <c r="B693" s="813"/>
      <c r="C693" s="812"/>
      <c r="D693" s="813"/>
      <c r="E693" s="813"/>
      <c r="F693" s="814"/>
    </row>
    <row r="694" spans="1:6" ht="15.75" x14ac:dyDescent="0.25">
      <c r="A694" s="812"/>
      <c r="B694" s="813"/>
      <c r="C694" s="812"/>
      <c r="D694" s="813"/>
      <c r="E694" s="813"/>
      <c r="F694" s="814"/>
    </row>
    <row r="695" spans="1:6" ht="15.75" x14ac:dyDescent="0.25">
      <c r="A695" s="812"/>
      <c r="B695" s="813"/>
      <c r="C695" s="812"/>
      <c r="D695" s="813"/>
      <c r="E695" s="813"/>
      <c r="F695" s="814"/>
    </row>
    <row r="696" spans="1:6" ht="15.75" x14ac:dyDescent="0.25">
      <c r="A696" s="812"/>
      <c r="B696" s="813"/>
      <c r="C696" s="812"/>
      <c r="D696" s="813"/>
      <c r="E696" s="813"/>
      <c r="F696" s="814"/>
    </row>
    <row r="697" spans="1:6" ht="15.75" x14ac:dyDescent="0.25">
      <c r="A697" s="812"/>
      <c r="B697" s="813"/>
      <c r="C697" s="812"/>
      <c r="D697" s="813"/>
      <c r="E697" s="813"/>
      <c r="F697" s="814"/>
    </row>
    <row r="698" spans="1:6" ht="15.75" x14ac:dyDescent="0.25">
      <c r="A698" s="812"/>
      <c r="B698" s="813"/>
      <c r="C698" s="812"/>
      <c r="D698" s="813"/>
      <c r="E698" s="813"/>
      <c r="F698" s="814"/>
    </row>
    <row r="699" spans="1:6" ht="15.75" x14ac:dyDescent="0.25">
      <c r="A699" s="812"/>
      <c r="B699" s="813"/>
      <c r="C699" s="812"/>
      <c r="D699" s="813"/>
      <c r="E699" s="813"/>
      <c r="F699" s="814"/>
    </row>
    <row r="700" spans="1:6" ht="15.75" x14ac:dyDescent="0.25">
      <c r="A700" s="812"/>
      <c r="B700" s="813"/>
      <c r="C700" s="812"/>
      <c r="D700" s="813"/>
      <c r="E700" s="813"/>
      <c r="F700" s="814"/>
    </row>
    <row r="701" spans="1:6" ht="15.75" x14ac:dyDescent="0.25">
      <c r="A701" s="812"/>
      <c r="B701" s="813"/>
      <c r="C701" s="812"/>
      <c r="D701" s="813"/>
      <c r="E701" s="813"/>
      <c r="F701" s="814"/>
    </row>
    <row r="702" spans="1:6" ht="15.75" x14ac:dyDescent="0.25">
      <c r="A702" s="812"/>
      <c r="B702" s="813"/>
      <c r="C702" s="812"/>
      <c r="D702" s="813"/>
      <c r="E702" s="813"/>
      <c r="F702" s="814"/>
    </row>
    <row r="703" spans="1:6" ht="15.75" x14ac:dyDescent="0.25">
      <c r="A703" s="812"/>
      <c r="B703" s="813"/>
      <c r="C703" s="812"/>
      <c r="D703" s="813"/>
      <c r="E703" s="813"/>
      <c r="F703" s="814"/>
    </row>
    <row r="704" spans="1:6" ht="15.75" x14ac:dyDescent="0.25">
      <c r="A704" s="812"/>
      <c r="B704" s="813"/>
      <c r="C704" s="812"/>
      <c r="D704" s="813"/>
      <c r="E704" s="813"/>
      <c r="F704" s="814"/>
    </row>
    <row r="705" spans="1:6" ht="15.75" x14ac:dyDescent="0.25">
      <c r="A705" s="812"/>
      <c r="B705" s="813"/>
      <c r="C705" s="812"/>
      <c r="D705" s="813"/>
      <c r="E705" s="813"/>
      <c r="F705" s="814"/>
    </row>
    <row r="706" spans="1:6" ht="15.75" x14ac:dyDescent="0.25">
      <c r="A706" s="812"/>
      <c r="B706" s="813"/>
      <c r="C706" s="812"/>
      <c r="D706" s="813"/>
      <c r="E706" s="813"/>
      <c r="F706" s="814"/>
    </row>
    <row r="707" spans="1:6" ht="15.75" x14ac:dyDescent="0.25">
      <c r="A707" s="812"/>
      <c r="B707" s="813"/>
      <c r="C707" s="812"/>
      <c r="D707" s="813"/>
      <c r="E707" s="813"/>
      <c r="F707" s="814"/>
    </row>
    <row r="708" spans="1:6" ht="15.75" x14ac:dyDescent="0.25">
      <c r="A708" s="812"/>
      <c r="B708" s="813"/>
      <c r="C708" s="812"/>
      <c r="D708" s="813"/>
      <c r="E708" s="813"/>
      <c r="F708" s="814"/>
    </row>
    <row r="709" spans="1:6" ht="15.75" x14ac:dyDescent="0.25">
      <c r="A709" s="812"/>
      <c r="B709" s="813"/>
      <c r="C709" s="812"/>
      <c r="D709" s="813"/>
      <c r="E709" s="813"/>
      <c r="F709" s="814"/>
    </row>
    <row r="710" spans="1:6" ht="15.75" x14ac:dyDescent="0.25">
      <c r="A710" s="812"/>
      <c r="B710" s="813"/>
      <c r="C710" s="812"/>
      <c r="D710" s="813"/>
      <c r="E710" s="813"/>
      <c r="F710" s="814"/>
    </row>
    <row r="711" spans="1:6" ht="15.75" x14ac:dyDescent="0.25">
      <c r="A711" s="812"/>
      <c r="B711" s="813"/>
      <c r="C711" s="812"/>
      <c r="D711" s="813"/>
      <c r="E711" s="813"/>
      <c r="F711" s="814"/>
    </row>
    <row r="712" spans="1:6" ht="15.75" x14ac:dyDescent="0.25">
      <c r="A712" s="812"/>
      <c r="B712" s="813"/>
      <c r="C712" s="812"/>
      <c r="D712" s="813"/>
      <c r="E712" s="813"/>
      <c r="F712" s="814"/>
    </row>
    <row r="713" spans="1:6" ht="15.75" x14ac:dyDescent="0.25">
      <c r="A713" s="812"/>
      <c r="B713" s="813"/>
      <c r="C713" s="812"/>
      <c r="D713" s="813"/>
      <c r="E713" s="813"/>
      <c r="F713" s="814"/>
    </row>
    <row r="714" spans="1:6" ht="15.75" x14ac:dyDescent="0.25">
      <c r="A714" s="812"/>
      <c r="B714" s="813"/>
      <c r="C714" s="812"/>
      <c r="D714" s="813"/>
      <c r="E714" s="813"/>
      <c r="F714" s="814"/>
    </row>
    <row r="715" spans="1:6" ht="15.75" x14ac:dyDescent="0.25">
      <c r="A715" s="812"/>
      <c r="B715" s="813"/>
      <c r="C715" s="812"/>
      <c r="D715" s="813"/>
      <c r="E715" s="813"/>
      <c r="F715" s="814"/>
    </row>
    <row r="716" spans="1:6" ht="15.75" x14ac:dyDescent="0.25">
      <c r="A716" s="812"/>
      <c r="B716" s="813"/>
      <c r="C716" s="812"/>
      <c r="D716" s="813"/>
      <c r="E716" s="813"/>
      <c r="F716" s="814"/>
    </row>
    <row r="717" spans="1:6" ht="15.75" x14ac:dyDescent="0.25">
      <c r="A717" s="812"/>
      <c r="B717" s="813"/>
      <c r="C717" s="812"/>
      <c r="D717" s="813"/>
      <c r="E717" s="813"/>
      <c r="F717" s="814"/>
    </row>
    <row r="718" spans="1:6" ht="15.75" x14ac:dyDescent="0.25">
      <c r="A718" s="812"/>
      <c r="B718" s="813"/>
      <c r="C718" s="812"/>
      <c r="D718" s="813"/>
      <c r="E718" s="813"/>
      <c r="F718" s="814"/>
    </row>
    <row r="719" spans="1:6" ht="15.75" x14ac:dyDescent="0.25">
      <c r="A719" s="812"/>
      <c r="B719" s="813"/>
      <c r="C719" s="812"/>
      <c r="D719" s="813"/>
      <c r="E719" s="813"/>
      <c r="F719" s="814"/>
    </row>
    <row r="720" spans="1:6" ht="15.75" x14ac:dyDescent="0.25">
      <c r="A720" s="812"/>
      <c r="B720" s="813"/>
      <c r="C720" s="812"/>
      <c r="D720" s="813"/>
      <c r="E720" s="813"/>
      <c r="F720" s="814"/>
    </row>
    <row r="721" spans="1:6" ht="15.75" x14ac:dyDescent="0.25">
      <c r="A721" s="812"/>
      <c r="B721" s="813"/>
      <c r="C721" s="812"/>
      <c r="D721" s="813"/>
      <c r="E721" s="813"/>
      <c r="F721" s="814"/>
    </row>
    <row r="722" spans="1:6" ht="15.75" x14ac:dyDescent="0.25">
      <c r="A722" s="812"/>
      <c r="B722" s="813"/>
      <c r="C722" s="812"/>
      <c r="D722" s="813"/>
      <c r="E722" s="813"/>
      <c r="F722" s="814"/>
    </row>
    <row r="723" spans="1:6" ht="15.75" x14ac:dyDescent="0.25">
      <c r="A723" s="812"/>
      <c r="B723" s="813"/>
      <c r="C723" s="812"/>
      <c r="D723" s="813"/>
      <c r="E723" s="813"/>
      <c r="F723" s="814"/>
    </row>
    <row r="724" spans="1:6" ht="15.75" x14ac:dyDescent="0.25">
      <c r="A724" s="812"/>
      <c r="B724" s="813"/>
      <c r="C724" s="812"/>
      <c r="D724" s="813"/>
      <c r="E724" s="813"/>
      <c r="F724" s="814"/>
    </row>
    <row r="725" spans="1:6" ht="15.75" x14ac:dyDescent="0.25">
      <c r="A725" s="812"/>
      <c r="B725" s="813"/>
      <c r="C725" s="812"/>
      <c r="D725" s="813"/>
      <c r="E725" s="813"/>
      <c r="F725" s="814"/>
    </row>
    <row r="726" spans="1:6" ht="15.75" x14ac:dyDescent="0.25">
      <c r="A726" s="812"/>
      <c r="B726" s="813"/>
      <c r="C726" s="812"/>
      <c r="D726" s="813"/>
      <c r="E726" s="813"/>
      <c r="F726" s="814"/>
    </row>
    <row r="727" spans="1:6" ht="15.75" x14ac:dyDescent="0.25">
      <c r="A727" s="812"/>
      <c r="B727" s="813"/>
      <c r="C727" s="812"/>
      <c r="D727" s="813"/>
      <c r="E727" s="813"/>
      <c r="F727" s="814"/>
    </row>
    <row r="728" spans="1:6" ht="15.75" x14ac:dyDescent="0.25">
      <c r="A728" s="812"/>
      <c r="B728" s="813"/>
      <c r="C728" s="812"/>
      <c r="D728" s="813"/>
      <c r="E728" s="813"/>
      <c r="F728" s="814"/>
    </row>
    <row r="729" spans="1:6" ht="15.75" x14ac:dyDescent="0.25">
      <c r="A729" s="812"/>
      <c r="B729" s="813"/>
      <c r="C729" s="812"/>
      <c r="D729" s="813"/>
      <c r="E729" s="813"/>
      <c r="F729" s="814"/>
    </row>
    <row r="730" spans="1:6" ht="15.75" x14ac:dyDescent="0.25">
      <c r="A730" s="812"/>
      <c r="B730" s="813"/>
      <c r="C730" s="812"/>
      <c r="D730" s="813"/>
      <c r="E730" s="813"/>
      <c r="F730" s="814"/>
    </row>
    <row r="731" spans="1:6" ht="15.75" x14ac:dyDescent="0.25">
      <c r="A731" s="812"/>
      <c r="B731" s="813"/>
      <c r="C731" s="812"/>
      <c r="D731" s="813"/>
      <c r="E731" s="813"/>
      <c r="F731" s="814"/>
    </row>
    <row r="732" spans="1:6" ht="15.75" x14ac:dyDescent="0.25">
      <c r="A732" s="812"/>
      <c r="B732" s="813"/>
      <c r="C732" s="812"/>
      <c r="D732" s="813"/>
      <c r="E732" s="813"/>
      <c r="F732" s="814"/>
    </row>
    <row r="733" spans="1:6" ht="15.75" x14ac:dyDescent="0.25">
      <c r="A733" s="812"/>
      <c r="B733" s="813"/>
      <c r="C733" s="812"/>
      <c r="D733" s="813"/>
      <c r="E733" s="813"/>
      <c r="F733" s="814"/>
    </row>
    <row r="734" spans="1:6" ht="15.75" x14ac:dyDescent="0.25">
      <c r="A734" s="812"/>
      <c r="B734" s="813"/>
      <c r="C734" s="812"/>
      <c r="D734" s="813"/>
      <c r="E734" s="813"/>
      <c r="F734" s="814"/>
    </row>
    <row r="735" spans="1:6" ht="15.75" x14ac:dyDescent="0.25">
      <c r="A735" s="812"/>
      <c r="B735" s="813"/>
      <c r="C735" s="812"/>
      <c r="D735" s="813"/>
      <c r="E735" s="813"/>
      <c r="F735" s="814"/>
    </row>
    <row r="736" spans="1:6" ht="15.75" x14ac:dyDescent="0.25">
      <c r="A736" s="812"/>
      <c r="B736" s="813"/>
      <c r="C736" s="812"/>
      <c r="D736" s="813"/>
      <c r="E736" s="813"/>
      <c r="F736" s="814"/>
    </row>
    <row r="737" spans="1:6" ht="15.75" x14ac:dyDescent="0.25">
      <c r="A737" s="812"/>
      <c r="B737" s="813"/>
      <c r="C737" s="812"/>
      <c r="D737" s="813"/>
      <c r="E737" s="813"/>
      <c r="F737" s="814"/>
    </row>
    <row r="738" spans="1:6" ht="15.75" x14ac:dyDescent="0.25">
      <c r="A738" s="812"/>
      <c r="B738" s="813"/>
      <c r="C738" s="812"/>
      <c r="D738" s="813"/>
      <c r="E738" s="813"/>
      <c r="F738" s="814"/>
    </row>
    <row r="739" spans="1:6" ht="15.75" x14ac:dyDescent="0.25">
      <c r="A739" s="812"/>
      <c r="B739" s="813"/>
      <c r="C739" s="812"/>
      <c r="D739" s="813"/>
      <c r="E739" s="813"/>
      <c r="F739" s="814"/>
    </row>
    <row r="740" spans="1:6" ht="15.75" x14ac:dyDescent="0.25">
      <c r="A740" s="812"/>
      <c r="B740" s="813"/>
      <c r="C740" s="812"/>
      <c r="D740" s="813"/>
      <c r="E740" s="813"/>
      <c r="F740" s="814"/>
    </row>
    <row r="741" spans="1:6" ht="15.75" x14ac:dyDescent="0.25">
      <c r="A741" s="812"/>
      <c r="B741" s="813"/>
      <c r="C741" s="812"/>
      <c r="D741" s="813"/>
      <c r="E741" s="813"/>
      <c r="F741" s="814"/>
    </row>
    <row r="742" spans="1:6" ht="15.75" x14ac:dyDescent="0.25">
      <c r="A742" s="812"/>
      <c r="B742" s="813"/>
      <c r="C742" s="812"/>
      <c r="D742" s="813"/>
      <c r="E742" s="813"/>
      <c r="F742" s="814"/>
    </row>
    <row r="743" spans="1:6" ht="15.75" x14ac:dyDescent="0.25">
      <c r="A743" s="812"/>
      <c r="B743" s="813"/>
      <c r="C743" s="812"/>
      <c r="D743" s="813"/>
      <c r="E743" s="813"/>
      <c r="F743" s="814"/>
    </row>
    <row r="744" spans="1:6" ht="15.75" x14ac:dyDescent="0.25">
      <c r="A744" s="812"/>
      <c r="B744" s="813"/>
      <c r="C744" s="812"/>
      <c r="D744" s="813"/>
      <c r="E744" s="813"/>
      <c r="F744" s="814"/>
    </row>
    <row r="745" spans="1:6" ht="15.75" x14ac:dyDescent="0.25">
      <c r="A745" s="812"/>
      <c r="B745" s="813"/>
      <c r="C745" s="812"/>
      <c r="D745" s="813"/>
      <c r="E745" s="813"/>
      <c r="F745" s="814"/>
    </row>
    <row r="746" spans="1:6" ht="15.75" x14ac:dyDescent="0.25">
      <c r="A746" s="812"/>
      <c r="B746" s="813"/>
      <c r="C746" s="812"/>
      <c r="D746" s="813"/>
      <c r="E746" s="813"/>
      <c r="F746" s="814"/>
    </row>
    <row r="747" spans="1:6" ht="15.75" x14ac:dyDescent="0.25">
      <c r="A747" s="812"/>
      <c r="B747" s="813"/>
      <c r="C747" s="812"/>
      <c r="D747" s="813"/>
      <c r="E747" s="813"/>
      <c r="F747" s="814"/>
    </row>
    <row r="748" spans="1:6" ht="15.75" x14ac:dyDescent="0.25">
      <c r="A748" s="812"/>
      <c r="B748" s="813"/>
      <c r="C748" s="812"/>
      <c r="D748" s="813"/>
      <c r="E748" s="813"/>
      <c r="F748" s="814"/>
    </row>
    <row r="749" spans="1:6" ht="15.75" x14ac:dyDescent="0.25">
      <c r="A749" s="812"/>
      <c r="B749" s="813"/>
      <c r="C749" s="812"/>
      <c r="D749" s="813"/>
      <c r="E749" s="813"/>
      <c r="F749" s="814"/>
    </row>
    <row r="750" spans="1:6" ht="15.75" x14ac:dyDescent="0.25">
      <c r="A750" s="812"/>
      <c r="B750" s="813"/>
      <c r="C750" s="812"/>
      <c r="D750" s="813"/>
      <c r="E750" s="813"/>
      <c r="F750" s="814"/>
    </row>
    <row r="751" spans="1:6" ht="15.75" x14ac:dyDescent="0.25">
      <c r="A751" s="812"/>
      <c r="B751" s="813"/>
      <c r="C751" s="812"/>
      <c r="D751" s="813"/>
      <c r="E751" s="813"/>
      <c r="F751" s="814"/>
    </row>
    <row r="752" spans="1:6" ht="15.75" x14ac:dyDescent="0.25">
      <c r="A752" s="812"/>
      <c r="B752" s="813"/>
      <c r="C752" s="812"/>
      <c r="D752" s="813"/>
      <c r="E752" s="813"/>
      <c r="F752" s="814"/>
    </row>
    <row r="753" spans="1:6" ht="15.75" x14ac:dyDescent="0.25">
      <c r="A753" s="812"/>
      <c r="B753" s="813"/>
      <c r="C753" s="812"/>
      <c r="D753" s="813"/>
      <c r="E753" s="813"/>
      <c r="F753" s="814"/>
    </row>
    <row r="754" spans="1:6" ht="15.75" x14ac:dyDescent="0.25">
      <c r="A754" s="812"/>
      <c r="B754" s="813"/>
      <c r="C754" s="812"/>
      <c r="D754" s="813"/>
      <c r="E754" s="813"/>
      <c r="F754" s="814"/>
    </row>
    <row r="755" spans="1:6" ht="15.75" x14ac:dyDescent="0.25">
      <c r="A755" s="812"/>
      <c r="B755" s="813"/>
      <c r="C755" s="812"/>
      <c r="D755" s="813"/>
      <c r="E755" s="813"/>
      <c r="F755" s="814"/>
    </row>
    <row r="756" spans="1:6" ht="15.75" x14ac:dyDescent="0.25">
      <c r="A756" s="812"/>
      <c r="B756" s="813"/>
      <c r="C756" s="812"/>
      <c r="D756" s="813"/>
      <c r="E756" s="813"/>
      <c r="F756" s="814"/>
    </row>
    <row r="757" spans="1:6" ht="15.75" x14ac:dyDescent="0.25">
      <c r="A757" s="812"/>
      <c r="B757" s="813"/>
      <c r="C757" s="812"/>
      <c r="D757" s="813"/>
      <c r="E757" s="813"/>
      <c r="F757" s="814"/>
    </row>
    <row r="758" spans="1:6" ht="15.75" x14ac:dyDescent="0.25">
      <c r="A758" s="812"/>
      <c r="B758" s="813"/>
      <c r="C758" s="812"/>
      <c r="D758" s="813"/>
      <c r="E758" s="813"/>
      <c r="F758" s="814"/>
    </row>
    <row r="759" spans="1:6" ht="15.75" x14ac:dyDescent="0.25">
      <c r="A759" s="812"/>
      <c r="B759" s="813"/>
      <c r="C759" s="812"/>
      <c r="D759" s="813"/>
      <c r="E759" s="813"/>
      <c r="F759" s="814"/>
    </row>
    <row r="760" spans="1:6" ht="15.75" x14ac:dyDescent="0.25">
      <c r="A760" s="812"/>
      <c r="B760" s="813"/>
      <c r="C760" s="812"/>
      <c r="D760" s="813"/>
      <c r="E760" s="813"/>
      <c r="F760" s="814"/>
    </row>
    <row r="761" spans="1:6" ht="15.75" x14ac:dyDescent="0.25">
      <c r="A761" s="812"/>
      <c r="B761" s="813"/>
      <c r="C761" s="812"/>
      <c r="D761" s="813"/>
      <c r="E761" s="813"/>
      <c r="F761" s="814"/>
    </row>
    <row r="762" spans="1:6" ht="15.75" x14ac:dyDescent="0.25">
      <c r="A762" s="812"/>
      <c r="B762" s="813"/>
      <c r="C762" s="812"/>
      <c r="D762" s="813"/>
      <c r="E762" s="813"/>
      <c r="F762" s="814"/>
    </row>
    <row r="763" spans="1:6" ht="15.75" x14ac:dyDescent="0.25">
      <c r="A763" s="812"/>
      <c r="B763" s="813"/>
      <c r="C763" s="812"/>
      <c r="D763" s="813"/>
      <c r="E763" s="813"/>
      <c r="F763" s="814"/>
    </row>
    <row r="764" spans="1:6" ht="15.75" x14ac:dyDescent="0.25">
      <c r="A764" s="812"/>
      <c r="B764" s="813"/>
      <c r="C764" s="812"/>
      <c r="D764" s="813"/>
      <c r="E764" s="813"/>
      <c r="F764" s="814"/>
    </row>
    <row r="765" spans="1:6" ht="15.75" x14ac:dyDescent="0.25">
      <c r="A765" s="812"/>
      <c r="B765" s="813"/>
      <c r="C765" s="812"/>
      <c r="D765" s="813"/>
      <c r="E765" s="813"/>
      <c r="F765" s="814"/>
    </row>
    <row r="766" spans="1:6" ht="15.75" x14ac:dyDescent="0.25">
      <c r="A766" s="812"/>
      <c r="B766" s="813"/>
      <c r="C766" s="812"/>
      <c r="D766" s="813"/>
      <c r="E766" s="813"/>
      <c r="F766" s="814"/>
    </row>
    <row r="767" spans="1:6" ht="15.75" x14ac:dyDescent="0.25">
      <c r="A767" s="812"/>
      <c r="B767" s="813"/>
      <c r="C767" s="812"/>
      <c r="D767" s="813"/>
      <c r="E767" s="813"/>
      <c r="F767" s="814"/>
    </row>
    <row r="768" spans="1:6" ht="15.75" x14ac:dyDescent="0.25">
      <c r="A768" s="812"/>
      <c r="B768" s="813"/>
      <c r="C768" s="812"/>
      <c r="D768" s="813"/>
      <c r="E768" s="813"/>
      <c r="F768" s="814"/>
    </row>
    <row r="769" spans="1:6" ht="15.75" x14ac:dyDescent="0.25">
      <c r="A769" s="812"/>
      <c r="B769" s="813"/>
      <c r="C769" s="812"/>
      <c r="D769" s="813"/>
      <c r="E769" s="813"/>
      <c r="F769" s="814"/>
    </row>
    <row r="770" spans="1:6" ht="15.75" x14ac:dyDescent="0.25">
      <c r="A770" s="812"/>
      <c r="B770" s="813"/>
      <c r="C770" s="812"/>
      <c r="D770" s="813"/>
      <c r="E770" s="813"/>
      <c r="F770" s="814"/>
    </row>
    <row r="771" spans="1:6" ht="15.75" x14ac:dyDescent="0.25">
      <c r="A771" s="812"/>
      <c r="B771" s="813"/>
      <c r="C771" s="812"/>
      <c r="D771" s="813"/>
      <c r="E771" s="813"/>
      <c r="F771" s="814"/>
    </row>
    <row r="772" spans="1:6" ht="15.75" x14ac:dyDescent="0.25">
      <c r="A772" s="812"/>
      <c r="B772" s="813"/>
      <c r="C772" s="812"/>
      <c r="D772" s="813"/>
      <c r="E772" s="813"/>
      <c r="F772" s="814"/>
    </row>
    <row r="773" spans="1:6" ht="15.75" x14ac:dyDescent="0.25">
      <c r="A773" s="812"/>
      <c r="B773" s="813"/>
      <c r="C773" s="812"/>
      <c r="D773" s="813"/>
      <c r="E773" s="813"/>
      <c r="F773" s="814"/>
    </row>
    <row r="774" spans="1:6" ht="15.75" x14ac:dyDescent="0.25">
      <c r="A774" s="812"/>
      <c r="B774" s="813"/>
      <c r="C774" s="812"/>
      <c r="D774" s="813"/>
      <c r="E774" s="813"/>
      <c r="F774" s="814"/>
    </row>
    <row r="775" spans="1:6" ht="15.75" x14ac:dyDescent="0.25">
      <c r="A775" s="812"/>
      <c r="B775" s="813"/>
      <c r="C775" s="812"/>
      <c r="D775" s="813"/>
      <c r="E775" s="813"/>
      <c r="F775" s="814"/>
    </row>
    <row r="776" spans="1:6" ht="15.75" x14ac:dyDescent="0.25">
      <c r="A776" s="812"/>
      <c r="B776" s="813"/>
      <c r="C776" s="812"/>
      <c r="D776" s="813"/>
      <c r="E776" s="813"/>
      <c r="F776" s="814"/>
    </row>
    <row r="777" spans="1:6" ht="15.75" x14ac:dyDescent="0.25">
      <c r="A777" s="812"/>
      <c r="B777" s="813"/>
      <c r="C777" s="812"/>
      <c r="D777" s="813"/>
      <c r="E777" s="813"/>
      <c r="F777" s="814"/>
    </row>
    <row r="778" spans="1:6" ht="15.75" x14ac:dyDescent="0.25">
      <c r="A778" s="812"/>
      <c r="B778" s="813"/>
      <c r="C778" s="812"/>
      <c r="D778" s="813"/>
      <c r="E778" s="813"/>
      <c r="F778" s="814"/>
    </row>
    <row r="779" spans="1:6" ht="15.75" x14ac:dyDescent="0.25">
      <c r="A779" s="812"/>
      <c r="B779" s="813"/>
      <c r="C779" s="812"/>
      <c r="D779" s="813"/>
      <c r="E779" s="813"/>
      <c r="F779" s="814"/>
    </row>
    <row r="780" spans="1:6" ht="15.75" x14ac:dyDescent="0.25">
      <c r="A780" s="812"/>
      <c r="B780" s="813"/>
      <c r="C780" s="812"/>
      <c r="D780" s="813"/>
      <c r="E780" s="813"/>
      <c r="F780" s="814"/>
    </row>
    <row r="781" spans="1:6" ht="15.75" x14ac:dyDescent="0.25">
      <c r="A781" s="812"/>
      <c r="B781" s="813"/>
      <c r="C781" s="812"/>
      <c r="D781" s="813"/>
      <c r="E781" s="813"/>
      <c r="F781" s="814"/>
    </row>
    <row r="782" spans="1:6" ht="15.75" x14ac:dyDescent="0.25">
      <c r="A782" s="812"/>
      <c r="B782" s="813"/>
      <c r="C782" s="812"/>
      <c r="D782" s="813"/>
      <c r="E782" s="813"/>
      <c r="F782" s="814"/>
    </row>
    <row r="783" spans="1:6" ht="15.75" x14ac:dyDescent="0.25">
      <c r="A783" s="812"/>
      <c r="B783" s="813"/>
      <c r="C783" s="812"/>
      <c r="D783" s="813"/>
      <c r="E783" s="813"/>
      <c r="F783" s="814"/>
    </row>
    <row r="784" spans="1:6" ht="15.75" x14ac:dyDescent="0.25">
      <c r="A784" s="812"/>
      <c r="B784" s="813"/>
      <c r="C784" s="812"/>
      <c r="D784" s="813"/>
      <c r="E784" s="813"/>
      <c r="F784" s="814"/>
    </row>
    <row r="785" spans="1:6" ht="15.75" x14ac:dyDescent="0.25">
      <c r="A785" s="812"/>
      <c r="B785" s="813"/>
      <c r="C785" s="812"/>
      <c r="D785" s="813"/>
      <c r="E785" s="813"/>
      <c r="F785" s="814"/>
    </row>
    <row r="786" spans="1:6" ht="15.75" x14ac:dyDescent="0.25">
      <c r="A786" s="812"/>
      <c r="B786" s="813"/>
      <c r="C786" s="812"/>
      <c r="D786" s="813"/>
      <c r="E786" s="813"/>
      <c r="F786" s="814"/>
    </row>
    <row r="787" spans="1:6" ht="15.75" x14ac:dyDescent="0.25">
      <c r="A787" s="812"/>
      <c r="B787" s="813"/>
      <c r="C787" s="812"/>
      <c r="D787" s="813"/>
      <c r="E787" s="813"/>
      <c r="F787" s="814"/>
    </row>
    <row r="788" spans="1:6" ht="15.75" x14ac:dyDescent="0.25">
      <c r="A788" s="812"/>
      <c r="B788" s="813"/>
      <c r="C788" s="812"/>
      <c r="D788" s="813"/>
      <c r="E788" s="813"/>
      <c r="F788" s="814"/>
    </row>
    <row r="789" spans="1:6" ht="15.75" x14ac:dyDescent="0.25">
      <c r="A789" s="812"/>
      <c r="B789" s="813"/>
      <c r="C789" s="812"/>
      <c r="D789" s="813"/>
      <c r="E789" s="813"/>
      <c r="F789" s="814"/>
    </row>
    <row r="790" spans="1:6" ht="15.75" x14ac:dyDescent="0.25">
      <c r="A790" s="812"/>
      <c r="B790" s="813"/>
      <c r="C790" s="812"/>
      <c r="D790" s="813"/>
      <c r="E790" s="813"/>
      <c r="F790" s="814"/>
    </row>
    <row r="791" spans="1:6" ht="15.75" x14ac:dyDescent="0.25">
      <c r="A791" s="812"/>
      <c r="B791" s="813"/>
      <c r="C791" s="812"/>
      <c r="D791" s="813"/>
      <c r="E791" s="813"/>
      <c r="F791" s="814"/>
    </row>
    <row r="792" spans="1:6" ht="15.75" x14ac:dyDescent="0.25">
      <c r="A792" s="812"/>
      <c r="B792" s="813"/>
      <c r="C792" s="812"/>
      <c r="D792" s="813"/>
      <c r="E792" s="813"/>
      <c r="F792" s="814"/>
    </row>
    <row r="793" spans="1:6" ht="15.75" x14ac:dyDescent="0.25">
      <c r="A793" s="812"/>
      <c r="B793" s="813"/>
      <c r="C793" s="812"/>
      <c r="D793" s="813"/>
      <c r="E793" s="813"/>
      <c r="F793" s="814"/>
    </row>
    <row r="794" spans="1:6" ht="15.75" x14ac:dyDescent="0.25">
      <c r="A794" s="812"/>
      <c r="B794" s="813"/>
      <c r="C794" s="812"/>
      <c r="D794" s="813"/>
      <c r="E794" s="813"/>
      <c r="F794" s="814"/>
    </row>
    <row r="795" spans="1:6" ht="15.75" x14ac:dyDescent="0.25">
      <c r="A795" s="812"/>
      <c r="B795" s="813"/>
      <c r="C795" s="812"/>
      <c r="D795" s="813"/>
      <c r="E795" s="813"/>
      <c r="F795" s="814"/>
    </row>
    <row r="796" spans="1:6" ht="15.75" x14ac:dyDescent="0.25">
      <c r="A796" s="812"/>
      <c r="B796" s="813"/>
      <c r="C796" s="812"/>
      <c r="D796" s="813"/>
      <c r="E796" s="813"/>
      <c r="F796" s="814"/>
    </row>
    <row r="797" spans="1:6" ht="15.75" x14ac:dyDescent="0.25">
      <c r="A797" s="812"/>
      <c r="B797" s="813"/>
      <c r="C797" s="812"/>
      <c r="D797" s="813"/>
      <c r="E797" s="813"/>
      <c r="F797" s="814"/>
    </row>
    <row r="798" spans="1:6" ht="15.75" x14ac:dyDescent="0.25">
      <c r="A798" s="812"/>
      <c r="B798" s="813"/>
      <c r="C798" s="812"/>
      <c r="D798" s="813"/>
      <c r="E798" s="813"/>
      <c r="F798" s="814"/>
    </row>
    <row r="799" spans="1:6" ht="15.75" x14ac:dyDescent="0.25">
      <c r="A799" s="812"/>
      <c r="B799" s="813"/>
      <c r="C799" s="812"/>
      <c r="D799" s="813"/>
      <c r="E799" s="813"/>
      <c r="F799" s="814"/>
    </row>
    <row r="800" spans="1:6" ht="15.75" x14ac:dyDescent="0.25">
      <c r="A800" s="812"/>
      <c r="B800" s="813"/>
      <c r="C800" s="812"/>
      <c r="D800" s="813"/>
      <c r="E800" s="813"/>
      <c r="F800" s="814"/>
    </row>
    <row r="801" spans="1:6" ht="15.75" x14ac:dyDescent="0.25">
      <c r="A801" s="812"/>
      <c r="B801" s="813"/>
      <c r="C801" s="812"/>
      <c r="D801" s="813"/>
      <c r="E801" s="813"/>
      <c r="F801" s="814"/>
    </row>
    <row r="802" spans="1:6" ht="15.75" x14ac:dyDescent="0.25">
      <c r="A802" s="812"/>
      <c r="B802" s="813"/>
      <c r="C802" s="812"/>
      <c r="D802" s="813"/>
      <c r="E802" s="813"/>
      <c r="F802" s="814"/>
    </row>
    <row r="803" spans="1:6" ht="15.75" x14ac:dyDescent="0.25">
      <c r="A803" s="812"/>
      <c r="B803" s="813"/>
      <c r="C803" s="812"/>
      <c r="D803" s="813"/>
      <c r="E803" s="813"/>
      <c r="F803" s="814"/>
    </row>
    <row r="804" spans="1:6" ht="15.75" x14ac:dyDescent="0.25">
      <c r="A804" s="812"/>
      <c r="B804" s="813"/>
      <c r="C804" s="812"/>
      <c r="D804" s="813"/>
      <c r="E804" s="813"/>
      <c r="F804" s="814"/>
    </row>
    <row r="805" spans="1:6" ht="15.75" x14ac:dyDescent="0.25">
      <c r="A805" s="812"/>
      <c r="B805" s="813"/>
      <c r="C805" s="812"/>
      <c r="D805" s="813"/>
      <c r="E805" s="813"/>
      <c r="F805" s="814"/>
    </row>
    <row r="806" spans="1:6" ht="15.75" x14ac:dyDescent="0.25">
      <c r="A806" s="812"/>
      <c r="B806" s="813"/>
      <c r="C806" s="812"/>
      <c r="D806" s="813"/>
      <c r="E806" s="813"/>
      <c r="F806" s="814"/>
    </row>
    <row r="807" spans="1:6" ht="15.75" x14ac:dyDescent="0.25">
      <c r="A807" s="812"/>
      <c r="B807" s="813"/>
      <c r="C807" s="812"/>
      <c r="D807" s="813"/>
      <c r="E807" s="813"/>
      <c r="F807" s="814"/>
    </row>
    <row r="808" spans="1:6" ht="15.75" x14ac:dyDescent="0.25">
      <c r="A808" s="812"/>
      <c r="B808" s="813"/>
      <c r="C808" s="812"/>
      <c r="D808" s="813"/>
      <c r="E808" s="813"/>
      <c r="F808" s="814"/>
    </row>
    <row r="809" spans="1:6" ht="15.75" x14ac:dyDescent="0.25">
      <c r="A809" s="812"/>
      <c r="B809" s="813"/>
      <c r="C809" s="812"/>
      <c r="D809" s="813"/>
      <c r="E809" s="813"/>
      <c r="F809" s="814"/>
    </row>
    <row r="810" spans="1:6" ht="15.75" x14ac:dyDescent="0.25">
      <c r="A810" s="812"/>
      <c r="B810" s="813"/>
      <c r="C810" s="812"/>
      <c r="D810" s="813"/>
      <c r="E810" s="813"/>
      <c r="F810" s="814"/>
    </row>
    <row r="811" spans="1:6" ht="15.75" x14ac:dyDescent="0.25">
      <c r="A811" s="812"/>
      <c r="B811" s="813"/>
      <c r="C811" s="812"/>
      <c r="D811" s="813"/>
      <c r="E811" s="813"/>
      <c r="F811" s="814"/>
    </row>
    <row r="812" spans="1:6" ht="15.75" x14ac:dyDescent="0.25">
      <c r="A812" s="812"/>
      <c r="B812" s="813"/>
      <c r="C812" s="812"/>
      <c r="D812" s="813"/>
      <c r="E812" s="813"/>
      <c r="F812" s="814"/>
    </row>
    <row r="813" spans="1:6" ht="15.75" x14ac:dyDescent="0.25">
      <c r="A813" s="812"/>
      <c r="B813" s="813"/>
      <c r="C813" s="812"/>
      <c r="D813" s="813"/>
      <c r="E813" s="813"/>
      <c r="F813" s="814"/>
    </row>
    <row r="814" spans="1:6" ht="15.75" x14ac:dyDescent="0.25">
      <c r="A814" s="812"/>
      <c r="B814" s="813"/>
      <c r="C814" s="812"/>
      <c r="D814" s="813"/>
      <c r="E814" s="813"/>
      <c r="F814" s="814"/>
    </row>
    <row r="815" spans="1:6" ht="15.75" x14ac:dyDescent="0.25">
      <c r="A815" s="812"/>
      <c r="B815" s="813"/>
      <c r="C815" s="812"/>
      <c r="D815" s="813"/>
      <c r="E815" s="813"/>
      <c r="F815" s="814"/>
    </row>
    <row r="816" spans="1:6" ht="15.75" x14ac:dyDescent="0.25">
      <c r="A816" s="812"/>
      <c r="B816" s="813"/>
      <c r="C816" s="812"/>
      <c r="D816" s="813"/>
      <c r="E816" s="813"/>
      <c r="F816" s="814"/>
    </row>
    <row r="817" spans="1:6" ht="15.75" x14ac:dyDescent="0.25">
      <c r="A817" s="812"/>
      <c r="B817" s="813"/>
      <c r="C817" s="812"/>
      <c r="D817" s="813"/>
      <c r="E817" s="813"/>
      <c r="F817" s="814"/>
    </row>
    <row r="818" spans="1:6" ht="15.75" x14ac:dyDescent="0.25">
      <c r="A818" s="812"/>
      <c r="B818" s="813"/>
      <c r="C818" s="812"/>
      <c r="D818" s="813"/>
      <c r="E818" s="813"/>
      <c r="F818" s="814"/>
    </row>
    <row r="819" spans="1:6" ht="15.75" x14ac:dyDescent="0.25">
      <c r="A819" s="812"/>
      <c r="B819" s="813"/>
      <c r="C819" s="812"/>
      <c r="D819" s="813"/>
      <c r="E819" s="813"/>
      <c r="F819" s="814"/>
    </row>
    <row r="820" spans="1:6" ht="15.75" x14ac:dyDescent="0.25">
      <c r="A820" s="812"/>
      <c r="B820" s="813"/>
      <c r="C820" s="812"/>
      <c r="D820" s="813"/>
      <c r="E820" s="813"/>
      <c r="F820" s="814"/>
    </row>
    <row r="821" spans="1:6" ht="15.75" x14ac:dyDescent="0.25">
      <c r="A821" s="812"/>
      <c r="B821" s="813"/>
      <c r="C821" s="812"/>
      <c r="D821" s="813"/>
      <c r="E821" s="813"/>
      <c r="F821" s="814"/>
    </row>
    <row r="822" spans="1:6" ht="15.75" x14ac:dyDescent="0.25">
      <c r="A822" s="812"/>
      <c r="B822" s="813"/>
      <c r="C822" s="812"/>
      <c r="D822" s="813"/>
      <c r="E822" s="813"/>
      <c r="F822" s="814"/>
    </row>
    <row r="823" spans="1:6" ht="15.75" x14ac:dyDescent="0.25">
      <c r="A823" s="812"/>
      <c r="B823" s="813"/>
      <c r="C823" s="812"/>
      <c r="D823" s="813"/>
      <c r="E823" s="813"/>
      <c r="F823" s="814"/>
    </row>
    <row r="824" spans="1:6" ht="15.75" x14ac:dyDescent="0.25">
      <c r="A824" s="812"/>
      <c r="B824" s="813"/>
      <c r="C824" s="812"/>
      <c r="D824" s="813"/>
      <c r="E824" s="813"/>
      <c r="F824" s="814"/>
    </row>
    <row r="825" spans="1:6" ht="15.75" x14ac:dyDescent="0.25">
      <c r="A825" s="812"/>
      <c r="B825" s="813"/>
      <c r="C825" s="812"/>
      <c r="D825" s="813"/>
      <c r="E825" s="813"/>
      <c r="F825" s="814"/>
    </row>
    <row r="826" spans="1:6" ht="15.75" x14ac:dyDescent="0.25">
      <c r="A826" s="812"/>
      <c r="B826" s="813"/>
      <c r="C826" s="812"/>
      <c r="D826" s="813"/>
      <c r="E826" s="813"/>
      <c r="F826" s="814"/>
    </row>
    <row r="827" spans="1:6" ht="15.75" x14ac:dyDescent="0.25">
      <c r="A827" s="812"/>
      <c r="B827" s="813"/>
      <c r="C827" s="812"/>
      <c r="D827" s="813"/>
      <c r="E827" s="813"/>
      <c r="F827" s="814"/>
    </row>
    <row r="828" spans="1:6" ht="15.75" x14ac:dyDescent="0.25">
      <c r="A828" s="812"/>
      <c r="B828" s="813"/>
      <c r="C828" s="812"/>
      <c r="D828" s="813"/>
      <c r="E828" s="813"/>
      <c r="F828" s="814"/>
    </row>
    <row r="829" spans="1:6" ht="15.75" x14ac:dyDescent="0.25">
      <c r="A829" s="812"/>
      <c r="B829" s="813"/>
      <c r="C829" s="812"/>
      <c r="D829" s="813"/>
      <c r="E829" s="813"/>
      <c r="F829" s="814"/>
    </row>
    <row r="830" spans="1:6" ht="15.75" x14ac:dyDescent="0.25">
      <c r="A830" s="812"/>
      <c r="B830" s="813"/>
      <c r="C830" s="812"/>
      <c r="D830" s="813"/>
      <c r="E830" s="813"/>
      <c r="F830" s="814"/>
    </row>
    <row r="831" spans="1:6" ht="15.75" x14ac:dyDescent="0.25">
      <c r="A831" s="812"/>
      <c r="B831" s="813"/>
      <c r="C831" s="812"/>
      <c r="D831" s="813"/>
      <c r="E831" s="813"/>
      <c r="F831" s="814"/>
    </row>
    <row r="832" spans="1:6" ht="15.75" x14ac:dyDescent="0.25">
      <c r="A832" s="812"/>
      <c r="B832" s="813"/>
      <c r="C832" s="812"/>
      <c r="D832" s="813"/>
      <c r="E832" s="813"/>
      <c r="F832" s="814"/>
    </row>
    <row r="833" spans="1:6" ht="15.75" x14ac:dyDescent="0.25">
      <c r="A833" s="812"/>
      <c r="B833" s="813"/>
      <c r="C833" s="812"/>
      <c r="D833" s="813"/>
      <c r="E833" s="813"/>
      <c r="F833" s="814"/>
    </row>
    <row r="834" spans="1:6" ht="15.75" x14ac:dyDescent="0.25">
      <c r="A834" s="812"/>
      <c r="B834" s="813"/>
      <c r="C834" s="812"/>
      <c r="D834" s="813"/>
      <c r="E834" s="813"/>
      <c r="F834" s="814"/>
    </row>
    <row r="835" spans="1:6" ht="15.75" x14ac:dyDescent="0.25">
      <c r="A835" s="812"/>
      <c r="B835" s="813"/>
      <c r="C835" s="812"/>
      <c r="D835" s="813"/>
      <c r="E835" s="813"/>
      <c r="F835" s="814"/>
    </row>
    <row r="836" spans="1:6" ht="15.75" x14ac:dyDescent="0.25">
      <c r="A836" s="812"/>
      <c r="B836" s="813"/>
      <c r="C836" s="812"/>
      <c r="D836" s="813"/>
      <c r="E836" s="813"/>
      <c r="F836" s="814"/>
    </row>
    <row r="837" spans="1:6" ht="15.75" x14ac:dyDescent="0.25">
      <c r="A837" s="812"/>
      <c r="B837" s="813"/>
      <c r="C837" s="812"/>
      <c r="D837" s="813"/>
      <c r="E837" s="813"/>
      <c r="F837" s="814"/>
    </row>
    <row r="838" spans="1:6" ht="15.75" x14ac:dyDescent="0.25">
      <c r="A838" s="812"/>
      <c r="B838" s="813"/>
      <c r="C838" s="812"/>
      <c r="D838" s="813"/>
      <c r="E838" s="813"/>
      <c r="F838" s="814"/>
    </row>
    <row r="839" spans="1:6" ht="15.75" x14ac:dyDescent="0.25">
      <c r="A839" s="812"/>
      <c r="B839" s="813"/>
      <c r="C839" s="812"/>
      <c r="D839" s="813"/>
      <c r="E839" s="813"/>
      <c r="F839" s="814"/>
    </row>
    <row r="840" spans="1:6" ht="15.75" x14ac:dyDescent="0.25">
      <c r="A840" s="812"/>
      <c r="B840" s="813"/>
      <c r="C840" s="812"/>
      <c r="D840" s="813"/>
      <c r="E840" s="813"/>
      <c r="F840" s="814"/>
    </row>
    <row r="841" spans="1:6" ht="15.75" x14ac:dyDescent="0.25">
      <c r="A841" s="812"/>
      <c r="B841" s="813"/>
      <c r="C841" s="812"/>
      <c r="D841" s="813"/>
      <c r="E841" s="813"/>
      <c r="F841" s="814"/>
    </row>
    <row r="842" spans="1:6" ht="15.75" x14ac:dyDescent="0.25">
      <c r="A842" s="812"/>
      <c r="B842" s="813"/>
      <c r="C842" s="812"/>
      <c r="D842" s="813"/>
      <c r="E842" s="813"/>
      <c r="F842" s="814"/>
    </row>
    <row r="843" spans="1:6" ht="15.75" x14ac:dyDescent="0.25">
      <c r="A843" s="812"/>
      <c r="B843" s="813"/>
      <c r="C843" s="812"/>
      <c r="D843" s="813"/>
      <c r="E843" s="813"/>
      <c r="F843" s="814"/>
    </row>
    <row r="844" spans="1:6" ht="15.75" x14ac:dyDescent="0.25">
      <c r="A844" s="812"/>
      <c r="B844" s="813"/>
      <c r="C844" s="812"/>
      <c r="D844" s="813"/>
      <c r="E844" s="813"/>
      <c r="F844" s="814"/>
    </row>
    <row r="845" spans="1:6" ht="15.75" x14ac:dyDescent="0.25">
      <c r="A845" s="812"/>
      <c r="B845" s="813"/>
      <c r="C845" s="812"/>
      <c r="D845" s="813"/>
      <c r="E845" s="813"/>
      <c r="F845" s="814"/>
    </row>
    <row r="846" spans="1:6" ht="15.75" x14ac:dyDescent="0.25">
      <c r="A846" s="812"/>
      <c r="B846" s="813"/>
      <c r="C846" s="812"/>
      <c r="D846" s="813"/>
      <c r="E846" s="813"/>
      <c r="F846" s="814"/>
    </row>
    <row r="847" spans="1:6" ht="15.75" x14ac:dyDescent="0.25">
      <c r="A847" s="812"/>
      <c r="B847" s="813"/>
      <c r="C847" s="812"/>
      <c r="D847" s="813"/>
      <c r="E847" s="813"/>
      <c r="F847" s="814"/>
    </row>
    <row r="848" spans="1:6" ht="15.75" x14ac:dyDescent="0.25">
      <c r="A848" s="812"/>
      <c r="B848" s="813"/>
      <c r="C848" s="812"/>
      <c r="D848" s="813"/>
      <c r="E848" s="813"/>
      <c r="F848" s="814"/>
    </row>
    <row r="849" spans="1:6" ht="15.75" x14ac:dyDescent="0.25">
      <c r="A849" s="812"/>
      <c r="B849" s="813"/>
      <c r="C849" s="812"/>
      <c r="D849" s="813"/>
      <c r="E849" s="813"/>
      <c r="F849" s="814"/>
    </row>
    <row r="850" spans="1:6" ht="15.75" x14ac:dyDescent="0.25">
      <c r="A850" s="812"/>
      <c r="B850" s="813"/>
      <c r="C850" s="812"/>
      <c r="D850" s="813"/>
      <c r="E850" s="813"/>
      <c r="F850" s="814"/>
    </row>
    <row r="851" spans="1:6" ht="15.75" x14ac:dyDescent="0.25">
      <c r="A851" s="812"/>
      <c r="B851" s="813"/>
      <c r="C851" s="812"/>
      <c r="D851" s="813"/>
      <c r="E851" s="813"/>
      <c r="F851" s="814"/>
    </row>
    <row r="852" spans="1:6" ht="15.75" x14ac:dyDescent="0.25">
      <c r="A852" s="812"/>
      <c r="B852" s="813"/>
      <c r="C852" s="812"/>
      <c r="D852" s="813"/>
      <c r="E852" s="813"/>
      <c r="F852" s="814"/>
    </row>
    <row r="853" spans="1:6" ht="15.75" x14ac:dyDescent="0.25">
      <c r="A853" s="812"/>
      <c r="B853" s="813"/>
      <c r="C853" s="812"/>
      <c r="D853" s="813"/>
      <c r="E853" s="813"/>
      <c r="F853" s="814"/>
    </row>
    <row r="854" spans="1:6" ht="15.75" x14ac:dyDescent="0.25">
      <c r="A854" s="812"/>
      <c r="B854" s="813"/>
      <c r="C854" s="812"/>
      <c r="D854" s="813"/>
      <c r="E854" s="813"/>
      <c r="F854" s="814"/>
    </row>
    <row r="855" spans="1:6" ht="15.75" x14ac:dyDescent="0.25">
      <c r="A855" s="812"/>
      <c r="B855" s="813"/>
      <c r="C855" s="812"/>
      <c r="D855" s="813"/>
      <c r="E855" s="813"/>
      <c r="F855" s="814"/>
    </row>
    <row r="856" spans="1:6" ht="15.75" x14ac:dyDescent="0.25">
      <c r="A856" s="812"/>
      <c r="B856" s="813"/>
      <c r="C856" s="812"/>
      <c r="D856" s="813"/>
      <c r="E856" s="813"/>
      <c r="F856" s="814"/>
    </row>
    <row r="857" spans="1:6" ht="15.75" x14ac:dyDescent="0.25">
      <c r="A857" s="812"/>
      <c r="B857" s="813"/>
      <c r="C857" s="812"/>
      <c r="D857" s="813"/>
      <c r="E857" s="813"/>
      <c r="F857" s="814"/>
    </row>
    <row r="858" spans="1:6" ht="15.75" x14ac:dyDescent="0.25">
      <c r="A858" s="812"/>
      <c r="B858" s="813"/>
      <c r="C858" s="812"/>
      <c r="D858" s="813"/>
      <c r="E858" s="813"/>
      <c r="F858" s="814"/>
    </row>
    <row r="859" spans="1:6" ht="15.75" x14ac:dyDescent="0.25">
      <c r="A859" s="812"/>
      <c r="B859" s="813"/>
      <c r="C859" s="812"/>
      <c r="D859" s="813"/>
      <c r="E859" s="813"/>
      <c r="F859" s="814"/>
    </row>
    <row r="860" spans="1:6" ht="15.75" x14ac:dyDescent="0.25">
      <c r="A860" s="812"/>
      <c r="B860" s="813"/>
      <c r="C860" s="812"/>
      <c r="D860" s="813"/>
      <c r="E860" s="813"/>
      <c r="F860" s="814"/>
    </row>
    <row r="861" spans="1:6" ht="15.75" x14ac:dyDescent="0.25">
      <c r="A861" s="812"/>
      <c r="B861" s="813"/>
      <c r="C861" s="812"/>
      <c r="D861" s="813"/>
      <c r="E861" s="813"/>
      <c r="F861" s="814"/>
    </row>
    <row r="862" spans="1:6" ht="15.75" x14ac:dyDescent="0.25">
      <c r="A862" s="812"/>
      <c r="B862" s="813"/>
      <c r="C862" s="812"/>
      <c r="D862" s="813"/>
      <c r="E862" s="813"/>
      <c r="F862" s="814"/>
    </row>
    <row r="863" spans="1:6" ht="15.75" x14ac:dyDescent="0.25">
      <c r="A863" s="812"/>
      <c r="B863" s="813"/>
      <c r="C863" s="812"/>
      <c r="D863" s="813"/>
      <c r="E863" s="813"/>
      <c r="F863" s="814"/>
    </row>
    <row r="864" spans="1:6" ht="15.75" x14ac:dyDescent="0.25">
      <c r="A864" s="812"/>
      <c r="B864" s="813"/>
      <c r="C864" s="812"/>
      <c r="D864" s="813"/>
      <c r="E864" s="813"/>
      <c r="F864" s="814"/>
    </row>
    <row r="865" spans="1:6" ht="15.75" x14ac:dyDescent="0.25">
      <c r="A865" s="812"/>
      <c r="B865" s="813"/>
      <c r="C865" s="812"/>
      <c r="D865" s="813"/>
      <c r="E865" s="813"/>
      <c r="F865" s="814"/>
    </row>
    <row r="866" spans="1:6" ht="15.75" x14ac:dyDescent="0.25">
      <c r="A866" s="812"/>
      <c r="B866" s="813"/>
      <c r="C866" s="812"/>
      <c r="D866" s="813"/>
      <c r="E866" s="813"/>
      <c r="F866" s="814"/>
    </row>
    <row r="867" spans="1:6" ht="15.75" x14ac:dyDescent="0.25">
      <c r="A867" s="812"/>
      <c r="B867" s="813"/>
      <c r="C867" s="812"/>
      <c r="D867" s="813"/>
      <c r="E867" s="813"/>
      <c r="F867" s="814"/>
    </row>
    <row r="868" spans="1:6" ht="15.75" x14ac:dyDescent="0.25">
      <c r="A868" s="812"/>
      <c r="B868" s="813"/>
      <c r="C868" s="812"/>
      <c r="D868" s="813"/>
      <c r="E868" s="813"/>
      <c r="F868" s="814"/>
    </row>
    <row r="869" spans="1:6" ht="15.75" x14ac:dyDescent="0.25">
      <c r="A869" s="812"/>
      <c r="B869" s="813"/>
      <c r="C869" s="812"/>
      <c r="D869" s="813"/>
      <c r="E869" s="813"/>
      <c r="F869" s="814"/>
    </row>
    <row r="870" spans="1:6" ht="15.75" x14ac:dyDescent="0.25">
      <c r="A870" s="812"/>
      <c r="B870" s="813"/>
      <c r="C870" s="812"/>
      <c r="D870" s="813"/>
      <c r="E870" s="813"/>
      <c r="F870" s="814"/>
    </row>
    <row r="871" spans="1:6" ht="15.75" x14ac:dyDescent="0.25">
      <c r="A871" s="812"/>
      <c r="B871" s="813"/>
      <c r="C871" s="812"/>
      <c r="D871" s="813"/>
      <c r="E871" s="813"/>
      <c r="F871" s="814"/>
    </row>
    <row r="872" spans="1:6" ht="15.75" x14ac:dyDescent="0.25">
      <c r="A872" s="812"/>
      <c r="B872" s="813"/>
      <c r="C872" s="812"/>
      <c r="D872" s="813"/>
      <c r="E872" s="813"/>
      <c r="F872" s="814"/>
    </row>
    <row r="873" spans="1:6" ht="15.75" x14ac:dyDescent="0.25">
      <c r="A873" s="812"/>
      <c r="B873" s="813"/>
      <c r="C873" s="812"/>
      <c r="D873" s="813"/>
      <c r="E873" s="813"/>
      <c r="F873" s="814"/>
    </row>
    <row r="874" spans="1:6" ht="15.75" x14ac:dyDescent="0.25">
      <c r="A874" s="812"/>
      <c r="B874" s="813"/>
      <c r="C874" s="812"/>
      <c r="D874" s="813"/>
      <c r="E874" s="813"/>
      <c r="F874" s="814"/>
    </row>
    <row r="875" spans="1:6" ht="15.75" x14ac:dyDescent="0.25">
      <c r="A875" s="812"/>
      <c r="B875" s="813"/>
      <c r="C875" s="812"/>
      <c r="D875" s="813"/>
      <c r="E875" s="813"/>
      <c r="F875" s="814"/>
    </row>
    <row r="876" spans="1:6" ht="15.75" x14ac:dyDescent="0.25">
      <c r="A876" s="812"/>
      <c r="B876" s="813"/>
      <c r="C876" s="812"/>
      <c r="D876" s="813"/>
      <c r="E876" s="813"/>
      <c r="F876" s="814"/>
    </row>
  </sheetData>
  <mergeCells count="4">
    <mergeCell ref="A16:F16"/>
    <mergeCell ref="C13:F13"/>
    <mergeCell ref="C14:F14"/>
    <mergeCell ref="C15:F15"/>
  </mergeCells>
  <conditionalFormatting sqref="F34">
    <cfRule type="containsText" dxfId="2083" priority="63" operator="containsText" text="média">
      <formula>NOT(ISERROR(SEARCH("média",F34)))</formula>
    </cfRule>
    <cfRule type="containsText" dxfId="2082" priority="64" operator="containsText" text="informado">
      <formula>NOT(ISERROR(SEARCH("informado",F34)))</formula>
    </cfRule>
  </conditionalFormatting>
  <conditionalFormatting sqref="F36:F37">
    <cfRule type="containsText" dxfId="2081" priority="29" operator="containsText" text="média">
      <formula>NOT(ISERROR(SEARCH("média",F36)))</formula>
    </cfRule>
    <cfRule type="containsText" dxfId="2080" priority="30" operator="containsText" text="informado">
      <formula>NOT(ISERROR(SEARCH("informado",F36)))</formula>
    </cfRule>
  </conditionalFormatting>
  <conditionalFormatting sqref="F39:F40">
    <cfRule type="containsText" dxfId="2079" priority="103" operator="containsText" text="média">
      <formula>NOT(ISERROR(SEARCH("média",F39)))</formula>
    </cfRule>
    <cfRule type="containsText" dxfId="2078" priority="104" operator="containsText" text="informado">
      <formula>NOT(ISERROR(SEARCH("informado",F39)))</formula>
    </cfRule>
  </conditionalFormatting>
  <conditionalFormatting sqref="F19:F26">
    <cfRule type="containsText" dxfId="2077" priority="9" operator="containsText" text="média">
      <formula>NOT(ISERROR(SEARCH("média",F19)))</formula>
    </cfRule>
    <cfRule type="containsText" dxfId="2076" priority="10" operator="containsText" text="informado">
      <formula>NOT(ISERROR(SEARCH("informado",F19)))</formula>
    </cfRule>
  </conditionalFormatting>
  <conditionalFormatting sqref="F28:F31">
    <cfRule type="containsText" dxfId="2075" priority="7" operator="containsText" text="média">
      <formula>NOT(ISERROR(SEARCH("média",F28)))</formula>
    </cfRule>
    <cfRule type="containsText" dxfId="2074" priority="8" operator="containsText" text="informado">
      <formula>NOT(ISERROR(SEARCH("informado",F28)))</formula>
    </cfRule>
  </conditionalFormatting>
  <conditionalFormatting sqref="F33">
    <cfRule type="containsText" dxfId="2073" priority="5" operator="containsText" text="média">
      <formula>NOT(ISERROR(SEARCH("média",F33)))</formula>
    </cfRule>
    <cfRule type="containsText" dxfId="2072" priority="6" operator="containsText" text="informado">
      <formula>NOT(ISERROR(SEARCH("informado",F33)))</formula>
    </cfRule>
  </conditionalFormatting>
  <conditionalFormatting sqref="F32">
    <cfRule type="containsText" dxfId="2071" priority="3" operator="containsText" text="média">
      <formula>NOT(ISERROR(SEARCH("média",F32)))</formula>
    </cfRule>
    <cfRule type="containsText" dxfId="2070" priority="4" operator="containsText" text="informado">
      <formula>NOT(ISERROR(SEARCH("informado",F32)))</formula>
    </cfRule>
  </conditionalFormatting>
  <conditionalFormatting sqref="F41:F43">
    <cfRule type="containsText" dxfId="2069" priority="1" operator="containsText" text="média">
      <formula>NOT(ISERROR(SEARCH("média",F41)))</formula>
    </cfRule>
    <cfRule type="containsText" dxfId="2068" priority="2" operator="containsText" text="informado">
      <formula>NOT(ISERROR(SEARCH("informado",F41)))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F5E6-C7F8-4B00-9C78-85DE2093D5C7}">
  <sheetPr codeName="Planilha41">
    <tabColor rgb="FF1851D6"/>
    <pageSetUpPr fitToPage="1"/>
  </sheetPr>
  <dimension ref="A1:F65"/>
  <sheetViews>
    <sheetView showGridLines="0" view="pageBreakPreview" zoomScale="95" zoomScaleNormal="100" zoomScaleSheetLayoutView="95" workbookViewId="0">
      <pane ySplit="6" topLeftCell="A7" activePane="bottomLeft" state="frozen"/>
      <selection activeCell="P98" sqref="P98:Q98"/>
      <selection pane="bottomLeft" activeCell="G25" sqref="G25"/>
    </sheetView>
  </sheetViews>
  <sheetFormatPr defaultRowHeight="11.25" x14ac:dyDescent="0.2"/>
  <cols>
    <col min="1" max="1" width="17" style="4" bestFit="1" customWidth="1"/>
    <col min="2" max="2" width="44.140625" style="4" customWidth="1"/>
    <col min="3" max="4" width="11.140625" style="4" customWidth="1"/>
    <col min="5" max="5" width="16.5703125" style="4" customWidth="1"/>
    <col min="6" max="6" width="16.42578125" style="4" customWidth="1"/>
    <col min="7" max="7" width="56.28515625" style="4" customWidth="1"/>
    <col min="8" max="237" width="9.140625" style="4"/>
    <col min="238" max="238" width="18.7109375" style="4" customWidth="1"/>
    <col min="239" max="239" width="25.140625" style="4" customWidth="1"/>
    <col min="240" max="242" width="7.5703125" style="4" customWidth="1"/>
    <col min="243" max="245" width="6.7109375" style="4" customWidth="1"/>
    <col min="246" max="249" width="7.5703125" style="4" customWidth="1"/>
    <col min="250" max="250" width="8.140625" style="4" customWidth="1"/>
    <col min="251" max="251" width="8.42578125" style="4" customWidth="1"/>
    <col min="252" max="252" width="9.28515625" style="4" customWidth="1"/>
    <col min="253" max="253" width="8.42578125" style="4" customWidth="1"/>
    <col min="254" max="254" width="11.28515625" style="4" customWidth="1"/>
    <col min="255" max="255" width="9.28515625" style="4" customWidth="1"/>
    <col min="256" max="493" width="9.140625" style="4"/>
    <col min="494" max="494" width="18.7109375" style="4" customWidth="1"/>
    <col min="495" max="495" width="25.140625" style="4" customWidth="1"/>
    <col min="496" max="498" width="7.5703125" style="4" customWidth="1"/>
    <col min="499" max="501" width="6.7109375" style="4" customWidth="1"/>
    <col min="502" max="505" width="7.5703125" style="4" customWidth="1"/>
    <col min="506" max="506" width="8.140625" style="4" customWidth="1"/>
    <col min="507" max="507" width="8.42578125" style="4" customWidth="1"/>
    <col min="508" max="508" width="9.28515625" style="4" customWidth="1"/>
    <col min="509" max="509" width="8.42578125" style="4" customWidth="1"/>
    <col min="510" max="510" width="11.28515625" style="4" customWidth="1"/>
    <col min="511" max="511" width="9.28515625" style="4" customWidth="1"/>
    <col min="512" max="749" width="9.140625" style="4"/>
    <col min="750" max="750" width="18.7109375" style="4" customWidth="1"/>
    <col min="751" max="751" width="25.140625" style="4" customWidth="1"/>
    <col min="752" max="754" width="7.5703125" style="4" customWidth="1"/>
    <col min="755" max="757" width="6.7109375" style="4" customWidth="1"/>
    <col min="758" max="761" width="7.5703125" style="4" customWidth="1"/>
    <col min="762" max="762" width="8.140625" style="4" customWidth="1"/>
    <col min="763" max="763" width="8.42578125" style="4" customWidth="1"/>
    <col min="764" max="764" width="9.28515625" style="4" customWidth="1"/>
    <col min="765" max="765" width="8.42578125" style="4" customWidth="1"/>
    <col min="766" max="766" width="11.28515625" style="4" customWidth="1"/>
    <col min="767" max="767" width="9.28515625" style="4" customWidth="1"/>
    <col min="768" max="1005" width="9.140625" style="4"/>
    <col min="1006" max="1006" width="18.7109375" style="4" customWidth="1"/>
    <col min="1007" max="1007" width="25.140625" style="4" customWidth="1"/>
    <col min="1008" max="1010" width="7.5703125" style="4" customWidth="1"/>
    <col min="1011" max="1013" width="6.7109375" style="4" customWidth="1"/>
    <col min="1014" max="1017" width="7.5703125" style="4" customWidth="1"/>
    <col min="1018" max="1018" width="8.140625" style="4" customWidth="1"/>
    <col min="1019" max="1019" width="8.42578125" style="4" customWidth="1"/>
    <col min="1020" max="1020" width="9.28515625" style="4" customWidth="1"/>
    <col min="1021" max="1021" width="8.42578125" style="4" customWidth="1"/>
    <col min="1022" max="1022" width="11.28515625" style="4" customWidth="1"/>
    <col min="1023" max="1023" width="9.28515625" style="4" customWidth="1"/>
    <col min="1024" max="1261" width="9.140625" style="4"/>
    <col min="1262" max="1262" width="18.7109375" style="4" customWidth="1"/>
    <col min="1263" max="1263" width="25.140625" style="4" customWidth="1"/>
    <col min="1264" max="1266" width="7.5703125" style="4" customWidth="1"/>
    <col min="1267" max="1269" width="6.7109375" style="4" customWidth="1"/>
    <col min="1270" max="1273" width="7.5703125" style="4" customWidth="1"/>
    <col min="1274" max="1274" width="8.140625" style="4" customWidth="1"/>
    <col min="1275" max="1275" width="8.42578125" style="4" customWidth="1"/>
    <col min="1276" max="1276" width="9.28515625" style="4" customWidth="1"/>
    <col min="1277" max="1277" width="8.42578125" style="4" customWidth="1"/>
    <col min="1278" max="1278" width="11.28515625" style="4" customWidth="1"/>
    <col min="1279" max="1279" width="9.28515625" style="4" customWidth="1"/>
    <col min="1280" max="1517" width="9.140625" style="4"/>
    <col min="1518" max="1518" width="18.7109375" style="4" customWidth="1"/>
    <col min="1519" max="1519" width="25.140625" style="4" customWidth="1"/>
    <col min="1520" max="1522" width="7.5703125" style="4" customWidth="1"/>
    <col min="1523" max="1525" width="6.7109375" style="4" customWidth="1"/>
    <col min="1526" max="1529" width="7.5703125" style="4" customWidth="1"/>
    <col min="1530" max="1530" width="8.140625" style="4" customWidth="1"/>
    <col min="1531" max="1531" width="8.42578125" style="4" customWidth="1"/>
    <col min="1532" max="1532" width="9.28515625" style="4" customWidth="1"/>
    <col min="1533" max="1533" width="8.42578125" style="4" customWidth="1"/>
    <col min="1534" max="1534" width="11.28515625" style="4" customWidth="1"/>
    <col min="1535" max="1535" width="9.28515625" style="4" customWidth="1"/>
    <col min="1536" max="1773" width="9.140625" style="4"/>
    <col min="1774" max="1774" width="18.7109375" style="4" customWidth="1"/>
    <col min="1775" max="1775" width="25.140625" style="4" customWidth="1"/>
    <col min="1776" max="1778" width="7.5703125" style="4" customWidth="1"/>
    <col min="1779" max="1781" width="6.7109375" style="4" customWidth="1"/>
    <col min="1782" max="1785" width="7.5703125" style="4" customWidth="1"/>
    <col min="1786" max="1786" width="8.140625" style="4" customWidth="1"/>
    <col min="1787" max="1787" width="8.42578125" style="4" customWidth="1"/>
    <col min="1788" max="1788" width="9.28515625" style="4" customWidth="1"/>
    <col min="1789" max="1789" width="8.42578125" style="4" customWidth="1"/>
    <col min="1790" max="1790" width="11.28515625" style="4" customWidth="1"/>
    <col min="1791" max="1791" width="9.28515625" style="4" customWidth="1"/>
    <col min="1792" max="2029" width="9.140625" style="4"/>
    <col min="2030" max="2030" width="18.7109375" style="4" customWidth="1"/>
    <col min="2031" max="2031" width="25.140625" style="4" customWidth="1"/>
    <col min="2032" max="2034" width="7.5703125" style="4" customWidth="1"/>
    <col min="2035" max="2037" width="6.7109375" style="4" customWidth="1"/>
    <col min="2038" max="2041" width="7.5703125" style="4" customWidth="1"/>
    <col min="2042" max="2042" width="8.140625" style="4" customWidth="1"/>
    <col min="2043" max="2043" width="8.42578125" style="4" customWidth="1"/>
    <col min="2044" max="2044" width="9.28515625" style="4" customWidth="1"/>
    <col min="2045" max="2045" width="8.42578125" style="4" customWidth="1"/>
    <col min="2046" max="2046" width="11.28515625" style="4" customWidth="1"/>
    <col min="2047" max="2047" width="9.28515625" style="4" customWidth="1"/>
    <col min="2048" max="2285" width="9.140625" style="4"/>
    <col min="2286" max="2286" width="18.7109375" style="4" customWidth="1"/>
    <col min="2287" max="2287" width="25.140625" style="4" customWidth="1"/>
    <col min="2288" max="2290" width="7.5703125" style="4" customWidth="1"/>
    <col min="2291" max="2293" width="6.7109375" style="4" customWidth="1"/>
    <col min="2294" max="2297" width="7.5703125" style="4" customWidth="1"/>
    <col min="2298" max="2298" width="8.140625" style="4" customWidth="1"/>
    <col min="2299" max="2299" width="8.42578125" style="4" customWidth="1"/>
    <col min="2300" max="2300" width="9.28515625" style="4" customWidth="1"/>
    <col min="2301" max="2301" width="8.42578125" style="4" customWidth="1"/>
    <col min="2302" max="2302" width="11.28515625" style="4" customWidth="1"/>
    <col min="2303" max="2303" width="9.28515625" style="4" customWidth="1"/>
    <col min="2304" max="2541" width="9.140625" style="4"/>
    <col min="2542" max="2542" width="18.7109375" style="4" customWidth="1"/>
    <col min="2543" max="2543" width="25.140625" style="4" customWidth="1"/>
    <col min="2544" max="2546" width="7.5703125" style="4" customWidth="1"/>
    <col min="2547" max="2549" width="6.7109375" style="4" customWidth="1"/>
    <col min="2550" max="2553" width="7.5703125" style="4" customWidth="1"/>
    <col min="2554" max="2554" width="8.140625" style="4" customWidth="1"/>
    <col min="2555" max="2555" width="8.42578125" style="4" customWidth="1"/>
    <col min="2556" max="2556" width="9.28515625" style="4" customWidth="1"/>
    <col min="2557" max="2557" width="8.42578125" style="4" customWidth="1"/>
    <col min="2558" max="2558" width="11.28515625" style="4" customWidth="1"/>
    <col min="2559" max="2559" width="9.28515625" style="4" customWidth="1"/>
    <col min="2560" max="2797" width="9.140625" style="4"/>
    <col min="2798" max="2798" width="18.7109375" style="4" customWidth="1"/>
    <col min="2799" max="2799" width="25.140625" style="4" customWidth="1"/>
    <col min="2800" max="2802" width="7.5703125" style="4" customWidth="1"/>
    <col min="2803" max="2805" width="6.7109375" style="4" customWidth="1"/>
    <col min="2806" max="2809" width="7.5703125" style="4" customWidth="1"/>
    <col min="2810" max="2810" width="8.140625" style="4" customWidth="1"/>
    <col min="2811" max="2811" width="8.42578125" style="4" customWidth="1"/>
    <col min="2812" max="2812" width="9.28515625" style="4" customWidth="1"/>
    <col min="2813" max="2813" width="8.42578125" style="4" customWidth="1"/>
    <col min="2814" max="2814" width="11.28515625" style="4" customWidth="1"/>
    <col min="2815" max="2815" width="9.28515625" style="4" customWidth="1"/>
    <col min="2816" max="3053" width="9.140625" style="4"/>
    <col min="3054" max="3054" width="18.7109375" style="4" customWidth="1"/>
    <col min="3055" max="3055" width="25.140625" style="4" customWidth="1"/>
    <col min="3056" max="3058" width="7.5703125" style="4" customWidth="1"/>
    <col min="3059" max="3061" width="6.7109375" style="4" customWidth="1"/>
    <col min="3062" max="3065" width="7.5703125" style="4" customWidth="1"/>
    <col min="3066" max="3066" width="8.140625" style="4" customWidth="1"/>
    <col min="3067" max="3067" width="8.42578125" style="4" customWidth="1"/>
    <col min="3068" max="3068" width="9.28515625" style="4" customWidth="1"/>
    <col min="3069" max="3069" width="8.42578125" style="4" customWidth="1"/>
    <col min="3070" max="3070" width="11.28515625" style="4" customWidth="1"/>
    <col min="3071" max="3071" width="9.28515625" style="4" customWidth="1"/>
    <col min="3072" max="3309" width="9.140625" style="4"/>
    <col min="3310" max="3310" width="18.7109375" style="4" customWidth="1"/>
    <col min="3311" max="3311" width="25.140625" style="4" customWidth="1"/>
    <col min="3312" max="3314" width="7.5703125" style="4" customWidth="1"/>
    <col min="3315" max="3317" width="6.7109375" style="4" customWidth="1"/>
    <col min="3318" max="3321" width="7.5703125" style="4" customWidth="1"/>
    <col min="3322" max="3322" width="8.140625" style="4" customWidth="1"/>
    <col min="3323" max="3323" width="8.42578125" style="4" customWidth="1"/>
    <col min="3324" max="3324" width="9.28515625" style="4" customWidth="1"/>
    <col min="3325" max="3325" width="8.42578125" style="4" customWidth="1"/>
    <col min="3326" max="3326" width="11.28515625" style="4" customWidth="1"/>
    <col min="3327" max="3327" width="9.28515625" style="4" customWidth="1"/>
    <col min="3328" max="3565" width="9.140625" style="4"/>
    <col min="3566" max="3566" width="18.7109375" style="4" customWidth="1"/>
    <col min="3567" max="3567" width="25.140625" style="4" customWidth="1"/>
    <col min="3568" max="3570" width="7.5703125" style="4" customWidth="1"/>
    <col min="3571" max="3573" width="6.7109375" style="4" customWidth="1"/>
    <col min="3574" max="3577" width="7.5703125" style="4" customWidth="1"/>
    <col min="3578" max="3578" width="8.140625" style="4" customWidth="1"/>
    <col min="3579" max="3579" width="8.42578125" style="4" customWidth="1"/>
    <col min="3580" max="3580" width="9.28515625" style="4" customWidth="1"/>
    <col min="3581" max="3581" width="8.42578125" style="4" customWidth="1"/>
    <col min="3582" max="3582" width="11.28515625" style="4" customWidth="1"/>
    <col min="3583" max="3583" width="9.28515625" style="4" customWidth="1"/>
    <col min="3584" max="3821" width="9.140625" style="4"/>
    <col min="3822" max="3822" width="18.7109375" style="4" customWidth="1"/>
    <col min="3823" max="3823" width="25.140625" style="4" customWidth="1"/>
    <col min="3824" max="3826" width="7.5703125" style="4" customWidth="1"/>
    <col min="3827" max="3829" width="6.7109375" style="4" customWidth="1"/>
    <col min="3830" max="3833" width="7.5703125" style="4" customWidth="1"/>
    <col min="3834" max="3834" width="8.140625" style="4" customWidth="1"/>
    <col min="3835" max="3835" width="8.42578125" style="4" customWidth="1"/>
    <col min="3836" max="3836" width="9.28515625" style="4" customWidth="1"/>
    <col min="3837" max="3837" width="8.42578125" style="4" customWidth="1"/>
    <col min="3838" max="3838" width="11.28515625" style="4" customWidth="1"/>
    <col min="3839" max="3839" width="9.28515625" style="4" customWidth="1"/>
    <col min="3840" max="4077" width="9.140625" style="4"/>
    <col min="4078" max="4078" width="18.7109375" style="4" customWidth="1"/>
    <col min="4079" max="4079" width="25.140625" style="4" customWidth="1"/>
    <col min="4080" max="4082" width="7.5703125" style="4" customWidth="1"/>
    <col min="4083" max="4085" width="6.7109375" style="4" customWidth="1"/>
    <col min="4086" max="4089" width="7.5703125" style="4" customWidth="1"/>
    <col min="4090" max="4090" width="8.140625" style="4" customWidth="1"/>
    <col min="4091" max="4091" width="8.42578125" style="4" customWidth="1"/>
    <col min="4092" max="4092" width="9.28515625" style="4" customWidth="1"/>
    <col min="4093" max="4093" width="8.42578125" style="4" customWidth="1"/>
    <col min="4094" max="4094" width="11.28515625" style="4" customWidth="1"/>
    <col min="4095" max="4095" width="9.28515625" style="4" customWidth="1"/>
    <col min="4096" max="4333" width="9.140625" style="4"/>
    <col min="4334" max="4334" width="18.7109375" style="4" customWidth="1"/>
    <col min="4335" max="4335" width="25.140625" style="4" customWidth="1"/>
    <col min="4336" max="4338" width="7.5703125" style="4" customWidth="1"/>
    <col min="4339" max="4341" width="6.7109375" style="4" customWidth="1"/>
    <col min="4342" max="4345" width="7.5703125" style="4" customWidth="1"/>
    <col min="4346" max="4346" width="8.140625" style="4" customWidth="1"/>
    <col min="4347" max="4347" width="8.42578125" style="4" customWidth="1"/>
    <col min="4348" max="4348" width="9.28515625" style="4" customWidth="1"/>
    <col min="4349" max="4349" width="8.42578125" style="4" customWidth="1"/>
    <col min="4350" max="4350" width="11.28515625" style="4" customWidth="1"/>
    <col min="4351" max="4351" width="9.28515625" style="4" customWidth="1"/>
    <col min="4352" max="4589" width="9.140625" style="4"/>
    <col min="4590" max="4590" width="18.7109375" style="4" customWidth="1"/>
    <col min="4591" max="4591" width="25.140625" style="4" customWidth="1"/>
    <col min="4592" max="4594" width="7.5703125" style="4" customWidth="1"/>
    <col min="4595" max="4597" width="6.7109375" style="4" customWidth="1"/>
    <col min="4598" max="4601" width="7.5703125" style="4" customWidth="1"/>
    <col min="4602" max="4602" width="8.140625" style="4" customWidth="1"/>
    <col min="4603" max="4603" width="8.42578125" style="4" customWidth="1"/>
    <col min="4604" max="4604" width="9.28515625" style="4" customWidth="1"/>
    <col min="4605" max="4605" width="8.42578125" style="4" customWidth="1"/>
    <col min="4606" max="4606" width="11.28515625" style="4" customWidth="1"/>
    <col min="4607" max="4607" width="9.28515625" style="4" customWidth="1"/>
    <col min="4608" max="4845" width="9.140625" style="4"/>
    <col min="4846" max="4846" width="18.7109375" style="4" customWidth="1"/>
    <col min="4847" max="4847" width="25.140625" style="4" customWidth="1"/>
    <col min="4848" max="4850" width="7.5703125" style="4" customWidth="1"/>
    <col min="4851" max="4853" width="6.7109375" style="4" customWidth="1"/>
    <col min="4854" max="4857" width="7.5703125" style="4" customWidth="1"/>
    <col min="4858" max="4858" width="8.140625" style="4" customWidth="1"/>
    <col min="4859" max="4859" width="8.42578125" style="4" customWidth="1"/>
    <col min="4860" max="4860" width="9.28515625" style="4" customWidth="1"/>
    <col min="4861" max="4861" width="8.42578125" style="4" customWidth="1"/>
    <col min="4862" max="4862" width="11.28515625" style="4" customWidth="1"/>
    <col min="4863" max="4863" width="9.28515625" style="4" customWidth="1"/>
    <col min="4864" max="5101" width="9.140625" style="4"/>
    <col min="5102" max="5102" width="18.7109375" style="4" customWidth="1"/>
    <col min="5103" max="5103" width="25.140625" style="4" customWidth="1"/>
    <col min="5104" max="5106" width="7.5703125" style="4" customWidth="1"/>
    <col min="5107" max="5109" width="6.7109375" style="4" customWidth="1"/>
    <col min="5110" max="5113" width="7.5703125" style="4" customWidth="1"/>
    <col min="5114" max="5114" width="8.140625" style="4" customWidth="1"/>
    <col min="5115" max="5115" width="8.42578125" style="4" customWidth="1"/>
    <col min="5116" max="5116" width="9.28515625" style="4" customWidth="1"/>
    <col min="5117" max="5117" width="8.42578125" style="4" customWidth="1"/>
    <col min="5118" max="5118" width="11.28515625" style="4" customWidth="1"/>
    <col min="5119" max="5119" width="9.28515625" style="4" customWidth="1"/>
    <col min="5120" max="5357" width="9.140625" style="4"/>
    <col min="5358" max="5358" width="18.7109375" style="4" customWidth="1"/>
    <col min="5359" max="5359" width="25.140625" style="4" customWidth="1"/>
    <col min="5360" max="5362" width="7.5703125" style="4" customWidth="1"/>
    <col min="5363" max="5365" width="6.7109375" style="4" customWidth="1"/>
    <col min="5366" max="5369" width="7.5703125" style="4" customWidth="1"/>
    <col min="5370" max="5370" width="8.140625" style="4" customWidth="1"/>
    <col min="5371" max="5371" width="8.42578125" style="4" customWidth="1"/>
    <col min="5372" max="5372" width="9.28515625" style="4" customWidth="1"/>
    <col min="5373" max="5373" width="8.42578125" style="4" customWidth="1"/>
    <col min="5374" max="5374" width="11.28515625" style="4" customWidth="1"/>
    <col min="5375" max="5375" width="9.28515625" style="4" customWidth="1"/>
    <col min="5376" max="5613" width="9.140625" style="4"/>
    <col min="5614" max="5614" width="18.7109375" style="4" customWidth="1"/>
    <col min="5615" max="5615" width="25.140625" style="4" customWidth="1"/>
    <col min="5616" max="5618" width="7.5703125" style="4" customWidth="1"/>
    <col min="5619" max="5621" width="6.7109375" style="4" customWidth="1"/>
    <col min="5622" max="5625" width="7.5703125" style="4" customWidth="1"/>
    <col min="5626" max="5626" width="8.140625" style="4" customWidth="1"/>
    <col min="5627" max="5627" width="8.42578125" style="4" customWidth="1"/>
    <col min="5628" max="5628" width="9.28515625" style="4" customWidth="1"/>
    <col min="5629" max="5629" width="8.42578125" style="4" customWidth="1"/>
    <col min="5630" max="5630" width="11.28515625" style="4" customWidth="1"/>
    <col min="5631" max="5631" width="9.28515625" style="4" customWidth="1"/>
    <col min="5632" max="5869" width="9.140625" style="4"/>
    <col min="5870" max="5870" width="18.7109375" style="4" customWidth="1"/>
    <col min="5871" max="5871" width="25.140625" style="4" customWidth="1"/>
    <col min="5872" max="5874" width="7.5703125" style="4" customWidth="1"/>
    <col min="5875" max="5877" width="6.7109375" style="4" customWidth="1"/>
    <col min="5878" max="5881" width="7.5703125" style="4" customWidth="1"/>
    <col min="5882" max="5882" width="8.140625" style="4" customWidth="1"/>
    <col min="5883" max="5883" width="8.42578125" style="4" customWidth="1"/>
    <col min="5884" max="5884" width="9.28515625" style="4" customWidth="1"/>
    <col min="5885" max="5885" width="8.42578125" style="4" customWidth="1"/>
    <col min="5886" max="5886" width="11.28515625" style="4" customWidth="1"/>
    <col min="5887" max="5887" width="9.28515625" style="4" customWidth="1"/>
    <col min="5888" max="6125" width="9.140625" style="4"/>
    <col min="6126" max="6126" width="18.7109375" style="4" customWidth="1"/>
    <col min="6127" max="6127" width="25.140625" style="4" customWidth="1"/>
    <col min="6128" max="6130" width="7.5703125" style="4" customWidth="1"/>
    <col min="6131" max="6133" width="6.7109375" style="4" customWidth="1"/>
    <col min="6134" max="6137" width="7.5703125" style="4" customWidth="1"/>
    <col min="6138" max="6138" width="8.140625" style="4" customWidth="1"/>
    <col min="6139" max="6139" width="8.42578125" style="4" customWidth="1"/>
    <col min="6140" max="6140" width="9.28515625" style="4" customWidth="1"/>
    <col min="6141" max="6141" width="8.42578125" style="4" customWidth="1"/>
    <col min="6142" max="6142" width="11.28515625" style="4" customWidth="1"/>
    <col min="6143" max="6143" width="9.28515625" style="4" customWidth="1"/>
    <col min="6144" max="6381" width="9.140625" style="4"/>
    <col min="6382" max="6382" width="18.7109375" style="4" customWidth="1"/>
    <col min="6383" max="6383" width="25.140625" style="4" customWidth="1"/>
    <col min="6384" max="6386" width="7.5703125" style="4" customWidth="1"/>
    <col min="6387" max="6389" width="6.7109375" style="4" customWidth="1"/>
    <col min="6390" max="6393" width="7.5703125" style="4" customWidth="1"/>
    <col min="6394" max="6394" width="8.140625" style="4" customWidth="1"/>
    <col min="6395" max="6395" width="8.42578125" style="4" customWidth="1"/>
    <col min="6396" max="6396" width="9.28515625" style="4" customWidth="1"/>
    <col min="6397" max="6397" width="8.42578125" style="4" customWidth="1"/>
    <col min="6398" max="6398" width="11.28515625" style="4" customWidth="1"/>
    <col min="6399" max="6399" width="9.28515625" style="4" customWidth="1"/>
    <col min="6400" max="6637" width="9.140625" style="4"/>
    <col min="6638" max="6638" width="18.7109375" style="4" customWidth="1"/>
    <col min="6639" max="6639" width="25.140625" style="4" customWidth="1"/>
    <col min="6640" max="6642" width="7.5703125" style="4" customWidth="1"/>
    <col min="6643" max="6645" width="6.7109375" style="4" customWidth="1"/>
    <col min="6646" max="6649" width="7.5703125" style="4" customWidth="1"/>
    <col min="6650" max="6650" width="8.140625" style="4" customWidth="1"/>
    <col min="6651" max="6651" width="8.42578125" style="4" customWidth="1"/>
    <col min="6652" max="6652" width="9.28515625" style="4" customWidth="1"/>
    <col min="6653" max="6653" width="8.42578125" style="4" customWidth="1"/>
    <col min="6654" max="6654" width="11.28515625" style="4" customWidth="1"/>
    <col min="6655" max="6655" width="9.28515625" style="4" customWidth="1"/>
    <col min="6656" max="6893" width="9.140625" style="4"/>
    <col min="6894" max="6894" width="18.7109375" style="4" customWidth="1"/>
    <col min="6895" max="6895" width="25.140625" style="4" customWidth="1"/>
    <col min="6896" max="6898" width="7.5703125" style="4" customWidth="1"/>
    <col min="6899" max="6901" width="6.7109375" style="4" customWidth="1"/>
    <col min="6902" max="6905" width="7.5703125" style="4" customWidth="1"/>
    <col min="6906" max="6906" width="8.140625" style="4" customWidth="1"/>
    <col min="6907" max="6907" width="8.42578125" style="4" customWidth="1"/>
    <col min="6908" max="6908" width="9.28515625" style="4" customWidth="1"/>
    <col min="6909" max="6909" width="8.42578125" style="4" customWidth="1"/>
    <col min="6910" max="6910" width="11.28515625" style="4" customWidth="1"/>
    <col min="6911" max="6911" width="9.28515625" style="4" customWidth="1"/>
    <col min="6912" max="7149" width="9.140625" style="4"/>
    <col min="7150" max="7150" width="18.7109375" style="4" customWidth="1"/>
    <col min="7151" max="7151" width="25.140625" style="4" customWidth="1"/>
    <col min="7152" max="7154" width="7.5703125" style="4" customWidth="1"/>
    <col min="7155" max="7157" width="6.7109375" style="4" customWidth="1"/>
    <col min="7158" max="7161" width="7.5703125" style="4" customWidth="1"/>
    <col min="7162" max="7162" width="8.140625" style="4" customWidth="1"/>
    <col min="7163" max="7163" width="8.42578125" style="4" customWidth="1"/>
    <col min="7164" max="7164" width="9.28515625" style="4" customWidth="1"/>
    <col min="7165" max="7165" width="8.42578125" style="4" customWidth="1"/>
    <col min="7166" max="7166" width="11.28515625" style="4" customWidth="1"/>
    <col min="7167" max="7167" width="9.28515625" style="4" customWidth="1"/>
    <col min="7168" max="7405" width="9.140625" style="4"/>
    <col min="7406" max="7406" width="18.7109375" style="4" customWidth="1"/>
    <col min="7407" max="7407" width="25.140625" style="4" customWidth="1"/>
    <col min="7408" max="7410" width="7.5703125" style="4" customWidth="1"/>
    <col min="7411" max="7413" width="6.7109375" style="4" customWidth="1"/>
    <col min="7414" max="7417" width="7.5703125" style="4" customWidth="1"/>
    <col min="7418" max="7418" width="8.140625" style="4" customWidth="1"/>
    <col min="7419" max="7419" width="8.42578125" style="4" customWidth="1"/>
    <col min="7420" max="7420" width="9.28515625" style="4" customWidth="1"/>
    <col min="7421" max="7421" width="8.42578125" style="4" customWidth="1"/>
    <col min="7422" max="7422" width="11.28515625" style="4" customWidth="1"/>
    <col min="7423" max="7423" width="9.28515625" style="4" customWidth="1"/>
    <col min="7424" max="7661" width="9.140625" style="4"/>
    <col min="7662" max="7662" width="18.7109375" style="4" customWidth="1"/>
    <col min="7663" max="7663" width="25.140625" style="4" customWidth="1"/>
    <col min="7664" max="7666" width="7.5703125" style="4" customWidth="1"/>
    <col min="7667" max="7669" width="6.7109375" style="4" customWidth="1"/>
    <col min="7670" max="7673" width="7.5703125" style="4" customWidth="1"/>
    <col min="7674" max="7674" width="8.140625" style="4" customWidth="1"/>
    <col min="7675" max="7675" width="8.42578125" style="4" customWidth="1"/>
    <col min="7676" max="7676" width="9.28515625" style="4" customWidth="1"/>
    <col min="7677" max="7677" width="8.42578125" style="4" customWidth="1"/>
    <col min="7678" max="7678" width="11.28515625" style="4" customWidth="1"/>
    <col min="7679" max="7679" width="9.28515625" style="4" customWidth="1"/>
    <col min="7680" max="7917" width="9.140625" style="4"/>
    <col min="7918" max="7918" width="18.7109375" style="4" customWidth="1"/>
    <col min="7919" max="7919" width="25.140625" style="4" customWidth="1"/>
    <col min="7920" max="7922" width="7.5703125" style="4" customWidth="1"/>
    <col min="7923" max="7925" width="6.7109375" style="4" customWidth="1"/>
    <col min="7926" max="7929" width="7.5703125" style="4" customWidth="1"/>
    <col min="7930" max="7930" width="8.140625" style="4" customWidth="1"/>
    <col min="7931" max="7931" width="8.42578125" style="4" customWidth="1"/>
    <col min="7932" max="7932" width="9.28515625" style="4" customWidth="1"/>
    <col min="7933" max="7933" width="8.42578125" style="4" customWidth="1"/>
    <col min="7934" max="7934" width="11.28515625" style="4" customWidth="1"/>
    <col min="7935" max="7935" width="9.28515625" style="4" customWidth="1"/>
    <col min="7936" max="8173" width="9.140625" style="4"/>
    <col min="8174" max="8174" width="18.7109375" style="4" customWidth="1"/>
    <col min="8175" max="8175" width="25.140625" style="4" customWidth="1"/>
    <col min="8176" max="8178" width="7.5703125" style="4" customWidth="1"/>
    <col min="8179" max="8181" width="6.7109375" style="4" customWidth="1"/>
    <col min="8182" max="8185" width="7.5703125" style="4" customWidth="1"/>
    <col min="8186" max="8186" width="8.140625" style="4" customWidth="1"/>
    <col min="8187" max="8187" width="8.42578125" style="4" customWidth="1"/>
    <col min="8188" max="8188" width="9.28515625" style="4" customWidth="1"/>
    <col min="8189" max="8189" width="8.42578125" style="4" customWidth="1"/>
    <col min="8190" max="8190" width="11.28515625" style="4" customWidth="1"/>
    <col min="8191" max="8191" width="9.28515625" style="4" customWidth="1"/>
    <col min="8192" max="8429" width="9.140625" style="4"/>
    <col min="8430" max="8430" width="18.7109375" style="4" customWidth="1"/>
    <col min="8431" max="8431" width="25.140625" style="4" customWidth="1"/>
    <col min="8432" max="8434" width="7.5703125" style="4" customWidth="1"/>
    <col min="8435" max="8437" width="6.7109375" style="4" customWidth="1"/>
    <col min="8438" max="8441" width="7.5703125" style="4" customWidth="1"/>
    <col min="8442" max="8442" width="8.140625" style="4" customWidth="1"/>
    <col min="8443" max="8443" width="8.42578125" style="4" customWidth="1"/>
    <col min="8444" max="8444" width="9.28515625" style="4" customWidth="1"/>
    <col min="8445" max="8445" width="8.42578125" style="4" customWidth="1"/>
    <col min="8446" max="8446" width="11.28515625" style="4" customWidth="1"/>
    <col min="8447" max="8447" width="9.28515625" style="4" customWidth="1"/>
    <col min="8448" max="8685" width="9.140625" style="4"/>
    <col min="8686" max="8686" width="18.7109375" style="4" customWidth="1"/>
    <col min="8687" max="8687" width="25.140625" style="4" customWidth="1"/>
    <col min="8688" max="8690" width="7.5703125" style="4" customWidth="1"/>
    <col min="8691" max="8693" width="6.7109375" style="4" customWidth="1"/>
    <col min="8694" max="8697" width="7.5703125" style="4" customWidth="1"/>
    <col min="8698" max="8698" width="8.140625" style="4" customWidth="1"/>
    <col min="8699" max="8699" width="8.42578125" style="4" customWidth="1"/>
    <col min="8700" max="8700" width="9.28515625" style="4" customWidth="1"/>
    <col min="8701" max="8701" width="8.42578125" style="4" customWidth="1"/>
    <col min="8702" max="8702" width="11.28515625" style="4" customWidth="1"/>
    <col min="8703" max="8703" width="9.28515625" style="4" customWidth="1"/>
    <col min="8704" max="8941" width="9.140625" style="4"/>
    <col min="8942" max="8942" width="18.7109375" style="4" customWidth="1"/>
    <col min="8943" max="8943" width="25.140625" style="4" customWidth="1"/>
    <col min="8944" max="8946" width="7.5703125" style="4" customWidth="1"/>
    <col min="8947" max="8949" width="6.7109375" style="4" customWidth="1"/>
    <col min="8950" max="8953" width="7.5703125" style="4" customWidth="1"/>
    <col min="8954" max="8954" width="8.140625" style="4" customWidth="1"/>
    <col min="8955" max="8955" width="8.42578125" style="4" customWidth="1"/>
    <col min="8956" max="8956" width="9.28515625" style="4" customWidth="1"/>
    <col min="8957" max="8957" width="8.42578125" style="4" customWidth="1"/>
    <col min="8958" max="8958" width="11.28515625" style="4" customWidth="1"/>
    <col min="8959" max="8959" width="9.28515625" style="4" customWidth="1"/>
    <col min="8960" max="9197" width="9.140625" style="4"/>
    <col min="9198" max="9198" width="18.7109375" style="4" customWidth="1"/>
    <col min="9199" max="9199" width="25.140625" style="4" customWidth="1"/>
    <col min="9200" max="9202" width="7.5703125" style="4" customWidth="1"/>
    <col min="9203" max="9205" width="6.7109375" style="4" customWidth="1"/>
    <col min="9206" max="9209" width="7.5703125" style="4" customWidth="1"/>
    <col min="9210" max="9210" width="8.140625" style="4" customWidth="1"/>
    <col min="9211" max="9211" width="8.42578125" style="4" customWidth="1"/>
    <col min="9212" max="9212" width="9.28515625" style="4" customWidth="1"/>
    <col min="9213" max="9213" width="8.42578125" style="4" customWidth="1"/>
    <col min="9214" max="9214" width="11.28515625" style="4" customWidth="1"/>
    <col min="9215" max="9215" width="9.28515625" style="4" customWidth="1"/>
    <col min="9216" max="9453" width="9.140625" style="4"/>
    <col min="9454" max="9454" width="18.7109375" style="4" customWidth="1"/>
    <col min="9455" max="9455" width="25.140625" style="4" customWidth="1"/>
    <col min="9456" max="9458" width="7.5703125" style="4" customWidth="1"/>
    <col min="9459" max="9461" width="6.7109375" style="4" customWidth="1"/>
    <col min="9462" max="9465" width="7.5703125" style="4" customWidth="1"/>
    <col min="9466" max="9466" width="8.140625" style="4" customWidth="1"/>
    <col min="9467" max="9467" width="8.42578125" style="4" customWidth="1"/>
    <col min="9468" max="9468" width="9.28515625" style="4" customWidth="1"/>
    <col min="9469" max="9469" width="8.42578125" style="4" customWidth="1"/>
    <col min="9470" max="9470" width="11.28515625" style="4" customWidth="1"/>
    <col min="9471" max="9471" width="9.28515625" style="4" customWidth="1"/>
    <col min="9472" max="9709" width="9.140625" style="4"/>
    <col min="9710" max="9710" width="18.7109375" style="4" customWidth="1"/>
    <col min="9711" max="9711" width="25.140625" style="4" customWidth="1"/>
    <col min="9712" max="9714" width="7.5703125" style="4" customWidth="1"/>
    <col min="9715" max="9717" width="6.7109375" style="4" customWidth="1"/>
    <col min="9718" max="9721" width="7.5703125" style="4" customWidth="1"/>
    <col min="9722" max="9722" width="8.140625" style="4" customWidth="1"/>
    <col min="9723" max="9723" width="8.42578125" style="4" customWidth="1"/>
    <col min="9724" max="9724" width="9.28515625" style="4" customWidth="1"/>
    <col min="9725" max="9725" width="8.42578125" style="4" customWidth="1"/>
    <col min="9726" max="9726" width="11.28515625" style="4" customWidth="1"/>
    <col min="9727" max="9727" width="9.28515625" style="4" customWidth="1"/>
    <col min="9728" max="9965" width="9.140625" style="4"/>
    <col min="9966" max="9966" width="18.7109375" style="4" customWidth="1"/>
    <col min="9967" max="9967" width="25.140625" style="4" customWidth="1"/>
    <col min="9968" max="9970" width="7.5703125" style="4" customWidth="1"/>
    <col min="9971" max="9973" width="6.7109375" style="4" customWidth="1"/>
    <col min="9974" max="9977" width="7.5703125" style="4" customWidth="1"/>
    <col min="9978" max="9978" width="8.140625" style="4" customWidth="1"/>
    <col min="9979" max="9979" width="8.42578125" style="4" customWidth="1"/>
    <col min="9980" max="9980" width="9.28515625" style="4" customWidth="1"/>
    <col min="9981" max="9981" width="8.42578125" style="4" customWidth="1"/>
    <col min="9982" max="9982" width="11.28515625" style="4" customWidth="1"/>
    <col min="9983" max="9983" width="9.28515625" style="4" customWidth="1"/>
    <col min="9984" max="10221" width="9.140625" style="4"/>
    <col min="10222" max="10222" width="18.7109375" style="4" customWidth="1"/>
    <col min="10223" max="10223" width="25.140625" style="4" customWidth="1"/>
    <col min="10224" max="10226" width="7.5703125" style="4" customWidth="1"/>
    <col min="10227" max="10229" width="6.7109375" style="4" customWidth="1"/>
    <col min="10230" max="10233" width="7.5703125" style="4" customWidth="1"/>
    <col min="10234" max="10234" width="8.140625" style="4" customWidth="1"/>
    <col min="10235" max="10235" width="8.42578125" style="4" customWidth="1"/>
    <col min="10236" max="10236" width="9.28515625" style="4" customWidth="1"/>
    <col min="10237" max="10237" width="8.42578125" style="4" customWidth="1"/>
    <col min="10238" max="10238" width="11.28515625" style="4" customWidth="1"/>
    <col min="10239" max="10239" width="9.28515625" style="4" customWidth="1"/>
    <col min="10240" max="10477" width="9.140625" style="4"/>
    <col min="10478" max="10478" width="18.7109375" style="4" customWidth="1"/>
    <col min="10479" max="10479" width="25.140625" style="4" customWidth="1"/>
    <col min="10480" max="10482" width="7.5703125" style="4" customWidth="1"/>
    <col min="10483" max="10485" width="6.7109375" style="4" customWidth="1"/>
    <col min="10486" max="10489" width="7.5703125" style="4" customWidth="1"/>
    <col min="10490" max="10490" width="8.140625" style="4" customWidth="1"/>
    <col min="10491" max="10491" width="8.42578125" style="4" customWidth="1"/>
    <col min="10492" max="10492" width="9.28515625" style="4" customWidth="1"/>
    <col min="10493" max="10493" width="8.42578125" style="4" customWidth="1"/>
    <col min="10494" max="10494" width="11.28515625" style="4" customWidth="1"/>
    <col min="10495" max="10495" width="9.28515625" style="4" customWidth="1"/>
    <col min="10496" max="10733" width="9.140625" style="4"/>
    <col min="10734" max="10734" width="18.7109375" style="4" customWidth="1"/>
    <col min="10735" max="10735" width="25.140625" style="4" customWidth="1"/>
    <col min="10736" max="10738" width="7.5703125" style="4" customWidth="1"/>
    <col min="10739" max="10741" width="6.7109375" style="4" customWidth="1"/>
    <col min="10742" max="10745" width="7.5703125" style="4" customWidth="1"/>
    <col min="10746" max="10746" width="8.140625" style="4" customWidth="1"/>
    <col min="10747" max="10747" width="8.42578125" style="4" customWidth="1"/>
    <col min="10748" max="10748" width="9.28515625" style="4" customWidth="1"/>
    <col min="10749" max="10749" width="8.42578125" style="4" customWidth="1"/>
    <col min="10750" max="10750" width="11.28515625" style="4" customWidth="1"/>
    <col min="10751" max="10751" width="9.28515625" style="4" customWidth="1"/>
    <col min="10752" max="10989" width="9.140625" style="4"/>
    <col min="10990" max="10990" width="18.7109375" style="4" customWidth="1"/>
    <col min="10991" max="10991" width="25.140625" style="4" customWidth="1"/>
    <col min="10992" max="10994" width="7.5703125" style="4" customWidth="1"/>
    <col min="10995" max="10997" width="6.7109375" style="4" customWidth="1"/>
    <col min="10998" max="11001" width="7.5703125" style="4" customWidth="1"/>
    <col min="11002" max="11002" width="8.140625" style="4" customWidth="1"/>
    <col min="11003" max="11003" width="8.42578125" style="4" customWidth="1"/>
    <col min="11004" max="11004" width="9.28515625" style="4" customWidth="1"/>
    <col min="11005" max="11005" width="8.42578125" style="4" customWidth="1"/>
    <col min="11006" max="11006" width="11.28515625" style="4" customWidth="1"/>
    <col min="11007" max="11007" width="9.28515625" style="4" customWidth="1"/>
    <col min="11008" max="11245" width="9.140625" style="4"/>
    <col min="11246" max="11246" width="18.7109375" style="4" customWidth="1"/>
    <col min="11247" max="11247" width="25.140625" style="4" customWidth="1"/>
    <col min="11248" max="11250" width="7.5703125" style="4" customWidth="1"/>
    <col min="11251" max="11253" width="6.7109375" style="4" customWidth="1"/>
    <col min="11254" max="11257" width="7.5703125" style="4" customWidth="1"/>
    <col min="11258" max="11258" width="8.140625" style="4" customWidth="1"/>
    <col min="11259" max="11259" width="8.42578125" style="4" customWidth="1"/>
    <col min="11260" max="11260" width="9.28515625" style="4" customWidth="1"/>
    <col min="11261" max="11261" width="8.42578125" style="4" customWidth="1"/>
    <col min="11262" max="11262" width="11.28515625" style="4" customWidth="1"/>
    <col min="11263" max="11263" width="9.28515625" style="4" customWidth="1"/>
    <col min="11264" max="11501" width="9.140625" style="4"/>
    <col min="11502" max="11502" width="18.7109375" style="4" customWidth="1"/>
    <col min="11503" max="11503" width="25.140625" style="4" customWidth="1"/>
    <col min="11504" max="11506" width="7.5703125" style="4" customWidth="1"/>
    <col min="11507" max="11509" width="6.7109375" style="4" customWidth="1"/>
    <col min="11510" max="11513" width="7.5703125" style="4" customWidth="1"/>
    <col min="11514" max="11514" width="8.140625" style="4" customWidth="1"/>
    <col min="11515" max="11515" width="8.42578125" style="4" customWidth="1"/>
    <col min="11516" max="11516" width="9.28515625" style="4" customWidth="1"/>
    <col min="11517" max="11517" width="8.42578125" style="4" customWidth="1"/>
    <col min="11518" max="11518" width="11.28515625" style="4" customWidth="1"/>
    <col min="11519" max="11519" width="9.28515625" style="4" customWidth="1"/>
    <col min="11520" max="11757" width="9.140625" style="4"/>
    <col min="11758" max="11758" width="18.7109375" style="4" customWidth="1"/>
    <col min="11759" max="11759" width="25.140625" style="4" customWidth="1"/>
    <col min="11760" max="11762" width="7.5703125" style="4" customWidth="1"/>
    <col min="11763" max="11765" width="6.7109375" style="4" customWidth="1"/>
    <col min="11766" max="11769" width="7.5703125" style="4" customWidth="1"/>
    <col min="11770" max="11770" width="8.140625" style="4" customWidth="1"/>
    <col min="11771" max="11771" width="8.42578125" style="4" customWidth="1"/>
    <col min="11772" max="11772" width="9.28515625" style="4" customWidth="1"/>
    <col min="11773" max="11773" width="8.42578125" style="4" customWidth="1"/>
    <col min="11774" max="11774" width="11.28515625" style="4" customWidth="1"/>
    <col min="11775" max="11775" width="9.28515625" style="4" customWidth="1"/>
    <col min="11776" max="12013" width="9.140625" style="4"/>
    <col min="12014" max="12014" width="18.7109375" style="4" customWidth="1"/>
    <col min="12015" max="12015" width="25.140625" style="4" customWidth="1"/>
    <col min="12016" max="12018" width="7.5703125" style="4" customWidth="1"/>
    <col min="12019" max="12021" width="6.7109375" style="4" customWidth="1"/>
    <col min="12022" max="12025" width="7.5703125" style="4" customWidth="1"/>
    <col min="12026" max="12026" width="8.140625" style="4" customWidth="1"/>
    <col min="12027" max="12027" width="8.42578125" style="4" customWidth="1"/>
    <col min="12028" max="12028" width="9.28515625" style="4" customWidth="1"/>
    <col min="12029" max="12029" width="8.42578125" style="4" customWidth="1"/>
    <col min="12030" max="12030" width="11.28515625" style="4" customWidth="1"/>
    <col min="12031" max="12031" width="9.28515625" style="4" customWidth="1"/>
    <col min="12032" max="12269" width="9.140625" style="4"/>
    <col min="12270" max="12270" width="18.7109375" style="4" customWidth="1"/>
    <col min="12271" max="12271" width="25.140625" style="4" customWidth="1"/>
    <col min="12272" max="12274" width="7.5703125" style="4" customWidth="1"/>
    <col min="12275" max="12277" width="6.7109375" style="4" customWidth="1"/>
    <col min="12278" max="12281" width="7.5703125" style="4" customWidth="1"/>
    <col min="12282" max="12282" width="8.140625" style="4" customWidth="1"/>
    <col min="12283" max="12283" width="8.42578125" style="4" customWidth="1"/>
    <col min="12284" max="12284" width="9.28515625" style="4" customWidth="1"/>
    <col min="12285" max="12285" width="8.42578125" style="4" customWidth="1"/>
    <col min="12286" max="12286" width="11.28515625" style="4" customWidth="1"/>
    <col min="12287" max="12287" width="9.28515625" style="4" customWidth="1"/>
    <col min="12288" max="12525" width="9.140625" style="4"/>
    <col min="12526" max="12526" width="18.7109375" style="4" customWidth="1"/>
    <col min="12527" max="12527" width="25.140625" style="4" customWidth="1"/>
    <col min="12528" max="12530" width="7.5703125" style="4" customWidth="1"/>
    <col min="12531" max="12533" width="6.7109375" style="4" customWidth="1"/>
    <col min="12534" max="12537" width="7.5703125" style="4" customWidth="1"/>
    <col min="12538" max="12538" width="8.140625" style="4" customWidth="1"/>
    <col min="12539" max="12539" width="8.42578125" style="4" customWidth="1"/>
    <col min="12540" max="12540" width="9.28515625" style="4" customWidth="1"/>
    <col min="12541" max="12541" width="8.42578125" style="4" customWidth="1"/>
    <col min="12542" max="12542" width="11.28515625" style="4" customWidth="1"/>
    <col min="12543" max="12543" width="9.28515625" style="4" customWidth="1"/>
    <col min="12544" max="12781" width="9.140625" style="4"/>
    <col min="12782" max="12782" width="18.7109375" style="4" customWidth="1"/>
    <col min="12783" max="12783" width="25.140625" style="4" customWidth="1"/>
    <col min="12784" max="12786" width="7.5703125" style="4" customWidth="1"/>
    <col min="12787" max="12789" width="6.7109375" style="4" customWidth="1"/>
    <col min="12790" max="12793" width="7.5703125" style="4" customWidth="1"/>
    <col min="12794" max="12794" width="8.140625" style="4" customWidth="1"/>
    <col min="12795" max="12795" width="8.42578125" style="4" customWidth="1"/>
    <col min="12796" max="12796" width="9.28515625" style="4" customWidth="1"/>
    <col min="12797" max="12797" width="8.42578125" style="4" customWidth="1"/>
    <col min="12798" max="12798" width="11.28515625" style="4" customWidth="1"/>
    <col min="12799" max="12799" width="9.28515625" style="4" customWidth="1"/>
    <col min="12800" max="13037" width="9.140625" style="4"/>
    <col min="13038" max="13038" width="18.7109375" style="4" customWidth="1"/>
    <col min="13039" max="13039" width="25.140625" style="4" customWidth="1"/>
    <col min="13040" max="13042" width="7.5703125" style="4" customWidth="1"/>
    <col min="13043" max="13045" width="6.7109375" style="4" customWidth="1"/>
    <col min="13046" max="13049" width="7.5703125" style="4" customWidth="1"/>
    <col min="13050" max="13050" width="8.140625" style="4" customWidth="1"/>
    <col min="13051" max="13051" width="8.42578125" style="4" customWidth="1"/>
    <col min="13052" max="13052" width="9.28515625" style="4" customWidth="1"/>
    <col min="13053" max="13053" width="8.42578125" style="4" customWidth="1"/>
    <col min="13054" max="13054" width="11.28515625" style="4" customWidth="1"/>
    <col min="13055" max="13055" width="9.28515625" style="4" customWidth="1"/>
    <col min="13056" max="13293" width="9.140625" style="4"/>
    <col min="13294" max="13294" width="18.7109375" style="4" customWidth="1"/>
    <col min="13295" max="13295" width="25.140625" style="4" customWidth="1"/>
    <col min="13296" max="13298" width="7.5703125" style="4" customWidth="1"/>
    <col min="13299" max="13301" width="6.7109375" style="4" customWidth="1"/>
    <col min="13302" max="13305" width="7.5703125" style="4" customWidth="1"/>
    <col min="13306" max="13306" width="8.140625" style="4" customWidth="1"/>
    <col min="13307" max="13307" width="8.42578125" style="4" customWidth="1"/>
    <col min="13308" max="13308" width="9.28515625" style="4" customWidth="1"/>
    <col min="13309" max="13309" width="8.42578125" style="4" customWidth="1"/>
    <col min="13310" max="13310" width="11.28515625" style="4" customWidth="1"/>
    <col min="13311" max="13311" width="9.28515625" style="4" customWidth="1"/>
    <col min="13312" max="13549" width="9.140625" style="4"/>
    <col min="13550" max="13550" width="18.7109375" style="4" customWidth="1"/>
    <col min="13551" max="13551" width="25.140625" style="4" customWidth="1"/>
    <col min="13552" max="13554" width="7.5703125" style="4" customWidth="1"/>
    <col min="13555" max="13557" width="6.7109375" style="4" customWidth="1"/>
    <col min="13558" max="13561" width="7.5703125" style="4" customWidth="1"/>
    <col min="13562" max="13562" width="8.140625" style="4" customWidth="1"/>
    <col min="13563" max="13563" width="8.42578125" style="4" customWidth="1"/>
    <col min="13564" max="13564" width="9.28515625" style="4" customWidth="1"/>
    <col min="13565" max="13565" width="8.42578125" style="4" customWidth="1"/>
    <col min="13566" max="13566" width="11.28515625" style="4" customWidth="1"/>
    <col min="13567" max="13567" width="9.28515625" style="4" customWidth="1"/>
    <col min="13568" max="13805" width="9.140625" style="4"/>
    <col min="13806" max="13806" width="18.7109375" style="4" customWidth="1"/>
    <col min="13807" max="13807" width="25.140625" style="4" customWidth="1"/>
    <col min="13808" max="13810" width="7.5703125" style="4" customWidth="1"/>
    <col min="13811" max="13813" width="6.7109375" style="4" customWidth="1"/>
    <col min="13814" max="13817" width="7.5703125" style="4" customWidth="1"/>
    <col min="13818" max="13818" width="8.140625" style="4" customWidth="1"/>
    <col min="13819" max="13819" width="8.42578125" style="4" customWidth="1"/>
    <col min="13820" max="13820" width="9.28515625" style="4" customWidth="1"/>
    <col min="13821" max="13821" width="8.42578125" style="4" customWidth="1"/>
    <col min="13822" max="13822" width="11.28515625" style="4" customWidth="1"/>
    <col min="13823" max="13823" width="9.28515625" style="4" customWidth="1"/>
    <col min="13824" max="14061" width="9.140625" style="4"/>
    <col min="14062" max="14062" width="18.7109375" style="4" customWidth="1"/>
    <col min="14063" max="14063" width="25.140625" style="4" customWidth="1"/>
    <col min="14064" max="14066" width="7.5703125" style="4" customWidth="1"/>
    <col min="14067" max="14069" width="6.7109375" style="4" customWidth="1"/>
    <col min="14070" max="14073" width="7.5703125" style="4" customWidth="1"/>
    <col min="14074" max="14074" width="8.140625" style="4" customWidth="1"/>
    <col min="14075" max="14075" width="8.42578125" style="4" customWidth="1"/>
    <col min="14076" max="14076" width="9.28515625" style="4" customWidth="1"/>
    <col min="14077" max="14077" width="8.42578125" style="4" customWidth="1"/>
    <col min="14078" max="14078" width="11.28515625" style="4" customWidth="1"/>
    <col min="14079" max="14079" width="9.28515625" style="4" customWidth="1"/>
    <col min="14080" max="14317" width="9.140625" style="4"/>
    <col min="14318" max="14318" width="18.7109375" style="4" customWidth="1"/>
    <col min="14319" max="14319" width="25.140625" style="4" customWidth="1"/>
    <col min="14320" max="14322" width="7.5703125" style="4" customWidth="1"/>
    <col min="14323" max="14325" width="6.7109375" style="4" customWidth="1"/>
    <col min="14326" max="14329" width="7.5703125" style="4" customWidth="1"/>
    <col min="14330" max="14330" width="8.140625" style="4" customWidth="1"/>
    <col min="14331" max="14331" width="8.42578125" style="4" customWidth="1"/>
    <col min="14332" max="14332" width="9.28515625" style="4" customWidth="1"/>
    <col min="14333" max="14333" width="8.42578125" style="4" customWidth="1"/>
    <col min="14334" max="14334" width="11.28515625" style="4" customWidth="1"/>
    <col min="14335" max="14335" width="9.28515625" style="4" customWidth="1"/>
    <col min="14336" max="14573" width="9.140625" style="4"/>
    <col min="14574" max="14574" width="18.7109375" style="4" customWidth="1"/>
    <col min="14575" max="14575" width="25.140625" style="4" customWidth="1"/>
    <col min="14576" max="14578" width="7.5703125" style="4" customWidth="1"/>
    <col min="14579" max="14581" width="6.7109375" style="4" customWidth="1"/>
    <col min="14582" max="14585" width="7.5703125" style="4" customWidth="1"/>
    <col min="14586" max="14586" width="8.140625" style="4" customWidth="1"/>
    <col min="14587" max="14587" width="8.42578125" style="4" customWidth="1"/>
    <col min="14588" max="14588" width="9.28515625" style="4" customWidth="1"/>
    <col min="14589" max="14589" width="8.42578125" style="4" customWidth="1"/>
    <col min="14590" max="14590" width="11.28515625" style="4" customWidth="1"/>
    <col min="14591" max="14591" width="9.28515625" style="4" customWidth="1"/>
    <col min="14592" max="14829" width="9.140625" style="4"/>
    <col min="14830" max="14830" width="18.7109375" style="4" customWidth="1"/>
    <col min="14831" max="14831" width="25.140625" style="4" customWidth="1"/>
    <col min="14832" max="14834" width="7.5703125" style="4" customWidth="1"/>
    <col min="14835" max="14837" width="6.7109375" style="4" customWidth="1"/>
    <col min="14838" max="14841" width="7.5703125" style="4" customWidth="1"/>
    <col min="14842" max="14842" width="8.140625" style="4" customWidth="1"/>
    <col min="14843" max="14843" width="8.42578125" style="4" customWidth="1"/>
    <col min="14844" max="14844" width="9.28515625" style="4" customWidth="1"/>
    <col min="14845" max="14845" width="8.42578125" style="4" customWidth="1"/>
    <col min="14846" max="14846" width="11.28515625" style="4" customWidth="1"/>
    <col min="14847" max="14847" width="9.28515625" style="4" customWidth="1"/>
    <col min="14848" max="15085" width="9.140625" style="4"/>
    <col min="15086" max="15086" width="18.7109375" style="4" customWidth="1"/>
    <col min="15087" max="15087" width="25.140625" style="4" customWidth="1"/>
    <col min="15088" max="15090" width="7.5703125" style="4" customWidth="1"/>
    <col min="15091" max="15093" width="6.7109375" style="4" customWidth="1"/>
    <col min="15094" max="15097" width="7.5703125" style="4" customWidth="1"/>
    <col min="15098" max="15098" width="8.140625" style="4" customWidth="1"/>
    <col min="15099" max="15099" width="8.42578125" style="4" customWidth="1"/>
    <col min="15100" max="15100" width="9.28515625" style="4" customWidth="1"/>
    <col min="15101" max="15101" width="8.42578125" style="4" customWidth="1"/>
    <col min="15102" max="15102" width="11.28515625" style="4" customWidth="1"/>
    <col min="15103" max="15103" width="9.28515625" style="4" customWidth="1"/>
    <col min="15104" max="15341" width="9.140625" style="4"/>
    <col min="15342" max="15342" width="18.7109375" style="4" customWidth="1"/>
    <col min="15343" max="15343" width="25.140625" style="4" customWidth="1"/>
    <col min="15344" max="15346" width="7.5703125" style="4" customWidth="1"/>
    <col min="15347" max="15349" width="6.7109375" style="4" customWidth="1"/>
    <col min="15350" max="15353" width="7.5703125" style="4" customWidth="1"/>
    <col min="15354" max="15354" width="8.140625" style="4" customWidth="1"/>
    <col min="15355" max="15355" width="8.42578125" style="4" customWidth="1"/>
    <col min="15356" max="15356" width="9.28515625" style="4" customWidth="1"/>
    <col min="15357" max="15357" width="8.42578125" style="4" customWidth="1"/>
    <col min="15358" max="15358" width="11.28515625" style="4" customWidth="1"/>
    <col min="15359" max="15359" width="9.28515625" style="4" customWidth="1"/>
    <col min="15360" max="15597" width="9.140625" style="4"/>
    <col min="15598" max="15598" width="18.7109375" style="4" customWidth="1"/>
    <col min="15599" max="15599" width="25.140625" style="4" customWidth="1"/>
    <col min="15600" max="15602" width="7.5703125" style="4" customWidth="1"/>
    <col min="15603" max="15605" width="6.7109375" style="4" customWidth="1"/>
    <col min="15606" max="15609" width="7.5703125" style="4" customWidth="1"/>
    <col min="15610" max="15610" width="8.140625" style="4" customWidth="1"/>
    <col min="15611" max="15611" width="8.42578125" style="4" customWidth="1"/>
    <col min="15612" max="15612" width="9.28515625" style="4" customWidth="1"/>
    <col min="15613" max="15613" width="8.42578125" style="4" customWidth="1"/>
    <col min="15614" max="15614" width="11.28515625" style="4" customWidth="1"/>
    <col min="15615" max="15615" width="9.28515625" style="4" customWidth="1"/>
    <col min="15616" max="15853" width="9.140625" style="4"/>
    <col min="15854" max="15854" width="18.7109375" style="4" customWidth="1"/>
    <col min="15855" max="15855" width="25.140625" style="4" customWidth="1"/>
    <col min="15856" max="15858" width="7.5703125" style="4" customWidth="1"/>
    <col min="15859" max="15861" width="6.7109375" style="4" customWidth="1"/>
    <col min="15862" max="15865" width="7.5703125" style="4" customWidth="1"/>
    <col min="15866" max="15866" width="8.140625" style="4" customWidth="1"/>
    <col min="15867" max="15867" width="8.42578125" style="4" customWidth="1"/>
    <col min="15868" max="15868" width="9.28515625" style="4" customWidth="1"/>
    <col min="15869" max="15869" width="8.42578125" style="4" customWidth="1"/>
    <col min="15870" max="15870" width="11.28515625" style="4" customWidth="1"/>
    <col min="15871" max="15871" width="9.28515625" style="4" customWidth="1"/>
    <col min="15872" max="16109" width="9.140625" style="4"/>
    <col min="16110" max="16110" width="18.7109375" style="4" customWidth="1"/>
    <col min="16111" max="16111" width="25.140625" style="4" customWidth="1"/>
    <col min="16112" max="16114" width="7.5703125" style="4" customWidth="1"/>
    <col min="16115" max="16117" width="6.7109375" style="4" customWidth="1"/>
    <col min="16118" max="16121" width="7.5703125" style="4" customWidth="1"/>
    <col min="16122" max="16122" width="8.140625" style="4" customWidth="1"/>
    <col min="16123" max="16123" width="8.42578125" style="4" customWidth="1"/>
    <col min="16124" max="16124" width="9.28515625" style="4" customWidth="1"/>
    <col min="16125" max="16125" width="8.42578125" style="4" customWidth="1"/>
    <col min="16126" max="16126" width="11.28515625" style="4" customWidth="1"/>
    <col min="16127" max="16127" width="9.28515625" style="4" customWidth="1"/>
    <col min="16128" max="16384" width="9.140625" style="4"/>
  </cols>
  <sheetData>
    <row r="1" spans="1:6" s="71" customFormat="1" ht="15" customHeight="1" x14ac:dyDescent="0.2">
      <c r="A1" s="610"/>
      <c r="B1" s="608"/>
      <c r="C1" s="623" t="s">
        <v>388</v>
      </c>
      <c r="D1" s="594" t="str">
        <f>'Obra '!D1</f>
        <v>Mowe</v>
      </c>
      <c r="E1" s="594"/>
      <c r="F1" s="789"/>
    </row>
    <row r="2" spans="1:6" s="348" customFormat="1" ht="15" customHeight="1" x14ac:dyDescent="0.2">
      <c r="B2" s="675"/>
      <c r="C2" s="623" t="s">
        <v>358</v>
      </c>
      <c r="D2" s="594" t="str">
        <f>'Obra '!D2</f>
        <v>MARTINS|FRANCEZ ENGENHARIA</v>
      </c>
      <c r="E2" s="635"/>
      <c r="F2" s="790"/>
    </row>
    <row r="3" spans="1:6" s="348" customFormat="1" ht="12.75" x14ac:dyDescent="0.2">
      <c r="B3" s="675"/>
      <c r="C3" s="623" t="s">
        <v>505</v>
      </c>
      <c r="D3" s="1273"/>
      <c r="E3" s="1273"/>
      <c r="F3" s="790"/>
    </row>
    <row r="4" spans="1:6" s="348" customFormat="1" ht="15" customHeight="1" x14ac:dyDescent="0.2">
      <c r="A4" s="677"/>
      <c r="B4" s="678"/>
      <c r="C4" s="623" t="s">
        <v>359</v>
      </c>
      <c r="D4" s="594" t="s">
        <v>874</v>
      </c>
      <c r="E4" s="594"/>
      <c r="F4" s="791"/>
    </row>
    <row r="5" spans="1:6" s="75" customFormat="1" ht="22.15" customHeight="1" x14ac:dyDescent="0.2">
      <c r="A5" s="1276" t="s">
        <v>418</v>
      </c>
      <c r="B5" s="1276"/>
      <c r="C5" s="1276"/>
      <c r="D5" s="1276"/>
      <c r="E5" s="1276"/>
      <c r="F5" s="1292"/>
    </row>
    <row r="6" spans="1:6" s="252" customFormat="1" ht="35.25" customHeight="1" x14ac:dyDescent="0.2">
      <c r="A6" s="792" t="s">
        <v>638</v>
      </c>
      <c r="B6" s="763" t="s">
        <v>634</v>
      </c>
      <c r="C6" s="763" t="s">
        <v>639</v>
      </c>
      <c r="D6" s="763" t="s">
        <v>635</v>
      </c>
      <c r="E6" s="763" t="s">
        <v>640</v>
      </c>
      <c r="F6" s="763" t="s">
        <v>10</v>
      </c>
    </row>
    <row r="7" spans="1:6" s="287" customFormat="1" ht="16.149999999999999" customHeight="1" x14ac:dyDescent="0.2">
      <c r="A7" s="696" t="s">
        <v>464</v>
      </c>
      <c r="B7" s="696"/>
      <c r="C7" s="696"/>
      <c r="D7" s="696"/>
      <c r="E7" s="696"/>
      <c r="F7" s="787"/>
    </row>
    <row r="8" spans="1:6" s="287" customFormat="1" ht="15" customHeight="1" x14ac:dyDescent="0.2">
      <c r="A8" s="786" t="s">
        <v>641</v>
      </c>
      <c r="B8" s="781" t="s">
        <v>420</v>
      </c>
      <c r="C8" s="781" t="s">
        <v>2</v>
      </c>
      <c r="D8" s="781">
        <v>2</v>
      </c>
      <c r="E8" s="781">
        <v>1</v>
      </c>
      <c r="F8" s="793">
        <f>E8*D8</f>
        <v>2</v>
      </c>
    </row>
    <row r="9" spans="1:6" s="287" customFormat="1" ht="15" customHeight="1" x14ac:dyDescent="0.2">
      <c r="A9" s="786" t="s">
        <v>641</v>
      </c>
      <c r="B9" s="781" t="s">
        <v>453</v>
      </c>
      <c r="C9" s="781" t="s">
        <v>2</v>
      </c>
      <c r="D9" s="781">
        <v>2</v>
      </c>
      <c r="E9" s="781">
        <v>1</v>
      </c>
      <c r="F9" s="793">
        <f t="shared" ref="F9:F24" si="0">E9*D9</f>
        <v>2</v>
      </c>
    </row>
    <row r="10" spans="1:6" s="287" customFormat="1" ht="15" customHeight="1" x14ac:dyDescent="0.2">
      <c r="A10" s="786" t="s">
        <v>1338</v>
      </c>
      <c r="B10" s="781" t="s">
        <v>1335</v>
      </c>
      <c r="C10" s="781" t="s">
        <v>2</v>
      </c>
      <c r="D10" s="781">
        <v>1</v>
      </c>
      <c r="E10" s="781">
        <v>1</v>
      </c>
      <c r="F10" s="793">
        <f t="shared" si="0"/>
        <v>1</v>
      </c>
    </row>
    <row r="11" spans="1:6" s="287" customFormat="1" ht="15" customHeight="1" x14ac:dyDescent="0.2">
      <c r="A11" s="786" t="s">
        <v>1339</v>
      </c>
      <c r="B11" s="781" t="s">
        <v>1336</v>
      </c>
      <c r="C11" s="781" t="s">
        <v>2</v>
      </c>
      <c r="D11" s="781">
        <v>1</v>
      </c>
      <c r="E11" s="781">
        <v>1</v>
      </c>
      <c r="F11" s="793">
        <f t="shared" si="0"/>
        <v>1</v>
      </c>
    </row>
    <row r="12" spans="1:6" s="287" customFormat="1" ht="15" customHeight="1" x14ac:dyDescent="0.2">
      <c r="A12" s="786" t="s">
        <v>910</v>
      </c>
      <c r="B12" s="781" t="s">
        <v>1337</v>
      </c>
      <c r="C12" s="781" t="s">
        <v>2</v>
      </c>
      <c r="D12" s="781">
        <v>1</v>
      </c>
      <c r="E12" s="781">
        <v>1</v>
      </c>
      <c r="F12" s="793">
        <f t="shared" si="0"/>
        <v>1</v>
      </c>
    </row>
    <row r="13" spans="1:6" s="287" customFormat="1" ht="15" customHeight="1" x14ac:dyDescent="0.2">
      <c r="A13" s="1071" t="s">
        <v>869</v>
      </c>
      <c r="B13" s="781" t="s">
        <v>421</v>
      </c>
      <c r="C13" s="781" t="s">
        <v>2</v>
      </c>
      <c r="D13" s="781">
        <v>8</v>
      </c>
      <c r="E13" s="781">
        <v>1</v>
      </c>
      <c r="F13" s="793">
        <f t="shared" si="0"/>
        <v>8</v>
      </c>
    </row>
    <row r="14" spans="1:6" s="287" customFormat="1" ht="15" customHeight="1" x14ac:dyDescent="0.2">
      <c r="A14" s="1071" t="s">
        <v>641</v>
      </c>
      <c r="B14" s="781" t="s">
        <v>422</v>
      </c>
      <c r="C14" s="781" t="s">
        <v>2</v>
      </c>
      <c r="D14" s="781">
        <v>2</v>
      </c>
      <c r="E14" s="781">
        <v>1</v>
      </c>
      <c r="F14" s="793">
        <f t="shared" si="0"/>
        <v>2</v>
      </c>
    </row>
    <row r="15" spans="1:6" s="287" customFormat="1" ht="15" customHeight="1" x14ac:dyDescent="0.2">
      <c r="A15" s="1071" t="s">
        <v>1338</v>
      </c>
      <c r="B15" s="781" t="s">
        <v>1340</v>
      </c>
      <c r="C15" s="781" t="s">
        <v>2</v>
      </c>
      <c r="D15" s="781">
        <v>2</v>
      </c>
      <c r="E15" s="781">
        <v>1</v>
      </c>
      <c r="F15" s="793">
        <f t="shared" si="0"/>
        <v>2</v>
      </c>
    </row>
    <row r="16" spans="1:6" s="287" customFormat="1" ht="15" customHeight="1" x14ac:dyDescent="0.2">
      <c r="A16" s="1071" t="s">
        <v>910</v>
      </c>
      <c r="B16" s="781" t="s">
        <v>1341</v>
      </c>
      <c r="C16" s="781" t="s">
        <v>2</v>
      </c>
      <c r="D16" s="781">
        <v>1</v>
      </c>
      <c r="E16" s="781">
        <v>1</v>
      </c>
      <c r="F16" s="793">
        <f t="shared" si="0"/>
        <v>1</v>
      </c>
    </row>
    <row r="17" spans="1:6" s="287" customFormat="1" ht="15" customHeight="1" x14ac:dyDescent="0.2">
      <c r="A17" s="1071" t="s">
        <v>641</v>
      </c>
      <c r="B17" s="781" t="s">
        <v>1342</v>
      </c>
      <c r="C17" s="781" t="s">
        <v>2</v>
      </c>
      <c r="D17" s="781">
        <v>2</v>
      </c>
      <c r="E17" s="781">
        <v>1</v>
      </c>
      <c r="F17" s="793">
        <f t="shared" si="0"/>
        <v>2</v>
      </c>
    </row>
    <row r="18" spans="1:6" s="287" customFormat="1" ht="15" customHeight="1" x14ac:dyDescent="0.2">
      <c r="A18" s="1071" t="s">
        <v>641</v>
      </c>
      <c r="B18" s="781" t="s">
        <v>423</v>
      </c>
      <c r="C18" s="781" t="s">
        <v>2</v>
      </c>
      <c r="D18" s="781">
        <v>6</v>
      </c>
      <c r="E18" s="781">
        <v>1</v>
      </c>
      <c r="F18" s="793">
        <f t="shared" si="0"/>
        <v>6</v>
      </c>
    </row>
    <row r="19" spans="1:6" s="287" customFormat="1" ht="15" customHeight="1" x14ac:dyDescent="0.2">
      <c r="A19" s="1071" t="s">
        <v>641</v>
      </c>
      <c r="B19" s="781" t="s">
        <v>424</v>
      </c>
      <c r="C19" s="781" t="s">
        <v>2</v>
      </c>
      <c r="D19" s="781">
        <v>8</v>
      </c>
      <c r="E19" s="781">
        <v>1</v>
      </c>
      <c r="F19" s="793">
        <f t="shared" si="0"/>
        <v>8</v>
      </c>
    </row>
    <row r="20" spans="1:6" s="287" customFormat="1" ht="15" customHeight="1" x14ac:dyDescent="0.2">
      <c r="A20" s="1071" t="s">
        <v>641</v>
      </c>
      <c r="B20" s="781" t="s">
        <v>425</v>
      </c>
      <c r="C20" s="781" t="s">
        <v>2</v>
      </c>
      <c r="D20" s="781">
        <v>5</v>
      </c>
      <c r="E20" s="781">
        <v>1</v>
      </c>
      <c r="F20" s="793">
        <f t="shared" si="0"/>
        <v>5</v>
      </c>
    </row>
    <row r="21" spans="1:6" s="287" customFormat="1" ht="15" customHeight="1" x14ac:dyDescent="0.2">
      <c r="A21" s="1071" t="s">
        <v>745</v>
      </c>
      <c r="B21" s="781" t="s">
        <v>1346</v>
      </c>
      <c r="C21" s="781" t="s">
        <v>2</v>
      </c>
      <c r="D21" s="781">
        <v>4</v>
      </c>
      <c r="E21" s="781">
        <v>1</v>
      </c>
      <c r="F21" s="793">
        <f t="shared" si="0"/>
        <v>4</v>
      </c>
    </row>
    <row r="22" spans="1:6" s="287" customFormat="1" ht="15" customHeight="1" x14ac:dyDescent="0.2">
      <c r="A22" s="1071" t="s">
        <v>1338</v>
      </c>
      <c r="B22" s="781" t="s">
        <v>642</v>
      </c>
      <c r="C22" s="781" t="s">
        <v>1</v>
      </c>
      <c r="D22" s="781">
        <v>0.84</v>
      </c>
      <c r="E22" s="781">
        <v>1</v>
      </c>
      <c r="F22" s="793">
        <f t="shared" si="0"/>
        <v>0.84</v>
      </c>
    </row>
    <row r="23" spans="1:6" s="287" customFormat="1" ht="15" customHeight="1" x14ac:dyDescent="0.2">
      <c r="A23" s="1071" t="s">
        <v>641</v>
      </c>
      <c r="B23" s="781" t="s">
        <v>642</v>
      </c>
      <c r="C23" s="781" t="s">
        <v>1</v>
      </c>
      <c r="D23" s="781">
        <v>1.3975</v>
      </c>
      <c r="E23" s="781">
        <v>1</v>
      </c>
      <c r="F23" s="793">
        <f t="shared" si="0"/>
        <v>1.3975</v>
      </c>
    </row>
    <row r="24" spans="1:6" s="287" customFormat="1" ht="15" customHeight="1" x14ac:dyDescent="0.2">
      <c r="A24" s="1071" t="s">
        <v>910</v>
      </c>
      <c r="B24" s="781" t="s">
        <v>642</v>
      </c>
      <c r="C24" s="781" t="s">
        <v>1</v>
      </c>
      <c r="D24" s="781">
        <v>1.008</v>
      </c>
      <c r="E24" s="781">
        <v>1</v>
      </c>
      <c r="F24" s="793">
        <f t="shared" si="0"/>
        <v>1.008</v>
      </c>
    </row>
    <row r="25" spans="1:6" s="287" customFormat="1" ht="16.149999999999999" customHeight="1" x14ac:dyDescent="0.2">
      <c r="A25" s="696" t="s">
        <v>1334</v>
      </c>
      <c r="B25" s="696"/>
      <c r="C25" s="696"/>
      <c r="D25" s="696"/>
      <c r="E25" s="696"/>
      <c r="F25" s="787"/>
    </row>
    <row r="26" spans="1:6" s="287" customFormat="1" ht="15" customHeight="1" x14ac:dyDescent="0.2">
      <c r="A26" s="786" t="s">
        <v>641</v>
      </c>
      <c r="B26" s="781" t="s">
        <v>420</v>
      </c>
      <c r="C26" s="781" t="s">
        <v>2</v>
      </c>
      <c r="D26" s="781">
        <v>4</v>
      </c>
      <c r="E26" s="781">
        <v>1</v>
      </c>
      <c r="F26" s="793">
        <f>E26*D26</f>
        <v>4</v>
      </c>
    </row>
    <row r="27" spans="1:6" s="287" customFormat="1" ht="15" customHeight="1" x14ac:dyDescent="0.2">
      <c r="A27" s="786" t="s">
        <v>641</v>
      </c>
      <c r="B27" s="781" t="s">
        <v>1343</v>
      </c>
      <c r="C27" s="781" t="s">
        <v>2</v>
      </c>
      <c r="D27" s="781">
        <v>5</v>
      </c>
      <c r="E27" s="781">
        <v>1</v>
      </c>
      <c r="F27" s="793">
        <f t="shared" ref="F27:F38" si="1">E27*D27</f>
        <v>5</v>
      </c>
    </row>
    <row r="28" spans="1:6" s="287" customFormat="1" ht="15" customHeight="1" x14ac:dyDescent="0.2">
      <c r="A28" s="786" t="s">
        <v>1347</v>
      </c>
      <c r="B28" s="781" t="s">
        <v>1344</v>
      </c>
      <c r="C28" s="781" t="s">
        <v>2</v>
      </c>
      <c r="D28" s="781">
        <v>1</v>
      </c>
      <c r="E28" s="781">
        <v>1</v>
      </c>
      <c r="F28" s="793">
        <f t="shared" si="1"/>
        <v>1</v>
      </c>
    </row>
    <row r="29" spans="1:6" s="287" customFormat="1" ht="15" customHeight="1" x14ac:dyDescent="0.2">
      <c r="A29" s="786" t="s">
        <v>1347</v>
      </c>
      <c r="B29" s="781" t="s">
        <v>453</v>
      </c>
      <c r="C29" s="781" t="s">
        <v>2</v>
      </c>
      <c r="D29" s="781">
        <v>5</v>
      </c>
      <c r="E29" s="781">
        <v>1</v>
      </c>
      <c r="F29" s="793">
        <f t="shared" si="1"/>
        <v>5</v>
      </c>
    </row>
    <row r="30" spans="1:6" s="287" customFormat="1" ht="15" customHeight="1" x14ac:dyDescent="0.2">
      <c r="A30" s="786" t="s">
        <v>1347</v>
      </c>
      <c r="B30" s="781" t="s">
        <v>421</v>
      </c>
      <c r="C30" s="781" t="s">
        <v>1</v>
      </c>
      <c r="D30" s="781">
        <v>2</v>
      </c>
      <c r="E30" s="781">
        <v>1</v>
      </c>
      <c r="F30" s="793">
        <f t="shared" si="1"/>
        <v>2</v>
      </c>
    </row>
    <row r="31" spans="1:6" s="287" customFormat="1" ht="15" customHeight="1" x14ac:dyDescent="0.2">
      <c r="A31" s="786" t="s">
        <v>1347</v>
      </c>
      <c r="B31" s="781" t="s">
        <v>1342</v>
      </c>
      <c r="C31" s="781" t="s">
        <v>2</v>
      </c>
      <c r="D31" s="781">
        <v>5</v>
      </c>
      <c r="E31" s="781">
        <v>1</v>
      </c>
      <c r="F31" s="793">
        <f t="shared" si="1"/>
        <v>5</v>
      </c>
    </row>
    <row r="32" spans="1:6" s="287" customFormat="1" ht="15" customHeight="1" x14ac:dyDescent="0.2">
      <c r="A32" s="786" t="s">
        <v>1347</v>
      </c>
      <c r="B32" s="781" t="s">
        <v>1346</v>
      </c>
      <c r="C32" s="781" t="s">
        <v>2</v>
      </c>
      <c r="D32" s="781">
        <v>4</v>
      </c>
      <c r="E32" s="781">
        <v>1</v>
      </c>
      <c r="F32" s="793">
        <f t="shared" si="1"/>
        <v>4</v>
      </c>
    </row>
    <row r="33" spans="1:6" s="287" customFormat="1" ht="15" customHeight="1" x14ac:dyDescent="0.2">
      <c r="A33" s="786" t="s">
        <v>1347</v>
      </c>
      <c r="B33" s="781" t="s">
        <v>1345</v>
      </c>
      <c r="C33" s="781" t="s">
        <v>2</v>
      </c>
      <c r="D33" s="781">
        <v>5</v>
      </c>
      <c r="E33" s="781">
        <v>1</v>
      </c>
      <c r="F33" s="793">
        <f t="shared" si="1"/>
        <v>5</v>
      </c>
    </row>
    <row r="34" spans="1:6" s="287" customFormat="1" ht="15" customHeight="1" x14ac:dyDescent="0.2">
      <c r="A34" s="786" t="s">
        <v>1347</v>
      </c>
      <c r="B34" s="781" t="s">
        <v>422</v>
      </c>
      <c r="C34" s="781" t="s">
        <v>2</v>
      </c>
      <c r="D34" s="781">
        <v>4</v>
      </c>
      <c r="E34" s="781">
        <v>1</v>
      </c>
      <c r="F34" s="793">
        <f t="shared" si="1"/>
        <v>4</v>
      </c>
    </row>
    <row r="35" spans="1:6" s="287" customFormat="1" ht="15" customHeight="1" x14ac:dyDescent="0.2">
      <c r="A35" s="786" t="s">
        <v>1347</v>
      </c>
      <c r="B35" s="781" t="s">
        <v>423</v>
      </c>
      <c r="C35" s="781" t="s">
        <v>2</v>
      </c>
      <c r="D35" s="781">
        <v>4</v>
      </c>
      <c r="E35" s="781">
        <v>1</v>
      </c>
      <c r="F35" s="793">
        <f t="shared" si="1"/>
        <v>4</v>
      </c>
    </row>
    <row r="36" spans="1:6" s="287" customFormat="1" ht="15" customHeight="1" x14ac:dyDescent="0.2">
      <c r="A36" s="786" t="s">
        <v>1347</v>
      </c>
      <c r="B36" s="781" t="s">
        <v>424</v>
      </c>
      <c r="C36" s="781" t="s">
        <v>2</v>
      </c>
      <c r="D36" s="781">
        <v>16</v>
      </c>
      <c r="E36" s="781">
        <v>1</v>
      </c>
      <c r="F36" s="793">
        <f t="shared" si="1"/>
        <v>16</v>
      </c>
    </row>
    <row r="37" spans="1:6" s="287" customFormat="1" ht="15" customHeight="1" x14ac:dyDescent="0.2">
      <c r="A37" s="786" t="s">
        <v>1347</v>
      </c>
      <c r="B37" s="781" t="s">
        <v>425</v>
      </c>
      <c r="C37" s="781" t="s">
        <v>2</v>
      </c>
      <c r="D37" s="781">
        <v>5</v>
      </c>
      <c r="E37" s="781">
        <v>1</v>
      </c>
      <c r="F37" s="793">
        <f t="shared" si="1"/>
        <v>5</v>
      </c>
    </row>
    <row r="38" spans="1:6" s="287" customFormat="1" ht="15" customHeight="1" thickBot="1" x14ac:dyDescent="0.25">
      <c r="A38" s="786" t="s">
        <v>1347</v>
      </c>
      <c r="B38" s="781" t="s">
        <v>642</v>
      </c>
      <c r="C38" s="781" t="s">
        <v>2</v>
      </c>
      <c r="D38" s="781">
        <v>4.29</v>
      </c>
      <c r="E38" s="781">
        <v>1</v>
      </c>
      <c r="F38" s="793">
        <f t="shared" si="1"/>
        <v>4.29</v>
      </c>
    </row>
    <row r="39" spans="1:6" ht="13.5" thickTop="1" thickBot="1" x14ac:dyDescent="0.25">
      <c r="A39" s="310"/>
      <c r="B39" s="310" t="s">
        <v>10</v>
      </c>
      <c r="C39" s="310"/>
      <c r="D39" s="310"/>
      <c r="E39" s="310"/>
      <c r="F39" s="310">
        <f>SUM(F8:F38)</f>
        <v>112.53550000000001</v>
      </c>
    </row>
    <row r="40" spans="1:6" ht="12" thickTop="1" x14ac:dyDescent="0.2">
      <c r="A40" s="7"/>
      <c r="B40" s="7"/>
      <c r="C40" s="7"/>
      <c r="D40" s="7"/>
      <c r="E40" s="7"/>
    </row>
    <row r="41" spans="1:6" x14ac:dyDescent="0.2">
      <c r="A41" s="7"/>
      <c r="B41" s="7"/>
      <c r="C41" s="7"/>
      <c r="D41" s="7"/>
      <c r="E41" s="7"/>
    </row>
    <row r="42" spans="1:6" s="252" customFormat="1" ht="12" x14ac:dyDescent="0.2">
      <c r="A42" s="792" t="s">
        <v>11</v>
      </c>
      <c r="B42" s="763" t="s">
        <v>634</v>
      </c>
      <c r="C42" s="763" t="s">
        <v>639</v>
      </c>
      <c r="D42" s="763" t="s">
        <v>635</v>
      </c>
      <c r="E42" s="763" t="s">
        <v>636</v>
      </c>
      <c r="F42" s="763" t="s">
        <v>637</v>
      </c>
    </row>
    <row r="43" spans="1:6" ht="12" x14ac:dyDescent="0.2">
      <c r="A43" s="786" t="s">
        <v>643</v>
      </c>
      <c r="B43" s="781" t="s">
        <v>453</v>
      </c>
      <c r="C43" s="781" t="s">
        <v>2</v>
      </c>
      <c r="D43" s="781">
        <f>SUMIF($B$8:$B$37,B43,$F$8:$F$37)</f>
        <v>7</v>
      </c>
      <c r="E43" s="788">
        <v>1222.18</v>
      </c>
      <c r="F43" s="788">
        <f t="shared" ref="F43:F60" si="2">E43*D43</f>
        <v>8555.26</v>
      </c>
    </row>
    <row r="44" spans="1:6" ht="12.75" thickBot="1" x14ac:dyDescent="0.25">
      <c r="A44" s="786"/>
      <c r="B44" s="781" t="s">
        <v>420</v>
      </c>
      <c r="C44" s="781" t="s">
        <v>2</v>
      </c>
      <c r="D44" s="781">
        <f>SUMIF($B$8:$B$37,B44,$F$8:$F$37)</f>
        <v>6</v>
      </c>
      <c r="E44" s="788">
        <v>1199.9000000000001</v>
      </c>
      <c r="F44" s="788">
        <f t="shared" si="2"/>
        <v>7199.4000000000005</v>
      </c>
    </row>
    <row r="45" spans="1:6" ht="13.5" thickTop="1" thickBot="1" x14ac:dyDescent="0.25">
      <c r="A45" s="310"/>
      <c r="B45" s="310" t="s">
        <v>10</v>
      </c>
      <c r="C45" s="310"/>
      <c r="D45" s="310"/>
      <c r="E45" s="310"/>
      <c r="F45" s="794">
        <f>SUM(F43:F44)</f>
        <v>15754.66</v>
      </c>
    </row>
    <row r="46" spans="1:6" ht="12.75" thickTop="1" x14ac:dyDescent="0.2">
      <c r="A46" s="786" t="s">
        <v>644</v>
      </c>
      <c r="B46" s="781" t="s">
        <v>1346</v>
      </c>
      <c r="C46" s="781" t="s">
        <v>2</v>
      </c>
      <c r="D46" s="781">
        <f t="shared" ref="D46:D51" si="3">SUMIF($B$8:$B$37,B46,$F$8:$F$37)</f>
        <v>8</v>
      </c>
      <c r="E46" s="788">
        <v>240.41</v>
      </c>
      <c r="F46" s="788">
        <f t="shared" si="2"/>
        <v>1923.28</v>
      </c>
    </row>
    <row r="47" spans="1:6" ht="12" x14ac:dyDescent="0.2">
      <c r="A47" s="786"/>
      <c r="B47" s="781" t="s">
        <v>1345</v>
      </c>
      <c r="C47" s="781" t="s">
        <v>2</v>
      </c>
      <c r="D47" s="781">
        <f t="shared" si="3"/>
        <v>5</v>
      </c>
      <c r="E47" s="788">
        <v>493.7</v>
      </c>
      <c r="F47" s="788">
        <f t="shared" si="2"/>
        <v>2468.5</v>
      </c>
    </row>
    <row r="48" spans="1:6" ht="12" x14ac:dyDescent="0.2">
      <c r="A48" s="786"/>
      <c r="B48" s="781" t="s">
        <v>422</v>
      </c>
      <c r="C48" s="781" t="s">
        <v>2</v>
      </c>
      <c r="D48" s="781">
        <f t="shared" si="3"/>
        <v>6</v>
      </c>
      <c r="E48" s="788">
        <v>13.3</v>
      </c>
      <c r="F48" s="788">
        <f t="shared" si="2"/>
        <v>79.800000000000011</v>
      </c>
    </row>
    <row r="49" spans="1:6" ht="12" x14ac:dyDescent="0.2">
      <c r="A49" s="786"/>
      <c r="B49" s="781" t="s">
        <v>1344</v>
      </c>
      <c r="C49" s="781" t="s">
        <v>2</v>
      </c>
      <c r="D49" s="781">
        <f t="shared" si="3"/>
        <v>1</v>
      </c>
      <c r="E49" s="788">
        <v>15386.250000000002</v>
      </c>
      <c r="F49" s="788">
        <f t="shared" si="2"/>
        <v>15386.250000000002</v>
      </c>
    </row>
    <row r="50" spans="1:6" ht="12" x14ac:dyDescent="0.2">
      <c r="A50" s="786"/>
      <c r="B50" s="781" t="s">
        <v>1343</v>
      </c>
      <c r="C50" s="781" t="s">
        <v>2</v>
      </c>
      <c r="D50" s="781">
        <f t="shared" si="3"/>
        <v>5</v>
      </c>
      <c r="E50" s="788">
        <v>970</v>
      </c>
      <c r="F50" s="788">
        <f t="shared" si="2"/>
        <v>4850</v>
      </c>
    </row>
    <row r="51" spans="1:6" ht="12" x14ac:dyDescent="0.2">
      <c r="A51" s="786"/>
      <c r="B51" s="781" t="s">
        <v>1335</v>
      </c>
      <c r="C51" s="781" t="s">
        <v>2</v>
      </c>
      <c r="D51" s="781">
        <f t="shared" si="3"/>
        <v>1</v>
      </c>
      <c r="E51" s="788">
        <v>1126.922</v>
      </c>
      <c r="F51" s="788">
        <f>E51*D51</f>
        <v>1126.922</v>
      </c>
    </row>
    <row r="52" spans="1:6" ht="12" x14ac:dyDescent="0.2">
      <c r="A52" s="786"/>
      <c r="B52" s="781" t="s">
        <v>1336</v>
      </c>
      <c r="C52" s="781" t="s">
        <v>2</v>
      </c>
      <c r="D52" s="781">
        <v>1</v>
      </c>
      <c r="E52" s="788">
        <v>5832.1219999999994</v>
      </c>
      <c r="F52" s="788">
        <f t="shared" si="2"/>
        <v>5832.1219999999994</v>
      </c>
    </row>
    <row r="53" spans="1:6" ht="12" x14ac:dyDescent="0.2">
      <c r="A53" s="786"/>
      <c r="B53" s="781" t="s">
        <v>423</v>
      </c>
      <c r="C53" s="781" t="s">
        <v>2</v>
      </c>
      <c r="D53" s="781">
        <f>SUMIF($B$8:$B$37,B53,$F$8:$F$37)</f>
        <v>10</v>
      </c>
      <c r="E53" s="788">
        <v>14.75</v>
      </c>
      <c r="F53" s="788">
        <f t="shared" si="2"/>
        <v>147.5</v>
      </c>
    </row>
    <row r="54" spans="1:6" ht="12" x14ac:dyDescent="0.2">
      <c r="A54" s="786"/>
      <c r="B54" s="781" t="s">
        <v>424</v>
      </c>
      <c r="C54" s="781" t="s">
        <v>2</v>
      </c>
      <c r="D54" s="781">
        <f>SUMIF($B$8:$B$37,B54,$F$8:$F$37)</f>
        <v>24</v>
      </c>
      <c r="E54" s="788">
        <v>24.95</v>
      </c>
      <c r="F54" s="788">
        <f t="shared" si="2"/>
        <v>598.79999999999995</v>
      </c>
    </row>
    <row r="55" spans="1:6" ht="12" x14ac:dyDescent="0.2">
      <c r="A55" s="786"/>
      <c r="B55" s="781" t="s">
        <v>425</v>
      </c>
      <c r="C55" s="781" t="s">
        <v>2</v>
      </c>
      <c r="D55" s="781">
        <f>SUMIF($B$8:$B$37,B55,$F$8:$F$37)</f>
        <v>10</v>
      </c>
      <c r="E55" s="788">
        <v>13.9</v>
      </c>
      <c r="F55" s="788">
        <f t="shared" si="2"/>
        <v>139</v>
      </c>
    </row>
    <row r="56" spans="1:6" ht="12" x14ac:dyDescent="0.2">
      <c r="A56" s="786"/>
      <c r="B56" s="781" t="s">
        <v>1337</v>
      </c>
      <c r="C56" s="781" t="s">
        <v>2</v>
      </c>
      <c r="D56" s="781">
        <f>SUMIF($B$8:$B$37,B56,$F$8:$F$37)</f>
        <v>1</v>
      </c>
      <c r="E56" s="788">
        <v>1008.922</v>
      </c>
      <c r="F56" s="788">
        <f t="shared" si="2"/>
        <v>1008.922</v>
      </c>
    </row>
    <row r="57" spans="1:6" ht="12" x14ac:dyDescent="0.2">
      <c r="A57" s="786"/>
      <c r="B57" s="781" t="s">
        <v>1340</v>
      </c>
      <c r="C57" s="781" t="s">
        <v>2</v>
      </c>
      <c r="D57" s="781">
        <f t="shared" ref="D57:D59" si="4">SUMIF($B$8:$B$37,B57,$F$8:$F$37)</f>
        <v>2</v>
      </c>
      <c r="E57" s="788">
        <v>1054.93</v>
      </c>
      <c r="F57" s="788">
        <f t="shared" si="2"/>
        <v>2109.86</v>
      </c>
    </row>
    <row r="58" spans="1:6" ht="12" x14ac:dyDescent="0.2">
      <c r="A58" s="786"/>
      <c r="B58" s="781" t="s">
        <v>1341</v>
      </c>
      <c r="C58" s="781" t="s">
        <v>2</v>
      </c>
      <c r="D58" s="781">
        <f t="shared" si="4"/>
        <v>1</v>
      </c>
      <c r="E58" s="788">
        <v>1054.93</v>
      </c>
      <c r="F58" s="788">
        <f t="shared" si="2"/>
        <v>1054.93</v>
      </c>
    </row>
    <row r="59" spans="1:6" ht="12" x14ac:dyDescent="0.2">
      <c r="A59" s="786"/>
      <c r="B59" s="781" t="s">
        <v>1342</v>
      </c>
      <c r="C59" s="781" t="s">
        <v>2</v>
      </c>
      <c r="D59" s="781">
        <f t="shared" si="4"/>
        <v>7</v>
      </c>
      <c r="E59" s="788">
        <v>1054.93</v>
      </c>
      <c r="F59" s="788">
        <f t="shared" si="2"/>
        <v>7384.51</v>
      </c>
    </row>
    <row r="60" spans="1:6" ht="12.75" thickBot="1" x14ac:dyDescent="0.25">
      <c r="A60" s="786"/>
      <c r="B60" s="781" t="s">
        <v>421</v>
      </c>
      <c r="C60" s="781" t="s">
        <v>2</v>
      </c>
      <c r="D60" s="781">
        <f>SUMIF($B$8:$B$37,B60,$F$8:$F$37)</f>
        <v>10</v>
      </c>
      <c r="E60" s="788">
        <v>55</v>
      </c>
      <c r="F60" s="788">
        <f t="shared" si="2"/>
        <v>550</v>
      </c>
    </row>
    <row r="61" spans="1:6" ht="13.5" thickTop="1" thickBot="1" x14ac:dyDescent="0.25">
      <c r="A61" s="310"/>
      <c r="B61" s="310" t="s">
        <v>10</v>
      </c>
      <c r="C61" s="310"/>
      <c r="D61" s="310"/>
      <c r="E61" s="310"/>
      <c r="F61" s="794">
        <f>SUM(F46:F60)</f>
        <v>44660.396000000001</v>
      </c>
    </row>
    <row r="62" spans="1:6" ht="13.5" thickTop="1" thickBot="1" x14ac:dyDescent="0.25">
      <c r="A62" s="786" t="s">
        <v>645</v>
      </c>
      <c r="B62" s="781" t="s">
        <v>642</v>
      </c>
      <c r="C62" s="781" t="s">
        <v>1</v>
      </c>
      <c r="D62" s="781">
        <f>SUMIF($B$8:$B$38,B62,$F$8:$F$38)</f>
        <v>7.5354999999999999</v>
      </c>
      <c r="E62" s="788">
        <v>1120</v>
      </c>
      <c r="F62" s="788">
        <f>E62*D62</f>
        <v>8439.76</v>
      </c>
    </row>
    <row r="63" spans="1:6" ht="13.5" thickTop="1" thickBot="1" x14ac:dyDescent="0.25">
      <c r="A63" s="310"/>
      <c r="B63" s="310" t="s">
        <v>10</v>
      </c>
      <c r="C63" s="310"/>
      <c r="D63" s="310"/>
      <c r="E63" s="794"/>
      <c r="F63" s="794">
        <f>F62+F61+F45</f>
        <v>68854.816000000006</v>
      </c>
    </row>
    <row r="64" spans="1:6" ht="24.75" customHeight="1" thickTop="1" x14ac:dyDescent="0.2">
      <c r="A64" s="7"/>
      <c r="B64" s="7"/>
      <c r="C64" s="7"/>
      <c r="D64" s="7"/>
      <c r="E64" s="7"/>
    </row>
    <row r="65" spans="1:5" ht="24.75" customHeight="1" x14ac:dyDescent="0.2">
      <c r="A65" s="7"/>
      <c r="B65" s="7"/>
      <c r="C65" s="7"/>
      <c r="D65" s="7"/>
      <c r="E65" s="7"/>
    </row>
  </sheetData>
  <mergeCells count="2">
    <mergeCell ref="D3:E3"/>
    <mergeCell ref="A5:F5"/>
  </mergeCells>
  <printOptions horizontalCentered="1"/>
  <pageMargins left="0.39370078740157483" right="0" top="0.39370078740157483" bottom="0.39370078740157483" header="0.51181102362204722" footer="0.19685039370078741"/>
  <pageSetup paperSize="9" scale="84" orientation="portrait" verticalDpi="300" r:id="rId1"/>
  <headerFooter alignWithMargins="0">
    <oddFooter>&amp;L&amp;F - &amp;A&amp;R&amp;P /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2B70-17C8-42FB-9980-79E48CE8CC45}">
  <sheetPr codeName="Planilha11"/>
  <dimension ref="L6:M12"/>
  <sheetViews>
    <sheetView showGridLines="0" topLeftCell="A100" workbookViewId="0">
      <selection activeCell="M6" sqref="M6"/>
    </sheetView>
  </sheetViews>
  <sheetFormatPr defaultRowHeight="12.75" x14ac:dyDescent="0.2"/>
  <cols>
    <col min="12" max="12" width="12.85546875" bestFit="1" customWidth="1"/>
    <col min="13" max="13" width="9.28515625" bestFit="1" customWidth="1"/>
  </cols>
  <sheetData>
    <row r="6" spans="12:13" x14ac:dyDescent="0.2">
      <c r="L6" s="742">
        <f>(92273.31+12957.46+45908+7494)</f>
        <v>158632.76999999999</v>
      </c>
      <c r="M6" s="742">
        <f>L6/(259.53*2+288.02)</f>
        <v>196.55148188531496</v>
      </c>
    </row>
    <row r="9" spans="12:13" x14ac:dyDescent="0.2">
      <c r="L9" s="743"/>
      <c r="M9" s="731"/>
    </row>
    <row r="10" spans="12:13" x14ac:dyDescent="0.2">
      <c r="L10" s="743"/>
      <c r="M10" s="731"/>
    </row>
    <row r="11" spans="12:13" x14ac:dyDescent="0.2">
      <c r="L11" s="743"/>
      <c r="M11" s="731"/>
    </row>
    <row r="12" spans="12:13" x14ac:dyDescent="0.2">
      <c r="L12" s="743"/>
    </row>
  </sheetData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DBDF-150D-4EC9-8975-F1B62EB2BA4D}">
  <sheetPr codeName="Planilha14">
    <tabColor rgb="FFF43800"/>
    <pageSetUpPr fitToPage="1"/>
  </sheetPr>
  <dimension ref="A1:H37"/>
  <sheetViews>
    <sheetView showGridLines="0" view="pageBreakPreview" zoomScaleNormal="100" zoomScaleSheetLayoutView="100" workbookViewId="0">
      <selection activeCell="B2" sqref="B2"/>
    </sheetView>
  </sheetViews>
  <sheetFormatPr defaultRowHeight="12.75" x14ac:dyDescent="0.2"/>
  <cols>
    <col min="1" max="1" width="28.7109375" customWidth="1"/>
    <col min="2" max="2" width="19.42578125" customWidth="1"/>
    <col min="3" max="3" width="53.85546875" bestFit="1" customWidth="1"/>
    <col min="4" max="4" width="20.7109375" customWidth="1"/>
    <col min="5" max="5" width="24.7109375" customWidth="1"/>
    <col min="7" max="7" width="44.7109375" customWidth="1"/>
  </cols>
  <sheetData>
    <row r="1" spans="1:8" s="71" customFormat="1" ht="15" customHeight="1" x14ac:dyDescent="0.2">
      <c r="A1" s="601"/>
      <c r="B1" s="656" t="s">
        <v>388</v>
      </c>
      <c r="C1" s="657" t="e">
        <f>#REF!</f>
        <v>#REF!</v>
      </c>
      <c r="D1" s="660"/>
      <c r="E1" s="602"/>
      <c r="F1" s="93"/>
      <c r="G1" s="93"/>
      <c r="H1" s="93"/>
    </row>
    <row r="2" spans="1:8" s="71" customFormat="1" ht="15" customHeight="1" x14ac:dyDescent="0.2">
      <c r="A2" s="685"/>
      <c r="B2" s="656" t="s">
        <v>358</v>
      </c>
      <c r="C2" s="689" t="e">
        <f>#REF!</f>
        <v>#REF!</v>
      </c>
      <c r="D2" s="660"/>
      <c r="E2" s="686"/>
      <c r="F2" s="93"/>
      <c r="G2" s="93"/>
      <c r="H2" s="93"/>
    </row>
    <row r="3" spans="1:8" s="90" customFormat="1" ht="15" customHeight="1" x14ac:dyDescent="0.2">
      <c r="A3" s="611"/>
      <c r="B3" s="658" t="s">
        <v>359</v>
      </c>
      <c r="C3" s="659" t="s">
        <v>362</v>
      </c>
      <c r="D3" s="661"/>
      <c r="E3" s="606"/>
    </row>
    <row r="4" spans="1:8" s="90" customFormat="1" ht="20.45" customHeight="1" x14ac:dyDescent="0.2">
      <c r="A4" s="1194" t="s">
        <v>384</v>
      </c>
      <c r="B4" s="1293"/>
      <c r="C4" s="1293"/>
      <c r="D4" s="1293"/>
      <c r="E4" s="1293"/>
    </row>
    <row r="5" spans="1:8" s="90" customFormat="1" ht="18.600000000000001" customHeight="1" x14ac:dyDescent="0.2">
      <c r="A5" s="666" t="s">
        <v>387</v>
      </c>
      <c r="B5" s="667"/>
      <c r="C5" s="667"/>
      <c r="D5" s="667"/>
      <c r="E5" s="668"/>
    </row>
    <row r="6" spans="1:8" ht="16.899999999999999" customHeight="1" x14ac:dyDescent="0.2">
      <c r="A6" s="640" t="s">
        <v>21</v>
      </c>
      <c r="B6" s="641" t="s">
        <v>380</v>
      </c>
      <c r="C6" s="641" t="s">
        <v>381</v>
      </c>
      <c r="D6" s="641" t="s">
        <v>382</v>
      </c>
      <c r="E6" s="642" t="s">
        <v>383</v>
      </c>
      <c r="G6" s="342"/>
    </row>
    <row r="7" spans="1:8" s="651" customFormat="1" ht="15" customHeight="1" x14ac:dyDescent="0.2">
      <c r="A7" s="648"/>
      <c r="B7" s="649"/>
      <c r="C7" s="650"/>
      <c r="D7" s="663"/>
      <c r="E7" s="662"/>
      <c r="G7" s="342"/>
    </row>
    <row r="8" spans="1:8" s="651" customFormat="1" ht="15" customHeight="1" x14ac:dyDescent="0.2">
      <c r="A8" s="652"/>
      <c r="B8" s="653"/>
      <c r="C8" s="654"/>
      <c r="D8" s="664"/>
      <c r="E8" s="646"/>
      <c r="G8" s="342"/>
    </row>
    <row r="9" spans="1:8" s="651" customFormat="1" ht="15" customHeight="1" x14ac:dyDescent="0.2">
      <c r="A9" s="652"/>
      <c r="B9" s="655"/>
      <c r="C9" s="654"/>
      <c r="D9" s="664"/>
      <c r="E9" s="646"/>
    </row>
    <row r="10" spans="1:8" ht="15" customHeight="1" x14ac:dyDescent="0.2">
      <c r="A10" s="652"/>
      <c r="B10" s="655"/>
      <c r="C10" s="644"/>
      <c r="D10" s="664"/>
      <c r="E10" s="646"/>
    </row>
    <row r="11" spans="1:8" ht="15" customHeight="1" x14ac:dyDescent="0.2">
      <c r="A11" s="643"/>
      <c r="B11" s="645"/>
      <c r="C11" s="639"/>
      <c r="D11" s="664"/>
      <c r="E11" s="647"/>
    </row>
    <row r="12" spans="1:8" ht="15" customHeight="1" x14ac:dyDescent="0.2">
      <c r="A12" s="643"/>
      <c r="B12" s="645"/>
      <c r="C12" s="644"/>
      <c r="D12" s="665"/>
      <c r="E12" s="647"/>
    </row>
    <row r="13" spans="1:8" ht="15" customHeight="1" x14ac:dyDescent="0.2">
      <c r="A13" s="643"/>
      <c r="B13" s="645"/>
      <c r="C13" s="644"/>
      <c r="D13" s="665"/>
      <c r="E13" s="647"/>
    </row>
    <row r="14" spans="1:8" ht="15" customHeight="1" x14ac:dyDescent="0.2">
      <c r="A14" s="643"/>
      <c r="B14" s="645"/>
      <c r="C14" s="644"/>
      <c r="D14" s="665"/>
      <c r="E14" s="647"/>
    </row>
    <row r="15" spans="1:8" ht="15" customHeight="1" x14ac:dyDescent="0.2">
      <c r="A15" s="643"/>
      <c r="B15" s="645"/>
      <c r="C15" s="644"/>
      <c r="D15" s="665"/>
      <c r="E15" s="647"/>
    </row>
    <row r="16" spans="1:8" ht="15" customHeight="1" x14ac:dyDescent="0.2">
      <c r="A16" s="643"/>
      <c r="B16" s="645"/>
      <c r="C16" s="644"/>
      <c r="D16" s="665"/>
      <c r="E16" s="647"/>
    </row>
    <row r="17" spans="1:5" ht="15" customHeight="1" x14ac:dyDescent="0.2">
      <c r="A17" s="643"/>
      <c r="B17" s="645"/>
      <c r="C17" s="644"/>
      <c r="D17" s="665"/>
      <c r="E17" s="647"/>
    </row>
    <row r="18" spans="1:5" ht="15" customHeight="1" x14ac:dyDescent="0.2">
      <c r="A18" s="643"/>
      <c r="B18" s="645"/>
      <c r="C18" s="644"/>
      <c r="D18" s="665"/>
      <c r="E18" s="647"/>
    </row>
    <row r="19" spans="1:5" ht="15" customHeight="1" x14ac:dyDescent="0.2">
      <c r="A19" s="643"/>
      <c r="B19" s="645"/>
      <c r="C19" s="644"/>
      <c r="D19" s="665"/>
      <c r="E19" s="647"/>
    </row>
    <row r="20" spans="1:5" ht="15" customHeight="1" x14ac:dyDescent="0.2">
      <c r="A20" s="643"/>
      <c r="B20" s="645"/>
      <c r="C20" s="644"/>
      <c r="D20" s="665"/>
      <c r="E20" s="647"/>
    </row>
    <row r="21" spans="1:5" ht="15" customHeight="1" x14ac:dyDescent="0.2">
      <c r="A21" s="643"/>
      <c r="B21" s="645"/>
      <c r="C21" s="644"/>
      <c r="D21" s="665"/>
      <c r="E21" s="647"/>
    </row>
    <row r="22" spans="1:5" ht="15" customHeight="1" x14ac:dyDescent="0.2">
      <c r="A22" s="643"/>
      <c r="B22" s="645"/>
      <c r="C22" s="644"/>
      <c r="D22" s="665"/>
      <c r="E22" s="647"/>
    </row>
    <row r="23" spans="1:5" ht="15" customHeight="1" x14ac:dyDescent="0.2">
      <c r="A23" s="643"/>
      <c r="B23" s="645"/>
      <c r="C23" s="644"/>
      <c r="D23" s="665"/>
      <c r="E23" s="647"/>
    </row>
    <row r="24" spans="1:5" ht="15" customHeight="1" x14ac:dyDescent="0.2">
      <c r="A24" s="643"/>
      <c r="B24" s="645"/>
      <c r="C24" s="644"/>
      <c r="D24" s="665"/>
      <c r="E24" s="647"/>
    </row>
    <row r="25" spans="1:5" ht="15" customHeight="1" x14ac:dyDescent="0.2">
      <c r="A25" s="643"/>
      <c r="B25" s="645"/>
      <c r="C25" s="644"/>
      <c r="D25" s="665"/>
      <c r="E25" s="647"/>
    </row>
    <row r="26" spans="1:5" ht="15" customHeight="1" x14ac:dyDescent="0.2">
      <c r="A26" s="643"/>
      <c r="B26" s="645"/>
      <c r="C26" s="644"/>
      <c r="D26" s="665"/>
      <c r="E26" s="647"/>
    </row>
    <row r="27" spans="1:5" ht="15" customHeight="1" x14ac:dyDescent="0.2">
      <c r="A27" s="643"/>
      <c r="B27" s="645"/>
      <c r="C27" s="644"/>
      <c r="D27" s="665"/>
      <c r="E27" s="647"/>
    </row>
    <row r="28" spans="1:5" ht="15" customHeight="1" x14ac:dyDescent="0.2">
      <c r="A28" s="643"/>
      <c r="B28" s="645"/>
      <c r="C28" s="644"/>
      <c r="D28" s="665"/>
      <c r="E28" s="647"/>
    </row>
    <row r="29" spans="1:5" ht="15" customHeight="1" x14ac:dyDescent="0.2">
      <c r="A29" s="643"/>
      <c r="B29" s="645"/>
      <c r="C29" s="644"/>
      <c r="D29" s="665"/>
      <c r="E29" s="647"/>
    </row>
    <row r="30" spans="1:5" ht="15" customHeight="1" x14ac:dyDescent="0.2">
      <c r="A30" s="643"/>
      <c r="B30" s="645"/>
      <c r="C30" s="644"/>
      <c r="D30" s="665"/>
      <c r="E30" s="647"/>
    </row>
    <row r="31" spans="1:5" ht="15" customHeight="1" x14ac:dyDescent="0.2">
      <c r="A31" s="643"/>
      <c r="B31" s="645"/>
      <c r="C31" s="644"/>
      <c r="D31" s="665"/>
      <c r="E31" s="647"/>
    </row>
    <row r="32" spans="1:5" ht="15" customHeight="1" x14ac:dyDescent="0.2">
      <c r="A32" s="643"/>
      <c r="B32" s="645"/>
      <c r="C32" s="644"/>
      <c r="D32" s="665"/>
      <c r="E32" s="647"/>
    </row>
    <row r="33" spans="1:5" ht="15" customHeight="1" x14ac:dyDescent="0.2">
      <c r="A33" s="643"/>
      <c r="B33" s="645"/>
      <c r="C33" s="644"/>
      <c r="D33" s="665"/>
      <c r="E33" s="647"/>
    </row>
    <row r="34" spans="1:5" ht="15" customHeight="1" x14ac:dyDescent="0.2">
      <c r="A34" s="643"/>
      <c r="B34" s="645"/>
      <c r="C34" s="644"/>
      <c r="D34" s="665"/>
      <c r="E34" s="647"/>
    </row>
    <row r="35" spans="1:5" ht="15" customHeight="1" x14ac:dyDescent="0.2">
      <c r="A35" s="643"/>
      <c r="B35" s="645"/>
      <c r="C35" s="644"/>
      <c r="D35" s="665"/>
      <c r="E35" s="647"/>
    </row>
    <row r="36" spans="1:5" ht="15" customHeight="1" x14ac:dyDescent="0.2">
      <c r="A36" s="643"/>
      <c r="B36" s="645"/>
      <c r="C36" s="644"/>
      <c r="D36" s="665"/>
      <c r="E36" s="647"/>
    </row>
    <row r="37" spans="1:5" ht="15" customHeight="1" x14ac:dyDescent="0.2">
      <c r="A37" s="643"/>
      <c r="B37" s="645"/>
      <c r="C37" s="644"/>
      <c r="D37" s="665"/>
      <c r="E37" s="647"/>
    </row>
  </sheetData>
  <mergeCells count="1">
    <mergeCell ref="A4:E4"/>
  </mergeCells>
  <conditionalFormatting sqref="D7:D37">
    <cfRule type="containsText" dxfId="2067" priority="1" operator="containsText" text="Recebido">
      <formula>NOT(ISERROR(SEARCH("Recebido",D7)))</formula>
    </cfRule>
    <cfRule type="containsText" dxfId="2066" priority="2" operator="containsText" text="Aguardando">
      <formula>NOT(ISERROR(SEARCH("Aguardando",D7)))</formula>
    </cfRule>
    <cfRule type="containsText" dxfId="2065" priority="3" operator="containsText" text="Não">
      <formula>NOT(ISERROR(SEARCH("Não",D7)))</formula>
    </cfRule>
  </conditionalFormatting>
  <dataValidations disablePrompts="1" count="1">
    <dataValidation type="list" allowBlank="1" showInputMessage="1" showErrorMessage="1" sqref="D7:D37" xr:uid="{D9469A84-F0BB-46EE-A7DE-5C40D1A51CBE}">
      <formula1>"Aguardando, Recebido, Não atuam na região"</formula1>
    </dataValidation>
  </dataValidations>
  <pageMargins left="0.511811024" right="0.511811024" top="0.78740157499999996" bottom="0.78740157499999996" header="0.31496062000000002" footer="0.31496062000000002"/>
  <pageSetup paperSize="9" scale="6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3">
    <tabColor rgb="FF1851D6"/>
    <pageSetUpPr fitToPage="1"/>
  </sheetPr>
  <dimension ref="A1:R125"/>
  <sheetViews>
    <sheetView showGridLines="0" view="pageBreakPreview" zoomScale="80" zoomScaleNormal="90" zoomScaleSheetLayoutView="80" workbookViewId="0">
      <pane ySplit="7" topLeftCell="A8" activePane="bottomLeft" state="frozen"/>
      <selection activeCell="D35" sqref="D35"/>
      <selection pane="bottomLeft" activeCell="L9" sqref="L9"/>
    </sheetView>
  </sheetViews>
  <sheetFormatPr defaultRowHeight="11.25" x14ac:dyDescent="0.2"/>
  <cols>
    <col min="1" max="1" width="31.85546875" style="4" customWidth="1"/>
    <col min="2" max="2" width="15.28515625" style="4" bestFit="1" customWidth="1"/>
    <col min="3" max="3" width="7.5703125" style="4" bestFit="1" customWidth="1"/>
    <col min="4" max="4" width="10.5703125" style="4" customWidth="1"/>
    <col min="5" max="5" width="10.140625" style="4" customWidth="1"/>
    <col min="6" max="6" width="14.5703125" style="4" customWidth="1"/>
    <col min="7" max="7" width="9" style="4" customWidth="1"/>
    <col min="8" max="8" width="10.42578125" style="4" customWidth="1"/>
    <col min="9" max="9" width="11" style="4" customWidth="1"/>
    <col min="10" max="10" width="10" style="4" customWidth="1"/>
    <col min="11" max="11" width="9" style="4" bestFit="1" customWidth="1"/>
    <col min="12" max="12" width="10.7109375" style="4" customWidth="1"/>
    <col min="13" max="13" width="16.42578125" style="54" customWidth="1"/>
    <col min="14" max="14" width="12.140625" style="54" customWidth="1"/>
    <col min="15" max="15" width="13.140625" style="4" customWidth="1"/>
    <col min="16" max="16" width="12.85546875" style="4" customWidth="1"/>
    <col min="17" max="257" width="9.140625" style="4"/>
    <col min="258" max="259" width="11" style="4" customWidth="1"/>
    <col min="260" max="260" width="17.85546875" style="4" customWidth="1"/>
    <col min="261" max="261" width="7.140625" style="4" customWidth="1"/>
    <col min="262" max="263" width="9.140625" style="4"/>
    <col min="264" max="265" width="6.7109375" style="4" customWidth="1"/>
    <col min="266" max="267" width="8.42578125" style="4" customWidth="1"/>
    <col min="268" max="268" width="10" style="4" customWidth="1"/>
    <col min="269" max="269" width="8.42578125" style="4" customWidth="1"/>
    <col min="270" max="270" width="10.7109375" style="4" customWidth="1"/>
    <col min="271" max="271" width="9.7109375" style="4" customWidth="1"/>
    <col min="272" max="513" width="9.140625" style="4"/>
    <col min="514" max="515" width="11" style="4" customWidth="1"/>
    <col min="516" max="516" width="17.85546875" style="4" customWidth="1"/>
    <col min="517" max="517" width="7.140625" style="4" customWidth="1"/>
    <col min="518" max="519" width="9.140625" style="4"/>
    <col min="520" max="521" width="6.7109375" style="4" customWidth="1"/>
    <col min="522" max="523" width="8.42578125" style="4" customWidth="1"/>
    <col min="524" max="524" width="10" style="4" customWidth="1"/>
    <col min="525" max="525" width="8.42578125" style="4" customWidth="1"/>
    <col min="526" max="526" width="10.7109375" style="4" customWidth="1"/>
    <col min="527" max="527" width="9.7109375" style="4" customWidth="1"/>
    <col min="528" max="769" width="9.140625" style="4"/>
    <col min="770" max="771" width="11" style="4" customWidth="1"/>
    <col min="772" max="772" width="17.85546875" style="4" customWidth="1"/>
    <col min="773" max="773" width="7.140625" style="4" customWidth="1"/>
    <col min="774" max="775" width="9.140625" style="4"/>
    <col min="776" max="777" width="6.7109375" style="4" customWidth="1"/>
    <col min="778" max="779" width="8.42578125" style="4" customWidth="1"/>
    <col min="780" max="780" width="10" style="4" customWidth="1"/>
    <col min="781" max="781" width="8.42578125" style="4" customWidth="1"/>
    <col min="782" max="782" width="10.7109375" style="4" customWidth="1"/>
    <col min="783" max="783" width="9.7109375" style="4" customWidth="1"/>
    <col min="784" max="1025" width="9.140625" style="4"/>
    <col min="1026" max="1027" width="11" style="4" customWidth="1"/>
    <col min="1028" max="1028" width="17.85546875" style="4" customWidth="1"/>
    <col min="1029" max="1029" width="7.140625" style="4" customWidth="1"/>
    <col min="1030" max="1031" width="9.140625" style="4"/>
    <col min="1032" max="1033" width="6.7109375" style="4" customWidth="1"/>
    <col min="1034" max="1035" width="8.42578125" style="4" customWidth="1"/>
    <col min="1036" max="1036" width="10" style="4" customWidth="1"/>
    <col min="1037" max="1037" width="8.42578125" style="4" customWidth="1"/>
    <col min="1038" max="1038" width="10.7109375" style="4" customWidth="1"/>
    <col min="1039" max="1039" width="9.7109375" style="4" customWidth="1"/>
    <col min="1040" max="1281" width="9.140625" style="4"/>
    <col min="1282" max="1283" width="11" style="4" customWidth="1"/>
    <col min="1284" max="1284" width="17.85546875" style="4" customWidth="1"/>
    <col min="1285" max="1285" width="7.140625" style="4" customWidth="1"/>
    <col min="1286" max="1287" width="9.140625" style="4"/>
    <col min="1288" max="1289" width="6.7109375" style="4" customWidth="1"/>
    <col min="1290" max="1291" width="8.42578125" style="4" customWidth="1"/>
    <col min="1292" max="1292" width="10" style="4" customWidth="1"/>
    <col min="1293" max="1293" width="8.42578125" style="4" customWidth="1"/>
    <col min="1294" max="1294" width="10.7109375" style="4" customWidth="1"/>
    <col min="1295" max="1295" width="9.7109375" style="4" customWidth="1"/>
    <col min="1296" max="1537" width="9.140625" style="4"/>
    <col min="1538" max="1539" width="11" style="4" customWidth="1"/>
    <col min="1540" max="1540" width="17.85546875" style="4" customWidth="1"/>
    <col min="1541" max="1541" width="7.140625" style="4" customWidth="1"/>
    <col min="1542" max="1543" width="9.140625" style="4"/>
    <col min="1544" max="1545" width="6.7109375" style="4" customWidth="1"/>
    <col min="1546" max="1547" width="8.42578125" style="4" customWidth="1"/>
    <col min="1548" max="1548" width="10" style="4" customWidth="1"/>
    <col min="1549" max="1549" width="8.42578125" style="4" customWidth="1"/>
    <col min="1550" max="1550" width="10.7109375" style="4" customWidth="1"/>
    <col min="1551" max="1551" width="9.7109375" style="4" customWidth="1"/>
    <col min="1552" max="1793" width="9.140625" style="4"/>
    <col min="1794" max="1795" width="11" style="4" customWidth="1"/>
    <col min="1796" max="1796" width="17.85546875" style="4" customWidth="1"/>
    <col min="1797" max="1797" width="7.140625" style="4" customWidth="1"/>
    <col min="1798" max="1799" width="9.140625" style="4"/>
    <col min="1800" max="1801" width="6.7109375" style="4" customWidth="1"/>
    <col min="1802" max="1803" width="8.42578125" style="4" customWidth="1"/>
    <col min="1804" max="1804" width="10" style="4" customWidth="1"/>
    <col min="1805" max="1805" width="8.42578125" style="4" customWidth="1"/>
    <col min="1806" max="1806" width="10.7109375" style="4" customWidth="1"/>
    <col min="1807" max="1807" width="9.7109375" style="4" customWidth="1"/>
    <col min="1808" max="2049" width="9.140625" style="4"/>
    <col min="2050" max="2051" width="11" style="4" customWidth="1"/>
    <col min="2052" max="2052" width="17.85546875" style="4" customWidth="1"/>
    <col min="2053" max="2053" width="7.140625" style="4" customWidth="1"/>
    <col min="2054" max="2055" width="9.140625" style="4"/>
    <col min="2056" max="2057" width="6.7109375" style="4" customWidth="1"/>
    <col min="2058" max="2059" width="8.42578125" style="4" customWidth="1"/>
    <col min="2060" max="2060" width="10" style="4" customWidth="1"/>
    <col min="2061" max="2061" width="8.42578125" style="4" customWidth="1"/>
    <col min="2062" max="2062" width="10.7109375" style="4" customWidth="1"/>
    <col min="2063" max="2063" width="9.7109375" style="4" customWidth="1"/>
    <col min="2064" max="2305" width="9.140625" style="4"/>
    <col min="2306" max="2307" width="11" style="4" customWidth="1"/>
    <col min="2308" max="2308" width="17.85546875" style="4" customWidth="1"/>
    <col min="2309" max="2309" width="7.140625" style="4" customWidth="1"/>
    <col min="2310" max="2311" width="9.140625" style="4"/>
    <col min="2312" max="2313" width="6.7109375" style="4" customWidth="1"/>
    <col min="2314" max="2315" width="8.42578125" style="4" customWidth="1"/>
    <col min="2316" max="2316" width="10" style="4" customWidth="1"/>
    <col min="2317" max="2317" width="8.42578125" style="4" customWidth="1"/>
    <col min="2318" max="2318" width="10.7109375" style="4" customWidth="1"/>
    <col min="2319" max="2319" width="9.7109375" style="4" customWidth="1"/>
    <col min="2320" max="2561" width="9.140625" style="4"/>
    <col min="2562" max="2563" width="11" style="4" customWidth="1"/>
    <col min="2564" max="2564" width="17.85546875" style="4" customWidth="1"/>
    <col min="2565" max="2565" width="7.140625" style="4" customWidth="1"/>
    <col min="2566" max="2567" width="9.140625" style="4"/>
    <col min="2568" max="2569" width="6.7109375" style="4" customWidth="1"/>
    <col min="2570" max="2571" width="8.42578125" style="4" customWidth="1"/>
    <col min="2572" max="2572" width="10" style="4" customWidth="1"/>
    <col min="2573" max="2573" width="8.42578125" style="4" customWidth="1"/>
    <col min="2574" max="2574" width="10.7109375" style="4" customWidth="1"/>
    <col min="2575" max="2575" width="9.7109375" style="4" customWidth="1"/>
    <col min="2576" max="2817" width="9.140625" style="4"/>
    <col min="2818" max="2819" width="11" style="4" customWidth="1"/>
    <col min="2820" max="2820" width="17.85546875" style="4" customWidth="1"/>
    <col min="2821" max="2821" width="7.140625" style="4" customWidth="1"/>
    <col min="2822" max="2823" width="9.140625" style="4"/>
    <col min="2824" max="2825" width="6.7109375" style="4" customWidth="1"/>
    <col min="2826" max="2827" width="8.42578125" style="4" customWidth="1"/>
    <col min="2828" max="2828" width="10" style="4" customWidth="1"/>
    <col min="2829" max="2829" width="8.42578125" style="4" customWidth="1"/>
    <col min="2830" max="2830" width="10.7109375" style="4" customWidth="1"/>
    <col min="2831" max="2831" width="9.7109375" style="4" customWidth="1"/>
    <col min="2832" max="3073" width="9.140625" style="4"/>
    <col min="3074" max="3075" width="11" style="4" customWidth="1"/>
    <col min="3076" max="3076" width="17.85546875" style="4" customWidth="1"/>
    <col min="3077" max="3077" width="7.140625" style="4" customWidth="1"/>
    <col min="3078" max="3079" width="9.140625" style="4"/>
    <col min="3080" max="3081" width="6.7109375" style="4" customWidth="1"/>
    <col min="3082" max="3083" width="8.42578125" style="4" customWidth="1"/>
    <col min="3084" max="3084" width="10" style="4" customWidth="1"/>
    <col min="3085" max="3085" width="8.42578125" style="4" customWidth="1"/>
    <col min="3086" max="3086" width="10.7109375" style="4" customWidth="1"/>
    <col min="3087" max="3087" width="9.7109375" style="4" customWidth="1"/>
    <col min="3088" max="3329" width="9.140625" style="4"/>
    <col min="3330" max="3331" width="11" style="4" customWidth="1"/>
    <col min="3332" max="3332" width="17.85546875" style="4" customWidth="1"/>
    <col min="3333" max="3333" width="7.140625" style="4" customWidth="1"/>
    <col min="3334" max="3335" width="9.140625" style="4"/>
    <col min="3336" max="3337" width="6.7109375" style="4" customWidth="1"/>
    <col min="3338" max="3339" width="8.42578125" style="4" customWidth="1"/>
    <col min="3340" max="3340" width="10" style="4" customWidth="1"/>
    <col min="3341" max="3341" width="8.42578125" style="4" customWidth="1"/>
    <col min="3342" max="3342" width="10.7109375" style="4" customWidth="1"/>
    <col min="3343" max="3343" width="9.7109375" style="4" customWidth="1"/>
    <col min="3344" max="3585" width="9.140625" style="4"/>
    <col min="3586" max="3587" width="11" style="4" customWidth="1"/>
    <col min="3588" max="3588" width="17.85546875" style="4" customWidth="1"/>
    <col min="3589" max="3589" width="7.140625" style="4" customWidth="1"/>
    <col min="3590" max="3591" width="9.140625" style="4"/>
    <col min="3592" max="3593" width="6.7109375" style="4" customWidth="1"/>
    <col min="3594" max="3595" width="8.42578125" style="4" customWidth="1"/>
    <col min="3596" max="3596" width="10" style="4" customWidth="1"/>
    <col min="3597" max="3597" width="8.42578125" style="4" customWidth="1"/>
    <col min="3598" max="3598" width="10.7109375" style="4" customWidth="1"/>
    <col min="3599" max="3599" width="9.7109375" style="4" customWidth="1"/>
    <col min="3600" max="3841" width="9.140625" style="4"/>
    <col min="3842" max="3843" width="11" style="4" customWidth="1"/>
    <col min="3844" max="3844" width="17.85546875" style="4" customWidth="1"/>
    <col min="3845" max="3845" width="7.140625" style="4" customWidth="1"/>
    <col min="3846" max="3847" width="9.140625" style="4"/>
    <col min="3848" max="3849" width="6.7109375" style="4" customWidth="1"/>
    <col min="3850" max="3851" width="8.42578125" style="4" customWidth="1"/>
    <col min="3852" max="3852" width="10" style="4" customWidth="1"/>
    <col min="3853" max="3853" width="8.42578125" style="4" customWidth="1"/>
    <col min="3854" max="3854" width="10.7109375" style="4" customWidth="1"/>
    <col min="3855" max="3855" width="9.7109375" style="4" customWidth="1"/>
    <col min="3856" max="4097" width="9.140625" style="4"/>
    <col min="4098" max="4099" width="11" style="4" customWidth="1"/>
    <col min="4100" max="4100" width="17.85546875" style="4" customWidth="1"/>
    <col min="4101" max="4101" width="7.140625" style="4" customWidth="1"/>
    <col min="4102" max="4103" width="9.140625" style="4"/>
    <col min="4104" max="4105" width="6.7109375" style="4" customWidth="1"/>
    <col min="4106" max="4107" width="8.42578125" style="4" customWidth="1"/>
    <col min="4108" max="4108" width="10" style="4" customWidth="1"/>
    <col min="4109" max="4109" width="8.42578125" style="4" customWidth="1"/>
    <col min="4110" max="4110" width="10.7109375" style="4" customWidth="1"/>
    <col min="4111" max="4111" width="9.7109375" style="4" customWidth="1"/>
    <col min="4112" max="4353" width="9.140625" style="4"/>
    <col min="4354" max="4355" width="11" style="4" customWidth="1"/>
    <col min="4356" max="4356" width="17.85546875" style="4" customWidth="1"/>
    <col min="4357" max="4357" width="7.140625" style="4" customWidth="1"/>
    <col min="4358" max="4359" width="9.140625" style="4"/>
    <col min="4360" max="4361" width="6.7109375" style="4" customWidth="1"/>
    <col min="4362" max="4363" width="8.42578125" style="4" customWidth="1"/>
    <col min="4364" max="4364" width="10" style="4" customWidth="1"/>
    <col min="4365" max="4365" width="8.42578125" style="4" customWidth="1"/>
    <col min="4366" max="4366" width="10.7109375" style="4" customWidth="1"/>
    <col min="4367" max="4367" width="9.7109375" style="4" customWidth="1"/>
    <col min="4368" max="4609" width="9.140625" style="4"/>
    <col min="4610" max="4611" width="11" style="4" customWidth="1"/>
    <col min="4612" max="4612" width="17.85546875" style="4" customWidth="1"/>
    <col min="4613" max="4613" width="7.140625" style="4" customWidth="1"/>
    <col min="4614" max="4615" width="9.140625" style="4"/>
    <col min="4616" max="4617" width="6.7109375" style="4" customWidth="1"/>
    <col min="4618" max="4619" width="8.42578125" style="4" customWidth="1"/>
    <col min="4620" max="4620" width="10" style="4" customWidth="1"/>
    <col min="4621" max="4621" width="8.42578125" style="4" customWidth="1"/>
    <col min="4622" max="4622" width="10.7109375" style="4" customWidth="1"/>
    <col min="4623" max="4623" width="9.7109375" style="4" customWidth="1"/>
    <col min="4624" max="4865" width="9.140625" style="4"/>
    <col min="4866" max="4867" width="11" style="4" customWidth="1"/>
    <col min="4868" max="4868" width="17.85546875" style="4" customWidth="1"/>
    <col min="4869" max="4869" width="7.140625" style="4" customWidth="1"/>
    <col min="4870" max="4871" width="9.140625" style="4"/>
    <col min="4872" max="4873" width="6.7109375" style="4" customWidth="1"/>
    <col min="4874" max="4875" width="8.42578125" style="4" customWidth="1"/>
    <col min="4876" max="4876" width="10" style="4" customWidth="1"/>
    <col min="4877" max="4877" width="8.42578125" style="4" customWidth="1"/>
    <col min="4878" max="4878" width="10.7109375" style="4" customWidth="1"/>
    <col min="4879" max="4879" width="9.7109375" style="4" customWidth="1"/>
    <col min="4880" max="5121" width="9.140625" style="4"/>
    <col min="5122" max="5123" width="11" style="4" customWidth="1"/>
    <col min="5124" max="5124" width="17.85546875" style="4" customWidth="1"/>
    <col min="5125" max="5125" width="7.140625" style="4" customWidth="1"/>
    <col min="5126" max="5127" width="9.140625" style="4"/>
    <col min="5128" max="5129" width="6.7109375" style="4" customWidth="1"/>
    <col min="5130" max="5131" width="8.42578125" style="4" customWidth="1"/>
    <col min="5132" max="5132" width="10" style="4" customWidth="1"/>
    <col min="5133" max="5133" width="8.42578125" style="4" customWidth="1"/>
    <col min="5134" max="5134" width="10.7109375" style="4" customWidth="1"/>
    <col min="5135" max="5135" width="9.7109375" style="4" customWidth="1"/>
    <col min="5136" max="5377" width="9.140625" style="4"/>
    <col min="5378" max="5379" width="11" style="4" customWidth="1"/>
    <col min="5380" max="5380" width="17.85546875" style="4" customWidth="1"/>
    <col min="5381" max="5381" width="7.140625" style="4" customWidth="1"/>
    <col min="5382" max="5383" width="9.140625" style="4"/>
    <col min="5384" max="5385" width="6.7109375" style="4" customWidth="1"/>
    <col min="5386" max="5387" width="8.42578125" style="4" customWidth="1"/>
    <col min="5388" max="5388" width="10" style="4" customWidth="1"/>
    <col min="5389" max="5389" width="8.42578125" style="4" customWidth="1"/>
    <col min="5390" max="5390" width="10.7109375" style="4" customWidth="1"/>
    <col min="5391" max="5391" width="9.7109375" style="4" customWidth="1"/>
    <col min="5392" max="5633" width="9.140625" style="4"/>
    <col min="5634" max="5635" width="11" style="4" customWidth="1"/>
    <col min="5636" max="5636" width="17.85546875" style="4" customWidth="1"/>
    <col min="5637" max="5637" width="7.140625" style="4" customWidth="1"/>
    <col min="5638" max="5639" width="9.140625" style="4"/>
    <col min="5640" max="5641" width="6.7109375" style="4" customWidth="1"/>
    <col min="5642" max="5643" width="8.42578125" style="4" customWidth="1"/>
    <col min="5644" max="5644" width="10" style="4" customWidth="1"/>
    <col min="5645" max="5645" width="8.42578125" style="4" customWidth="1"/>
    <col min="5646" max="5646" width="10.7109375" style="4" customWidth="1"/>
    <col min="5647" max="5647" width="9.7109375" style="4" customWidth="1"/>
    <col min="5648" max="5889" width="9.140625" style="4"/>
    <col min="5890" max="5891" width="11" style="4" customWidth="1"/>
    <col min="5892" max="5892" width="17.85546875" style="4" customWidth="1"/>
    <col min="5893" max="5893" width="7.140625" style="4" customWidth="1"/>
    <col min="5894" max="5895" width="9.140625" style="4"/>
    <col min="5896" max="5897" width="6.7109375" style="4" customWidth="1"/>
    <col min="5898" max="5899" width="8.42578125" style="4" customWidth="1"/>
    <col min="5900" max="5900" width="10" style="4" customWidth="1"/>
    <col min="5901" max="5901" width="8.42578125" style="4" customWidth="1"/>
    <col min="5902" max="5902" width="10.7109375" style="4" customWidth="1"/>
    <col min="5903" max="5903" width="9.7109375" style="4" customWidth="1"/>
    <col min="5904" max="6145" width="9.140625" style="4"/>
    <col min="6146" max="6147" width="11" style="4" customWidth="1"/>
    <col min="6148" max="6148" width="17.85546875" style="4" customWidth="1"/>
    <col min="6149" max="6149" width="7.140625" style="4" customWidth="1"/>
    <col min="6150" max="6151" width="9.140625" style="4"/>
    <col min="6152" max="6153" width="6.7109375" style="4" customWidth="1"/>
    <col min="6154" max="6155" width="8.42578125" style="4" customWidth="1"/>
    <col min="6156" max="6156" width="10" style="4" customWidth="1"/>
    <col min="6157" max="6157" width="8.42578125" style="4" customWidth="1"/>
    <col min="6158" max="6158" width="10.7109375" style="4" customWidth="1"/>
    <col min="6159" max="6159" width="9.7109375" style="4" customWidth="1"/>
    <col min="6160" max="6401" width="9.140625" style="4"/>
    <col min="6402" max="6403" width="11" style="4" customWidth="1"/>
    <col min="6404" max="6404" width="17.85546875" style="4" customWidth="1"/>
    <col min="6405" max="6405" width="7.140625" style="4" customWidth="1"/>
    <col min="6406" max="6407" width="9.140625" style="4"/>
    <col min="6408" max="6409" width="6.7109375" style="4" customWidth="1"/>
    <col min="6410" max="6411" width="8.42578125" style="4" customWidth="1"/>
    <col min="6412" max="6412" width="10" style="4" customWidth="1"/>
    <col min="6413" max="6413" width="8.42578125" style="4" customWidth="1"/>
    <col min="6414" max="6414" width="10.7109375" style="4" customWidth="1"/>
    <col min="6415" max="6415" width="9.7109375" style="4" customWidth="1"/>
    <col min="6416" max="6657" width="9.140625" style="4"/>
    <col min="6658" max="6659" width="11" style="4" customWidth="1"/>
    <col min="6660" max="6660" width="17.85546875" style="4" customWidth="1"/>
    <col min="6661" max="6661" width="7.140625" style="4" customWidth="1"/>
    <col min="6662" max="6663" width="9.140625" style="4"/>
    <col min="6664" max="6665" width="6.7109375" style="4" customWidth="1"/>
    <col min="6666" max="6667" width="8.42578125" style="4" customWidth="1"/>
    <col min="6668" max="6668" width="10" style="4" customWidth="1"/>
    <col min="6669" max="6669" width="8.42578125" style="4" customWidth="1"/>
    <col min="6670" max="6670" width="10.7109375" style="4" customWidth="1"/>
    <col min="6671" max="6671" width="9.7109375" style="4" customWidth="1"/>
    <col min="6672" max="6913" width="9.140625" style="4"/>
    <col min="6914" max="6915" width="11" style="4" customWidth="1"/>
    <col min="6916" max="6916" width="17.85546875" style="4" customWidth="1"/>
    <col min="6917" max="6917" width="7.140625" style="4" customWidth="1"/>
    <col min="6918" max="6919" width="9.140625" style="4"/>
    <col min="6920" max="6921" width="6.7109375" style="4" customWidth="1"/>
    <col min="6922" max="6923" width="8.42578125" style="4" customWidth="1"/>
    <col min="6924" max="6924" width="10" style="4" customWidth="1"/>
    <col min="6925" max="6925" width="8.42578125" style="4" customWidth="1"/>
    <col min="6926" max="6926" width="10.7109375" style="4" customWidth="1"/>
    <col min="6927" max="6927" width="9.7109375" style="4" customWidth="1"/>
    <col min="6928" max="7169" width="9.140625" style="4"/>
    <col min="7170" max="7171" width="11" style="4" customWidth="1"/>
    <col min="7172" max="7172" width="17.85546875" style="4" customWidth="1"/>
    <col min="7173" max="7173" width="7.140625" style="4" customWidth="1"/>
    <col min="7174" max="7175" width="9.140625" style="4"/>
    <col min="7176" max="7177" width="6.7109375" style="4" customWidth="1"/>
    <col min="7178" max="7179" width="8.42578125" style="4" customWidth="1"/>
    <col min="7180" max="7180" width="10" style="4" customWidth="1"/>
    <col min="7181" max="7181" width="8.42578125" style="4" customWidth="1"/>
    <col min="7182" max="7182" width="10.7109375" style="4" customWidth="1"/>
    <col min="7183" max="7183" width="9.7109375" style="4" customWidth="1"/>
    <col min="7184" max="7425" width="9.140625" style="4"/>
    <col min="7426" max="7427" width="11" style="4" customWidth="1"/>
    <col min="7428" max="7428" width="17.85546875" style="4" customWidth="1"/>
    <col min="7429" max="7429" width="7.140625" style="4" customWidth="1"/>
    <col min="7430" max="7431" width="9.140625" style="4"/>
    <col min="7432" max="7433" width="6.7109375" style="4" customWidth="1"/>
    <col min="7434" max="7435" width="8.42578125" style="4" customWidth="1"/>
    <col min="7436" max="7436" width="10" style="4" customWidth="1"/>
    <col min="7437" max="7437" width="8.42578125" style="4" customWidth="1"/>
    <col min="7438" max="7438" width="10.7109375" style="4" customWidth="1"/>
    <col min="7439" max="7439" width="9.7109375" style="4" customWidth="1"/>
    <col min="7440" max="7681" width="9.140625" style="4"/>
    <col min="7682" max="7683" width="11" style="4" customWidth="1"/>
    <col min="7684" max="7684" width="17.85546875" style="4" customWidth="1"/>
    <col min="7685" max="7685" width="7.140625" style="4" customWidth="1"/>
    <col min="7686" max="7687" width="9.140625" style="4"/>
    <col min="7688" max="7689" width="6.7109375" style="4" customWidth="1"/>
    <col min="7690" max="7691" width="8.42578125" style="4" customWidth="1"/>
    <col min="7692" max="7692" width="10" style="4" customWidth="1"/>
    <col min="7693" max="7693" width="8.42578125" style="4" customWidth="1"/>
    <col min="7694" max="7694" width="10.7109375" style="4" customWidth="1"/>
    <col min="7695" max="7695" width="9.7109375" style="4" customWidth="1"/>
    <col min="7696" max="7937" width="9.140625" style="4"/>
    <col min="7938" max="7939" width="11" style="4" customWidth="1"/>
    <col min="7940" max="7940" width="17.85546875" style="4" customWidth="1"/>
    <col min="7941" max="7941" width="7.140625" style="4" customWidth="1"/>
    <col min="7942" max="7943" width="9.140625" style="4"/>
    <col min="7944" max="7945" width="6.7109375" style="4" customWidth="1"/>
    <col min="7946" max="7947" width="8.42578125" style="4" customWidth="1"/>
    <col min="7948" max="7948" width="10" style="4" customWidth="1"/>
    <col min="7949" max="7949" width="8.42578125" style="4" customWidth="1"/>
    <col min="7950" max="7950" width="10.7109375" style="4" customWidth="1"/>
    <col min="7951" max="7951" width="9.7109375" style="4" customWidth="1"/>
    <col min="7952" max="8193" width="9.140625" style="4"/>
    <col min="8194" max="8195" width="11" style="4" customWidth="1"/>
    <col min="8196" max="8196" width="17.85546875" style="4" customWidth="1"/>
    <col min="8197" max="8197" width="7.140625" style="4" customWidth="1"/>
    <col min="8198" max="8199" width="9.140625" style="4"/>
    <col min="8200" max="8201" width="6.7109375" style="4" customWidth="1"/>
    <col min="8202" max="8203" width="8.42578125" style="4" customWidth="1"/>
    <col min="8204" max="8204" width="10" style="4" customWidth="1"/>
    <col min="8205" max="8205" width="8.42578125" style="4" customWidth="1"/>
    <col min="8206" max="8206" width="10.7109375" style="4" customWidth="1"/>
    <col min="8207" max="8207" width="9.7109375" style="4" customWidth="1"/>
    <col min="8208" max="8449" width="9.140625" style="4"/>
    <col min="8450" max="8451" width="11" style="4" customWidth="1"/>
    <col min="8452" max="8452" width="17.85546875" style="4" customWidth="1"/>
    <col min="8453" max="8453" width="7.140625" style="4" customWidth="1"/>
    <col min="8454" max="8455" width="9.140625" style="4"/>
    <col min="8456" max="8457" width="6.7109375" style="4" customWidth="1"/>
    <col min="8458" max="8459" width="8.42578125" style="4" customWidth="1"/>
    <col min="8460" max="8460" width="10" style="4" customWidth="1"/>
    <col min="8461" max="8461" width="8.42578125" style="4" customWidth="1"/>
    <col min="8462" max="8462" width="10.7109375" style="4" customWidth="1"/>
    <col min="8463" max="8463" width="9.7109375" style="4" customWidth="1"/>
    <col min="8464" max="8705" width="9.140625" style="4"/>
    <col min="8706" max="8707" width="11" style="4" customWidth="1"/>
    <col min="8708" max="8708" width="17.85546875" style="4" customWidth="1"/>
    <col min="8709" max="8709" width="7.140625" style="4" customWidth="1"/>
    <col min="8710" max="8711" width="9.140625" style="4"/>
    <col min="8712" max="8713" width="6.7109375" style="4" customWidth="1"/>
    <col min="8714" max="8715" width="8.42578125" style="4" customWidth="1"/>
    <col min="8716" max="8716" width="10" style="4" customWidth="1"/>
    <col min="8717" max="8717" width="8.42578125" style="4" customWidth="1"/>
    <col min="8718" max="8718" width="10.7109375" style="4" customWidth="1"/>
    <col min="8719" max="8719" width="9.7109375" style="4" customWidth="1"/>
    <col min="8720" max="8961" width="9.140625" style="4"/>
    <col min="8962" max="8963" width="11" style="4" customWidth="1"/>
    <col min="8964" max="8964" width="17.85546875" style="4" customWidth="1"/>
    <col min="8965" max="8965" width="7.140625" style="4" customWidth="1"/>
    <col min="8966" max="8967" width="9.140625" style="4"/>
    <col min="8968" max="8969" width="6.7109375" style="4" customWidth="1"/>
    <col min="8970" max="8971" width="8.42578125" style="4" customWidth="1"/>
    <col min="8972" max="8972" width="10" style="4" customWidth="1"/>
    <col min="8973" max="8973" width="8.42578125" style="4" customWidth="1"/>
    <col min="8974" max="8974" width="10.7109375" style="4" customWidth="1"/>
    <col min="8975" max="8975" width="9.7109375" style="4" customWidth="1"/>
    <col min="8976" max="9217" width="9.140625" style="4"/>
    <col min="9218" max="9219" width="11" style="4" customWidth="1"/>
    <col min="9220" max="9220" width="17.85546875" style="4" customWidth="1"/>
    <col min="9221" max="9221" width="7.140625" style="4" customWidth="1"/>
    <col min="9222" max="9223" width="9.140625" style="4"/>
    <col min="9224" max="9225" width="6.7109375" style="4" customWidth="1"/>
    <col min="9226" max="9227" width="8.42578125" style="4" customWidth="1"/>
    <col min="9228" max="9228" width="10" style="4" customWidth="1"/>
    <col min="9229" max="9229" width="8.42578125" style="4" customWidth="1"/>
    <col min="9230" max="9230" width="10.7109375" style="4" customWidth="1"/>
    <col min="9231" max="9231" width="9.7109375" style="4" customWidth="1"/>
    <col min="9232" max="9473" width="9.140625" style="4"/>
    <col min="9474" max="9475" width="11" style="4" customWidth="1"/>
    <col min="9476" max="9476" width="17.85546875" style="4" customWidth="1"/>
    <col min="9477" max="9477" width="7.140625" style="4" customWidth="1"/>
    <col min="9478" max="9479" width="9.140625" style="4"/>
    <col min="9480" max="9481" width="6.7109375" style="4" customWidth="1"/>
    <col min="9482" max="9483" width="8.42578125" style="4" customWidth="1"/>
    <col min="9484" max="9484" width="10" style="4" customWidth="1"/>
    <col min="9485" max="9485" width="8.42578125" style="4" customWidth="1"/>
    <col min="9486" max="9486" width="10.7109375" style="4" customWidth="1"/>
    <col min="9487" max="9487" width="9.7109375" style="4" customWidth="1"/>
    <col min="9488" max="9729" width="9.140625" style="4"/>
    <col min="9730" max="9731" width="11" style="4" customWidth="1"/>
    <col min="9732" max="9732" width="17.85546875" style="4" customWidth="1"/>
    <col min="9733" max="9733" width="7.140625" style="4" customWidth="1"/>
    <col min="9734" max="9735" width="9.140625" style="4"/>
    <col min="9736" max="9737" width="6.7109375" style="4" customWidth="1"/>
    <col min="9738" max="9739" width="8.42578125" style="4" customWidth="1"/>
    <col min="9740" max="9740" width="10" style="4" customWidth="1"/>
    <col min="9741" max="9741" width="8.42578125" style="4" customWidth="1"/>
    <col min="9742" max="9742" width="10.7109375" style="4" customWidth="1"/>
    <col min="9743" max="9743" width="9.7109375" style="4" customWidth="1"/>
    <col min="9744" max="9985" width="9.140625" style="4"/>
    <col min="9986" max="9987" width="11" style="4" customWidth="1"/>
    <col min="9988" max="9988" width="17.85546875" style="4" customWidth="1"/>
    <col min="9989" max="9989" width="7.140625" style="4" customWidth="1"/>
    <col min="9990" max="9991" width="9.140625" style="4"/>
    <col min="9992" max="9993" width="6.7109375" style="4" customWidth="1"/>
    <col min="9994" max="9995" width="8.42578125" style="4" customWidth="1"/>
    <col min="9996" max="9996" width="10" style="4" customWidth="1"/>
    <col min="9997" max="9997" width="8.42578125" style="4" customWidth="1"/>
    <col min="9998" max="9998" width="10.7109375" style="4" customWidth="1"/>
    <col min="9999" max="9999" width="9.7109375" style="4" customWidth="1"/>
    <col min="10000" max="10241" width="9.140625" style="4"/>
    <col min="10242" max="10243" width="11" style="4" customWidth="1"/>
    <col min="10244" max="10244" width="17.85546875" style="4" customWidth="1"/>
    <col min="10245" max="10245" width="7.140625" style="4" customWidth="1"/>
    <col min="10246" max="10247" width="9.140625" style="4"/>
    <col min="10248" max="10249" width="6.7109375" style="4" customWidth="1"/>
    <col min="10250" max="10251" width="8.42578125" style="4" customWidth="1"/>
    <col min="10252" max="10252" width="10" style="4" customWidth="1"/>
    <col min="10253" max="10253" width="8.42578125" style="4" customWidth="1"/>
    <col min="10254" max="10254" width="10.7109375" style="4" customWidth="1"/>
    <col min="10255" max="10255" width="9.7109375" style="4" customWidth="1"/>
    <col min="10256" max="10497" width="9.140625" style="4"/>
    <col min="10498" max="10499" width="11" style="4" customWidth="1"/>
    <col min="10500" max="10500" width="17.85546875" style="4" customWidth="1"/>
    <col min="10501" max="10501" width="7.140625" style="4" customWidth="1"/>
    <col min="10502" max="10503" width="9.140625" style="4"/>
    <col min="10504" max="10505" width="6.7109375" style="4" customWidth="1"/>
    <col min="10506" max="10507" width="8.42578125" style="4" customWidth="1"/>
    <col min="10508" max="10508" width="10" style="4" customWidth="1"/>
    <col min="10509" max="10509" width="8.42578125" style="4" customWidth="1"/>
    <col min="10510" max="10510" width="10.7109375" style="4" customWidth="1"/>
    <col min="10511" max="10511" width="9.7109375" style="4" customWidth="1"/>
    <col min="10512" max="10753" width="9.140625" style="4"/>
    <col min="10754" max="10755" width="11" style="4" customWidth="1"/>
    <col min="10756" max="10756" width="17.85546875" style="4" customWidth="1"/>
    <col min="10757" max="10757" width="7.140625" style="4" customWidth="1"/>
    <col min="10758" max="10759" width="9.140625" style="4"/>
    <col min="10760" max="10761" width="6.7109375" style="4" customWidth="1"/>
    <col min="10762" max="10763" width="8.42578125" style="4" customWidth="1"/>
    <col min="10764" max="10764" width="10" style="4" customWidth="1"/>
    <col min="10765" max="10765" width="8.42578125" style="4" customWidth="1"/>
    <col min="10766" max="10766" width="10.7109375" style="4" customWidth="1"/>
    <col min="10767" max="10767" width="9.7109375" style="4" customWidth="1"/>
    <col min="10768" max="11009" width="9.140625" style="4"/>
    <col min="11010" max="11011" width="11" style="4" customWidth="1"/>
    <col min="11012" max="11012" width="17.85546875" style="4" customWidth="1"/>
    <col min="11013" max="11013" width="7.140625" style="4" customWidth="1"/>
    <col min="11014" max="11015" width="9.140625" style="4"/>
    <col min="11016" max="11017" width="6.7109375" style="4" customWidth="1"/>
    <col min="11018" max="11019" width="8.42578125" style="4" customWidth="1"/>
    <col min="11020" max="11020" width="10" style="4" customWidth="1"/>
    <col min="11021" max="11021" width="8.42578125" style="4" customWidth="1"/>
    <col min="11022" max="11022" width="10.7109375" style="4" customWidth="1"/>
    <col min="11023" max="11023" width="9.7109375" style="4" customWidth="1"/>
    <col min="11024" max="11265" width="9.140625" style="4"/>
    <col min="11266" max="11267" width="11" style="4" customWidth="1"/>
    <col min="11268" max="11268" width="17.85546875" style="4" customWidth="1"/>
    <col min="11269" max="11269" width="7.140625" style="4" customWidth="1"/>
    <col min="11270" max="11271" width="9.140625" style="4"/>
    <col min="11272" max="11273" width="6.7109375" style="4" customWidth="1"/>
    <col min="11274" max="11275" width="8.42578125" style="4" customWidth="1"/>
    <col min="11276" max="11276" width="10" style="4" customWidth="1"/>
    <col min="11277" max="11277" width="8.42578125" style="4" customWidth="1"/>
    <col min="11278" max="11278" width="10.7109375" style="4" customWidth="1"/>
    <col min="11279" max="11279" width="9.7109375" style="4" customWidth="1"/>
    <col min="11280" max="11521" width="9.140625" style="4"/>
    <col min="11522" max="11523" width="11" style="4" customWidth="1"/>
    <col min="11524" max="11524" width="17.85546875" style="4" customWidth="1"/>
    <col min="11525" max="11525" width="7.140625" style="4" customWidth="1"/>
    <col min="11526" max="11527" width="9.140625" style="4"/>
    <col min="11528" max="11529" width="6.7109375" style="4" customWidth="1"/>
    <col min="11530" max="11531" width="8.42578125" style="4" customWidth="1"/>
    <col min="11532" max="11532" width="10" style="4" customWidth="1"/>
    <col min="11533" max="11533" width="8.42578125" style="4" customWidth="1"/>
    <col min="11534" max="11534" width="10.7109375" style="4" customWidth="1"/>
    <col min="11535" max="11535" width="9.7109375" style="4" customWidth="1"/>
    <col min="11536" max="11777" width="9.140625" style="4"/>
    <col min="11778" max="11779" width="11" style="4" customWidth="1"/>
    <col min="11780" max="11780" width="17.85546875" style="4" customWidth="1"/>
    <col min="11781" max="11781" width="7.140625" style="4" customWidth="1"/>
    <col min="11782" max="11783" width="9.140625" style="4"/>
    <col min="11784" max="11785" width="6.7109375" style="4" customWidth="1"/>
    <col min="11786" max="11787" width="8.42578125" style="4" customWidth="1"/>
    <col min="11788" max="11788" width="10" style="4" customWidth="1"/>
    <col min="11789" max="11789" width="8.42578125" style="4" customWidth="1"/>
    <col min="11790" max="11790" width="10.7109375" style="4" customWidth="1"/>
    <col min="11791" max="11791" width="9.7109375" style="4" customWidth="1"/>
    <col min="11792" max="12033" width="9.140625" style="4"/>
    <col min="12034" max="12035" width="11" style="4" customWidth="1"/>
    <col min="12036" max="12036" width="17.85546875" style="4" customWidth="1"/>
    <col min="12037" max="12037" width="7.140625" style="4" customWidth="1"/>
    <col min="12038" max="12039" width="9.140625" style="4"/>
    <col min="12040" max="12041" width="6.7109375" style="4" customWidth="1"/>
    <col min="12042" max="12043" width="8.42578125" style="4" customWidth="1"/>
    <col min="12044" max="12044" width="10" style="4" customWidth="1"/>
    <col min="12045" max="12045" width="8.42578125" style="4" customWidth="1"/>
    <col min="12046" max="12046" width="10.7109375" style="4" customWidth="1"/>
    <col min="12047" max="12047" width="9.7109375" style="4" customWidth="1"/>
    <col min="12048" max="12289" width="9.140625" style="4"/>
    <col min="12290" max="12291" width="11" style="4" customWidth="1"/>
    <col min="12292" max="12292" width="17.85546875" style="4" customWidth="1"/>
    <col min="12293" max="12293" width="7.140625" style="4" customWidth="1"/>
    <col min="12294" max="12295" width="9.140625" style="4"/>
    <col min="12296" max="12297" width="6.7109375" style="4" customWidth="1"/>
    <col min="12298" max="12299" width="8.42578125" style="4" customWidth="1"/>
    <col min="12300" max="12300" width="10" style="4" customWidth="1"/>
    <col min="12301" max="12301" width="8.42578125" style="4" customWidth="1"/>
    <col min="12302" max="12302" width="10.7109375" style="4" customWidth="1"/>
    <col min="12303" max="12303" width="9.7109375" style="4" customWidth="1"/>
    <col min="12304" max="12545" width="9.140625" style="4"/>
    <col min="12546" max="12547" width="11" style="4" customWidth="1"/>
    <col min="12548" max="12548" width="17.85546875" style="4" customWidth="1"/>
    <col min="12549" max="12549" width="7.140625" style="4" customWidth="1"/>
    <col min="12550" max="12551" width="9.140625" style="4"/>
    <col min="12552" max="12553" width="6.7109375" style="4" customWidth="1"/>
    <col min="12554" max="12555" width="8.42578125" style="4" customWidth="1"/>
    <col min="12556" max="12556" width="10" style="4" customWidth="1"/>
    <col min="12557" max="12557" width="8.42578125" style="4" customWidth="1"/>
    <col min="12558" max="12558" width="10.7109375" style="4" customWidth="1"/>
    <col min="12559" max="12559" width="9.7109375" style="4" customWidth="1"/>
    <col min="12560" max="12801" width="9.140625" style="4"/>
    <col min="12802" max="12803" width="11" style="4" customWidth="1"/>
    <col min="12804" max="12804" width="17.85546875" style="4" customWidth="1"/>
    <col min="12805" max="12805" width="7.140625" style="4" customWidth="1"/>
    <col min="12806" max="12807" width="9.140625" style="4"/>
    <col min="12808" max="12809" width="6.7109375" style="4" customWidth="1"/>
    <col min="12810" max="12811" width="8.42578125" style="4" customWidth="1"/>
    <col min="12812" max="12812" width="10" style="4" customWidth="1"/>
    <col min="12813" max="12813" width="8.42578125" style="4" customWidth="1"/>
    <col min="12814" max="12814" width="10.7109375" style="4" customWidth="1"/>
    <col min="12815" max="12815" width="9.7109375" style="4" customWidth="1"/>
    <col min="12816" max="13057" width="9.140625" style="4"/>
    <col min="13058" max="13059" width="11" style="4" customWidth="1"/>
    <col min="13060" max="13060" width="17.85546875" style="4" customWidth="1"/>
    <col min="13061" max="13061" width="7.140625" style="4" customWidth="1"/>
    <col min="13062" max="13063" width="9.140625" style="4"/>
    <col min="13064" max="13065" width="6.7109375" style="4" customWidth="1"/>
    <col min="13066" max="13067" width="8.42578125" style="4" customWidth="1"/>
    <col min="13068" max="13068" width="10" style="4" customWidth="1"/>
    <col min="13069" max="13069" width="8.42578125" style="4" customWidth="1"/>
    <col min="13070" max="13070" width="10.7109375" style="4" customWidth="1"/>
    <col min="13071" max="13071" width="9.7109375" style="4" customWidth="1"/>
    <col min="13072" max="13313" width="9.140625" style="4"/>
    <col min="13314" max="13315" width="11" style="4" customWidth="1"/>
    <col min="13316" max="13316" width="17.85546875" style="4" customWidth="1"/>
    <col min="13317" max="13317" width="7.140625" style="4" customWidth="1"/>
    <col min="13318" max="13319" width="9.140625" style="4"/>
    <col min="13320" max="13321" width="6.7109375" style="4" customWidth="1"/>
    <col min="13322" max="13323" width="8.42578125" style="4" customWidth="1"/>
    <col min="13324" max="13324" width="10" style="4" customWidth="1"/>
    <col min="13325" max="13325" width="8.42578125" style="4" customWidth="1"/>
    <col min="13326" max="13326" width="10.7109375" style="4" customWidth="1"/>
    <col min="13327" max="13327" width="9.7109375" style="4" customWidth="1"/>
    <col min="13328" max="13569" width="9.140625" style="4"/>
    <col min="13570" max="13571" width="11" style="4" customWidth="1"/>
    <col min="13572" max="13572" width="17.85546875" style="4" customWidth="1"/>
    <col min="13573" max="13573" width="7.140625" style="4" customWidth="1"/>
    <col min="13574" max="13575" width="9.140625" style="4"/>
    <col min="13576" max="13577" width="6.7109375" style="4" customWidth="1"/>
    <col min="13578" max="13579" width="8.42578125" style="4" customWidth="1"/>
    <col min="13580" max="13580" width="10" style="4" customWidth="1"/>
    <col min="13581" max="13581" width="8.42578125" style="4" customWidth="1"/>
    <col min="13582" max="13582" width="10.7109375" style="4" customWidth="1"/>
    <col min="13583" max="13583" width="9.7109375" style="4" customWidth="1"/>
    <col min="13584" max="13825" width="9.140625" style="4"/>
    <col min="13826" max="13827" width="11" style="4" customWidth="1"/>
    <col min="13828" max="13828" width="17.85546875" style="4" customWidth="1"/>
    <col min="13829" max="13829" width="7.140625" style="4" customWidth="1"/>
    <col min="13830" max="13831" width="9.140625" style="4"/>
    <col min="13832" max="13833" width="6.7109375" style="4" customWidth="1"/>
    <col min="13834" max="13835" width="8.42578125" style="4" customWidth="1"/>
    <col min="13836" max="13836" width="10" style="4" customWidth="1"/>
    <col min="13837" max="13837" width="8.42578125" style="4" customWidth="1"/>
    <col min="13838" max="13838" width="10.7109375" style="4" customWidth="1"/>
    <col min="13839" max="13839" width="9.7109375" style="4" customWidth="1"/>
    <col min="13840" max="14081" width="9.140625" style="4"/>
    <col min="14082" max="14083" width="11" style="4" customWidth="1"/>
    <col min="14084" max="14084" width="17.85546875" style="4" customWidth="1"/>
    <col min="14085" max="14085" width="7.140625" style="4" customWidth="1"/>
    <col min="14086" max="14087" width="9.140625" style="4"/>
    <col min="14088" max="14089" width="6.7109375" style="4" customWidth="1"/>
    <col min="14090" max="14091" width="8.42578125" style="4" customWidth="1"/>
    <col min="14092" max="14092" width="10" style="4" customWidth="1"/>
    <col min="14093" max="14093" width="8.42578125" style="4" customWidth="1"/>
    <col min="14094" max="14094" width="10.7109375" style="4" customWidth="1"/>
    <col min="14095" max="14095" width="9.7109375" style="4" customWidth="1"/>
    <col min="14096" max="14337" width="9.140625" style="4"/>
    <col min="14338" max="14339" width="11" style="4" customWidth="1"/>
    <col min="14340" max="14340" width="17.85546875" style="4" customWidth="1"/>
    <col min="14341" max="14341" width="7.140625" style="4" customWidth="1"/>
    <col min="14342" max="14343" width="9.140625" style="4"/>
    <col min="14344" max="14345" width="6.7109375" style="4" customWidth="1"/>
    <col min="14346" max="14347" width="8.42578125" style="4" customWidth="1"/>
    <col min="14348" max="14348" width="10" style="4" customWidth="1"/>
    <col min="14349" max="14349" width="8.42578125" style="4" customWidth="1"/>
    <col min="14350" max="14350" width="10.7109375" style="4" customWidth="1"/>
    <col min="14351" max="14351" width="9.7109375" style="4" customWidth="1"/>
    <col min="14352" max="14593" width="9.140625" style="4"/>
    <col min="14594" max="14595" width="11" style="4" customWidth="1"/>
    <col min="14596" max="14596" width="17.85546875" style="4" customWidth="1"/>
    <col min="14597" max="14597" width="7.140625" style="4" customWidth="1"/>
    <col min="14598" max="14599" width="9.140625" style="4"/>
    <col min="14600" max="14601" width="6.7109375" style="4" customWidth="1"/>
    <col min="14602" max="14603" width="8.42578125" style="4" customWidth="1"/>
    <col min="14604" max="14604" width="10" style="4" customWidth="1"/>
    <col min="14605" max="14605" width="8.42578125" style="4" customWidth="1"/>
    <col min="14606" max="14606" width="10.7109375" style="4" customWidth="1"/>
    <col min="14607" max="14607" width="9.7109375" style="4" customWidth="1"/>
    <col min="14608" max="14849" width="9.140625" style="4"/>
    <col min="14850" max="14851" width="11" style="4" customWidth="1"/>
    <col min="14852" max="14852" width="17.85546875" style="4" customWidth="1"/>
    <col min="14853" max="14853" width="7.140625" style="4" customWidth="1"/>
    <col min="14854" max="14855" width="9.140625" style="4"/>
    <col min="14856" max="14857" width="6.7109375" style="4" customWidth="1"/>
    <col min="14858" max="14859" width="8.42578125" style="4" customWidth="1"/>
    <col min="14860" max="14860" width="10" style="4" customWidth="1"/>
    <col min="14861" max="14861" width="8.42578125" style="4" customWidth="1"/>
    <col min="14862" max="14862" width="10.7109375" style="4" customWidth="1"/>
    <col min="14863" max="14863" width="9.7109375" style="4" customWidth="1"/>
    <col min="14864" max="15105" width="9.140625" style="4"/>
    <col min="15106" max="15107" width="11" style="4" customWidth="1"/>
    <col min="15108" max="15108" width="17.85546875" style="4" customWidth="1"/>
    <col min="15109" max="15109" width="7.140625" style="4" customWidth="1"/>
    <col min="15110" max="15111" width="9.140625" style="4"/>
    <col min="15112" max="15113" width="6.7109375" style="4" customWidth="1"/>
    <col min="15114" max="15115" width="8.42578125" style="4" customWidth="1"/>
    <col min="15116" max="15116" width="10" style="4" customWidth="1"/>
    <col min="15117" max="15117" width="8.42578125" style="4" customWidth="1"/>
    <col min="15118" max="15118" width="10.7109375" style="4" customWidth="1"/>
    <col min="15119" max="15119" width="9.7109375" style="4" customWidth="1"/>
    <col min="15120" max="15361" width="9.140625" style="4"/>
    <col min="15362" max="15363" width="11" style="4" customWidth="1"/>
    <col min="15364" max="15364" width="17.85546875" style="4" customWidth="1"/>
    <col min="15365" max="15365" width="7.140625" style="4" customWidth="1"/>
    <col min="15366" max="15367" width="9.140625" style="4"/>
    <col min="15368" max="15369" width="6.7109375" style="4" customWidth="1"/>
    <col min="15370" max="15371" width="8.42578125" style="4" customWidth="1"/>
    <col min="15372" max="15372" width="10" style="4" customWidth="1"/>
    <col min="15373" max="15373" width="8.42578125" style="4" customWidth="1"/>
    <col min="15374" max="15374" width="10.7109375" style="4" customWidth="1"/>
    <col min="15375" max="15375" width="9.7109375" style="4" customWidth="1"/>
    <col min="15376" max="15617" width="9.140625" style="4"/>
    <col min="15618" max="15619" width="11" style="4" customWidth="1"/>
    <col min="15620" max="15620" width="17.85546875" style="4" customWidth="1"/>
    <col min="15621" max="15621" width="7.140625" style="4" customWidth="1"/>
    <col min="15622" max="15623" width="9.140625" style="4"/>
    <col min="15624" max="15625" width="6.7109375" style="4" customWidth="1"/>
    <col min="15626" max="15627" width="8.42578125" style="4" customWidth="1"/>
    <col min="15628" max="15628" width="10" style="4" customWidth="1"/>
    <col min="15629" max="15629" width="8.42578125" style="4" customWidth="1"/>
    <col min="15630" max="15630" width="10.7109375" style="4" customWidth="1"/>
    <col min="15631" max="15631" width="9.7109375" style="4" customWidth="1"/>
    <col min="15632" max="15873" width="9.140625" style="4"/>
    <col min="15874" max="15875" width="11" style="4" customWidth="1"/>
    <col min="15876" max="15876" width="17.85546875" style="4" customWidth="1"/>
    <col min="15877" max="15877" width="7.140625" style="4" customWidth="1"/>
    <col min="15878" max="15879" width="9.140625" style="4"/>
    <col min="15880" max="15881" width="6.7109375" style="4" customWidth="1"/>
    <col min="15882" max="15883" width="8.42578125" style="4" customWidth="1"/>
    <col min="15884" max="15884" width="10" style="4" customWidth="1"/>
    <col min="15885" max="15885" width="8.42578125" style="4" customWidth="1"/>
    <col min="15886" max="15886" width="10.7109375" style="4" customWidth="1"/>
    <col min="15887" max="15887" width="9.7109375" style="4" customWidth="1"/>
    <col min="15888" max="16129" width="9.140625" style="4"/>
    <col min="16130" max="16131" width="11" style="4" customWidth="1"/>
    <col min="16132" max="16132" width="17.85546875" style="4" customWidth="1"/>
    <col min="16133" max="16133" width="7.140625" style="4" customWidth="1"/>
    <col min="16134" max="16135" width="9.140625" style="4"/>
    <col min="16136" max="16137" width="6.7109375" style="4" customWidth="1"/>
    <col min="16138" max="16139" width="8.42578125" style="4" customWidth="1"/>
    <col min="16140" max="16140" width="10" style="4" customWidth="1"/>
    <col min="16141" max="16141" width="8.42578125" style="4" customWidth="1"/>
    <col min="16142" max="16142" width="10.7109375" style="4" customWidth="1"/>
    <col min="16143" max="16143" width="9.7109375" style="4" customWidth="1"/>
    <col min="16144" max="16384" width="9.140625" style="4"/>
  </cols>
  <sheetData>
    <row r="1" spans="1:18" s="71" customFormat="1" ht="15" customHeight="1" x14ac:dyDescent="0.2">
      <c r="A1" s="598"/>
      <c r="B1" s="623" t="s">
        <v>388</v>
      </c>
      <c r="C1" s="594" t="e">
        <f>#REF!</f>
        <v>#REF!</v>
      </c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842"/>
      <c r="O1" s="796"/>
      <c r="P1" s="93"/>
      <c r="Q1" s="93"/>
      <c r="R1" s="93"/>
    </row>
    <row r="2" spans="1:18" s="348" customFormat="1" ht="15" customHeight="1" x14ac:dyDescent="0.2">
      <c r="A2" s="672"/>
      <c r="B2" s="623" t="s">
        <v>358</v>
      </c>
      <c r="C2" s="635" t="e">
        <f>#REF!</f>
        <v>#REF!</v>
      </c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843"/>
      <c r="O2" s="844"/>
    </row>
    <row r="3" spans="1:18" s="348" customFormat="1" ht="15" customHeight="1" x14ac:dyDescent="0.2">
      <c r="A3" s="600"/>
      <c r="B3" s="623" t="s">
        <v>359</v>
      </c>
      <c r="C3" s="594" t="s">
        <v>769</v>
      </c>
      <c r="D3" s="594"/>
      <c r="E3" s="594"/>
      <c r="F3" s="594"/>
      <c r="G3" s="594"/>
      <c r="H3" s="594"/>
      <c r="I3" s="594"/>
      <c r="J3" s="594"/>
      <c r="K3" s="596"/>
      <c r="L3" s="594"/>
      <c r="M3" s="596"/>
      <c r="N3" s="845"/>
      <c r="O3" s="846"/>
    </row>
    <row r="4" spans="1:18" s="90" customFormat="1" ht="20.45" customHeight="1" x14ac:dyDescent="0.2">
      <c r="A4" s="1194" t="s">
        <v>363</v>
      </c>
      <c r="B4" s="1194"/>
      <c r="C4" s="1194"/>
      <c r="D4" s="1194"/>
      <c r="E4" s="1194"/>
      <c r="F4" s="1194"/>
      <c r="G4" s="1194"/>
      <c r="H4" s="1194"/>
      <c r="I4" s="1194"/>
      <c r="J4" s="1194"/>
      <c r="K4" s="1194"/>
      <c r="L4" s="1293"/>
      <c r="M4" s="1293"/>
      <c r="N4" s="1293"/>
      <c r="O4" s="1293"/>
    </row>
    <row r="5" spans="1:18" ht="12" customHeight="1" x14ac:dyDescent="0.2">
      <c r="A5" s="1297" t="s">
        <v>7</v>
      </c>
      <c r="B5" s="1300" t="s">
        <v>11</v>
      </c>
      <c r="C5" s="1300" t="s">
        <v>22</v>
      </c>
      <c r="D5" s="1301" t="s">
        <v>44</v>
      </c>
      <c r="E5" s="1302"/>
      <c r="F5" s="1302"/>
      <c r="G5" s="1303"/>
      <c r="H5" s="1304" t="s">
        <v>10</v>
      </c>
      <c r="I5" s="1300" t="s">
        <v>45</v>
      </c>
      <c r="J5" s="1300" t="s">
        <v>332</v>
      </c>
      <c r="K5" s="1229" t="s">
        <v>152</v>
      </c>
      <c r="L5" s="1297"/>
      <c r="M5" s="1306" t="s">
        <v>771</v>
      </c>
      <c r="N5" s="1307"/>
      <c r="O5" s="557" t="s">
        <v>333</v>
      </c>
    </row>
    <row r="6" spans="1:18" ht="11.25" customHeight="1" x14ac:dyDescent="0.2">
      <c r="A6" s="1297"/>
      <c r="B6" s="1300"/>
      <c r="C6" s="1300"/>
      <c r="D6" s="560" t="s">
        <v>334</v>
      </c>
      <c r="E6" s="560" t="s">
        <v>335</v>
      </c>
      <c r="F6" s="560" t="s">
        <v>336</v>
      </c>
      <c r="G6" s="560" t="s">
        <v>8</v>
      </c>
      <c r="H6" s="1279"/>
      <c r="I6" s="1305"/>
      <c r="J6" s="1305"/>
      <c r="K6" s="1298"/>
      <c r="L6" s="1299"/>
      <c r="M6" s="837">
        <v>1.5</v>
      </c>
      <c r="N6" s="838">
        <v>11</v>
      </c>
      <c r="O6" s="561" t="s">
        <v>337</v>
      </c>
    </row>
    <row r="7" spans="1:18" ht="12" customHeight="1" x14ac:dyDescent="0.2">
      <c r="A7" s="1297"/>
      <c r="B7" s="1300"/>
      <c r="C7" s="1300"/>
      <c r="D7" s="558" t="s">
        <v>3</v>
      </c>
      <c r="E7" s="558" t="s">
        <v>3</v>
      </c>
      <c r="F7" s="558" t="s">
        <v>3</v>
      </c>
      <c r="G7" s="558" t="s">
        <v>3</v>
      </c>
      <c r="H7" s="559" t="s">
        <v>3</v>
      </c>
      <c r="I7" s="559" t="s">
        <v>4</v>
      </c>
      <c r="J7" s="559" t="s">
        <v>4</v>
      </c>
      <c r="K7" s="562" t="s">
        <v>4</v>
      </c>
      <c r="L7" s="560" t="s">
        <v>11</v>
      </c>
      <c r="M7" s="568">
        <v>6.3</v>
      </c>
      <c r="N7" s="568">
        <v>16</v>
      </c>
      <c r="O7" s="841" t="e">
        <f>SUM(M9:N10)</f>
        <v>#VALUE!</v>
      </c>
    </row>
    <row r="8" spans="1:18" s="252" customFormat="1" ht="17.45" customHeight="1" x14ac:dyDescent="0.2">
      <c r="A8" s="574" t="s">
        <v>770</v>
      </c>
      <c r="B8" s="574"/>
      <c r="C8" s="574"/>
      <c r="D8" s="574"/>
      <c r="E8" s="574"/>
      <c r="F8" s="575"/>
      <c r="G8" s="575"/>
      <c r="H8" s="575"/>
      <c r="I8" s="575"/>
      <c r="J8" s="575"/>
      <c r="K8" s="575"/>
      <c r="L8" s="575"/>
      <c r="M8" s="575"/>
      <c r="N8" s="575"/>
      <c r="O8" s="575"/>
      <c r="P8" s="294"/>
    </row>
    <row r="9" spans="1:18" s="252" customFormat="1" ht="12" x14ac:dyDescent="0.2">
      <c r="A9" s="305" t="s">
        <v>366</v>
      </c>
      <c r="B9" s="295" t="s">
        <v>343</v>
      </c>
      <c r="C9" s="296"/>
      <c r="D9" s="297"/>
      <c r="E9" s="831"/>
      <c r="F9" s="298">
        <f>IF(B9="","",VLOOKUP(B9,$F$12:$G$20,2,0))</f>
        <v>0.5</v>
      </c>
      <c r="G9" s="298" t="str">
        <f>IF(C9="","",ROUNDUP((E9-D9),1))</f>
        <v/>
      </c>
      <c r="H9" s="298" t="str">
        <f>IF(C9="","",C9*G9)</f>
        <v/>
      </c>
      <c r="I9" s="298" t="str">
        <f>IF(C9="","",PI()*((F9/2)^2)*H9)</f>
        <v/>
      </c>
      <c r="J9" s="298" t="str">
        <f>IF(C9="","",I9*1.3)</f>
        <v/>
      </c>
      <c r="K9" s="299" t="str">
        <f>IF(C9="","",I9)</f>
        <v/>
      </c>
      <c r="L9" s="399" t="s">
        <v>184</v>
      </c>
      <c r="M9" s="839" t="e">
        <f>$M$6*K9</f>
        <v>#VALUE!</v>
      </c>
      <c r="N9" s="839" t="e">
        <f>$N$6*K9</f>
        <v>#VALUE!</v>
      </c>
      <c r="O9" s="298" t="e">
        <f>(N9+M9)/K9</f>
        <v>#VALUE!</v>
      </c>
    </row>
    <row r="10" spans="1:18" s="252" customFormat="1" ht="12.75" thickBot="1" x14ac:dyDescent="0.25">
      <c r="A10" s="305" t="s">
        <v>366</v>
      </c>
      <c r="B10" s="295" t="s">
        <v>338</v>
      </c>
      <c r="C10" s="296"/>
      <c r="D10" s="297"/>
      <c r="E10" s="831"/>
      <c r="F10" s="298">
        <f>IF(B10="","",VLOOKUP(B10,$F$12:$G$20,2,0))</f>
        <v>0.6</v>
      </c>
      <c r="G10" s="298" t="str">
        <f>IF(C10="","",ROUNDUP((E10-D10),1))</f>
        <v/>
      </c>
      <c r="H10" s="298" t="str">
        <f>IF(C10="","",C10*G10)</f>
        <v/>
      </c>
      <c r="I10" s="298" t="str">
        <f>IF(C10="","",PI()*((F10/2)^2)*H10)</f>
        <v/>
      </c>
      <c r="J10" s="298" t="str">
        <f>IF(C10="","",I10*1.3)</f>
        <v/>
      </c>
      <c r="K10" s="299" t="str">
        <f>IF(C10="","",I10)</f>
        <v/>
      </c>
      <c r="L10" s="399" t="s">
        <v>184</v>
      </c>
      <c r="M10" s="839" t="e">
        <f>$M$6*K10</f>
        <v>#VALUE!</v>
      </c>
      <c r="N10" s="839" t="e">
        <f>$N$6*K10</f>
        <v>#VALUE!</v>
      </c>
      <c r="O10" s="298" t="e">
        <f>(N10+M10)/K10</f>
        <v>#VALUE!</v>
      </c>
    </row>
    <row r="11" spans="1:18" s="252" customFormat="1" ht="15" customHeight="1" thickTop="1" thickBot="1" x14ac:dyDescent="0.25">
      <c r="A11" s="306" t="s">
        <v>20</v>
      </c>
      <c r="B11" s="216" t="s">
        <v>341</v>
      </c>
      <c r="C11" s="307">
        <f>SUM(C8:C10)</f>
        <v>0</v>
      </c>
      <c r="D11" s="307"/>
      <c r="E11" s="308"/>
      <c r="F11" s="309"/>
      <c r="G11" s="308"/>
      <c r="H11" s="310">
        <f>SUM(H8:H10)</f>
        <v>0</v>
      </c>
      <c r="I11" s="310">
        <f>SUM(I$8:I10)</f>
        <v>0</v>
      </c>
      <c r="J11" s="310">
        <f>SUM(J$8:J10)</f>
        <v>0</v>
      </c>
      <c r="K11" s="310">
        <f>SUM(K$8:K10)</f>
        <v>0</v>
      </c>
      <c r="L11" s="310"/>
      <c r="M11" s="310" t="e">
        <f>SUM(M$8:M10)</f>
        <v>#VALUE!</v>
      </c>
      <c r="N11" s="310" t="e">
        <f>SUM(N$8:N10)</f>
        <v>#VALUE!</v>
      </c>
      <c r="O11" s="311" t="e">
        <f>SUM(O$8:O10)</f>
        <v>#VALUE!</v>
      </c>
    </row>
    <row r="12" spans="1:18" s="252" customFormat="1" ht="15" customHeight="1" thickTop="1" x14ac:dyDescent="0.2">
      <c r="A12" s="304" t="s">
        <v>205</v>
      </c>
      <c r="C12" s="312"/>
      <c r="F12" s="303" t="s">
        <v>460</v>
      </c>
      <c r="G12" s="400">
        <v>0.35</v>
      </c>
      <c r="H12" s="313">
        <f t="shared" ref="H12:H20" si="0">SUMIF($B$8:$B$10,$F12,$H$8:$H$10)</f>
        <v>0</v>
      </c>
      <c r="I12" s="300"/>
      <c r="J12" s="300"/>
      <c r="K12" s="301">
        <f t="shared" ref="K12:K20" si="1">SUMIF($L$8:$L$10,$L12,$K$8:$K$10)</f>
        <v>0</v>
      </c>
      <c r="L12" s="302" t="s">
        <v>324</v>
      </c>
      <c r="M12" s="840"/>
      <c r="N12" s="840"/>
      <c r="O12" s="300"/>
    </row>
    <row r="13" spans="1:18" s="252" customFormat="1" ht="15" customHeight="1" x14ac:dyDescent="0.2">
      <c r="A13" s="300"/>
      <c r="B13" s="300"/>
      <c r="C13" s="300"/>
      <c r="D13" s="300"/>
      <c r="F13" s="303" t="s">
        <v>342</v>
      </c>
      <c r="G13" s="400">
        <v>0.4</v>
      </c>
      <c r="H13" s="301">
        <f t="shared" si="0"/>
        <v>0</v>
      </c>
      <c r="I13" s="300"/>
      <c r="J13" s="300"/>
      <c r="K13" s="301">
        <f t="shared" si="1"/>
        <v>0</v>
      </c>
      <c r="L13" s="302" t="s">
        <v>323</v>
      </c>
      <c r="M13" s="840"/>
      <c r="N13" s="840"/>
      <c r="O13" s="300">
        <f>K11*1.3</f>
        <v>0</v>
      </c>
    </row>
    <row r="14" spans="1:18" s="252" customFormat="1" ht="15" customHeight="1" x14ac:dyDescent="0.2">
      <c r="A14" s="300"/>
      <c r="B14" s="300"/>
      <c r="C14" s="300"/>
      <c r="D14" s="300"/>
      <c r="F14" s="303" t="s">
        <v>343</v>
      </c>
      <c r="G14" s="400">
        <v>0.5</v>
      </c>
      <c r="H14" s="301">
        <f t="shared" si="0"/>
        <v>0</v>
      </c>
      <c r="I14" s="300"/>
      <c r="J14" s="300"/>
      <c r="K14" s="301">
        <f t="shared" si="1"/>
        <v>0</v>
      </c>
      <c r="L14" s="302" t="s">
        <v>321</v>
      </c>
      <c r="M14" s="840"/>
      <c r="N14" s="840"/>
      <c r="O14" s="300"/>
    </row>
    <row r="15" spans="1:18" s="252" customFormat="1" ht="15" customHeight="1" x14ac:dyDescent="0.2">
      <c r="A15" s="300"/>
      <c r="B15" s="300"/>
      <c r="C15" s="300"/>
      <c r="D15" s="300"/>
      <c r="F15" s="303" t="s">
        <v>338</v>
      </c>
      <c r="G15" s="400">
        <v>0.6</v>
      </c>
      <c r="H15" s="301">
        <f t="shared" si="0"/>
        <v>0</v>
      </c>
      <c r="I15" s="300"/>
      <c r="J15" s="300"/>
      <c r="K15" s="301">
        <f t="shared" si="1"/>
        <v>0</v>
      </c>
      <c r="L15" s="302" t="s">
        <v>322</v>
      </c>
      <c r="M15" s="840"/>
      <c r="N15" s="840"/>
      <c r="O15" s="300"/>
    </row>
    <row r="16" spans="1:18" s="252" customFormat="1" ht="15" customHeight="1" x14ac:dyDescent="0.2">
      <c r="A16" s="300"/>
      <c r="B16" s="300"/>
      <c r="C16" s="300"/>
      <c r="D16" s="300"/>
      <c r="F16" s="303" t="s">
        <v>339</v>
      </c>
      <c r="G16" s="400">
        <v>0.7</v>
      </c>
      <c r="H16" s="301">
        <f t="shared" si="0"/>
        <v>0</v>
      </c>
      <c r="I16" s="300"/>
      <c r="J16" s="300"/>
      <c r="K16" s="301">
        <f t="shared" si="1"/>
        <v>0</v>
      </c>
      <c r="L16" s="302" t="s">
        <v>184</v>
      </c>
      <c r="M16" s="840"/>
      <c r="N16" s="840"/>
      <c r="O16" s="300"/>
    </row>
    <row r="17" spans="1:15" s="252" customFormat="1" ht="15" customHeight="1" x14ac:dyDescent="0.2">
      <c r="A17" s="300"/>
      <c r="B17" s="300"/>
      <c r="C17" s="300"/>
      <c r="D17" s="300"/>
      <c r="F17" s="303" t="s">
        <v>340</v>
      </c>
      <c r="G17" s="400">
        <v>0.8</v>
      </c>
      <c r="H17" s="301">
        <f t="shared" si="0"/>
        <v>0</v>
      </c>
      <c r="I17" s="300"/>
      <c r="J17" s="300"/>
      <c r="K17" s="301">
        <f t="shared" si="1"/>
        <v>0</v>
      </c>
      <c r="L17" s="302" t="s">
        <v>348</v>
      </c>
      <c r="M17" s="840"/>
      <c r="N17" s="840"/>
      <c r="O17" s="300"/>
    </row>
    <row r="18" spans="1:15" s="252" customFormat="1" ht="15" customHeight="1" x14ac:dyDescent="0.2">
      <c r="A18" s="300"/>
      <c r="B18" s="300"/>
      <c r="C18" s="300"/>
      <c r="D18" s="300"/>
      <c r="F18" s="303" t="s">
        <v>353</v>
      </c>
      <c r="G18" s="400">
        <v>0.9</v>
      </c>
      <c r="H18" s="301">
        <f t="shared" si="0"/>
        <v>0</v>
      </c>
      <c r="I18" s="300"/>
      <c r="J18" s="300"/>
      <c r="K18" s="301">
        <f t="shared" si="1"/>
        <v>0</v>
      </c>
      <c r="L18" s="302" t="s">
        <v>348</v>
      </c>
      <c r="M18" s="840"/>
      <c r="N18" s="840"/>
      <c r="O18" s="300"/>
    </row>
    <row r="19" spans="1:15" ht="12" x14ac:dyDescent="0.2">
      <c r="F19" s="303" t="s">
        <v>344</v>
      </c>
      <c r="G19" s="400">
        <v>0.7</v>
      </c>
      <c r="H19" s="301">
        <f t="shared" si="0"/>
        <v>0</v>
      </c>
      <c r="I19" s="300"/>
      <c r="K19" s="301">
        <f t="shared" si="1"/>
        <v>0</v>
      </c>
      <c r="L19" s="302" t="s">
        <v>348</v>
      </c>
      <c r="M19" s="840"/>
      <c r="N19" s="840"/>
    </row>
    <row r="20" spans="1:15" ht="12" x14ac:dyDescent="0.2">
      <c r="F20" s="303" t="s">
        <v>142</v>
      </c>
      <c r="G20" s="401"/>
      <c r="H20" s="301">
        <f t="shared" si="0"/>
        <v>0</v>
      </c>
      <c r="I20" s="300"/>
      <c r="K20" s="301">
        <f t="shared" si="1"/>
        <v>0</v>
      </c>
      <c r="L20" s="302" t="s">
        <v>348</v>
      </c>
      <c r="M20" s="840"/>
      <c r="N20" s="840"/>
    </row>
    <row r="101" spans="1:15" ht="17.45" customHeight="1" x14ac:dyDescent="0.2">
      <c r="A101" s="1294" t="s">
        <v>385</v>
      </c>
      <c r="B101" s="1295"/>
      <c r="C101" s="1295"/>
      <c r="D101" s="1295"/>
      <c r="E101" s="1295"/>
      <c r="F101" s="1295"/>
      <c r="G101" s="1295"/>
      <c r="H101" s="1295"/>
      <c r="I101" s="1295"/>
      <c r="J101" s="1295"/>
      <c r="K101" s="1295"/>
      <c r="L101" s="1295"/>
      <c r="M101" s="1295"/>
      <c r="N101" s="1295"/>
      <c r="O101" s="1296"/>
    </row>
    <row r="102" spans="1:15" x14ac:dyDescent="0.2">
      <c r="A102" s="684" t="s">
        <v>386</v>
      </c>
    </row>
    <row r="120" spans="10:10" x14ac:dyDescent="0.2">
      <c r="J120" s="680"/>
    </row>
    <row r="121" spans="10:10" x14ac:dyDescent="0.2">
      <c r="J121" s="680"/>
    </row>
    <row r="122" spans="10:10" x14ac:dyDescent="0.2">
      <c r="J122" s="680"/>
    </row>
    <row r="123" spans="10:10" x14ac:dyDescent="0.2">
      <c r="J123" s="680"/>
    </row>
    <row r="124" spans="10:10" x14ac:dyDescent="0.2">
      <c r="J124" s="681"/>
    </row>
    <row r="125" spans="10:10" x14ac:dyDescent="0.2">
      <c r="J125" s="682"/>
    </row>
  </sheetData>
  <mergeCells count="11">
    <mergeCell ref="A101:O101"/>
    <mergeCell ref="A4:O4"/>
    <mergeCell ref="K5:L6"/>
    <mergeCell ref="A5:A7"/>
    <mergeCell ref="B5:B7"/>
    <mergeCell ref="C5:C7"/>
    <mergeCell ref="D5:G5"/>
    <mergeCell ref="H5:H6"/>
    <mergeCell ref="I5:I6"/>
    <mergeCell ref="J5:J6"/>
    <mergeCell ref="M5:N5"/>
  </mergeCells>
  <phoneticPr fontId="36" type="noConversion"/>
  <dataValidations count="3">
    <dataValidation type="list" allowBlank="1" showInputMessage="1" showErrorMessage="1" sqref="L8:N8" xr:uid="{00000000-0002-0000-0500-000000000000}">
      <formula1>$L$12:$L$17</formula1>
    </dataValidation>
    <dataValidation type="list" allowBlank="1" showInputMessage="1" showErrorMessage="1" sqref="L9:L10" xr:uid="{00000000-0002-0000-0500-000001000000}">
      <formula1>$L$12:$L$20</formula1>
    </dataValidation>
    <dataValidation type="list" allowBlank="1" showInputMessage="1" showErrorMessage="1" sqref="B9:B10" xr:uid="{00000000-0002-0000-0500-000002000000}">
      <formula1>$F$12:$F$20</formula1>
    </dataValidation>
  </dataValidations>
  <printOptions horizontalCentered="1"/>
  <pageMargins left="0.39370078740157483" right="0" top="0.39370078740157483" bottom="0.39370078740157483" header="0" footer="0.19685039370078741"/>
  <pageSetup paperSize="9" scale="29" orientation="portrait" r:id="rId1"/>
  <headerFooter alignWithMargins="0">
    <oddFooter>&amp;L&amp;F - &amp;A&amp;R&amp;P /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D0A8-322E-451B-9D26-1F126B598999}">
  <sheetPr codeName="Planilha16">
    <tabColor rgb="FFF43800"/>
    <pageSetUpPr fitToPage="1"/>
  </sheetPr>
  <dimension ref="A1:W33"/>
  <sheetViews>
    <sheetView showGridLines="0" view="pageBreakPreview" zoomScaleNormal="100" zoomScaleSheetLayoutView="100" workbookViewId="0">
      <pane ySplit="6" topLeftCell="A7" activePane="bottomLeft" state="frozen"/>
      <selection sqref="A1:XFD3"/>
      <selection pane="bottomLeft" activeCell="D24" sqref="D24"/>
    </sheetView>
  </sheetViews>
  <sheetFormatPr defaultRowHeight="11.25" x14ac:dyDescent="0.2"/>
  <cols>
    <col min="1" max="1" width="28.85546875" style="4" customWidth="1"/>
    <col min="2" max="2" width="10.28515625" style="4" customWidth="1"/>
    <col min="3" max="3" width="7.5703125" style="4" customWidth="1"/>
    <col min="4" max="14" width="8.140625" style="4" customWidth="1"/>
    <col min="15" max="15" width="9.140625" style="4" customWidth="1"/>
    <col min="16" max="16" width="7.42578125" style="4" customWidth="1"/>
    <col min="17" max="17" width="21.42578125" style="4" bestFit="1" customWidth="1"/>
    <col min="18" max="18" width="10.28515625" style="4" bestFit="1" customWidth="1"/>
    <col min="19" max="250" width="8.85546875" style="4"/>
    <col min="251" max="251" width="14.5703125" style="4" customWidth="1"/>
    <col min="252" max="252" width="20.7109375" style="4" customWidth="1"/>
    <col min="253" max="253" width="8.85546875" style="4"/>
    <col min="254" max="265" width="8.42578125" style="4" customWidth="1"/>
    <col min="266" max="506" width="8.85546875" style="4"/>
    <col min="507" max="507" width="14.5703125" style="4" customWidth="1"/>
    <col min="508" max="508" width="20.7109375" style="4" customWidth="1"/>
    <col min="509" max="509" width="8.85546875" style="4"/>
    <col min="510" max="521" width="8.42578125" style="4" customWidth="1"/>
    <col min="522" max="762" width="8.85546875" style="4"/>
    <col min="763" max="763" width="14.5703125" style="4" customWidth="1"/>
    <col min="764" max="764" width="20.7109375" style="4" customWidth="1"/>
    <col min="765" max="765" width="8.85546875" style="4"/>
    <col min="766" max="777" width="8.42578125" style="4" customWidth="1"/>
    <col min="778" max="1018" width="8.85546875" style="4"/>
    <col min="1019" max="1019" width="14.5703125" style="4" customWidth="1"/>
    <col min="1020" max="1020" width="20.7109375" style="4" customWidth="1"/>
    <col min="1021" max="1021" width="8.85546875" style="4"/>
    <col min="1022" max="1033" width="8.42578125" style="4" customWidth="1"/>
    <col min="1034" max="1274" width="8.85546875" style="4"/>
    <col min="1275" max="1275" width="14.5703125" style="4" customWidth="1"/>
    <col min="1276" max="1276" width="20.7109375" style="4" customWidth="1"/>
    <col min="1277" max="1277" width="8.85546875" style="4"/>
    <col min="1278" max="1289" width="8.42578125" style="4" customWidth="1"/>
    <col min="1290" max="1530" width="8.85546875" style="4"/>
    <col min="1531" max="1531" width="14.5703125" style="4" customWidth="1"/>
    <col min="1532" max="1532" width="20.7109375" style="4" customWidth="1"/>
    <col min="1533" max="1533" width="8.85546875" style="4"/>
    <col min="1534" max="1545" width="8.42578125" style="4" customWidth="1"/>
    <col min="1546" max="1786" width="8.85546875" style="4"/>
    <col min="1787" max="1787" width="14.5703125" style="4" customWidth="1"/>
    <col min="1788" max="1788" width="20.7109375" style="4" customWidth="1"/>
    <col min="1789" max="1789" width="8.85546875" style="4"/>
    <col min="1790" max="1801" width="8.42578125" style="4" customWidth="1"/>
    <col min="1802" max="2042" width="8.85546875" style="4"/>
    <col min="2043" max="2043" width="14.5703125" style="4" customWidth="1"/>
    <col min="2044" max="2044" width="20.7109375" style="4" customWidth="1"/>
    <col min="2045" max="2045" width="8.85546875" style="4"/>
    <col min="2046" max="2057" width="8.42578125" style="4" customWidth="1"/>
    <col min="2058" max="2298" width="8.85546875" style="4"/>
    <col min="2299" max="2299" width="14.5703125" style="4" customWidth="1"/>
    <col min="2300" max="2300" width="20.7109375" style="4" customWidth="1"/>
    <col min="2301" max="2301" width="8.85546875" style="4"/>
    <col min="2302" max="2313" width="8.42578125" style="4" customWidth="1"/>
    <col min="2314" max="2554" width="8.85546875" style="4"/>
    <col min="2555" max="2555" width="14.5703125" style="4" customWidth="1"/>
    <col min="2556" max="2556" width="20.7109375" style="4" customWidth="1"/>
    <col min="2557" max="2557" width="8.85546875" style="4"/>
    <col min="2558" max="2569" width="8.42578125" style="4" customWidth="1"/>
    <col min="2570" max="2810" width="8.85546875" style="4"/>
    <col min="2811" max="2811" width="14.5703125" style="4" customWidth="1"/>
    <col min="2812" max="2812" width="20.7109375" style="4" customWidth="1"/>
    <col min="2813" max="2813" width="8.85546875" style="4"/>
    <col min="2814" max="2825" width="8.42578125" style="4" customWidth="1"/>
    <col min="2826" max="3066" width="8.85546875" style="4"/>
    <col min="3067" max="3067" width="14.5703125" style="4" customWidth="1"/>
    <col min="3068" max="3068" width="20.7109375" style="4" customWidth="1"/>
    <col min="3069" max="3069" width="8.85546875" style="4"/>
    <col min="3070" max="3081" width="8.42578125" style="4" customWidth="1"/>
    <col min="3082" max="3322" width="8.85546875" style="4"/>
    <col min="3323" max="3323" width="14.5703125" style="4" customWidth="1"/>
    <col min="3324" max="3324" width="20.7109375" style="4" customWidth="1"/>
    <col min="3325" max="3325" width="8.85546875" style="4"/>
    <col min="3326" max="3337" width="8.42578125" style="4" customWidth="1"/>
    <col min="3338" max="3578" width="8.85546875" style="4"/>
    <col min="3579" max="3579" width="14.5703125" style="4" customWidth="1"/>
    <col min="3580" max="3580" width="20.7109375" style="4" customWidth="1"/>
    <col min="3581" max="3581" width="8.85546875" style="4"/>
    <col min="3582" max="3593" width="8.42578125" style="4" customWidth="1"/>
    <col min="3594" max="3834" width="8.85546875" style="4"/>
    <col min="3835" max="3835" width="14.5703125" style="4" customWidth="1"/>
    <col min="3836" max="3836" width="20.7109375" style="4" customWidth="1"/>
    <col min="3837" max="3837" width="8.85546875" style="4"/>
    <col min="3838" max="3849" width="8.42578125" style="4" customWidth="1"/>
    <col min="3850" max="4090" width="8.85546875" style="4"/>
    <col min="4091" max="4091" width="14.5703125" style="4" customWidth="1"/>
    <col min="4092" max="4092" width="20.7109375" style="4" customWidth="1"/>
    <col min="4093" max="4093" width="8.85546875" style="4"/>
    <col min="4094" max="4105" width="8.42578125" style="4" customWidth="1"/>
    <col min="4106" max="4346" width="8.85546875" style="4"/>
    <col min="4347" max="4347" width="14.5703125" style="4" customWidth="1"/>
    <col min="4348" max="4348" width="20.7109375" style="4" customWidth="1"/>
    <col min="4349" max="4349" width="8.85546875" style="4"/>
    <col min="4350" max="4361" width="8.42578125" style="4" customWidth="1"/>
    <col min="4362" max="4602" width="8.85546875" style="4"/>
    <col min="4603" max="4603" width="14.5703125" style="4" customWidth="1"/>
    <col min="4604" max="4604" width="20.7109375" style="4" customWidth="1"/>
    <col min="4605" max="4605" width="8.85546875" style="4"/>
    <col min="4606" max="4617" width="8.42578125" style="4" customWidth="1"/>
    <col min="4618" max="4858" width="8.85546875" style="4"/>
    <col min="4859" max="4859" width="14.5703125" style="4" customWidth="1"/>
    <col min="4860" max="4860" width="20.7109375" style="4" customWidth="1"/>
    <col min="4861" max="4861" width="8.85546875" style="4"/>
    <col min="4862" max="4873" width="8.42578125" style="4" customWidth="1"/>
    <col min="4874" max="5114" width="8.85546875" style="4"/>
    <col min="5115" max="5115" width="14.5703125" style="4" customWidth="1"/>
    <col min="5116" max="5116" width="20.7109375" style="4" customWidth="1"/>
    <col min="5117" max="5117" width="8.85546875" style="4"/>
    <col min="5118" max="5129" width="8.42578125" style="4" customWidth="1"/>
    <col min="5130" max="5370" width="8.85546875" style="4"/>
    <col min="5371" max="5371" width="14.5703125" style="4" customWidth="1"/>
    <col min="5372" max="5372" width="20.7109375" style="4" customWidth="1"/>
    <col min="5373" max="5373" width="8.85546875" style="4"/>
    <col min="5374" max="5385" width="8.42578125" style="4" customWidth="1"/>
    <col min="5386" max="5626" width="8.85546875" style="4"/>
    <col min="5627" max="5627" width="14.5703125" style="4" customWidth="1"/>
    <col min="5628" max="5628" width="20.7109375" style="4" customWidth="1"/>
    <col min="5629" max="5629" width="8.85546875" style="4"/>
    <col min="5630" max="5641" width="8.42578125" style="4" customWidth="1"/>
    <col min="5642" max="5882" width="8.85546875" style="4"/>
    <col min="5883" max="5883" width="14.5703125" style="4" customWidth="1"/>
    <col min="5884" max="5884" width="20.7109375" style="4" customWidth="1"/>
    <col min="5885" max="5885" width="8.85546875" style="4"/>
    <col min="5886" max="5897" width="8.42578125" style="4" customWidth="1"/>
    <col min="5898" max="6138" width="8.85546875" style="4"/>
    <col min="6139" max="6139" width="14.5703125" style="4" customWidth="1"/>
    <col min="6140" max="6140" width="20.7109375" style="4" customWidth="1"/>
    <col min="6141" max="6141" width="8.85546875" style="4"/>
    <col min="6142" max="6153" width="8.42578125" style="4" customWidth="1"/>
    <col min="6154" max="6394" width="8.85546875" style="4"/>
    <col min="6395" max="6395" width="14.5703125" style="4" customWidth="1"/>
    <col min="6396" max="6396" width="20.7109375" style="4" customWidth="1"/>
    <col min="6397" max="6397" width="8.85546875" style="4"/>
    <col min="6398" max="6409" width="8.42578125" style="4" customWidth="1"/>
    <col min="6410" max="6650" width="8.85546875" style="4"/>
    <col min="6651" max="6651" width="14.5703125" style="4" customWidth="1"/>
    <col min="6652" max="6652" width="20.7109375" style="4" customWidth="1"/>
    <col min="6653" max="6653" width="8.85546875" style="4"/>
    <col min="6654" max="6665" width="8.42578125" style="4" customWidth="1"/>
    <col min="6666" max="6906" width="8.85546875" style="4"/>
    <col min="6907" max="6907" width="14.5703125" style="4" customWidth="1"/>
    <col min="6908" max="6908" width="20.7109375" style="4" customWidth="1"/>
    <col min="6909" max="6909" width="8.85546875" style="4"/>
    <col min="6910" max="6921" width="8.42578125" style="4" customWidth="1"/>
    <col min="6922" max="7162" width="8.85546875" style="4"/>
    <col min="7163" max="7163" width="14.5703125" style="4" customWidth="1"/>
    <col min="7164" max="7164" width="20.7109375" style="4" customWidth="1"/>
    <col min="7165" max="7165" width="8.85546875" style="4"/>
    <col min="7166" max="7177" width="8.42578125" style="4" customWidth="1"/>
    <col min="7178" max="7418" width="8.85546875" style="4"/>
    <col min="7419" max="7419" width="14.5703125" style="4" customWidth="1"/>
    <col min="7420" max="7420" width="20.7109375" style="4" customWidth="1"/>
    <col min="7421" max="7421" width="8.85546875" style="4"/>
    <col min="7422" max="7433" width="8.42578125" style="4" customWidth="1"/>
    <col min="7434" max="7674" width="8.85546875" style="4"/>
    <col min="7675" max="7675" width="14.5703125" style="4" customWidth="1"/>
    <col min="7676" max="7676" width="20.7109375" style="4" customWidth="1"/>
    <col min="7677" max="7677" width="8.85546875" style="4"/>
    <col min="7678" max="7689" width="8.42578125" style="4" customWidth="1"/>
    <col min="7690" max="7930" width="8.85546875" style="4"/>
    <col min="7931" max="7931" width="14.5703125" style="4" customWidth="1"/>
    <col min="7932" max="7932" width="20.7109375" style="4" customWidth="1"/>
    <col min="7933" max="7933" width="8.85546875" style="4"/>
    <col min="7934" max="7945" width="8.42578125" style="4" customWidth="1"/>
    <col min="7946" max="8186" width="8.85546875" style="4"/>
    <col min="8187" max="8187" width="14.5703125" style="4" customWidth="1"/>
    <col min="8188" max="8188" width="20.7109375" style="4" customWidth="1"/>
    <col min="8189" max="8189" width="8.85546875" style="4"/>
    <col min="8190" max="8201" width="8.42578125" style="4" customWidth="1"/>
    <col min="8202" max="8442" width="8.85546875" style="4"/>
    <col min="8443" max="8443" width="14.5703125" style="4" customWidth="1"/>
    <col min="8444" max="8444" width="20.7109375" style="4" customWidth="1"/>
    <col min="8445" max="8445" width="8.85546875" style="4"/>
    <col min="8446" max="8457" width="8.42578125" style="4" customWidth="1"/>
    <col min="8458" max="8698" width="8.85546875" style="4"/>
    <col min="8699" max="8699" width="14.5703125" style="4" customWidth="1"/>
    <col min="8700" max="8700" width="20.7109375" style="4" customWidth="1"/>
    <col min="8701" max="8701" width="8.85546875" style="4"/>
    <col min="8702" max="8713" width="8.42578125" style="4" customWidth="1"/>
    <col min="8714" max="8954" width="8.85546875" style="4"/>
    <col min="8955" max="8955" width="14.5703125" style="4" customWidth="1"/>
    <col min="8956" max="8956" width="20.7109375" style="4" customWidth="1"/>
    <col min="8957" max="8957" width="8.85546875" style="4"/>
    <col min="8958" max="8969" width="8.42578125" style="4" customWidth="1"/>
    <col min="8970" max="9210" width="8.85546875" style="4"/>
    <col min="9211" max="9211" width="14.5703125" style="4" customWidth="1"/>
    <col min="9212" max="9212" width="20.7109375" style="4" customWidth="1"/>
    <col min="9213" max="9213" width="8.85546875" style="4"/>
    <col min="9214" max="9225" width="8.42578125" style="4" customWidth="1"/>
    <col min="9226" max="9466" width="8.85546875" style="4"/>
    <col min="9467" max="9467" width="14.5703125" style="4" customWidth="1"/>
    <col min="9468" max="9468" width="20.7109375" style="4" customWidth="1"/>
    <col min="9469" max="9469" width="8.85546875" style="4"/>
    <col min="9470" max="9481" width="8.42578125" style="4" customWidth="1"/>
    <col min="9482" max="9722" width="8.85546875" style="4"/>
    <col min="9723" max="9723" width="14.5703125" style="4" customWidth="1"/>
    <col min="9724" max="9724" width="20.7109375" style="4" customWidth="1"/>
    <col min="9725" max="9725" width="8.85546875" style="4"/>
    <col min="9726" max="9737" width="8.42578125" style="4" customWidth="1"/>
    <col min="9738" max="9978" width="8.85546875" style="4"/>
    <col min="9979" max="9979" width="14.5703125" style="4" customWidth="1"/>
    <col min="9980" max="9980" width="20.7109375" style="4" customWidth="1"/>
    <col min="9981" max="9981" width="8.85546875" style="4"/>
    <col min="9982" max="9993" width="8.42578125" style="4" customWidth="1"/>
    <col min="9994" max="10234" width="8.85546875" style="4"/>
    <col min="10235" max="10235" width="14.5703125" style="4" customWidth="1"/>
    <col min="10236" max="10236" width="20.7109375" style="4" customWidth="1"/>
    <col min="10237" max="10237" width="8.85546875" style="4"/>
    <col min="10238" max="10249" width="8.42578125" style="4" customWidth="1"/>
    <col min="10250" max="10490" width="8.85546875" style="4"/>
    <col min="10491" max="10491" width="14.5703125" style="4" customWidth="1"/>
    <col min="10492" max="10492" width="20.7109375" style="4" customWidth="1"/>
    <col min="10493" max="10493" width="8.85546875" style="4"/>
    <col min="10494" max="10505" width="8.42578125" style="4" customWidth="1"/>
    <col min="10506" max="10746" width="8.85546875" style="4"/>
    <col min="10747" max="10747" width="14.5703125" style="4" customWidth="1"/>
    <col min="10748" max="10748" width="20.7109375" style="4" customWidth="1"/>
    <col min="10749" max="10749" width="8.85546875" style="4"/>
    <col min="10750" max="10761" width="8.42578125" style="4" customWidth="1"/>
    <col min="10762" max="11002" width="8.85546875" style="4"/>
    <col min="11003" max="11003" width="14.5703125" style="4" customWidth="1"/>
    <col min="11004" max="11004" width="20.7109375" style="4" customWidth="1"/>
    <col min="11005" max="11005" width="8.85546875" style="4"/>
    <col min="11006" max="11017" width="8.42578125" style="4" customWidth="1"/>
    <col min="11018" max="11258" width="8.85546875" style="4"/>
    <col min="11259" max="11259" width="14.5703125" style="4" customWidth="1"/>
    <col min="11260" max="11260" width="20.7109375" style="4" customWidth="1"/>
    <col min="11261" max="11261" width="8.85546875" style="4"/>
    <col min="11262" max="11273" width="8.42578125" style="4" customWidth="1"/>
    <col min="11274" max="11514" width="8.85546875" style="4"/>
    <col min="11515" max="11515" width="14.5703125" style="4" customWidth="1"/>
    <col min="11516" max="11516" width="20.7109375" style="4" customWidth="1"/>
    <col min="11517" max="11517" width="8.85546875" style="4"/>
    <col min="11518" max="11529" width="8.42578125" style="4" customWidth="1"/>
    <col min="11530" max="11770" width="8.85546875" style="4"/>
    <col min="11771" max="11771" width="14.5703125" style="4" customWidth="1"/>
    <col min="11772" max="11772" width="20.7109375" style="4" customWidth="1"/>
    <col min="11773" max="11773" width="8.85546875" style="4"/>
    <col min="11774" max="11785" width="8.42578125" style="4" customWidth="1"/>
    <col min="11786" max="12026" width="8.85546875" style="4"/>
    <col min="12027" max="12027" width="14.5703125" style="4" customWidth="1"/>
    <col min="12028" max="12028" width="20.7109375" style="4" customWidth="1"/>
    <col min="12029" max="12029" width="8.85546875" style="4"/>
    <col min="12030" max="12041" width="8.42578125" style="4" customWidth="1"/>
    <col min="12042" max="12282" width="8.85546875" style="4"/>
    <col min="12283" max="12283" width="14.5703125" style="4" customWidth="1"/>
    <col min="12284" max="12284" width="20.7109375" style="4" customWidth="1"/>
    <col min="12285" max="12285" width="8.85546875" style="4"/>
    <col min="12286" max="12297" width="8.42578125" style="4" customWidth="1"/>
    <col min="12298" max="12538" width="8.85546875" style="4"/>
    <col min="12539" max="12539" width="14.5703125" style="4" customWidth="1"/>
    <col min="12540" max="12540" width="20.7109375" style="4" customWidth="1"/>
    <col min="12541" max="12541" width="8.85546875" style="4"/>
    <col min="12542" max="12553" width="8.42578125" style="4" customWidth="1"/>
    <col min="12554" max="12794" width="8.85546875" style="4"/>
    <col min="12795" max="12795" width="14.5703125" style="4" customWidth="1"/>
    <col min="12796" max="12796" width="20.7109375" style="4" customWidth="1"/>
    <col min="12797" max="12797" width="8.85546875" style="4"/>
    <col min="12798" max="12809" width="8.42578125" style="4" customWidth="1"/>
    <col min="12810" max="13050" width="8.85546875" style="4"/>
    <col min="13051" max="13051" width="14.5703125" style="4" customWidth="1"/>
    <col min="13052" max="13052" width="20.7109375" style="4" customWidth="1"/>
    <col min="13053" max="13053" width="8.85546875" style="4"/>
    <col min="13054" max="13065" width="8.42578125" style="4" customWidth="1"/>
    <col min="13066" max="13306" width="8.85546875" style="4"/>
    <col min="13307" max="13307" width="14.5703125" style="4" customWidth="1"/>
    <col min="13308" max="13308" width="20.7109375" style="4" customWidth="1"/>
    <col min="13309" max="13309" width="8.85546875" style="4"/>
    <col min="13310" max="13321" width="8.42578125" style="4" customWidth="1"/>
    <col min="13322" max="13562" width="8.85546875" style="4"/>
    <col min="13563" max="13563" width="14.5703125" style="4" customWidth="1"/>
    <col min="13564" max="13564" width="20.7109375" style="4" customWidth="1"/>
    <col min="13565" max="13565" width="8.85546875" style="4"/>
    <col min="13566" max="13577" width="8.42578125" style="4" customWidth="1"/>
    <col min="13578" max="13818" width="8.85546875" style="4"/>
    <col min="13819" max="13819" width="14.5703125" style="4" customWidth="1"/>
    <col min="13820" max="13820" width="20.7109375" style="4" customWidth="1"/>
    <col min="13821" max="13821" width="8.85546875" style="4"/>
    <col min="13822" max="13833" width="8.42578125" style="4" customWidth="1"/>
    <col min="13834" max="14074" width="8.85546875" style="4"/>
    <col min="14075" max="14075" width="14.5703125" style="4" customWidth="1"/>
    <col min="14076" max="14076" width="20.7109375" style="4" customWidth="1"/>
    <col min="14077" max="14077" width="8.85546875" style="4"/>
    <col min="14078" max="14089" width="8.42578125" style="4" customWidth="1"/>
    <col min="14090" max="14330" width="8.85546875" style="4"/>
    <col min="14331" max="14331" width="14.5703125" style="4" customWidth="1"/>
    <col min="14332" max="14332" width="20.7109375" style="4" customWidth="1"/>
    <col min="14333" max="14333" width="8.85546875" style="4"/>
    <col min="14334" max="14345" width="8.42578125" style="4" customWidth="1"/>
    <col min="14346" max="14586" width="8.85546875" style="4"/>
    <col min="14587" max="14587" width="14.5703125" style="4" customWidth="1"/>
    <col min="14588" max="14588" width="20.7109375" style="4" customWidth="1"/>
    <col min="14589" max="14589" width="8.85546875" style="4"/>
    <col min="14590" max="14601" width="8.42578125" style="4" customWidth="1"/>
    <col min="14602" max="14842" width="8.85546875" style="4"/>
    <col min="14843" max="14843" width="14.5703125" style="4" customWidth="1"/>
    <col min="14844" max="14844" width="20.7109375" style="4" customWidth="1"/>
    <col min="14845" max="14845" width="8.85546875" style="4"/>
    <col min="14846" max="14857" width="8.42578125" style="4" customWidth="1"/>
    <col min="14858" max="15098" width="8.85546875" style="4"/>
    <col min="15099" max="15099" width="14.5703125" style="4" customWidth="1"/>
    <col min="15100" max="15100" width="20.7109375" style="4" customWidth="1"/>
    <col min="15101" max="15101" width="8.85546875" style="4"/>
    <col min="15102" max="15113" width="8.42578125" style="4" customWidth="1"/>
    <col min="15114" max="15354" width="8.85546875" style="4"/>
    <col min="15355" max="15355" width="14.5703125" style="4" customWidth="1"/>
    <col min="15356" max="15356" width="20.7109375" style="4" customWidth="1"/>
    <col min="15357" max="15357" width="8.85546875" style="4"/>
    <col min="15358" max="15369" width="8.42578125" style="4" customWidth="1"/>
    <col min="15370" max="15610" width="8.85546875" style="4"/>
    <col min="15611" max="15611" width="14.5703125" style="4" customWidth="1"/>
    <col min="15612" max="15612" width="20.7109375" style="4" customWidth="1"/>
    <col min="15613" max="15613" width="8.85546875" style="4"/>
    <col min="15614" max="15625" width="8.42578125" style="4" customWidth="1"/>
    <col min="15626" max="15866" width="8.85546875" style="4"/>
    <col min="15867" max="15867" width="14.5703125" style="4" customWidth="1"/>
    <col min="15868" max="15868" width="20.7109375" style="4" customWidth="1"/>
    <col min="15869" max="15869" width="8.85546875" style="4"/>
    <col min="15870" max="15881" width="8.42578125" style="4" customWidth="1"/>
    <col min="15882" max="16122" width="8.85546875" style="4"/>
    <col min="16123" max="16123" width="14.5703125" style="4" customWidth="1"/>
    <col min="16124" max="16124" width="20.7109375" style="4" customWidth="1"/>
    <col min="16125" max="16125" width="8.85546875" style="4"/>
    <col min="16126" max="16137" width="8.42578125" style="4" customWidth="1"/>
    <col min="16138" max="16378" width="8.85546875" style="4"/>
    <col min="16379" max="16384" width="9.140625" style="4" customWidth="1"/>
  </cols>
  <sheetData>
    <row r="1" spans="1:23" s="71" customFormat="1" ht="15" customHeight="1" x14ac:dyDescent="0.2">
      <c r="A1" s="598"/>
      <c r="B1" s="623" t="s">
        <v>388</v>
      </c>
      <c r="C1" s="594" t="e">
        <f>#REF!</f>
        <v>#REF!</v>
      </c>
      <c r="D1" s="590"/>
      <c r="E1" s="590"/>
      <c r="F1" s="590"/>
      <c r="G1" s="590"/>
      <c r="H1" s="590"/>
      <c r="I1" s="590"/>
      <c r="J1" s="590"/>
      <c r="K1" s="590"/>
      <c r="L1" s="594"/>
      <c r="M1" s="595"/>
      <c r="N1" s="601"/>
      <c r="O1" s="602"/>
      <c r="P1" s="692"/>
    </row>
    <row r="2" spans="1:23" s="348" customFormat="1" ht="15" customHeight="1" x14ac:dyDescent="0.2">
      <c r="A2" s="672"/>
      <c r="B2" s="623" t="s">
        <v>358</v>
      </c>
      <c r="C2" s="635" t="e">
        <f>#REF!</f>
        <v>#REF!</v>
      </c>
      <c r="D2" s="594"/>
      <c r="E2" s="594"/>
      <c r="F2" s="594"/>
      <c r="G2" s="594"/>
      <c r="H2" s="594"/>
      <c r="I2" s="594"/>
      <c r="J2" s="594"/>
      <c r="K2" s="594"/>
      <c r="L2" s="674"/>
      <c r="M2" s="673"/>
      <c r="N2" s="603"/>
      <c r="O2" s="604"/>
      <c r="P2" s="690"/>
    </row>
    <row r="3" spans="1:23" s="71" customFormat="1" ht="15" customHeight="1" x14ac:dyDescent="0.2">
      <c r="A3" s="600"/>
      <c r="B3" s="623" t="s">
        <v>359</v>
      </c>
      <c r="C3" s="594" t="s">
        <v>455</v>
      </c>
      <c r="D3" s="594"/>
      <c r="E3" s="594"/>
      <c r="F3" s="594"/>
      <c r="G3" s="594"/>
      <c r="H3" s="594"/>
      <c r="I3" s="594"/>
      <c r="J3" s="594"/>
      <c r="K3" s="596"/>
      <c r="L3" s="594"/>
      <c r="M3" s="595"/>
      <c r="N3" s="605"/>
      <c r="O3" s="606"/>
      <c r="P3" s="691"/>
      <c r="Q3" s="691"/>
    </row>
    <row r="4" spans="1:23" s="2" customFormat="1" ht="21.6" customHeight="1" x14ac:dyDescent="0.2">
      <c r="A4" s="1255" t="s">
        <v>395</v>
      </c>
      <c r="B4" s="1255"/>
      <c r="C4" s="1255"/>
      <c r="D4" s="1255"/>
      <c r="E4" s="1255"/>
      <c r="F4" s="1255"/>
      <c r="G4" s="1255"/>
      <c r="H4" s="1255"/>
      <c r="I4" s="1255"/>
      <c r="J4" s="1255"/>
      <c r="K4" s="1255"/>
      <c r="L4" s="1255"/>
      <c r="M4" s="1255"/>
      <c r="N4" s="1255"/>
      <c r="O4" s="1255"/>
      <c r="P4" s="691"/>
      <c r="Q4" s="319"/>
      <c r="R4" s="1"/>
      <c r="S4" s="1"/>
      <c r="T4" s="1"/>
      <c r="U4" s="1"/>
      <c r="V4" s="1"/>
      <c r="W4" s="1"/>
    </row>
    <row r="5" spans="1:23" s="2" customFormat="1" ht="15" customHeight="1" x14ac:dyDescent="0.2">
      <c r="A5" s="1249" t="s">
        <v>7</v>
      </c>
      <c r="B5" s="1250"/>
      <c r="C5" s="1253" t="s">
        <v>22</v>
      </c>
      <c r="D5" s="569" t="s">
        <v>81</v>
      </c>
      <c r="E5" s="570"/>
      <c r="F5" s="571"/>
      <c r="G5" s="571"/>
      <c r="H5" s="571"/>
      <c r="I5" s="571"/>
      <c r="J5" s="572"/>
      <c r="K5" s="569" t="s">
        <v>24</v>
      </c>
      <c r="L5" s="571"/>
      <c r="M5" s="571"/>
      <c r="N5" s="571"/>
      <c r="O5" s="573"/>
      <c r="P5" s="319"/>
      <c r="Q5" s="319"/>
      <c r="R5" s="1"/>
      <c r="S5" s="1"/>
      <c r="T5" s="1"/>
      <c r="U5" s="1"/>
      <c r="V5" s="1"/>
      <c r="W5" s="1"/>
    </row>
    <row r="6" spans="1:23" s="3" customFormat="1" ht="16.899999999999999" customHeight="1" x14ac:dyDescent="0.2">
      <c r="A6" s="1251"/>
      <c r="B6" s="1252"/>
      <c r="C6" s="1254"/>
      <c r="D6" s="568">
        <v>6.3</v>
      </c>
      <c r="E6" s="568">
        <v>8</v>
      </c>
      <c r="F6" s="568">
        <v>10</v>
      </c>
      <c r="G6" s="568">
        <v>12.5</v>
      </c>
      <c r="H6" s="568">
        <v>16</v>
      </c>
      <c r="I6" s="568">
        <v>20</v>
      </c>
      <c r="J6" s="568">
        <v>25</v>
      </c>
      <c r="K6" s="568">
        <v>5</v>
      </c>
      <c r="L6" s="568">
        <v>0</v>
      </c>
      <c r="M6" s="568">
        <v>0</v>
      </c>
      <c r="N6" s="568">
        <v>0</v>
      </c>
      <c r="O6" s="579">
        <v>0</v>
      </c>
      <c r="P6" s="69"/>
      <c r="Q6" s="1"/>
      <c r="R6" s="1"/>
      <c r="S6" s="1"/>
      <c r="T6" s="1"/>
      <c r="U6" s="1"/>
      <c r="V6" s="1"/>
      <c r="W6" s="1"/>
    </row>
    <row r="7" spans="1:23" ht="12.95" customHeight="1" x14ac:dyDescent="0.2">
      <c r="A7" s="576" t="s">
        <v>198</v>
      </c>
      <c r="B7" s="577"/>
      <c r="C7" s="577"/>
      <c r="D7" s="577"/>
      <c r="E7" s="577"/>
      <c r="F7" s="578"/>
      <c r="G7" s="578"/>
      <c r="H7" s="578"/>
      <c r="I7" s="578"/>
      <c r="J7" s="578"/>
      <c r="K7" s="578"/>
      <c r="L7" s="578"/>
      <c r="M7" s="578"/>
      <c r="N7" s="578"/>
      <c r="O7" s="585"/>
    </row>
    <row r="8" spans="1:23" ht="12.95" customHeight="1" x14ac:dyDescent="0.2">
      <c r="A8" s="580"/>
      <c r="B8" s="584"/>
      <c r="C8" s="581">
        <v>1</v>
      </c>
      <c r="D8" s="582"/>
      <c r="E8" s="582"/>
      <c r="F8" s="582"/>
      <c r="G8" s="582"/>
      <c r="H8" s="582"/>
      <c r="I8" s="582"/>
      <c r="J8" s="582"/>
      <c r="K8" s="582"/>
      <c r="L8" s="582"/>
      <c r="M8" s="582"/>
      <c r="N8" s="582"/>
      <c r="O8" s="583"/>
      <c r="P8" s="69"/>
    </row>
    <row r="9" spans="1:23" ht="12.95" customHeight="1" x14ac:dyDescent="0.2">
      <c r="A9" s="576" t="s">
        <v>198</v>
      </c>
      <c r="B9" s="577"/>
      <c r="C9" s="577"/>
      <c r="D9" s="577"/>
      <c r="E9" s="577"/>
      <c r="F9" s="578"/>
      <c r="G9" s="578"/>
      <c r="H9" s="578"/>
      <c r="I9" s="578"/>
      <c r="J9" s="578"/>
      <c r="K9" s="578"/>
      <c r="L9" s="578"/>
      <c r="M9" s="578"/>
      <c r="N9" s="578"/>
      <c r="O9" s="585"/>
    </row>
    <row r="10" spans="1:23" ht="12.95" customHeight="1" x14ac:dyDescent="0.2">
      <c r="A10" s="580"/>
      <c r="B10" s="584"/>
      <c r="C10" s="581">
        <v>1</v>
      </c>
      <c r="D10" s="582"/>
      <c r="E10" s="582"/>
      <c r="F10" s="582"/>
      <c r="G10" s="582"/>
      <c r="H10" s="582"/>
      <c r="I10" s="582"/>
      <c r="J10" s="582"/>
      <c r="K10" s="582"/>
      <c r="L10" s="582"/>
      <c r="M10" s="582"/>
      <c r="N10" s="582"/>
      <c r="O10" s="583"/>
      <c r="P10" s="69"/>
    </row>
    <row r="11" spans="1:23" ht="12.95" customHeight="1" x14ac:dyDescent="0.2">
      <c r="A11" s="576" t="s">
        <v>198</v>
      </c>
      <c r="B11" s="577"/>
      <c r="C11" s="577"/>
      <c r="D11" s="577"/>
      <c r="E11" s="577"/>
      <c r="F11" s="578"/>
      <c r="G11" s="578"/>
      <c r="H11" s="578"/>
      <c r="I11" s="578"/>
      <c r="J11" s="578"/>
      <c r="K11" s="578"/>
      <c r="L11" s="578"/>
      <c r="M11" s="578"/>
      <c r="N11" s="578"/>
      <c r="O11" s="585"/>
    </row>
    <row r="12" spans="1:23" ht="12.95" customHeight="1" x14ac:dyDescent="0.2">
      <c r="A12" s="580"/>
      <c r="B12" s="584"/>
      <c r="C12" s="581">
        <v>1</v>
      </c>
      <c r="D12" s="582"/>
      <c r="E12" s="582"/>
      <c r="F12" s="582"/>
      <c r="G12" s="582"/>
      <c r="H12" s="582"/>
      <c r="I12" s="582"/>
      <c r="J12" s="582"/>
      <c r="K12" s="582"/>
      <c r="L12" s="582"/>
      <c r="M12" s="582"/>
      <c r="N12" s="582"/>
      <c r="O12" s="583"/>
      <c r="P12" s="69"/>
    </row>
    <row r="13" spans="1:23" ht="12.95" customHeight="1" x14ac:dyDescent="0.2">
      <c r="A13" s="576" t="s">
        <v>198</v>
      </c>
      <c r="B13" s="577"/>
      <c r="C13" s="577"/>
      <c r="D13" s="577"/>
      <c r="E13" s="577"/>
      <c r="F13" s="578"/>
      <c r="G13" s="578"/>
      <c r="H13" s="578"/>
      <c r="I13" s="578"/>
      <c r="J13" s="578"/>
      <c r="K13" s="578"/>
      <c r="L13" s="578"/>
      <c r="M13" s="578"/>
      <c r="N13" s="578"/>
      <c r="O13" s="585"/>
    </row>
    <row r="14" spans="1:23" ht="12.95" customHeight="1" x14ac:dyDescent="0.2">
      <c r="A14" s="580"/>
      <c r="B14" s="584"/>
      <c r="C14" s="581">
        <v>1</v>
      </c>
      <c r="D14" s="582"/>
      <c r="E14" s="582"/>
      <c r="F14" s="582"/>
      <c r="G14" s="582"/>
      <c r="H14" s="582"/>
      <c r="I14" s="582"/>
      <c r="J14" s="582"/>
      <c r="K14" s="582"/>
      <c r="L14" s="582"/>
      <c r="M14" s="582"/>
      <c r="N14" s="582"/>
      <c r="O14" s="583"/>
      <c r="P14" s="69"/>
    </row>
    <row r="15" spans="1:23" ht="12.95" customHeight="1" x14ac:dyDescent="0.2">
      <c r="A15" s="576" t="s">
        <v>198</v>
      </c>
      <c r="B15" s="577"/>
      <c r="C15" s="577"/>
      <c r="D15" s="577"/>
      <c r="E15" s="577"/>
      <c r="F15" s="578"/>
      <c r="G15" s="578"/>
      <c r="H15" s="578"/>
      <c r="I15" s="578"/>
      <c r="J15" s="578"/>
      <c r="K15" s="578"/>
      <c r="L15" s="578"/>
      <c r="M15" s="578"/>
      <c r="N15" s="578"/>
      <c r="O15" s="585"/>
    </row>
    <row r="16" spans="1:23" x14ac:dyDescent="0.2">
      <c r="A16" s="580"/>
      <c r="B16" s="586"/>
      <c r="C16" s="587">
        <v>1</v>
      </c>
      <c r="D16" s="588"/>
      <c r="E16" s="588"/>
      <c r="F16" s="588"/>
      <c r="G16" s="588"/>
      <c r="H16" s="588"/>
      <c r="I16" s="588"/>
      <c r="J16" s="588"/>
      <c r="K16" s="588"/>
      <c r="L16" s="588"/>
      <c r="M16" s="588"/>
      <c r="N16" s="588"/>
      <c r="O16" s="589"/>
      <c r="P16" s="69"/>
    </row>
    <row r="17" spans="1:15" ht="12" x14ac:dyDescent="0.2">
      <c r="A17" s="477"/>
      <c r="B17" s="478" t="s">
        <v>25</v>
      </c>
      <c r="C17" s="479">
        <f>SUM(D17:O17)</f>
        <v>0</v>
      </c>
      <c r="D17" s="479">
        <f t="shared" ref="D17:O17" si="0">SUMPRODUCT(D7:D16,$C7:$C16)</f>
        <v>0</v>
      </c>
      <c r="E17" s="479">
        <f t="shared" si="0"/>
        <v>0</v>
      </c>
      <c r="F17" s="479">
        <f t="shared" si="0"/>
        <v>0</v>
      </c>
      <c r="G17" s="479">
        <f t="shared" si="0"/>
        <v>0</v>
      </c>
      <c r="H17" s="479">
        <f t="shared" si="0"/>
        <v>0</v>
      </c>
      <c r="I17" s="479">
        <f t="shared" si="0"/>
        <v>0</v>
      </c>
      <c r="J17" s="479">
        <f t="shared" si="0"/>
        <v>0</v>
      </c>
      <c r="K17" s="479">
        <f t="shared" si="0"/>
        <v>0</v>
      </c>
      <c r="L17" s="479">
        <f t="shared" si="0"/>
        <v>0</v>
      </c>
      <c r="M17" s="479">
        <f t="shared" si="0"/>
        <v>0</v>
      </c>
      <c r="N17" s="479">
        <f t="shared" si="0"/>
        <v>0</v>
      </c>
      <c r="O17" s="479">
        <f t="shared" si="0"/>
        <v>0</v>
      </c>
    </row>
    <row r="18" spans="1:15" ht="12.75" thickBot="1" x14ac:dyDescent="0.25">
      <c r="A18" s="481"/>
      <c r="B18" s="321" t="s">
        <v>26</v>
      </c>
      <c r="C18" s="322"/>
      <c r="D18" s="323">
        <v>1</v>
      </c>
      <c r="E18" s="323">
        <v>1</v>
      </c>
      <c r="F18" s="323">
        <v>1</v>
      </c>
      <c r="G18" s="323">
        <v>1</v>
      </c>
      <c r="H18" s="323">
        <v>1</v>
      </c>
      <c r="I18" s="323">
        <v>1</v>
      </c>
      <c r="J18" s="323">
        <v>1</v>
      </c>
      <c r="K18" s="323">
        <v>1</v>
      </c>
      <c r="L18" s="323">
        <v>1</v>
      </c>
      <c r="M18" s="323">
        <v>1</v>
      </c>
      <c r="N18" s="323">
        <v>1</v>
      </c>
      <c r="O18" s="323">
        <v>1</v>
      </c>
    </row>
    <row r="19" spans="1:15" ht="13.5" thickTop="1" thickBot="1" x14ac:dyDescent="0.25">
      <c r="A19" s="216"/>
      <c r="B19" s="216" t="s">
        <v>27</v>
      </c>
      <c r="C19" s="324">
        <f>SUM(D19:O19)</f>
        <v>0</v>
      </c>
      <c r="D19" s="324">
        <f>D18*D17</f>
        <v>0</v>
      </c>
      <c r="E19" s="324">
        <f t="shared" ref="E19:O19" si="1">E18*E17</f>
        <v>0</v>
      </c>
      <c r="F19" s="324">
        <f t="shared" si="1"/>
        <v>0</v>
      </c>
      <c r="G19" s="324">
        <f t="shared" si="1"/>
        <v>0</v>
      </c>
      <c r="H19" s="324">
        <f t="shared" si="1"/>
        <v>0</v>
      </c>
      <c r="I19" s="324">
        <f t="shared" si="1"/>
        <v>0</v>
      </c>
      <c r="J19" s="324">
        <f t="shared" si="1"/>
        <v>0</v>
      </c>
      <c r="K19" s="324">
        <f t="shared" si="1"/>
        <v>0</v>
      </c>
      <c r="L19" s="324">
        <f t="shared" si="1"/>
        <v>0</v>
      </c>
      <c r="M19" s="324">
        <f t="shared" si="1"/>
        <v>0</v>
      </c>
      <c r="N19" s="324">
        <f t="shared" si="1"/>
        <v>0</v>
      </c>
      <c r="O19" s="324">
        <f t="shared" si="1"/>
        <v>0</v>
      </c>
    </row>
    <row r="20" spans="1:15" ht="12.75" thickTop="1" x14ac:dyDescent="0.2">
      <c r="A20" s="252"/>
      <c r="B20" s="483"/>
      <c r="C20" s="484"/>
      <c r="D20" s="485"/>
      <c r="E20" s="485"/>
      <c r="F20" s="485"/>
      <c r="G20" s="485"/>
      <c r="H20" s="485"/>
      <c r="I20" s="485"/>
      <c r="J20" s="485"/>
      <c r="K20" s="250"/>
      <c r="L20" s="250"/>
      <c r="M20" s="250"/>
      <c r="N20" s="250"/>
      <c r="O20" s="250"/>
    </row>
    <row r="21" spans="1:15" ht="12" x14ac:dyDescent="0.2">
      <c r="A21" s="252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</row>
    <row r="33" spans="1:1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</sheetData>
  <mergeCells count="3">
    <mergeCell ref="A4:O4"/>
    <mergeCell ref="A5:B6"/>
    <mergeCell ref="C5:C6"/>
  </mergeCell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8567-6817-47E0-AAC6-4813F83A6AA3}">
  <sheetPr codeName="Planilha17">
    <tabColor rgb="FFF43800"/>
    <pageSetUpPr fitToPage="1"/>
  </sheetPr>
  <dimension ref="A1:W137"/>
  <sheetViews>
    <sheetView showGridLines="0" view="pageBreakPreview" zoomScaleNormal="100" zoomScaleSheetLayoutView="100" workbookViewId="0">
      <pane ySplit="7" topLeftCell="A8" activePane="bottomLeft" state="frozen"/>
      <selection sqref="A1:XFD3"/>
      <selection pane="bottomLeft" activeCell="R9" sqref="R9:R22"/>
    </sheetView>
  </sheetViews>
  <sheetFormatPr defaultRowHeight="11.25" x14ac:dyDescent="0.2"/>
  <cols>
    <col min="1" max="1" width="28.85546875" style="4" customWidth="1"/>
    <col min="2" max="2" width="9.85546875" style="4" bestFit="1" customWidth="1"/>
    <col min="3" max="3" width="8.28515625" style="4" customWidth="1"/>
    <col min="4" max="4" width="8.42578125" style="4" customWidth="1"/>
    <col min="5" max="6" width="7.42578125" style="4" customWidth="1"/>
    <col min="7" max="7" width="6.7109375" style="4" customWidth="1"/>
    <col min="8" max="12" width="6.85546875" style="4" customWidth="1"/>
    <col min="13" max="13" width="5.42578125" style="4" customWidth="1"/>
    <col min="14" max="14" width="8.28515625" style="4" customWidth="1"/>
    <col min="15" max="15" width="11.28515625" style="4" customWidth="1"/>
    <col min="16" max="16" width="8.28515625" style="4" customWidth="1"/>
    <col min="17" max="17" width="10.140625" style="4" customWidth="1"/>
    <col min="18" max="20" width="8.28515625" style="4" customWidth="1"/>
    <col min="21" max="21" width="4.28515625" style="4" customWidth="1"/>
    <col min="22" max="256" width="8.85546875" style="4"/>
    <col min="257" max="257" width="31.42578125" style="4" customWidth="1"/>
    <col min="258" max="258" width="18.28515625" style="4" customWidth="1"/>
    <col min="259" max="264" width="6.7109375" style="4" customWidth="1"/>
    <col min="265" max="267" width="7.5703125" style="4" customWidth="1"/>
    <col min="268" max="268" width="7.85546875" style="4" customWidth="1"/>
    <col min="269" max="270" width="8.28515625" style="4" customWidth="1"/>
    <col min="271" max="271" width="5.42578125" style="4" customWidth="1"/>
    <col min="272" max="272" width="7.5703125" style="4" customWidth="1"/>
    <col min="273" max="273" width="7.85546875" style="4" customWidth="1"/>
    <col min="274" max="274" width="12.5703125" style="4" customWidth="1"/>
    <col min="275" max="276" width="9.28515625" style="4" customWidth="1"/>
    <col min="277" max="512" width="8.85546875" style="4"/>
    <col min="513" max="513" width="31.42578125" style="4" customWidth="1"/>
    <col min="514" max="514" width="18.28515625" style="4" customWidth="1"/>
    <col min="515" max="520" width="6.7109375" style="4" customWidth="1"/>
    <col min="521" max="523" width="7.5703125" style="4" customWidth="1"/>
    <col min="524" max="524" width="7.85546875" style="4" customWidth="1"/>
    <col min="525" max="526" width="8.28515625" style="4" customWidth="1"/>
    <col min="527" max="527" width="5.42578125" style="4" customWidth="1"/>
    <col min="528" max="528" width="7.5703125" style="4" customWidth="1"/>
    <col min="529" max="529" width="7.85546875" style="4" customWidth="1"/>
    <col min="530" max="530" width="12.5703125" style="4" customWidth="1"/>
    <col min="531" max="532" width="9.28515625" style="4" customWidth="1"/>
    <col min="533" max="768" width="8.85546875" style="4"/>
    <col min="769" max="769" width="31.42578125" style="4" customWidth="1"/>
    <col min="770" max="770" width="18.28515625" style="4" customWidth="1"/>
    <col min="771" max="776" width="6.7109375" style="4" customWidth="1"/>
    <col min="777" max="779" width="7.5703125" style="4" customWidth="1"/>
    <col min="780" max="780" width="7.85546875" style="4" customWidth="1"/>
    <col min="781" max="782" width="8.28515625" style="4" customWidth="1"/>
    <col min="783" max="783" width="5.42578125" style="4" customWidth="1"/>
    <col min="784" max="784" width="7.5703125" style="4" customWidth="1"/>
    <col min="785" max="785" width="7.85546875" style="4" customWidth="1"/>
    <col min="786" max="786" width="12.5703125" style="4" customWidth="1"/>
    <col min="787" max="788" width="9.28515625" style="4" customWidth="1"/>
    <col min="789" max="1024" width="8.85546875" style="4"/>
    <col min="1025" max="1025" width="31.42578125" style="4" customWidth="1"/>
    <col min="1026" max="1026" width="18.28515625" style="4" customWidth="1"/>
    <col min="1027" max="1032" width="6.7109375" style="4" customWidth="1"/>
    <col min="1033" max="1035" width="7.5703125" style="4" customWidth="1"/>
    <col min="1036" max="1036" width="7.85546875" style="4" customWidth="1"/>
    <col min="1037" max="1038" width="8.28515625" style="4" customWidth="1"/>
    <col min="1039" max="1039" width="5.42578125" style="4" customWidth="1"/>
    <col min="1040" max="1040" width="7.5703125" style="4" customWidth="1"/>
    <col min="1041" max="1041" width="7.85546875" style="4" customWidth="1"/>
    <col min="1042" max="1042" width="12.5703125" style="4" customWidth="1"/>
    <col min="1043" max="1044" width="9.28515625" style="4" customWidth="1"/>
    <col min="1045" max="1280" width="8.85546875" style="4"/>
    <col min="1281" max="1281" width="31.42578125" style="4" customWidth="1"/>
    <col min="1282" max="1282" width="18.28515625" style="4" customWidth="1"/>
    <col min="1283" max="1288" width="6.7109375" style="4" customWidth="1"/>
    <col min="1289" max="1291" width="7.5703125" style="4" customWidth="1"/>
    <col min="1292" max="1292" width="7.85546875" style="4" customWidth="1"/>
    <col min="1293" max="1294" width="8.28515625" style="4" customWidth="1"/>
    <col min="1295" max="1295" width="5.42578125" style="4" customWidth="1"/>
    <col min="1296" max="1296" width="7.5703125" style="4" customWidth="1"/>
    <col min="1297" max="1297" width="7.85546875" style="4" customWidth="1"/>
    <col min="1298" max="1298" width="12.5703125" style="4" customWidth="1"/>
    <col min="1299" max="1300" width="9.28515625" style="4" customWidth="1"/>
    <col min="1301" max="1536" width="8.85546875" style="4"/>
    <col min="1537" max="1537" width="31.42578125" style="4" customWidth="1"/>
    <col min="1538" max="1538" width="18.28515625" style="4" customWidth="1"/>
    <col min="1539" max="1544" width="6.7109375" style="4" customWidth="1"/>
    <col min="1545" max="1547" width="7.5703125" style="4" customWidth="1"/>
    <col min="1548" max="1548" width="7.85546875" style="4" customWidth="1"/>
    <col min="1549" max="1550" width="8.28515625" style="4" customWidth="1"/>
    <col min="1551" max="1551" width="5.42578125" style="4" customWidth="1"/>
    <col min="1552" max="1552" width="7.5703125" style="4" customWidth="1"/>
    <col min="1553" max="1553" width="7.85546875" style="4" customWidth="1"/>
    <col min="1554" max="1554" width="12.5703125" style="4" customWidth="1"/>
    <col min="1555" max="1556" width="9.28515625" style="4" customWidth="1"/>
    <col min="1557" max="1792" width="8.85546875" style="4"/>
    <col min="1793" max="1793" width="31.42578125" style="4" customWidth="1"/>
    <col min="1794" max="1794" width="18.28515625" style="4" customWidth="1"/>
    <col min="1795" max="1800" width="6.7109375" style="4" customWidth="1"/>
    <col min="1801" max="1803" width="7.5703125" style="4" customWidth="1"/>
    <col min="1804" max="1804" width="7.85546875" style="4" customWidth="1"/>
    <col min="1805" max="1806" width="8.28515625" style="4" customWidth="1"/>
    <col min="1807" max="1807" width="5.42578125" style="4" customWidth="1"/>
    <col min="1808" max="1808" width="7.5703125" style="4" customWidth="1"/>
    <col min="1809" max="1809" width="7.85546875" style="4" customWidth="1"/>
    <col min="1810" max="1810" width="12.5703125" style="4" customWidth="1"/>
    <col min="1811" max="1812" width="9.28515625" style="4" customWidth="1"/>
    <col min="1813" max="2048" width="8.85546875" style="4"/>
    <col min="2049" max="2049" width="31.42578125" style="4" customWidth="1"/>
    <col min="2050" max="2050" width="18.28515625" style="4" customWidth="1"/>
    <col min="2051" max="2056" width="6.7109375" style="4" customWidth="1"/>
    <col min="2057" max="2059" width="7.5703125" style="4" customWidth="1"/>
    <col min="2060" max="2060" width="7.85546875" style="4" customWidth="1"/>
    <col min="2061" max="2062" width="8.28515625" style="4" customWidth="1"/>
    <col min="2063" max="2063" width="5.42578125" style="4" customWidth="1"/>
    <col min="2064" max="2064" width="7.5703125" style="4" customWidth="1"/>
    <col min="2065" max="2065" width="7.85546875" style="4" customWidth="1"/>
    <col min="2066" max="2066" width="12.5703125" style="4" customWidth="1"/>
    <col min="2067" max="2068" width="9.28515625" style="4" customWidth="1"/>
    <col min="2069" max="2304" width="8.85546875" style="4"/>
    <col min="2305" max="2305" width="31.42578125" style="4" customWidth="1"/>
    <col min="2306" max="2306" width="18.28515625" style="4" customWidth="1"/>
    <col min="2307" max="2312" width="6.7109375" style="4" customWidth="1"/>
    <col min="2313" max="2315" width="7.5703125" style="4" customWidth="1"/>
    <col min="2316" max="2316" width="7.85546875" style="4" customWidth="1"/>
    <col min="2317" max="2318" width="8.28515625" style="4" customWidth="1"/>
    <col min="2319" max="2319" width="5.42578125" style="4" customWidth="1"/>
    <col min="2320" max="2320" width="7.5703125" style="4" customWidth="1"/>
    <col min="2321" max="2321" width="7.85546875" style="4" customWidth="1"/>
    <col min="2322" max="2322" width="12.5703125" style="4" customWidth="1"/>
    <col min="2323" max="2324" width="9.28515625" style="4" customWidth="1"/>
    <col min="2325" max="2560" width="8.85546875" style="4"/>
    <col min="2561" max="2561" width="31.42578125" style="4" customWidth="1"/>
    <col min="2562" max="2562" width="18.28515625" style="4" customWidth="1"/>
    <col min="2563" max="2568" width="6.7109375" style="4" customWidth="1"/>
    <col min="2569" max="2571" width="7.5703125" style="4" customWidth="1"/>
    <col min="2572" max="2572" width="7.85546875" style="4" customWidth="1"/>
    <col min="2573" max="2574" width="8.28515625" style="4" customWidth="1"/>
    <col min="2575" max="2575" width="5.42578125" style="4" customWidth="1"/>
    <col min="2576" max="2576" width="7.5703125" style="4" customWidth="1"/>
    <col min="2577" max="2577" width="7.85546875" style="4" customWidth="1"/>
    <col min="2578" max="2578" width="12.5703125" style="4" customWidth="1"/>
    <col min="2579" max="2580" width="9.28515625" style="4" customWidth="1"/>
    <col min="2581" max="2816" width="8.85546875" style="4"/>
    <col min="2817" max="2817" width="31.42578125" style="4" customWidth="1"/>
    <col min="2818" max="2818" width="18.28515625" style="4" customWidth="1"/>
    <col min="2819" max="2824" width="6.7109375" style="4" customWidth="1"/>
    <col min="2825" max="2827" width="7.5703125" style="4" customWidth="1"/>
    <col min="2828" max="2828" width="7.85546875" style="4" customWidth="1"/>
    <col min="2829" max="2830" width="8.28515625" style="4" customWidth="1"/>
    <col min="2831" max="2831" width="5.42578125" style="4" customWidth="1"/>
    <col min="2832" max="2832" width="7.5703125" style="4" customWidth="1"/>
    <col min="2833" max="2833" width="7.85546875" style="4" customWidth="1"/>
    <col min="2834" max="2834" width="12.5703125" style="4" customWidth="1"/>
    <col min="2835" max="2836" width="9.28515625" style="4" customWidth="1"/>
    <col min="2837" max="3072" width="8.85546875" style="4"/>
    <col min="3073" max="3073" width="31.42578125" style="4" customWidth="1"/>
    <col min="3074" max="3074" width="18.28515625" style="4" customWidth="1"/>
    <col min="3075" max="3080" width="6.7109375" style="4" customWidth="1"/>
    <col min="3081" max="3083" width="7.5703125" style="4" customWidth="1"/>
    <col min="3084" max="3084" width="7.85546875" style="4" customWidth="1"/>
    <col min="3085" max="3086" width="8.28515625" style="4" customWidth="1"/>
    <col min="3087" max="3087" width="5.42578125" style="4" customWidth="1"/>
    <col min="3088" max="3088" width="7.5703125" style="4" customWidth="1"/>
    <col min="3089" max="3089" width="7.85546875" style="4" customWidth="1"/>
    <col min="3090" max="3090" width="12.5703125" style="4" customWidth="1"/>
    <col min="3091" max="3092" width="9.28515625" style="4" customWidth="1"/>
    <col min="3093" max="3328" width="8.85546875" style="4"/>
    <col min="3329" max="3329" width="31.42578125" style="4" customWidth="1"/>
    <col min="3330" max="3330" width="18.28515625" style="4" customWidth="1"/>
    <col min="3331" max="3336" width="6.7109375" style="4" customWidth="1"/>
    <col min="3337" max="3339" width="7.5703125" style="4" customWidth="1"/>
    <col min="3340" max="3340" width="7.85546875" style="4" customWidth="1"/>
    <col min="3341" max="3342" width="8.28515625" style="4" customWidth="1"/>
    <col min="3343" max="3343" width="5.42578125" style="4" customWidth="1"/>
    <col min="3344" max="3344" width="7.5703125" style="4" customWidth="1"/>
    <col min="3345" max="3345" width="7.85546875" style="4" customWidth="1"/>
    <col min="3346" max="3346" width="12.5703125" style="4" customWidth="1"/>
    <col min="3347" max="3348" width="9.28515625" style="4" customWidth="1"/>
    <col min="3349" max="3584" width="8.85546875" style="4"/>
    <col min="3585" max="3585" width="31.42578125" style="4" customWidth="1"/>
    <col min="3586" max="3586" width="18.28515625" style="4" customWidth="1"/>
    <col min="3587" max="3592" width="6.7109375" style="4" customWidth="1"/>
    <col min="3593" max="3595" width="7.5703125" style="4" customWidth="1"/>
    <col min="3596" max="3596" width="7.85546875" style="4" customWidth="1"/>
    <col min="3597" max="3598" width="8.28515625" style="4" customWidth="1"/>
    <col min="3599" max="3599" width="5.42578125" style="4" customWidth="1"/>
    <col min="3600" max="3600" width="7.5703125" style="4" customWidth="1"/>
    <col min="3601" max="3601" width="7.85546875" style="4" customWidth="1"/>
    <col min="3602" max="3602" width="12.5703125" style="4" customWidth="1"/>
    <col min="3603" max="3604" width="9.28515625" style="4" customWidth="1"/>
    <col min="3605" max="3840" width="8.85546875" style="4"/>
    <col min="3841" max="3841" width="31.42578125" style="4" customWidth="1"/>
    <col min="3842" max="3842" width="18.28515625" style="4" customWidth="1"/>
    <col min="3843" max="3848" width="6.7109375" style="4" customWidth="1"/>
    <col min="3849" max="3851" width="7.5703125" style="4" customWidth="1"/>
    <col min="3852" max="3852" width="7.85546875" style="4" customWidth="1"/>
    <col min="3853" max="3854" width="8.28515625" style="4" customWidth="1"/>
    <col min="3855" max="3855" width="5.42578125" style="4" customWidth="1"/>
    <col min="3856" max="3856" width="7.5703125" style="4" customWidth="1"/>
    <col min="3857" max="3857" width="7.85546875" style="4" customWidth="1"/>
    <col min="3858" max="3858" width="12.5703125" style="4" customWidth="1"/>
    <col min="3859" max="3860" width="9.28515625" style="4" customWidth="1"/>
    <col min="3861" max="4096" width="8.85546875" style="4"/>
    <col min="4097" max="4097" width="31.42578125" style="4" customWidth="1"/>
    <col min="4098" max="4098" width="18.28515625" style="4" customWidth="1"/>
    <col min="4099" max="4104" width="6.7109375" style="4" customWidth="1"/>
    <col min="4105" max="4107" width="7.5703125" style="4" customWidth="1"/>
    <col min="4108" max="4108" width="7.85546875" style="4" customWidth="1"/>
    <col min="4109" max="4110" width="8.28515625" style="4" customWidth="1"/>
    <col min="4111" max="4111" width="5.42578125" style="4" customWidth="1"/>
    <col min="4112" max="4112" width="7.5703125" style="4" customWidth="1"/>
    <col min="4113" max="4113" width="7.85546875" style="4" customWidth="1"/>
    <col min="4114" max="4114" width="12.5703125" style="4" customWidth="1"/>
    <col min="4115" max="4116" width="9.28515625" style="4" customWidth="1"/>
    <col min="4117" max="4352" width="8.85546875" style="4"/>
    <col min="4353" max="4353" width="31.42578125" style="4" customWidth="1"/>
    <col min="4354" max="4354" width="18.28515625" style="4" customWidth="1"/>
    <col min="4355" max="4360" width="6.7109375" style="4" customWidth="1"/>
    <col min="4361" max="4363" width="7.5703125" style="4" customWidth="1"/>
    <col min="4364" max="4364" width="7.85546875" style="4" customWidth="1"/>
    <col min="4365" max="4366" width="8.28515625" style="4" customWidth="1"/>
    <col min="4367" max="4367" width="5.42578125" style="4" customWidth="1"/>
    <col min="4368" max="4368" width="7.5703125" style="4" customWidth="1"/>
    <col min="4369" max="4369" width="7.85546875" style="4" customWidth="1"/>
    <col min="4370" max="4370" width="12.5703125" style="4" customWidth="1"/>
    <col min="4371" max="4372" width="9.28515625" style="4" customWidth="1"/>
    <col min="4373" max="4608" width="8.85546875" style="4"/>
    <col min="4609" max="4609" width="31.42578125" style="4" customWidth="1"/>
    <col min="4610" max="4610" width="18.28515625" style="4" customWidth="1"/>
    <col min="4611" max="4616" width="6.7109375" style="4" customWidth="1"/>
    <col min="4617" max="4619" width="7.5703125" style="4" customWidth="1"/>
    <col min="4620" max="4620" width="7.85546875" style="4" customWidth="1"/>
    <col min="4621" max="4622" width="8.28515625" style="4" customWidth="1"/>
    <col min="4623" max="4623" width="5.42578125" style="4" customWidth="1"/>
    <col min="4624" max="4624" width="7.5703125" style="4" customWidth="1"/>
    <col min="4625" max="4625" width="7.85546875" style="4" customWidth="1"/>
    <col min="4626" max="4626" width="12.5703125" style="4" customWidth="1"/>
    <col min="4627" max="4628" width="9.28515625" style="4" customWidth="1"/>
    <col min="4629" max="4864" width="8.85546875" style="4"/>
    <col min="4865" max="4865" width="31.42578125" style="4" customWidth="1"/>
    <col min="4866" max="4866" width="18.28515625" style="4" customWidth="1"/>
    <col min="4867" max="4872" width="6.7109375" style="4" customWidth="1"/>
    <col min="4873" max="4875" width="7.5703125" style="4" customWidth="1"/>
    <col min="4876" max="4876" width="7.85546875" style="4" customWidth="1"/>
    <col min="4877" max="4878" width="8.28515625" style="4" customWidth="1"/>
    <col min="4879" max="4879" width="5.42578125" style="4" customWidth="1"/>
    <col min="4880" max="4880" width="7.5703125" style="4" customWidth="1"/>
    <col min="4881" max="4881" width="7.85546875" style="4" customWidth="1"/>
    <col min="4882" max="4882" width="12.5703125" style="4" customWidth="1"/>
    <col min="4883" max="4884" width="9.28515625" style="4" customWidth="1"/>
    <col min="4885" max="5120" width="8.85546875" style="4"/>
    <col min="5121" max="5121" width="31.42578125" style="4" customWidth="1"/>
    <col min="5122" max="5122" width="18.28515625" style="4" customWidth="1"/>
    <col min="5123" max="5128" width="6.7109375" style="4" customWidth="1"/>
    <col min="5129" max="5131" width="7.5703125" style="4" customWidth="1"/>
    <col min="5132" max="5132" width="7.85546875" style="4" customWidth="1"/>
    <col min="5133" max="5134" width="8.28515625" style="4" customWidth="1"/>
    <col min="5135" max="5135" width="5.42578125" style="4" customWidth="1"/>
    <col min="5136" max="5136" width="7.5703125" style="4" customWidth="1"/>
    <col min="5137" max="5137" width="7.85546875" style="4" customWidth="1"/>
    <col min="5138" max="5138" width="12.5703125" style="4" customWidth="1"/>
    <col min="5139" max="5140" width="9.28515625" style="4" customWidth="1"/>
    <col min="5141" max="5376" width="8.85546875" style="4"/>
    <col min="5377" max="5377" width="31.42578125" style="4" customWidth="1"/>
    <col min="5378" max="5378" width="18.28515625" style="4" customWidth="1"/>
    <col min="5379" max="5384" width="6.7109375" style="4" customWidth="1"/>
    <col min="5385" max="5387" width="7.5703125" style="4" customWidth="1"/>
    <col min="5388" max="5388" width="7.85546875" style="4" customWidth="1"/>
    <col min="5389" max="5390" width="8.28515625" style="4" customWidth="1"/>
    <col min="5391" max="5391" width="5.42578125" style="4" customWidth="1"/>
    <col min="5392" max="5392" width="7.5703125" style="4" customWidth="1"/>
    <col min="5393" max="5393" width="7.85546875" style="4" customWidth="1"/>
    <col min="5394" max="5394" width="12.5703125" style="4" customWidth="1"/>
    <col min="5395" max="5396" width="9.28515625" style="4" customWidth="1"/>
    <col min="5397" max="5632" width="8.85546875" style="4"/>
    <col min="5633" max="5633" width="31.42578125" style="4" customWidth="1"/>
    <col min="5634" max="5634" width="18.28515625" style="4" customWidth="1"/>
    <col min="5635" max="5640" width="6.7109375" style="4" customWidth="1"/>
    <col min="5641" max="5643" width="7.5703125" style="4" customWidth="1"/>
    <col min="5644" max="5644" width="7.85546875" style="4" customWidth="1"/>
    <col min="5645" max="5646" width="8.28515625" style="4" customWidth="1"/>
    <col min="5647" max="5647" width="5.42578125" style="4" customWidth="1"/>
    <col min="5648" max="5648" width="7.5703125" style="4" customWidth="1"/>
    <col min="5649" max="5649" width="7.85546875" style="4" customWidth="1"/>
    <col min="5650" max="5650" width="12.5703125" style="4" customWidth="1"/>
    <col min="5651" max="5652" width="9.28515625" style="4" customWidth="1"/>
    <col min="5653" max="5888" width="8.85546875" style="4"/>
    <col min="5889" max="5889" width="31.42578125" style="4" customWidth="1"/>
    <col min="5890" max="5890" width="18.28515625" style="4" customWidth="1"/>
    <col min="5891" max="5896" width="6.7109375" style="4" customWidth="1"/>
    <col min="5897" max="5899" width="7.5703125" style="4" customWidth="1"/>
    <col min="5900" max="5900" width="7.85546875" style="4" customWidth="1"/>
    <col min="5901" max="5902" width="8.28515625" style="4" customWidth="1"/>
    <col min="5903" max="5903" width="5.42578125" style="4" customWidth="1"/>
    <col min="5904" max="5904" width="7.5703125" style="4" customWidth="1"/>
    <col min="5905" max="5905" width="7.85546875" style="4" customWidth="1"/>
    <col min="5906" max="5906" width="12.5703125" style="4" customWidth="1"/>
    <col min="5907" max="5908" width="9.28515625" style="4" customWidth="1"/>
    <col min="5909" max="6144" width="8.85546875" style="4"/>
    <col min="6145" max="6145" width="31.42578125" style="4" customWidth="1"/>
    <col min="6146" max="6146" width="18.28515625" style="4" customWidth="1"/>
    <col min="6147" max="6152" width="6.7109375" style="4" customWidth="1"/>
    <col min="6153" max="6155" width="7.5703125" style="4" customWidth="1"/>
    <col min="6156" max="6156" width="7.85546875" style="4" customWidth="1"/>
    <col min="6157" max="6158" width="8.28515625" style="4" customWidth="1"/>
    <col min="6159" max="6159" width="5.42578125" style="4" customWidth="1"/>
    <col min="6160" max="6160" width="7.5703125" style="4" customWidth="1"/>
    <col min="6161" max="6161" width="7.85546875" style="4" customWidth="1"/>
    <col min="6162" max="6162" width="12.5703125" style="4" customWidth="1"/>
    <col min="6163" max="6164" width="9.28515625" style="4" customWidth="1"/>
    <col min="6165" max="6400" width="8.85546875" style="4"/>
    <col min="6401" max="6401" width="31.42578125" style="4" customWidth="1"/>
    <col min="6402" max="6402" width="18.28515625" style="4" customWidth="1"/>
    <col min="6403" max="6408" width="6.7109375" style="4" customWidth="1"/>
    <col min="6409" max="6411" width="7.5703125" style="4" customWidth="1"/>
    <col min="6412" max="6412" width="7.85546875" style="4" customWidth="1"/>
    <col min="6413" max="6414" width="8.28515625" style="4" customWidth="1"/>
    <col min="6415" max="6415" width="5.42578125" style="4" customWidth="1"/>
    <col min="6416" max="6416" width="7.5703125" style="4" customWidth="1"/>
    <col min="6417" max="6417" width="7.85546875" style="4" customWidth="1"/>
    <col min="6418" max="6418" width="12.5703125" style="4" customWidth="1"/>
    <col min="6419" max="6420" width="9.28515625" style="4" customWidth="1"/>
    <col min="6421" max="6656" width="8.85546875" style="4"/>
    <col min="6657" max="6657" width="31.42578125" style="4" customWidth="1"/>
    <col min="6658" max="6658" width="18.28515625" style="4" customWidth="1"/>
    <col min="6659" max="6664" width="6.7109375" style="4" customWidth="1"/>
    <col min="6665" max="6667" width="7.5703125" style="4" customWidth="1"/>
    <col min="6668" max="6668" width="7.85546875" style="4" customWidth="1"/>
    <col min="6669" max="6670" width="8.28515625" style="4" customWidth="1"/>
    <col min="6671" max="6671" width="5.42578125" style="4" customWidth="1"/>
    <col min="6672" max="6672" width="7.5703125" style="4" customWidth="1"/>
    <col min="6673" max="6673" width="7.85546875" style="4" customWidth="1"/>
    <col min="6674" max="6674" width="12.5703125" style="4" customWidth="1"/>
    <col min="6675" max="6676" width="9.28515625" style="4" customWidth="1"/>
    <col min="6677" max="6912" width="8.85546875" style="4"/>
    <col min="6913" max="6913" width="31.42578125" style="4" customWidth="1"/>
    <col min="6914" max="6914" width="18.28515625" style="4" customWidth="1"/>
    <col min="6915" max="6920" width="6.7109375" style="4" customWidth="1"/>
    <col min="6921" max="6923" width="7.5703125" style="4" customWidth="1"/>
    <col min="6924" max="6924" width="7.85546875" style="4" customWidth="1"/>
    <col min="6925" max="6926" width="8.28515625" style="4" customWidth="1"/>
    <col min="6927" max="6927" width="5.42578125" style="4" customWidth="1"/>
    <col min="6928" max="6928" width="7.5703125" style="4" customWidth="1"/>
    <col min="6929" max="6929" width="7.85546875" style="4" customWidth="1"/>
    <col min="6930" max="6930" width="12.5703125" style="4" customWidth="1"/>
    <col min="6931" max="6932" width="9.28515625" style="4" customWidth="1"/>
    <col min="6933" max="7168" width="8.85546875" style="4"/>
    <col min="7169" max="7169" width="31.42578125" style="4" customWidth="1"/>
    <col min="7170" max="7170" width="18.28515625" style="4" customWidth="1"/>
    <col min="7171" max="7176" width="6.7109375" style="4" customWidth="1"/>
    <col min="7177" max="7179" width="7.5703125" style="4" customWidth="1"/>
    <col min="7180" max="7180" width="7.85546875" style="4" customWidth="1"/>
    <col min="7181" max="7182" width="8.28515625" style="4" customWidth="1"/>
    <col min="7183" max="7183" width="5.42578125" style="4" customWidth="1"/>
    <col min="7184" max="7184" width="7.5703125" style="4" customWidth="1"/>
    <col min="7185" max="7185" width="7.85546875" style="4" customWidth="1"/>
    <col min="7186" max="7186" width="12.5703125" style="4" customWidth="1"/>
    <col min="7187" max="7188" width="9.28515625" style="4" customWidth="1"/>
    <col min="7189" max="7424" width="8.85546875" style="4"/>
    <col min="7425" max="7425" width="31.42578125" style="4" customWidth="1"/>
    <col min="7426" max="7426" width="18.28515625" style="4" customWidth="1"/>
    <col min="7427" max="7432" width="6.7109375" style="4" customWidth="1"/>
    <col min="7433" max="7435" width="7.5703125" style="4" customWidth="1"/>
    <col min="7436" max="7436" width="7.85546875" style="4" customWidth="1"/>
    <col min="7437" max="7438" width="8.28515625" style="4" customWidth="1"/>
    <col min="7439" max="7439" width="5.42578125" style="4" customWidth="1"/>
    <col min="7440" max="7440" width="7.5703125" style="4" customWidth="1"/>
    <col min="7441" max="7441" width="7.85546875" style="4" customWidth="1"/>
    <col min="7442" max="7442" width="12.5703125" style="4" customWidth="1"/>
    <col min="7443" max="7444" width="9.28515625" style="4" customWidth="1"/>
    <col min="7445" max="7680" width="8.85546875" style="4"/>
    <col min="7681" max="7681" width="31.42578125" style="4" customWidth="1"/>
    <col min="7682" max="7682" width="18.28515625" style="4" customWidth="1"/>
    <col min="7683" max="7688" width="6.7109375" style="4" customWidth="1"/>
    <col min="7689" max="7691" width="7.5703125" style="4" customWidth="1"/>
    <col min="7692" max="7692" width="7.85546875" style="4" customWidth="1"/>
    <col min="7693" max="7694" width="8.28515625" style="4" customWidth="1"/>
    <col min="7695" max="7695" width="5.42578125" style="4" customWidth="1"/>
    <col min="7696" max="7696" width="7.5703125" style="4" customWidth="1"/>
    <col min="7697" max="7697" width="7.85546875" style="4" customWidth="1"/>
    <col min="7698" max="7698" width="12.5703125" style="4" customWidth="1"/>
    <col min="7699" max="7700" width="9.28515625" style="4" customWidth="1"/>
    <col min="7701" max="7936" width="8.85546875" style="4"/>
    <col min="7937" max="7937" width="31.42578125" style="4" customWidth="1"/>
    <col min="7938" max="7938" width="18.28515625" style="4" customWidth="1"/>
    <col min="7939" max="7944" width="6.7109375" style="4" customWidth="1"/>
    <col min="7945" max="7947" width="7.5703125" style="4" customWidth="1"/>
    <col min="7948" max="7948" width="7.85546875" style="4" customWidth="1"/>
    <col min="7949" max="7950" width="8.28515625" style="4" customWidth="1"/>
    <col min="7951" max="7951" width="5.42578125" style="4" customWidth="1"/>
    <col min="7952" max="7952" width="7.5703125" style="4" customWidth="1"/>
    <col min="7953" max="7953" width="7.85546875" style="4" customWidth="1"/>
    <col min="7954" max="7954" width="12.5703125" style="4" customWidth="1"/>
    <col min="7955" max="7956" width="9.28515625" style="4" customWidth="1"/>
    <col min="7957" max="8192" width="8.85546875" style="4"/>
    <col min="8193" max="8193" width="31.42578125" style="4" customWidth="1"/>
    <col min="8194" max="8194" width="18.28515625" style="4" customWidth="1"/>
    <col min="8195" max="8200" width="6.7109375" style="4" customWidth="1"/>
    <col min="8201" max="8203" width="7.5703125" style="4" customWidth="1"/>
    <col min="8204" max="8204" width="7.85546875" style="4" customWidth="1"/>
    <col min="8205" max="8206" width="8.28515625" style="4" customWidth="1"/>
    <col min="8207" max="8207" width="5.42578125" style="4" customWidth="1"/>
    <col min="8208" max="8208" width="7.5703125" style="4" customWidth="1"/>
    <col min="8209" max="8209" width="7.85546875" style="4" customWidth="1"/>
    <col min="8210" max="8210" width="12.5703125" style="4" customWidth="1"/>
    <col min="8211" max="8212" width="9.28515625" style="4" customWidth="1"/>
    <col min="8213" max="8448" width="8.85546875" style="4"/>
    <col min="8449" max="8449" width="31.42578125" style="4" customWidth="1"/>
    <col min="8450" max="8450" width="18.28515625" style="4" customWidth="1"/>
    <col min="8451" max="8456" width="6.7109375" style="4" customWidth="1"/>
    <col min="8457" max="8459" width="7.5703125" style="4" customWidth="1"/>
    <col min="8460" max="8460" width="7.85546875" style="4" customWidth="1"/>
    <col min="8461" max="8462" width="8.28515625" style="4" customWidth="1"/>
    <col min="8463" max="8463" width="5.42578125" style="4" customWidth="1"/>
    <col min="8464" max="8464" width="7.5703125" style="4" customWidth="1"/>
    <col min="8465" max="8465" width="7.85546875" style="4" customWidth="1"/>
    <col min="8466" max="8466" width="12.5703125" style="4" customWidth="1"/>
    <col min="8467" max="8468" width="9.28515625" style="4" customWidth="1"/>
    <col min="8469" max="8704" width="8.85546875" style="4"/>
    <col min="8705" max="8705" width="31.42578125" style="4" customWidth="1"/>
    <col min="8706" max="8706" width="18.28515625" style="4" customWidth="1"/>
    <col min="8707" max="8712" width="6.7109375" style="4" customWidth="1"/>
    <col min="8713" max="8715" width="7.5703125" style="4" customWidth="1"/>
    <col min="8716" max="8716" width="7.85546875" style="4" customWidth="1"/>
    <col min="8717" max="8718" width="8.28515625" style="4" customWidth="1"/>
    <col min="8719" max="8719" width="5.42578125" style="4" customWidth="1"/>
    <col min="8720" max="8720" width="7.5703125" style="4" customWidth="1"/>
    <col min="8721" max="8721" width="7.85546875" style="4" customWidth="1"/>
    <col min="8722" max="8722" width="12.5703125" style="4" customWidth="1"/>
    <col min="8723" max="8724" width="9.28515625" style="4" customWidth="1"/>
    <col min="8725" max="8960" width="8.85546875" style="4"/>
    <col min="8961" max="8961" width="31.42578125" style="4" customWidth="1"/>
    <col min="8962" max="8962" width="18.28515625" style="4" customWidth="1"/>
    <col min="8963" max="8968" width="6.7109375" style="4" customWidth="1"/>
    <col min="8969" max="8971" width="7.5703125" style="4" customWidth="1"/>
    <col min="8972" max="8972" width="7.85546875" style="4" customWidth="1"/>
    <col min="8973" max="8974" width="8.28515625" style="4" customWidth="1"/>
    <col min="8975" max="8975" width="5.42578125" style="4" customWidth="1"/>
    <col min="8976" max="8976" width="7.5703125" style="4" customWidth="1"/>
    <col min="8977" max="8977" width="7.85546875" style="4" customWidth="1"/>
    <col min="8978" max="8978" width="12.5703125" style="4" customWidth="1"/>
    <col min="8979" max="8980" width="9.28515625" style="4" customWidth="1"/>
    <col min="8981" max="9216" width="8.85546875" style="4"/>
    <col min="9217" max="9217" width="31.42578125" style="4" customWidth="1"/>
    <col min="9218" max="9218" width="18.28515625" style="4" customWidth="1"/>
    <col min="9219" max="9224" width="6.7109375" style="4" customWidth="1"/>
    <col min="9225" max="9227" width="7.5703125" style="4" customWidth="1"/>
    <col min="9228" max="9228" width="7.85546875" style="4" customWidth="1"/>
    <col min="9229" max="9230" width="8.28515625" style="4" customWidth="1"/>
    <col min="9231" max="9231" width="5.42578125" style="4" customWidth="1"/>
    <col min="9232" max="9232" width="7.5703125" style="4" customWidth="1"/>
    <col min="9233" max="9233" width="7.85546875" style="4" customWidth="1"/>
    <col min="9234" max="9234" width="12.5703125" style="4" customWidth="1"/>
    <col min="9235" max="9236" width="9.28515625" style="4" customWidth="1"/>
    <col min="9237" max="9472" width="8.85546875" style="4"/>
    <col min="9473" max="9473" width="31.42578125" style="4" customWidth="1"/>
    <col min="9474" max="9474" width="18.28515625" style="4" customWidth="1"/>
    <col min="9475" max="9480" width="6.7109375" style="4" customWidth="1"/>
    <col min="9481" max="9483" width="7.5703125" style="4" customWidth="1"/>
    <col min="9484" max="9484" width="7.85546875" style="4" customWidth="1"/>
    <col min="9485" max="9486" width="8.28515625" style="4" customWidth="1"/>
    <col min="9487" max="9487" width="5.42578125" style="4" customWidth="1"/>
    <col min="9488" max="9488" width="7.5703125" style="4" customWidth="1"/>
    <col min="9489" max="9489" width="7.85546875" style="4" customWidth="1"/>
    <col min="9490" max="9490" width="12.5703125" style="4" customWidth="1"/>
    <col min="9491" max="9492" width="9.28515625" style="4" customWidth="1"/>
    <col min="9493" max="9728" width="8.85546875" style="4"/>
    <col min="9729" max="9729" width="31.42578125" style="4" customWidth="1"/>
    <col min="9730" max="9730" width="18.28515625" style="4" customWidth="1"/>
    <col min="9731" max="9736" width="6.7109375" style="4" customWidth="1"/>
    <col min="9737" max="9739" width="7.5703125" style="4" customWidth="1"/>
    <col min="9740" max="9740" width="7.85546875" style="4" customWidth="1"/>
    <col min="9741" max="9742" width="8.28515625" style="4" customWidth="1"/>
    <col min="9743" max="9743" width="5.42578125" style="4" customWidth="1"/>
    <col min="9744" max="9744" width="7.5703125" style="4" customWidth="1"/>
    <col min="9745" max="9745" width="7.85546875" style="4" customWidth="1"/>
    <col min="9746" max="9746" width="12.5703125" style="4" customWidth="1"/>
    <col min="9747" max="9748" width="9.28515625" style="4" customWidth="1"/>
    <col min="9749" max="9984" width="8.85546875" style="4"/>
    <col min="9985" max="9985" width="31.42578125" style="4" customWidth="1"/>
    <col min="9986" max="9986" width="18.28515625" style="4" customWidth="1"/>
    <col min="9987" max="9992" width="6.7109375" style="4" customWidth="1"/>
    <col min="9993" max="9995" width="7.5703125" style="4" customWidth="1"/>
    <col min="9996" max="9996" width="7.85546875" style="4" customWidth="1"/>
    <col min="9997" max="9998" width="8.28515625" style="4" customWidth="1"/>
    <col min="9999" max="9999" width="5.42578125" style="4" customWidth="1"/>
    <col min="10000" max="10000" width="7.5703125" style="4" customWidth="1"/>
    <col min="10001" max="10001" width="7.85546875" style="4" customWidth="1"/>
    <col min="10002" max="10002" width="12.5703125" style="4" customWidth="1"/>
    <col min="10003" max="10004" width="9.28515625" style="4" customWidth="1"/>
    <col min="10005" max="10240" width="8.85546875" style="4"/>
    <col min="10241" max="10241" width="31.42578125" style="4" customWidth="1"/>
    <col min="10242" max="10242" width="18.28515625" style="4" customWidth="1"/>
    <col min="10243" max="10248" width="6.7109375" style="4" customWidth="1"/>
    <col min="10249" max="10251" width="7.5703125" style="4" customWidth="1"/>
    <col min="10252" max="10252" width="7.85546875" style="4" customWidth="1"/>
    <col min="10253" max="10254" width="8.28515625" style="4" customWidth="1"/>
    <col min="10255" max="10255" width="5.42578125" style="4" customWidth="1"/>
    <col min="10256" max="10256" width="7.5703125" style="4" customWidth="1"/>
    <col min="10257" max="10257" width="7.85546875" style="4" customWidth="1"/>
    <col min="10258" max="10258" width="12.5703125" style="4" customWidth="1"/>
    <col min="10259" max="10260" width="9.28515625" style="4" customWidth="1"/>
    <col min="10261" max="10496" width="8.85546875" style="4"/>
    <col min="10497" max="10497" width="31.42578125" style="4" customWidth="1"/>
    <col min="10498" max="10498" width="18.28515625" style="4" customWidth="1"/>
    <col min="10499" max="10504" width="6.7109375" style="4" customWidth="1"/>
    <col min="10505" max="10507" width="7.5703125" style="4" customWidth="1"/>
    <col min="10508" max="10508" width="7.85546875" style="4" customWidth="1"/>
    <col min="10509" max="10510" width="8.28515625" style="4" customWidth="1"/>
    <col min="10511" max="10511" width="5.42578125" style="4" customWidth="1"/>
    <col min="10512" max="10512" width="7.5703125" style="4" customWidth="1"/>
    <col min="10513" max="10513" width="7.85546875" style="4" customWidth="1"/>
    <col min="10514" max="10514" width="12.5703125" style="4" customWidth="1"/>
    <col min="10515" max="10516" width="9.28515625" style="4" customWidth="1"/>
    <col min="10517" max="10752" width="8.85546875" style="4"/>
    <col min="10753" max="10753" width="31.42578125" style="4" customWidth="1"/>
    <col min="10754" max="10754" width="18.28515625" style="4" customWidth="1"/>
    <col min="10755" max="10760" width="6.7109375" style="4" customWidth="1"/>
    <col min="10761" max="10763" width="7.5703125" style="4" customWidth="1"/>
    <col min="10764" max="10764" width="7.85546875" style="4" customWidth="1"/>
    <col min="10765" max="10766" width="8.28515625" style="4" customWidth="1"/>
    <col min="10767" max="10767" width="5.42578125" style="4" customWidth="1"/>
    <col min="10768" max="10768" width="7.5703125" style="4" customWidth="1"/>
    <col min="10769" max="10769" width="7.85546875" style="4" customWidth="1"/>
    <col min="10770" max="10770" width="12.5703125" style="4" customWidth="1"/>
    <col min="10771" max="10772" width="9.28515625" style="4" customWidth="1"/>
    <col min="10773" max="11008" width="8.85546875" style="4"/>
    <col min="11009" max="11009" width="31.42578125" style="4" customWidth="1"/>
    <col min="11010" max="11010" width="18.28515625" style="4" customWidth="1"/>
    <col min="11011" max="11016" width="6.7109375" style="4" customWidth="1"/>
    <col min="11017" max="11019" width="7.5703125" style="4" customWidth="1"/>
    <col min="11020" max="11020" width="7.85546875" style="4" customWidth="1"/>
    <col min="11021" max="11022" width="8.28515625" style="4" customWidth="1"/>
    <col min="11023" max="11023" width="5.42578125" style="4" customWidth="1"/>
    <col min="11024" max="11024" width="7.5703125" style="4" customWidth="1"/>
    <col min="11025" max="11025" width="7.85546875" style="4" customWidth="1"/>
    <col min="11026" max="11026" width="12.5703125" style="4" customWidth="1"/>
    <col min="11027" max="11028" width="9.28515625" style="4" customWidth="1"/>
    <col min="11029" max="11264" width="8.85546875" style="4"/>
    <col min="11265" max="11265" width="31.42578125" style="4" customWidth="1"/>
    <col min="11266" max="11266" width="18.28515625" style="4" customWidth="1"/>
    <col min="11267" max="11272" width="6.7109375" style="4" customWidth="1"/>
    <col min="11273" max="11275" width="7.5703125" style="4" customWidth="1"/>
    <col min="11276" max="11276" width="7.85546875" style="4" customWidth="1"/>
    <col min="11277" max="11278" width="8.28515625" style="4" customWidth="1"/>
    <col min="11279" max="11279" width="5.42578125" style="4" customWidth="1"/>
    <col min="11280" max="11280" width="7.5703125" style="4" customWidth="1"/>
    <col min="11281" max="11281" width="7.85546875" style="4" customWidth="1"/>
    <col min="11282" max="11282" width="12.5703125" style="4" customWidth="1"/>
    <col min="11283" max="11284" width="9.28515625" style="4" customWidth="1"/>
    <col min="11285" max="11520" width="8.85546875" style="4"/>
    <col min="11521" max="11521" width="31.42578125" style="4" customWidth="1"/>
    <col min="11522" max="11522" width="18.28515625" style="4" customWidth="1"/>
    <col min="11523" max="11528" width="6.7109375" style="4" customWidth="1"/>
    <col min="11529" max="11531" width="7.5703125" style="4" customWidth="1"/>
    <col min="11532" max="11532" width="7.85546875" style="4" customWidth="1"/>
    <col min="11533" max="11534" width="8.28515625" style="4" customWidth="1"/>
    <col min="11535" max="11535" width="5.42578125" style="4" customWidth="1"/>
    <col min="11536" max="11536" width="7.5703125" style="4" customWidth="1"/>
    <col min="11537" max="11537" width="7.85546875" style="4" customWidth="1"/>
    <col min="11538" max="11538" width="12.5703125" style="4" customWidth="1"/>
    <col min="11539" max="11540" width="9.28515625" style="4" customWidth="1"/>
    <col min="11541" max="11776" width="8.85546875" style="4"/>
    <col min="11777" max="11777" width="31.42578125" style="4" customWidth="1"/>
    <col min="11778" max="11778" width="18.28515625" style="4" customWidth="1"/>
    <col min="11779" max="11784" width="6.7109375" style="4" customWidth="1"/>
    <col min="11785" max="11787" width="7.5703125" style="4" customWidth="1"/>
    <col min="11788" max="11788" width="7.85546875" style="4" customWidth="1"/>
    <col min="11789" max="11790" width="8.28515625" style="4" customWidth="1"/>
    <col min="11791" max="11791" width="5.42578125" style="4" customWidth="1"/>
    <col min="11792" max="11792" width="7.5703125" style="4" customWidth="1"/>
    <col min="11793" max="11793" width="7.85546875" style="4" customWidth="1"/>
    <col min="11794" max="11794" width="12.5703125" style="4" customWidth="1"/>
    <col min="11795" max="11796" width="9.28515625" style="4" customWidth="1"/>
    <col min="11797" max="12032" width="8.85546875" style="4"/>
    <col min="12033" max="12033" width="31.42578125" style="4" customWidth="1"/>
    <col min="12034" max="12034" width="18.28515625" style="4" customWidth="1"/>
    <col min="12035" max="12040" width="6.7109375" style="4" customWidth="1"/>
    <col min="12041" max="12043" width="7.5703125" style="4" customWidth="1"/>
    <col min="12044" max="12044" width="7.85546875" style="4" customWidth="1"/>
    <col min="12045" max="12046" width="8.28515625" style="4" customWidth="1"/>
    <col min="12047" max="12047" width="5.42578125" style="4" customWidth="1"/>
    <col min="12048" max="12048" width="7.5703125" style="4" customWidth="1"/>
    <col min="12049" max="12049" width="7.85546875" style="4" customWidth="1"/>
    <col min="12050" max="12050" width="12.5703125" style="4" customWidth="1"/>
    <col min="12051" max="12052" width="9.28515625" style="4" customWidth="1"/>
    <col min="12053" max="12288" width="8.85546875" style="4"/>
    <col min="12289" max="12289" width="31.42578125" style="4" customWidth="1"/>
    <col min="12290" max="12290" width="18.28515625" style="4" customWidth="1"/>
    <col min="12291" max="12296" width="6.7109375" style="4" customWidth="1"/>
    <col min="12297" max="12299" width="7.5703125" style="4" customWidth="1"/>
    <col min="12300" max="12300" width="7.85546875" style="4" customWidth="1"/>
    <col min="12301" max="12302" width="8.28515625" style="4" customWidth="1"/>
    <col min="12303" max="12303" width="5.42578125" style="4" customWidth="1"/>
    <col min="12304" max="12304" width="7.5703125" style="4" customWidth="1"/>
    <col min="12305" max="12305" width="7.85546875" style="4" customWidth="1"/>
    <col min="12306" max="12306" width="12.5703125" style="4" customWidth="1"/>
    <col min="12307" max="12308" width="9.28515625" style="4" customWidth="1"/>
    <col min="12309" max="12544" width="8.85546875" style="4"/>
    <col min="12545" max="12545" width="31.42578125" style="4" customWidth="1"/>
    <col min="12546" max="12546" width="18.28515625" style="4" customWidth="1"/>
    <col min="12547" max="12552" width="6.7109375" style="4" customWidth="1"/>
    <col min="12553" max="12555" width="7.5703125" style="4" customWidth="1"/>
    <col min="12556" max="12556" width="7.85546875" style="4" customWidth="1"/>
    <col min="12557" max="12558" width="8.28515625" style="4" customWidth="1"/>
    <col min="12559" max="12559" width="5.42578125" style="4" customWidth="1"/>
    <col min="12560" max="12560" width="7.5703125" style="4" customWidth="1"/>
    <col min="12561" max="12561" width="7.85546875" style="4" customWidth="1"/>
    <col min="12562" max="12562" width="12.5703125" style="4" customWidth="1"/>
    <col min="12563" max="12564" width="9.28515625" style="4" customWidth="1"/>
    <col min="12565" max="12800" width="8.85546875" style="4"/>
    <col min="12801" max="12801" width="31.42578125" style="4" customWidth="1"/>
    <col min="12802" max="12802" width="18.28515625" style="4" customWidth="1"/>
    <col min="12803" max="12808" width="6.7109375" style="4" customWidth="1"/>
    <col min="12809" max="12811" width="7.5703125" style="4" customWidth="1"/>
    <col min="12812" max="12812" width="7.85546875" style="4" customWidth="1"/>
    <col min="12813" max="12814" width="8.28515625" style="4" customWidth="1"/>
    <col min="12815" max="12815" width="5.42578125" style="4" customWidth="1"/>
    <col min="12816" max="12816" width="7.5703125" style="4" customWidth="1"/>
    <col min="12817" max="12817" width="7.85546875" style="4" customWidth="1"/>
    <col min="12818" max="12818" width="12.5703125" style="4" customWidth="1"/>
    <col min="12819" max="12820" width="9.28515625" style="4" customWidth="1"/>
    <col min="12821" max="13056" width="8.85546875" style="4"/>
    <col min="13057" max="13057" width="31.42578125" style="4" customWidth="1"/>
    <col min="13058" max="13058" width="18.28515625" style="4" customWidth="1"/>
    <col min="13059" max="13064" width="6.7109375" style="4" customWidth="1"/>
    <col min="13065" max="13067" width="7.5703125" style="4" customWidth="1"/>
    <col min="13068" max="13068" width="7.85546875" style="4" customWidth="1"/>
    <col min="13069" max="13070" width="8.28515625" style="4" customWidth="1"/>
    <col min="13071" max="13071" width="5.42578125" style="4" customWidth="1"/>
    <col min="13072" max="13072" width="7.5703125" style="4" customWidth="1"/>
    <col min="13073" max="13073" width="7.85546875" style="4" customWidth="1"/>
    <col min="13074" max="13074" width="12.5703125" style="4" customWidth="1"/>
    <col min="13075" max="13076" width="9.28515625" style="4" customWidth="1"/>
    <col min="13077" max="13312" width="8.85546875" style="4"/>
    <col min="13313" max="13313" width="31.42578125" style="4" customWidth="1"/>
    <col min="13314" max="13314" width="18.28515625" style="4" customWidth="1"/>
    <col min="13315" max="13320" width="6.7109375" style="4" customWidth="1"/>
    <col min="13321" max="13323" width="7.5703125" style="4" customWidth="1"/>
    <col min="13324" max="13324" width="7.85546875" style="4" customWidth="1"/>
    <col min="13325" max="13326" width="8.28515625" style="4" customWidth="1"/>
    <col min="13327" max="13327" width="5.42578125" style="4" customWidth="1"/>
    <col min="13328" max="13328" width="7.5703125" style="4" customWidth="1"/>
    <col min="13329" max="13329" width="7.85546875" style="4" customWidth="1"/>
    <col min="13330" max="13330" width="12.5703125" style="4" customWidth="1"/>
    <col min="13331" max="13332" width="9.28515625" style="4" customWidth="1"/>
    <col min="13333" max="13568" width="8.85546875" style="4"/>
    <col min="13569" max="13569" width="31.42578125" style="4" customWidth="1"/>
    <col min="13570" max="13570" width="18.28515625" style="4" customWidth="1"/>
    <col min="13571" max="13576" width="6.7109375" style="4" customWidth="1"/>
    <col min="13577" max="13579" width="7.5703125" style="4" customWidth="1"/>
    <col min="13580" max="13580" width="7.85546875" style="4" customWidth="1"/>
    <col min="13581" max="13582" width="8.28515625" style="4" customWidth="1"/>
    <col min="13583" max="13583" width="5.42578125" style="4" customWidth="1"/>
    <col min="13584" max="13584" width="7.5703125" style="4" customWidth="1"/>
    <col min="13585" max="13585" width="7.85546875" style="4" customWidth="1"/>
    <col min="13586" max="13586" width="12.5703125" style="4" customWidth="1"/>
    <col min="13587" max="13588" width="9.28515625" style="4" customWidth="1"/>
    <col min="13589" max="13824" width="8.85546875" style="4"/>
    <col min="13825" max="13825" width="31.42578125" style="4" customWidth="1"/>
    <col min="13826" max="13826" width="18.28515625" style="4" customWidth="1"/>
    <col min="13827" max="13832" width="6.7109375" style="4" customWidth="1"/>
    <col min="13833" max="13835" width="7.5703125" style="4" customWidth="1"/>
    <col min="13836" max="13836" width="7.85546875" style="4" customWidth="1"/>
    <col min="13837" max="13838" width="8.28515625" style="4" customWidth="1"/>
    <col min="13839" max="13839" width="5.42578125" style="4" customWidth="1"/>
    <col min="13840" max="13840" width="7.5703125" style="4" customWidth="1"/>
    <col min="13841" max="13841" width="7.85546875" style="4" customWidth="1"/>
    <col min="13842" max="13842" width="12.5703125" style="4" customWidth="1"/>
    <col min="13843" max="13844" width="9.28515625" style="4" customWidth="1"/>
    <col min="13845" max="14080" width="8.85546875" style="4"/>
    <col min="14081" max="14081" width="31.42578125" style="4" customWidth="1"/>
    <col min="14082" max="14082" width="18.28515625" style="4" customWidth="1"/>
    <col min="14083" max="14088" width="6.7109375" style="4" customWidth="1"/>
    <col min="14089" max="14091" width="7.5703125" style="4" customWidth="1"/>
    <col min="14092" max="14092" width="7.85546875" style="4" customWidth="1"/>
    <col min="14093" max="14094" width="8.28515625" style="4" customWidth="1"/>
    <col min="14095" max="14095" width="5.42578125" style="4" customWidth="1"/>
    <col min="14096" max="14096" width="7.5703125" style="4" customWidth="1"/>
    <col min="14097" max="14097" width="7.85546875" style="4" customWidth="1"/>
    <col min="14098" max="14098" width="12.5703125" style="4" customWidth="1"/>
    <col min="14099" max="14100" width="9.28515625" style="4" customWidth="1"/>
    <col min="14101" max="14336" width="8.85546875" style="4"/>
    <col min="14337" max="14337" width="31.42578125" style="4" customWidth="1"/>
    <col min="14338" max="14338" width="18.28515625" style="4" customWidth="1"/>
    <col min="14339" max="14344" width="6.7109375" style="4" customWidth="1"/>
    <col min="14345" max="14347" width="7.5703125" style="4" customWidth="1"/>
    <col min="14348" max="14348" width="7.85546875" style="4" customWidth="1"/>
    <col min="14349" max="14350" width="8.28515625" style="4" customWidth="1"/>
    <col min="14351" max="14351" width="5.42578125" style="4" customWidth="1"/>
    <col min="14352" max="14352" width="7.5703125" style="4" customWidth="1"/>
    <col min="14353" max="14353" width="7.85546875" style="4" customWidth="1"/>
    <col min="14354" max="14354" width="12.5703125" style="4" customWidth="1"/>
    <col min="14355" max="14356" width="9.28515625" style="4" customWidth="1"/>
    <col min="14357" max="14592" width="8.85546875" style="4"/>
    <col min="14593" max="14593" width="31.42578125" style="4" customWidth="1"/>
    <col min="14594" max="14594" width="18.28515625" style="4" customWidth="1"/>
    <col min="14595" max="14600" width="6.7109375" style="4" customWidth="1"/>
    <col min="14601" max="14603" width="7.5703125" style="4" customWidth="1"/>
    <col min="14604" max="14604" width="7.85546875" style="4" customWidth="1"/>
    <col min="14605" max="14606" width="8.28515625" style="4" customWidth="1"/>
    <col min="14607" max="14607" width="5.42578125" style="4" customWidth="1"/>
    <col min="14608" max="14608" width="7.5703125" style="4" customWidth="1"/>
    <col min="14609" max="14609" width="7.85546875" style="4" customWidth="1"/>
    <col min="14610" max="14610" width="12.5703125" style="4" customWidth="1"/>
    <col min="14611" max="14612" width="9.28515625" style="4" customWidth="1"/>
    <col min="14613" max="14848" width="8.85546875" style="4"/>
    <col min="14849" max="14849" width="31.42578125" style="4" customWidth="1"/>
    <col min="14850" max="14850" width="18.28515625" style="4" customWidth="1"/>
    <col min="14851" max="14856" width="6.7109375" style="4" customWidth="1"/>
    <col min="14857" max="14859" width="7.5703125" style="4" customWidth="1"/>
    <col min="14860" max="14860" width="7.85546875" style="4" customWidth="1"/>
    <col min="14861" max="14862" width="8.28515625" style="4" customWidth="1"/>
    <col min="14863" max="14863" width="5.42578125" style="4" customWidth="1"/>
    <col min="14864" max="14864" width="7.5703125" style="4" customWidth="1"/>
    <col min="14865" max="14865" width="7.85546875" style="4" customWidth="1"/>
    <col min="14866" max="14866" width="12.5703125" style="4" customWidth="1"/>
    <col min="14867" max="14868" width="9.28515625" style="4" customWidth="1"/>
    <col min="14869" max="15104" width="8.85546875" style="4"/>
    <col min="15105" max="15105" width="31.42578125" style="4" customWidth="1"/>
    <col min="15106" max="15106" width="18.28515625" style="4" customWidth="1"/>
    <col min="15107" max="15112" width="6.7109375" style="4" customWidth="1"/>
    <col min="15113" max="15115" width="7.5703125" style="4" customWidth="1"/>
    <col min="15116" max="15116" width="7.85546875" style="4" customWidth="1"/>
    <col min="15117" max="15118" width="8.28515625" style="4" customWidth="1"/>
    <col min="15119" max="15119" width="5.42578125" style="4" customWidth="1"/>
    <col min="15120" max="15120" width="7.5703125" style="4" customWidth="1"/>
    <col min="15121" max="15121" width="7.85546875" style="4" customWidth="1"/>
    <col min="15122" max="15122" width="12.5703125" style="4" customWidth="1"/>
    <col min="15123" max="15124" width="9.28515625" style="4" customWidth="1"/>
    <col min="15125" max="15360" width="8.85546875" style="4"/>
    <col min="15361" max="15361" width="31.42578125" style="4" customWidth="1"/>
    <col min="15362" max="15362" width="18.28515625" style="4" customWidth="1"/>
    <col min="15363" max="15368" width="6.7109375" style="4" customWidth="1"/>
    <col min="15369" max="15371" width="7.5703125" style="4" customWidth="1"/>
    <col min="15372" max="15372" width="7.85546875" style="4" customWidth="1"/>
    <col min="15373" max="15374" width="8.28515625" style="4" customWidth="1"/>
    <col min="15375" max="15375" width="5.42578125" style="4" customWidth="1"/>
    <col min="15376" max="15376" width="7.5703125" style="4" customWidth="1"/>
    <col min="15377" max="15377" width="7.85546875" style="4" customWidth="1"/>
    <col min="15378" max="15378" width="12.5703125" style="4" customWidth="1"/>
    <col min="15379" max="15380" width="9.28515625" style="4" customWidth="1"/>
    <col min="15381" max="15616" width="8.85546875" style="4"/>
    <col min="15617" max="15617" width="31.42578125" style="4" customWidth="1"/>
    <col min="15618" max="15618" width="18.28515625" style="4" customWidth="1"/>
    <col min="15619" max="15624" width="6.7109375" style="4" customWidth="1"/>
    <col min="15625" max="15627" width="7.5703125" style="4" customWidth="1"/>
    <col min="15628" max="15628" width="7.85546875" style="4" customWidth="1"/>
    <col min="15629" max="15630" width="8.28515625" style="4" customWidth="1"/>
    <col min="15631" max="15631" width="5.42578125" style="4" customWidth="1"/>
    <col min="15632" max="15632" width="7.5703125" style="4" customWidth="1"/>
    <col min="15633" max="15633" width="7.85546875" style="4" customWidth="1"/>
    <col min="15634" max="15634" width="12.5703125" style="4" customWidth="1"/>
    <col min="15635" max="15636" width="9.28515625" style="4" customWidth="1"/>
    <col min="15637" max="15872" width="8.85546875" style="4"/>
    <col min="15873" max="15873" width="31.42578125" style="4" customWidth="1"/>
    <col min="15874" max="15874" width="18.28515625" style="4" customWidth="1"/>
    <col min="15875" max="15880" width="6.7109375" style="4" customWidth="1"/>
    <col min="15881" max="15883" width="7.5703125" style="4" customWidth="1"/>
    <col min="15884" max="15884" width="7.85546875" style="4" customWidth="1"/>
    <col min="15885" max="15886" width="8.28515625" style="4" customWidth="1"/>
    <col min="15887" max="15887" width="5.42578125" style="4" customWidth="1"/>
    <col min="15888" max="15888" width="7.5703125" style="4" customWidth="1"/>
    <col min="15889" max="15889" width="7.85546875" style="4" customWidth="1"/>
    <col min="15890" max="15890" width="12.5703125" style="4" customWidth="1"/>
    <col min="15891" max="15892" width="9.28515625" style="4" customWidth="1"/>
    <col min="15893" max="16128" width="8.85546875" style="4"/>
    <col min="16129" max="16129" width="31.42578125" style="4" customWidth="1"/>
    <col min="16130" max="16130" width="18.28515625" style="4" customWidth="1"/>
    <col min="16131" max="16136" width="6.7109375" style="4" customWidth="1"/>
    <col min="16137" max="16139" width="7.5703125" style="4" customWidth="1"/>
    <col min="16140" max="16140" width="7.85546875" style="4" customWidth="1"/>
    <col min="16141" max="16142" width="8.28515625" style="4" customWidth="1"/>
    <col min="16143" max="16143" width="5.42578125" style="4" customWidth="1"/>
    <col min="16144" max="16144" width="7.5703125" style="4" customWidth="1"/>
    <col min="16145" max="16145" width="7.85546875" style="4" customWidth="1"/>
    <col min="16146" max="16146" width="12.5703125" style="4" customWidth="1"/>
    <col min="16147" max="16148" width="9.28515625" style="4" customWidth="1"/>
    <col min="16149" max="16384" width="8.85546875" style="4"/>
  </cols>
  <sheetData>
    <row r="1" spans="1:23" s="71" customFormat="1" ht="15" customHeight="1" x14ac:dyDescent="0.2">
      <c r="A1" s="598"/>
      <c r="B1" s="623" t="s">
        <v>388</v>
      </c>
      <c r="C1" s="594" t="e">
        <f>#REF!</f>
        <v>#REF!</v>
      </c>
      <c r="D1" s="590"/>
      <c r="E1" s="590"/>
      <c r="F1" s="590"/>
      <c r="G1" s="590"/>
      <c r="H1" s="590"/>
      <c r="I1" s="590"/>
      <c r="J1" s="590"/>
      <c r="K1" s="590"/>
      <c r="L1" s="594"/>
      <c r="M1" s="594"/>
      <c r="N1" s="609"/>
      <c r="O1" s="609"/>
      <c r="P1" s="609"/>
      <c r="Q1" s="609"/>
      <c r="R1" s="614"/>
      <c r="S1" s="601"/>
      <c r="T1" s="602"/>
    </row>
    <row r="2" spans="1:23" s="348" customFormat="1" ht="15" customHeight="1" x14ac:dyDescent="0.2">
      <c r="A2" s="672"/>
      <c r="B2" s="623" t="s">
        <v>358</v>
      </c>
      <c r="C2" s="635" t="e">
        <f>#REF!</f>
        <v>#REF!</v>
      </c>
      <c r="D2" s="594"/>
      <c r="E2" s="594"/>
      <c r="F2" s="594"/>
      <c r="G2" s="594"/>
      <c r="H2" s="594"/>
      <c r="I2" s="594"/>
      <c r="J2" s="594"/>
      <c r="K2" s="594"/>
      <c r="L2" s="674"/>
      <c r="M2" s="674"/>
      <c r="N2" s="674"/>
      <c r="O2" s="674"/>
      <c r="P2" s="674"/>
      <c r="Q2" s="674"/>
      <c r="R2" s="673"/>
      <c r="S2" s="603"/>
      <c r="T2" s="604"/>
    </row>
    <row r="3" spans="1:23" s="348" customFormat="1" ht="15" customHeight="1" x14ac:dyDescent="0.2">
      <c r="A3" s="600"/>
      <c r="B3" s="623" t="s">
        <v>359</v>
      </c>
      <c r="C3" s="594" t="s">
        <v>454</v>
      </c>
      <c r="E3" s="594"/>
      <c r="F3" s="594"/>
      <c r="G3" s="594"/>
      <c r="H3" s="594"/>
      <c r="I3" s="594"/>
      <c r="J3" s="594"/>
      <c r="K3" s="596"/>
      <c r="L3" s="674"/>
      <c r="M3" s="674"/>
      <c r="N3" s="674"/>
      <c r="O3" s="674"/>
      <c r="P3" s="674"/>
      <c r="Q3" s="674"/>
      <c r="R3" s="673"/>
      <c r="S3" s="605"/>
      <c r="T3" s="606"/>
    </row>
    <row r="4" spans="1:23" s="90" customFormat="1" ht="20.45" customHeight="1" x14ac:dyDescent="0.2">
      <c r="A4" s="1255" t="s">
        <v>394</v>
      </c>
      <c r="B4" s="1255"/>
      <c r="C4" s="1255"/>
      <c r="D4" s="1255"/>
      <c r="E4" s="1255"/>
      <c r="F4" s="1255"/>
      <c r="G4" s="1255"/>
      <c r="H4" s="1255"/>
      <c r="I4" s="1255"/>
      <c r="J4" s="1255"/>
      <c r="K4" s="1255"/>
      <c r="L4" s="1255"/>
      <c r="M4" s="1255"/>
      <c r="N4" s="1255"/>
      <c r="O4" s="1255"/>
      <c r="P4" s="1255"/>
      <c r="Q4" s="1255"/>
      <c r="R4" s="1255"/>
      <c r="S4" s="1255"/>
      <c r="T4" s="1255"/>
    </row>
    <row r="5" spans="1:23" s="249" customFormat="1" ht="16.5" customHeight="1" x14ac:dyDescent="0.2">
      <c r="A5" s="1313" t="s">
        <v>7</v>
      </c>
      <c r="B5" s="1308" t="s">
        <v>82</v>
      </c>
      <c r="C5" s="1315"/>
      <c r="D5" s="1309"/>
      <c r="E5" s="1308" t="s">
        <v>46</v>
      </c>
      <c r="F5" s="1309"/>
      <c r="G5" s="550"/>
      <c r="H5" s="1312" t="s">
        <v>45</v>
      </c>
      <c r="I5" s="1312" t="s">
        <v>47</v>
      </c>
      <c r="J5" s="1312" t="s">
        <v>48</v>
      </c>
      <c r="K5" s="1316" t="s">
        <v>49</v>
      </c>
      <c r="L5" s="551" t="s">
        <v>50</v>
      </c>
      <c r="M5" s="1317" t="s">
        <v>51</v>
      </c>
      <c r="N5" s="1313"/>
      <c r="O5" s="1318" t="s">
        <v>391</v>
      </c>
      <c r="P5" s="1322" t="s">
        <v>152</v>
      </c>
      <c r="Q5" s="1318" t="s">
        <v>392</v>
      </c>
      <c r="R5" s="699"/>
      <c r="S5" s="1323" t="s">
        <v>52</v>
      </c>
      <c r="T5" s="1325" t="s">
        <v>53</v>
      </c>
      <c r="V5" s="1308" t="s">
        <v>183</v>
      </c>
      <c r="W5" s="1309"/>
    </row>
    <row r="6" spans="1:23" s="249" customFormat="1" ht="15" customHeight="1" x14ac:dyDescent="0.2">
      <c r="A6" s="1314"/>
      <c r="B6" s="549" t="s">
        <v>62</v>
      </c>
      <c r="C6" s="551" t="s">
        <v>66</v>
      </c>
      <c r="D6" s="551" t="s">
        <v>64</v>
      </c>
      <c r="E6" s="553" t="s">
        <v>62</v>
      </c>
      <c r="F6" s="553" t="s">
        <v>64</v>
      </c>
      <c r="G6" s="553" t="s">
        <v>22</v>
      </c>
      <c r="H6" s="1279"/>
      <c r="I6" s="1279"/>
      <c r="J6" s="1279"/>
      <c r="K6" s="1305"/>
      <c r="L6" s="554" t="s">
        <v>4</v>
      </c>
      <c r="M6" s="1301"/>
      <c r="N6" s="1303"/>
      <c r="O6" s="1319"/>
      <c r="P6" s="1298"/>
      <c r="Q6" s="1319"/>
      <c r="R6" s="700"/>
      <c r="S6" s="1324"/>
      <c r="T6" s="1326"/>
      <c r="V6" s="1310" t="s">
        <v>4</v>
      </c>
      <c r="W6" s="1312" t="s">
        <v>11</v>
      </c>
    </row>
    <row r="7" spans="1:23" s="249" customFormat="1" ht="14.1" customHeight="1" x14ac:dyDescent="0.2">
      <c r="A7" s="1314"/>
      <c r="B7" s="552" t="s">
        <v>54</v>
      </c>
      <c r="C7" s="553" t="s">
        <v>56</v>
      </c>
      <c r="D7" s="553" t="s">
        <v>55</v>
      </c>
      <c r="E7" s="553" t="s">
        <v>3</v>
      </c>
      <c r="F7" s="553" t="s">
        <v>3</v>
      </c>
      <c r="G7" s="553"/>
      <c r="H7" s="553" t="s">
        <v>4</v>
      </c>
      <c r="I7" s="553" t="s">
        <v>1</v>
      </c>
      <c r="J7" s="553" t="s">
        <v>4</v>
      </c>
      <c r="K7" s="553" t="s">
        <v>4</v>
      </c>
      <c r="L7" s="553">
        <v>0.05</v>
      </c>
      <c r="M7" s="553" t="s">
        <v>57</v>
      </c>
      <c r="N7" s="553" t="s">
        <v>1</v>
      </c>
      <c r="O7" s="553"/>
      <c r="P7" s="553" t="s">
        <v>4</v>
      </c>
      <c r="Q7" s="553"/>
      <c r="R7" s="553" t="s">
        <v>11</v>
      </c>
      <c r="S7" s="615"/>
      <c r="T7" s="616" t="s">
        <v>1</v>
      </c>
      <c r="V7" s="1311"/>
      <c r="W7" s="1279"/>
    </row>
    <row r="8" spans="1:23" s="249" customFormat="1" ht="15" customHeight="1" x14ac:dyDescent="0.2">
      <c r="A8" s="701" t="s">
        <v>456</v>
      </c>
      <c r="B8" s="702"/>
      <c r="C8" s="702"/>
      <c r="D8" s="702"/>
      <c r="E8" s="702"/>
      <c r="F8" s="703"/>
      <c r="G8" s="703"/>
      <c r="H8" s="703"/>
      <c r="I8" s="703"/>
      <c r="J8" s="703"/>
      <c r="K8" s="703"/>
      <c r="L8" s="703"/>
      <c r="M8" s="703"/>
      <c r="N8" s="703"/>
      <c r="O8" s="703"/>
      <c r="P8" s="703"/>
      <c r="Q8" s="703"/>
      <c r="R8" s="702"/>
      <c r="S8" s="704"/>
      <c r="T8" s="705"/>
      <c r="V8" s="253">
        <f>SUMIF($R$8:$R$55,$W8,$P$8:$P$55)</f>
        <v>0</v>
      </c>
      <c r="W8" s="278" t="s">
        <v>324</v>
      </c>
    </row>
    <row r="9" spans="1:23" s="249" customFormat="1" ht="15" customHeight="1" x14ac:dyDescent="0.2">
      <c r="A9" s="407"/>
      <c r="B9" s="402"/>
      <c r="C9" s="403"/>
      <c r="D9" s="402"/>
      <c r="E9" s="398">
        <f t="shared" ref="E9:E46" si="0">IF(D9&lt;=1,0.6,1.2)</f>
        <v>0.6</v>
      </c>
      <c r="F9" s="398"/>
      <c r="G9" s="404">
        <v>1</v>
      </c>
      <c r="H9" s="398">
        <f t="shared" ref="H9:H46" si="1">((B9+E9)*(D9+F9)*C9)*G9</f>
        <v>0</v>
      </c>
      <c r="I9" s="398">
        <f t="shared" ref="I9:I46" si="2">(B9)*(C9)*G9</f>
        <v>0</v>
      </c>
      <c r="J9" s="398">
        <f t="shared" ref="J9:J46" si="3">H9-P9</f>
        <v>0</v>
      </c>
      <c r="K9" s="398">
        <f t="shared" ref="K9:K46" si="4">(H9-J9)*1.3</f>
        <v>0</v>
      </c>
      <c r="L9" s="398">
        <f t="shared" ref="L9:L46" si="5">I9*$L$7</f>
        <v>0</v>
      </c>
      <c r="M9" s="405">
        <v>2</v>
      </c>
      <c r="N9" s="398">
        <f t="shared" ref="N9:N46" si="6">((C9*D9*M9))*G9</f>
        <v>0</v>
      </c>
      <c r="O9" s="722"/>
      <c r="P9" s="398">
        <f t="shared" ref="P9:P46" si="7">B9*D9*C9*G9</f>
        <v>0</v>
      </c>
      <c r="Q9" s="723"/>
      <c r="R9" s="406"/>
      <c r="S9" s="543">
        <f t="shared" ref="S9:S46" si="8">P9*$S$7</f>
        <v>0</v>
      </c>
      <c r="T9" s="706"/>
      <c r="V9" s="253">
        <f>SUMIF($R$8:$R$55,$W9,$P$8:$P$55)</f>
        <v>0</v>
      </c>
      <c r="W9" s="278" t="s">
        <v>323</v>
      </c>
    </row>
    <row r="10" spans="1:23" s="249" customFormat="1" ht="15" customHeight="1" x14ac:dyDescent="0.2">
      <c r="A10" s="407"/>
      <c r="B10" s="402"/>
      <c r="C10" s="403"/>
      <c r="D10" s="402"/>
      <c r="E10" s="398">
        <f t="shared" si="0"/>
        <v>0.6</v>
      </c>
      <c r="F10" s="398"/>
      <c r="G10" s="404">
        <v>1</v>
      </c>
      <c r="H10" s="398">
        <f t="shared" si="1"/>
        <v>0</v>
      </c>
      <c r="I10" s="398">
        <f t="shared" si="2"/>
        <v>0</v>
      </c>
      <c r="J10" s="398">
        <f t="shared" si="3"/>
        <v>0</v>
      </c>
      <c r="K10" s="398">
        <f t="shared" si="4"/>
        <v>0</v>
      </c>
      <c r="L10" s="398">
        <f t="shared" si="5"/>
        <v>0</v>
      </c>
      <c r="M10" s="405">
        <v>2</v>
      </c>
      <c r="N10" s="398">
        <f t="shared" si="6"/>
        <v>0</v>
      </c>
      <c r="O10" s="722"/>
      <c r="P10" s="398">
        <f t="shared" si="7"/>
        <v>0</v>
      </c>
      <c r="Q10" s="723"/>
      <c r="R10" s="406"/>
      <c r="S10" s="543">
        <f t="shared" si="8"/>
        <v>0</v>
      </c>
      <c r="T10" s="706"/>
      <c r="V10" s="253">
        <f>SUMIF($R$8:$R$55,$W10,$P$8:$P$55)</f>
        <v>0</v>
      </c>
      <c r="W10" s="278" t="s">
        <v>321</v>
      </c>
    </row>
    <row r="11" spans="1:23" s="249" customFormat="1" ht="15" customHeight="1" x14ac:dyDescent="0.2">
      <c r="A11" s="407"/>
      <c r="B11" s="402"/>
      <c r="C11" s="403"/>
      <c r="D11" s="402"/>
      <c r="E11" s="398">
        <f t="shared" si="0"/>
        <v>0.6</v>
      </c>
      <c r="F11" s="398"/>
      <c r="G11" s="404">
        <v>1</v>
      </c>
      <c r="H11" s="398">
        <f t="shared" si="1"/>
        <v>0</v>
      </c>
      <c r="I11" s="398">
        <f t="shared" si="2"/>
        <v>0</v>
      </c>
      <c r="J11" s="398">
        <f t="shared" si="3"/>
        <v>0</v>
      </c>
      <c r="K11" s="398">
        <f t="shared" si="4"/>
        <v>0</v>
      </c>
      <c r="L11" s="398">
        <f t="shared" si="5"/>
        <v>0</v>
      </c>
      <c r="M11" s="405">
        <v>2</v>
      </c>
      <c r="N11" s="398">
        <f t="shared" si="6"/>
        <v>0</v>
      </c>
      <c r="O11" s="722"/>
      <c r="P11" s="398">
        <f t="shared" si="7"/>
        <v>0</v>
      </c>
      <c r="Q11" s="723"/>
      <c r="R11" s="406"/>
      <c r="S11" s="543">
        <f t="shared" si="8"/>
        <v>0</v>
      </c>
      <c r="T11" s="706"/>
      <c r="V11" s="253">
        <f>SUMIF($R$8:$R$55,$W11,$P$8:$P$55)</f>
        <v>0</v>
      </c>
      <c r="W11" s="278" t="s">
        <v>322</v>
      </c>
    </row>
    <row r="12" spans="1:23" s="249" customFormat="1" ht="15" customHeight="1" x14ac:dyDescent="0.2">
      <c r="A12" s="724"/>
      <c r="B12" s="725"/>
      <c r="C12" s="726"/>
      <c r="D12" s="402"/>
      <c r="E12" s="398">
        <f t="shared" si="0"/>
        <v>0.6</v>
      </c>
      <c r="F12" s="398"/>
      <c r="G12" s="404">
        <v>1</v>
      </c>
      <c r="H12" s="398">
        <f t="shared" si="1"/>
        <v>0</v>
      </c>
      <c r="I12" s="398">
        <f t="shared" si="2"/>
        <v>0</v>
      </c>
      <c r="J12" s="398">
        <f t="shared" si="3"/>
        <v>0</v>
      </c>
      <c r="K12" s="398">
        <f t="shared" si="4"/>
        <v>0</v>
      </c>
      <c r="L12" s="398">
        <f t="shared" si="5"/>
        <v>0</v>
      </c>
      <c r="M12" s="405">
        <v>2</v>
      </c>
      <c r="N12" s="398">
        <f t="shared" si="6"/>
        <v>0</v>
      </c>
      <c r="O12" s="722"/>
      <c r="P12" s="398">
        <f t="shared" si="7"/>
        <v>0</v>
      </c>
      <c r="Q12" s="723"/>
      <c r="R12" s="406"/>
      <c r="S12" s="543">
        <f t="shared" si="8"/>
        <v>0</v>
      </c>
      <c r="T12" s="706"/>
      <c r="V12" s="253">
        <f>SUMIF($R$8:$R$55,$W12,$P$8:$P$55)</f>
        <v>0</v>
      </c>
      <c r="W12" s="278" t="s">
        <v>184</v>
      </c>
    </row>
    <row r="13" spans="1:23" s="249" customFormat="1" ht="15" customHeight="1" x14ac:dyDescent="0.2">
      <c r="A13" s="407"/>
      <c r="B13" s="402"/>
      <c r="C13" s="403"/>
      <c r="D13" s="402"/>
      <c r="E13" s="398">
        <f t="shared" si="0"/>
        <v>0.6</v>
      </c>
      <c r="F13" s="398"/>
      <c r="G13" s="404">
        <v>1</v>
      </c>
      <c r="H13" s="398">
        <f t="shared" si="1"/>
        <v>0</v>
      </c>
      <c r="I13" s="398">
        <f t="shared" si="2"/>
        <v>0</v>
      </c>
      <c r="J13" s="398">
        <f t="shared" si="3"/>
        <v>0</v>
      </c>
      <c r="K13" s="398">
        <f t="shared" si="4"/>
        <v>0</v>
      </c>
      <c r="L13" s="398">
        <f t="shared" si="5"/>
        <v>0</v>
      </c>
      <c r="M13" s="405">
        <v>2</v>
      </c>
      <c r="N13" s="398">
        <f t="shared" si="6"/>
        <v>0</v>
      </c>
      <c r="O13" s="722"/>
      <c r="P13" s="398">
        <f t="shared" si="7"/>
        <v>0</v>
      </c>
      <c r="Q13" s="723"/>
      <c r="R13" s="406"/>
      <c r="S13" s="543">
        <f t="shared" si="8"/>
        <v>0</v>
      </c>
      <c r="T13" s="706"/>
      <c r="V13" s="253"/>
      <c r="W13" s="278"/>
    </row>
    <row r="14" spans="1:23" s="249" customFormat="1" ht="15" customHeight="1" x14ac:dyDescent="0.2">
      <c r="A14" s="407"/>
      <c r="B14" s="402"/>
      <c r="C14" s="403"/>
      <c r="D14" s="402"/>
      <c r="E14" s="398">
        <f t="shared" si="0"/>
        <v>0.6</v>
      </c>
      <c r="F14" s="398"/>
      <c r="G14" s="404">
        <v>1</v>
      </c>
      <c r="H14" s="398">
        <f t="shared" si="1"/>
        <v>0</v>
      </c>
      <c r="I14" s="398">
        <f t="shared" si="2"/>
        <v>0</v>
      </c>
      <c r="J14" s="398">
        <f t="shared" si="3"/>
        <v>0</v>
      </c>
      <c r="K14" s="398">
        <f t="shared" si="4"/>
        <v>0</v>
      </c>
      <c r="L14" s="398">
        <f t="shared" si="5"/>
        <v>0</v>
      </c>
      <c r="M14" s="405">
        <v>2</v>
      </c>
      <c r="N14" s="398">
        <f t="shared" si="6"/>
        <v>0</v>
      </c>
      <c r="O14" s="722"/>
      <c r="P14" s="398">
        <f t="shared" si="7"/>
        <v>0</v>
      </c>
      <c r="Q14" s="723"/>
      <c r="R14" s="406"/>
      <c r="S14" s="543">
        <f t="shared" si="8"/>
        <v>0</v>
      </c>
      <c r="T14" s="706"/>
      <c r="V14" s="555">
        <f>SUM(V7:V13)</f>
        <v>0</v>
      </c>
      <c r="W14" s="556" t="str">
        <f>IF(P55=V14,"OK","Conferir")</f>
        <v>OK</v>
      </c>
    </row>
    <row r="15" spans="1:23" s="249" customFormat="1" ht="15" customHeight="1" x14ac:dyDescent="0.2">
      <c r="A15" s="407"/>
      <c r="B15" s="402"/>
      <c r="C15" s="403"/>
      <c r="D15" s="402"/>
      <c r="E15" s="398">
        <f t="shared" si="0"/>
        <v>0.6</v>
      </c>
      <c r="F15" s="398"/>
      <c r="G15" s="404">
        <v>1</v>
      </c>
      <c r="H15" s="398">
        <f t="shared" si="1"/>
        <v>0</v>
      </c>
      <c r="I15" s="398">
        <f t="shared" si="2"/>
        <v>0</v>
      </c>
      <c r="J15" s="398">
        <f t="shared" si="3"/>
        <v>0</v>
      </c>
      <c r="K15" s="398">
        <f t="shared" si="4"/>
        <v>0</v>
      </c>
      <c r="L15" s="398">
        <f t="shared" si="5"/>
        <v>0</v>
      </c>
      <c r="M15" s="405">
        <v>2</v>
      </c>
      <c r="N15" s="398">
        <f t="shared" si="6"/>
        <v>0</v>
      </c>
      <c r="O15" s="722"/>
      <c r="P15" s="398">
        <f t="shared" si="7"/>
        <v>0</v>
      </c>
      <c r="Q15" s="723"/>
      <c r="R15" s="406"/>
      <c r="S15" s="543">
        <f t="shared" si="8"/>
        <v>0</v>
      </c>
      <c r="T15" s="706"/>
      <c r="V15" s="544"/>
      <c r="W15" s="545"/>
    </row>
    <row r="16" spans="1:23" s="249" customFormat="1" ht="15" customHeight="1" x14ac:dyDescent="0.2">
      <c r="A16" s="407"/>
      <c r="B16" s="402"/>
      <c r="C16" s="403"/>
      <c r="D16" s="402"/>
      <c r="E16" s="398">
        <f t="shared" si="0"/>
        <v>0.6</v>
      </c>
      <c r="F16" s="398"/>
      <c r="G16" s="404">
        <v>1</v>
      </c>
      <c r="H16" s="398">
        <f t="shared" si="1"/>
        <v>0</v>
      </c>
      <c r="I16" s="398">
        <f t="shared" si="2"/>
        <v>0</v>
      </c>
      <c r="J16" s="398">
        <f t="shared" si="3"/>
        <v>0</v>
      </c>
      <c r="K16" s="398">
        <f t="shared" si="4"/>
        <v>0</v>
      </c>
      <c r="L16" s="398">
        <f t="shared" si="5"/>
        <v>0</v>
      </c>
      <c r="M16" s="405">
        <v>2</v>
      </c>
      <c r="N16" s="398">
        <f t="shared" si="6"/>
        <v>0</v>
      </c>
      <c r="O16" s="722"/>
      <c r="P16" s="398">
        <f t="shared" si="7"/>
        <v>0</v>
      </c>
      <c r="Q16" s="723"/>
      <c r="R16" s="406"/>
      <c r="S16" s="543">
        <f t="shared" si="8"/>
        <v>0</v>
      </c>
      <c r="T16" s="706"/>
      <c r="V16" s="544"/>
      <c r="W16" s="545"/>
    </row>
    <row r="17" spans="1:23" s="249" customFormat="1" ht="15" customHeight="1" x14ac:dyDescent="0.2">
      <c r="A17" s="407"/>
      <c r="B17" s="402"/>
      <c r="C17" s="403"/>
      <c r="D17" s="402"/>
      <c r="E17" s="398">
        <f t="shared" si="0"/>
        <v>0.6</v>
      </c>
      <c r="F17" s="398"/>
      <c r="G17" s="404">
        <v>1</v>
      </c>
      <c r="H17" s="398">
        <f t="shared" si="1"/>
        <v>0</v>
      </c>
      <c r="I17" s="398">
        <f t="shared" si="2"/>
        <v>0</v>
      </c>
      <c r="J17" s="398">
        <f t="shared" si="3"/>
        <v>0</v>
      </c>
      <c r="K17" s="398">
        <f t="shared" si="4"/>
        <v>0</v>
      </c>
      <c r="L17" s="398">
        <f t="shared" si="5"/>
        <v>0</v>
      </c>
      <c r="M17" s="405">
        <v>2</v>
      </c>
      <c r="N17" s="398">
        <f t="shared" si="6"/>
        <v>0</v>
      </c>
      <c r="O17" s="722"/>
      <c r="P17" s="398">
        <f t="shared" si="7"/>
        <v>0</v>
      </c>
      <c r="Q17" s="723"/>
      <c r="R17" s="406"/>
      <c r="S17" s="543">
        <f t="shared" si="8"/>
        <v>0</v>
      </c>
      <c r="T17" s="706"/>
      <c r="V17" s="544"/>
      <c r="W17" s="545"/>
    </row>
    <row r="18" spans="1:23" s="249" customFormat="1" ht="15" customHeight="1" x14ac:dyDescent="0.2">
      <c r="A18" s="407"/>
      <c r="B18" s="402"/>
      <c r="C18" s="403"/>
      <c r="D18" s="402"/>
      <c r="E18" s="398">
        <f t="shared" si="0"/>
        <v>0.6</v>
      </c>
      <c r="F18" s="398"/>
      <c r="G18" s="404">
        <v>1</v>
      </c>
      <c r="H18" s="398">
        <f t="shared" si="1"/>
        <v>0</v>
      </c>
      <c r="I18" s="398">
        <f t="shared" si="2"/>
        <v>0</v>
      </c>
      <c r="J18" s="398">
        <f t="shared" si="3"/>
        <v>0</v>
      </c>
      <c r="K18" s="398">
        <f t="shared" si="4"/>
        <v>0</v>
      </c>
      <c r="L18" s="398">
        <f t="shared" si="5"/>
        <v>0</v>
      </c>
      <c r="M18" s="405">
        <v>2</v>
      </c>
      <c r="N18" s="398">
        <f t="shared" si="6"/>
        <v>0</v>
      </c>
      <c r="O18" s="722"/>
      <c r="P18" s="398">
        <f t="shared" si="7"/>
        <v>0</v>
      </c>
      <c r="Q18" s="723"/>
      <c r="R18" s="406"/>
      <c r="S18" s="543">
        <f t="shared" si="8"/>
        <v>0</v>
      </c>
      <c r="T18" s="706"/>
      <c r="V18" s="544"/>
      <c r="W18" s="545"/>
    </row>
    <row r="19" spans="1:23" s="249" customFormat="1" ht="15" customHeight="1" x14ac:dyDescent="0.2">
      <c r="A19" s="407"/>
      <c r="B19" s="402"/>
      <c r="C19" s="403"/>
      <c r="D19" s="402"/>
      <c r="E19" s="398">
        <f t="shared" si="0"/>
        <v>0.6</v>
      </c>
      <c r="F19" s="398"/>
      <c r="G19" s="404">
        <v>1</v>
      </c>
      <c r="H19" s="398">
        <f t="shared" si="1"/>
        <v>0</v>
      </c>
      <c r="I19" s="398">
        <f t="shared" si="2"/>
        <v>0</v>
      </c>
      <c r="J19" s="398">
        <f t="shared" si="3"/>
        <v>0</v>
      </c>
      <c r="K19" s="398">
        <f t="shared" si="4"/>
        <v>0</v>
      </c>
      <c r="L19" s="398">
        <f t="shared" si="5"/>
        <v>0</v>
      </c>
      <c r="M19" s="405">
        <v>2</v>
      </c>
      <c r="N19" s="398">
        <f t="shared" si="6"/>
        <v>0</v>
      </c>
      <c r="O19" s="722"/>
      <c r="P19" s="398">
        <f t="shared" si="7"/>
        <v>0</v>
      </c>
      <c r="Q19" s="723"/>
      <c r="R19" s="406"/>
      <c r="S19" s="543">
        <f t="shared" si="8"/>
        <v>0</v>
      </c>
      <c r="T19" s="706"/>
      <c r="V19" s="544"/>
      <c r="W19" s="545"/>
    </row>
    <row r="20" spans="1:23" s="249" customFormat="1" ht="15" customHeight="1" x14ac:dyDescent="0.2">
      <c r="A20" s="407"/>
      <c r="B20" s="402"/>
      <c r="C20" s="403"/>
      <c r="D20" s="402"/>
      <c r="E20" s="398">
        <f t="shared" si="0"/>
        <v>0.6</v>
      </c>
      <c r="F20" s="398"/>
      <c r="G20" s="404">
        <v>1</v>
      </c>
      <c r="H20" s="398">
        <f t="shared" si="1"/>
        <v>0</v>
      </c>
      <c r="I20" s="398">
        <f t="shared" si="2"/>
        <v>0</v>
      </c>
      <c r="J20" s="398">
        <f t="shared" si="3"/>
        <v>0</v>
      </c>
      <c r="K20" s="398">
        <f t="shared" si="4"/>
        <v>0</v>
      </c>
      <c r="L20" s="398">
        <f t="shared" si="5"/>
        <v>0</v>
      </c>
      <c r="M20" s="405">
        <v>2</v>
      </c>
      <c r="N20" s="398">
        <f t="shared" si="6"/>
        <v>0</v>
      </c>
      <c r="O20" s="722"/>
      <c r="P20" s="398">
        <f t="shared" si="7"/>
        <v>0</v>
      </c>
      <c r="Q20" s="723"/>
      <c r="R20" s="406"/>
      <c r="S20" s="543">
        <f t="shared" si="8"/>
        <v>0</v>
      </c>
      <c r="T20" s="706"/>
      <c r="V20" s="544"/>
      <c r="W20" s="545"/>
    </row>
    <row r="21" spans="1:23" s="249" customFormat="1" ht="15" customHeight="1" x14ac:dyDescent="0.2">
      <c r="A21" s="407"/>
      <c r="B21" s="402"/>
      <c r="C21" s="403"/>
      <c r="D21" s="402"/>
      <c r="E21" s="398">
        <f t="shared" si="0"/>
        <v>0.6</v>
      </c>
      <c r="F21" s="398"/>
      <c r="G21" s="404">
        <v>1</v>
      </c>
      <c r="H21" s="398">
        <f t="shared" si="1"/>
        <v>0</v>
      </c>
      <c r="I21" s="398">
        <f t="shared" si="2"/>
        <v>0</v>
      </c>
      <c r="J21" s="398">
        <f t="shared" si="3"/>
        <v>0</v>
      </c>
      <c r="K21" s="398">
        <f t="shared" si="4"/>
        <v>0</v>
      </c>
      <c r="L21" s="398">
        <f t="shared" si="5"/>
        <v>0</v>
      </c>
      <c r="M21" s="405">
        <v>2</v>
      </c>
      <c r="N21" s="398">
        <f t="shared" si="6"/>
        <v>0</v>
      </c>
      <c r="O21" s="722"/>
      <c r="P21" s="398">
        <f t="shared" si="7"/>
        <v>0</v>
      </c>
      <c r="Q21" s="723"/>
      <c r="R21" s="406"/>
      <c r="S21" s="543">
        <f t="shared" si="8"/>
        <v>0</v>
      </c>
      <c r="T21" s="706"/>
      <c r="V21" s="544"/>
      <c r="W21" s="545"/>
    </row>
    <row r="22" spans="1:23" s="249" customFormat="1" ht="15" customHeight="1" x14ac:dyDescent="0.2">
      <c r="A22" s="407"/>
      <c r="B22" s="402"/>
      <c r="C22" s="403"/>
      <c r="D22" s="402"/>
      <c r="E22" s="398">
        <f t="shared" si="0"/>
        <v>0.6</v>
      </c>
      <c r="F22" s="398"/>
      <c r="G22" s="404">
        <v>1</v>
      </c>
      <c r="H22" s="398">
        <f t="shared" si="1"/>
        <v>0</v>
      </c>
      <c r="I22" s="398">
        <f t="shared" si="2"/>
        <v>0</v>
      </c>
      <c r="J22" s="398">
        <f t="shared" si="3"/>
        <v>0</v>
      </c>
      <c r="K22" s="398">
        <f t="shared" si="4"/>
        <v>0</v>
      </c>
      <c r="L22" s="398">
        <f t="shared" si="5"/>
        <v>0</v>
      </c>
      <c r="M22" s="405">
        <v>2</v>
      </c>
      <c r="N22" s="398">
        <f t="shared" si="6"/>
        <v>0</v>
      </c>
      <c r="O22" s="722"/>
      <c r="P22" s="398">
        <f t="shared" si="7"/>
        <v>0</v>
      </c>
      <c r="Q22" s="723"/>
      <c r="R22" s="406"/>
      <c r="S22" s="543">
        <f t="shared" si="8"/>
        <v>0</v>
      </c>
      <c r="T22" s="706"/>
      <c r="V22" s="544"/>
      <c r="W22" s="545"/>
    </row>
    <row r="23" spans="1:23" s="249" customFormat="1" ht="15" customHeight="1" x14ac:dyDescent="0.2">
      <c r="A23" s="407"/>
      <c r="B23" s="402"/>
      <c r="C23" s="403"/>
      <c r="D23" s="402"/>
      <c r="E23" s="398">
        <f t="shared" si="0"/>
        <v>0.6</v>
      </c>
      <c r="F23" s="398"/>
      <c r="G23" s="404">
        <v>1</v>
      </c>
      <c r="H23" s="398">
        <f t="shared" si="1"/>
        <v>0</v>
      </c>
      <c r="I23" s="398">
        <f t="shared" si="2"/>
        <v>0</v>
      </c>
      <c r="J23" s="398">
        <f t="shared" si="3"/>
        <v>0</v>
      </c>
      <c r="K23" s="398">
        <f t="shared" si="4"/>
        <v>0</v>
      </c>
      <c r="L23" s="398">
        <f t="shared" si="5"/>
        <v>0</v>
      </c>
      <c r="M23" s="405">
        <v>2</v>
      </c>
      <c r="N23" s="398">
        <f t="shared" si="6"/>
        <v>0</v>
      </c>
      <c r="O23" s="722"/>
      <c r="P23" s="398">
        <f t="shared" si="7"/>
        <v>0</v>
      </c>
      <c r="Q23" s="723"/>
      <c r="R23" s="406"/>
      <c r="S23" s="543">
        <f t="shared" si="8"/>
        <v>0</v>
      </c>
      <c r="T23" s="706"/>
      <c r="V23" s="544"/>
      <c r="W23" s="545"/>
    </row>
    <row r="24" spans="1:23" s="249" customFormat="1" ht="15" customHeight="1" x14ac:dyDescent="0.2">
      <c r="A24" s="407"/>
      <c r="B24" s="402"/>
      <c r="C24" s="403"/>
      <c r="D24" s="402"/>
      <c r="E24" s="398">
        <f t="shared" si="0"/>
        <v>0.6</v>
      </c>
      <c r="F24" s="398"/>
      <c r="G24" s="404">
        <v>1</v>
      </c>
      <c r="H24" s="398">
        <f t="shared" si="1"/>
        <v>0</v>
      </c>
      <c r="I24" s="398">
        <f t="shared" si="2"/>
        <v>0</v>
      </c>
      <c r="J24" s="398">
        <f t="shared" si="3"/>
        <v>0</v>
      </c>
      <c r="K24" s="398">
        <f t="shared" si="4"/>
        <v>0</v>
      </c>
      <c r="L24" s="398">
        <f t="shared" si="5"/>
        <v>0</v>
      </c>
      <c r="M24" s="405">
        <v>2</v>
      </c>
      <c r="N24" s="398">
        <f t="shared" si="6"/>
        <v>0</v>
      </c>
      <c r="O24" s="722"/>
      <c r="P24" s="398">
        <f t="shared" si="7"/>
        <v>0</v>
      </c>
      <c r="Q24" s="723"/>
      <c r="R24" s="406"/>
      <c r="S24" s="543">
        <f t="shared" si="8"/>
        <v>0</v>
      </c>
      <c r="T24" s="706"/>
    </row>
    <row r="25" spans="1:23" s="249" customFormat="1" ht="15" customHeight="1" x14ac:dyDescent="0.2">
      <c r="A25" s="407"/>
      <c r="B25" s="402"/>
      <c r="C25" s="403"/>
      <c r="D25" s="402"/>
      <c r="E25" s="398">
        <f t="shared" si="0"/>
        <v>0.6</v>
      </c>
      <c r="F25" s="398"/>
      <c r="G25" s="404">
        <v>1</v>
      </c>
      <c r="H25" s="398">
        <f t="shared" si="1"/>
        <v>0</v>
      </c>
      <c r="I25" s="398">
        <f t="shared" si="2"/>
        <v>0</v>
      </c>
      <c r="J25" s="398">
        <f t="shared" si="3"/>
        <v>0</v>
      </c>
      <c r="K25" s="398">
        <f t="shared" si="4"/>
        <v>0</v>
      </c>
      <c r="L25" s="398">
        <f t="shared" si="5"/>
        <v>0</v>
      </c>
      <c r="M25" s="405">
        <v>2</v>
      </c>
      <c r="N25" s="398">
        <f t="shared" si="6"/>
        <v>0</v>
      </c>
      <c r="O25" s="722"/>
      <c r="P25" s="398">
        <f t="shared" si="7"/>
        <v>0</v>
      </c>
      <c r="Q25" s="723"/>
      <c r="R25" s="406"/>
      <c r="S25" s="543">
        <f t="shared" si="8"/>
        <v>0</v>
      </c>
      <c r="T25" s="706"/>
    </row>
    <row r="26" spans="1:23" s="249" customFormat="1" ht="15" customHeight="1" x14ac:dyDescent="0.2">
      <c r="A26" s="407"/>
      <c r="B26" s="402"/>
      <c r="C26" s="403"/>
      <c r="D26" s="402"/>
      <c r="E26" s="398">
        <f t="shared" si="0"/>
        <v>0.6</v>
      </c>
      <c r="F26" s="398"/>
      <c r="G26" s="404">
        <v>1</v>
      </c>
      <c r="H26" s="398">
        <f t="shared" si="1"/>
        <v>0</v>
      </c>
      <c r="I26" s="398">
        <f t="shared" si="2"/>
        <v>0</v>
      </c>
      <c r="J26" s="398">
        <f t="shared" si="3"/>
        <v>0</v>
      </c>
      <c r="K26" s="398">
        <f t="shared" si="4"/>
        <v>0</v>
      </c>
      <c r="L26" s="398">
        <f t="shared" si="5"/>
        <v>0</v>
      </c>
      <c r="M26" s="405">
        <v>2</v>
      </c>
      <c r="N26" s="398">
        <f t="shared" si="6"/>
        <v>0</v>
      </c>
      <c r="O26" s="722"/>
      <c r="P26" s="398">
        <f t="shared" si="7"/>
        <v>0</v>
      </c>
      <c r="Q26" s="723"/>
      <c r="R26" s="406"/>
      <c r="S26" s="543">
        <f t="shared" si="8"/>
        <v>0</v>
      </c>
      <c r="T26" s="706"/>
      <c r="V26" s="544"/>
      <c r="W26" s="545"/>
    </row>
    <row r="27" spans="1:23" s="249" customFormat="1" ht="15" customHeight="1" x14ac:dyDescent="0.2">
      <c r="A27" s="407"/>
      <c r="B27" s="402"/>
      <c r="C27" s="403"/>
      <c r="D27" s="402"/>
      <c r="E27" s="398">
        <f t="shared" si="0"/>
        <v>0.6</v>
      </c>
      <c r="F27" s="398"/>
      <c r="G27" s="404">
        <v>1</v>
      </c>
      <c r="H27" s="398">
        <f t="shared" si="1"/>
        <v>0</v>
      </c>
      <c r="I27" s="398">
        <f t="shared" si="2"/>
        <v>0</v>
      </c>
      <c r="J27" s="398">
        <f t="shared" si="3"/>
        <v>0</v>
      </c>
      <c r="K27" s="398">
        <f t="shared" si="4"/>
        <v>0</v>
      </c>
      <c r="L27" s="398">
        <f t="shared" si="5"/>
        <v>0</v>
      </c>
      <c r="M27" s="405">
        <v>2</v>
      </c>
      <c r="N27" s="398">
        <f t="shared" si="6"/>
        <v>0</v>
      </c>
      <c r="O27" s="722"/>
      <c r="P27" s="398">
        <f t="shared" si="7"/>
        <v>0</v>
      </c>
      <c r="Q27" s="723"/>
      <c r="R27" s="406"/>
      <c r="S27" s="543">
        <f t="shared" si="8"/>
        <v>0</v>
      </c>
      <c r="T27" s="706"/>
      <c r="V27" s="544"/>
      <c r="W27" s="545"/>
    </row>
    <row r="28" spans="1:23" s="249" customFormat="1" ht="15" customHeight="1" x14ac:dyDescent="0.2">
      <c r="A28" s="407"/>
      <c r="B28" s="402"/>
      <c r="C28" s="403"/>
      <c r="D28" s="402"/>
      <c r="E28" s="398">
        <f t="shared" si="0"/>
        <v>0.6</v>
      </c>
      <c r="F28" s="398"/>
      <c r="G28" s="404">
        <v>1</v>
      </c>
      <c r="H28" s="398">
        <f t="shared" si="1"/>
        <v>0</v>
      </c>
      <c r="I28" s="398">
        <f t="shared" si="2"/>
        <v>0</v>
      </c>
      <c r="J28" s="398">
        <f t="shared" si="3"/>
        <v>0</v>
      </c>
      <c r="K28" s="398">
        <f t="shared" si="4"/>
        <v>0</v>
      </c>
      <c r="L28" s="398">
        <f t="shared" si="5"/>
        <v>0</v>
      </c>
      <c r="M28" s="405">
        <v>2</v>
      </c>
      <c r="N28" s="398">
        <f t="shared" si="6"/>
        <v>0</v>
      </c>
      <c r="O28" s="722"/>
      <c r="P28" s="398">
        <f t="shared" si="7"/>
        <v>0</v>
      </c>
      <c r="Q28" s="723"/>
      <c r="R28" s="406"/>
      <c r="S28" s="543">
        <f t="shared" si="8"/>
        <v>0</v>
      </c>
      <c r="T28" s="706"/>
      <c r="V28" s="544"/>
      <c r="W28" s="545"/>
    </row>
    <row r="29" spans="1:23" s="249" customFormat="1" ht="15" customHeight="1" x14ac:dyDescent="0.2">
      <c r="A29" s="407"/>
      <c r="B29" s="402"/>
      <c r="C29" s="403"/>
      <c r="D29" s="402"/>
      <c r="E29" s="398">
        <f t="shared" si="0"/>
        <v>0.6</v>
      </c>
      <c r="F29" s="398"/>
      <c r="G29" s="404">
        <v>1</v>
      </c>
      <c r="H29" s="398">
        <f t="shared" si="1"/>
        <v>0</v>
      </c>
      <c r="I29" s="398">
        <f t="shared" si="2"/>
        <v>0</v>
      </c>
      <c r="J29" s="398">
        <f t="shared" si="3"/>
        <v>0</v>
      </c>
      <c r="K29" s="398">
        <f t="shared" si="4"/>
        <v>0</v>
      </c>
      <c r="L29" s="398">
        <f t="shared" si="5"/>
        <v>0</v>
      </c>
      <c r="M29" s="405">
        <v>2</v>
      </c>
      <c r="N29" s="398">
        <f t="shared" si="6"/>
        <v>0</v>
      </c>
      <c r="O29" s="722"/>
      <c r="P29" s="398">
        <f t="shared" si="7"/>
        <v>0</v>
      </c>
      <c r="Q29" s="723"/>
      <c r="R29" s="406"/>
      <c r="S29" s="543">
        <f t="shared" si="8"/>
        <v>0</v>
      </c>
      <c r="T29" s="706"/>
      <c r="V29" s="544"/>
      <c r="W29" s="545"/>
    </row>
    <row r="30" spans="1:23" s="249" customFormat="1" ht="15" customHeight="1" x14ac:dyDescent="0.2">
      <c r="A30" s="407"/>
      <c r="B30" s="402"/>
      <c r="C30" s="403"/>
      <c r="D30" s="402"/>
      <c r="E30" s="398">
        <f t="shared" si="0"/>
        <v>0.6</v>
      </c>
      <c r="F30" s="398"/>
      <c r="G30" s="404">
        <v>1</v>
      </c>
      <c r="H30" s="398">
        <f t="shared" si="1"/>
        <v>0</v>
      </c>
      <c r="I30" s="398">
        <f t="shared" si="2"/>
        <v>0</v>
      </c>
      <c r="J30" s="398">
        <f t="shared" si="3"/>
        <v>0</v>
      </c>
      <c r="K30" s="398">
        <f t="shared" si="4"/>
        <v>0</v>
      </c>
      <c r="L30" s="398">
        <f t="shared" si="5"/>
        <v>0</v>
      </c>
      <c r="M30" s="405">
        <v>2</v>
      </c>
      <c r="N30" s="398">
        <f t="shared" si="6"/>
        <v>0</v>
      </c>
      <c r="O30" s="722"/>
      <c r="P30" s="398">
        <f t="shared" si="7"/>
        <v>0</v>
      </c>
      <c r="Q30" s="723"/>
      <c r="R30" s="406"/>
      <c r="S30" s="543">
        <f t="shared" si="8"/>
        <v>0</v>
      </c>
      <c r="T30" s="706"/>
      <c r="V30" s="544"/>
      <c r="W30" s="545"/>
    </row>
    <row r="31" spans="1:23" s="249" customFormat="1" ht="15" customHeight="1" x14ac:dyDescent="0.2">
      <c r="A31" s="407"/>
      <c r="B31" s="402"/>
      <c r="C31" s="403"/>
      <c r="D31" s="402"/>
      <c r="E31" s="398">
        <f t="shared" si="0"/>
        <v>0.6</v>
      </c>
      <c r="F31" s="398"/>
      <c r="G31" s="404">
        <v>1</v>
      </c>
      <c r="H31" s="398">
        <f t="shared" si="1"/>
        <v>0</v>
      </c>
      <c r="I31" s="398">
        <f t="shared" si="2"/>
        <v>0</v>
      </c>
      <c r="J31" s="398">
        <f t="shared" si="3"/>
        <v>0</v>
      </c>
      <c r="K31" s="398">
        <f t="shared" si="4"/>
        <v>0</v>
      </c>
      <c r="L31" s="398">
        <f t="shared" si="5"/>
        <v>0</v>
      </c>
      <c r="M31" s="405">
        <v>2</v>
      </c>
      <c r="N31" s="398">
        <f t="shared" si="6"/>
        <v>0</v>
      </c>
      <c r="O31" s="722"/>
      <c r="P31" s="398">
        <f t="shared" si="7"/>
        <v>0</v>
      </c>
      <c r="Q31" s="723"/>
      <c r="R31" s="406"/>
      <c r="S31" s="543">
        <f t="shared" si="8"/>
        <v>0</v>
      </c>
      <c r="T31" s="706"/>
      <c r="V31" s="544"/>
      <c r="W31" s="545"/>
    </row>
    <row r="32" spans="1:23" s="249" customFormat="1" ht="15" customHeight="1" x14ac:dyDescent="0.2">
      <c r="A32" s="407"/>
      <c r="B32" s="402"/>
      <c r="C32" s="403"/>
      <c r="D32" s="402"/>
      <c r="E32" s="398">
        <f t="shared" si="0"/>
        <v>0.6</v>
      </c>
      <c r="F32" s="398"/>
      <c r="G32" s="404">
        <v>1</v>
      </c>
      <c r="H32" s="398">
        <f t="shared" si="1"/>
        <v>0</v>
      </c>
      <c r="I32" s="398">
        <f t="shared" si="2"/>
        <v>0</v>
      </c>
      <c r="J32" s="398">
        <f t="shared" si="3"/>
        <v>0</v>
      </c>
      <c r="K32" s="398">
        <f t="shared" si="4"/>
        <v>0</v>
      </c>
      <c r="L32" s="398">
        <f t="shared" si="5"/>
        <v>0</v>
      </c>
      <c r="M32" s="405">
        <v>2</v>
      </c>
      <c r="N32" s="398">
        <f t="shared" si="6"/>
        <v>0</v>
      </c>
      <c r="O32" s="722"/>
      <c r="P32" s="398">
        <f t="shared" si="7"/>
        <v>0</v>
      </c>
      <c r="Q32" s="723"/>
      <c r="R32" s="406"/>
      <c r="S32" s="543">
        <f t="shared" si="8"/>
        <v>0</v>
      </c>
      <c r="T32" s="706"/>
      <c r="V32" s="544"/>
      <c r="W32" s="545"/>
    </row>
    <row r="33" spans="1:23" s="249" customFormat="1" ht="15" customHeight="1" x14ac:dyDescent="0.2">
      <c r="A33" s="407"/>
      <c r="B33" s="402"/>
      <c r="C33" s="403"/>
      <c r="D33" s="402"/>
      <c r="E33" s="398">
        <f t="shared" si="0"/>
        <v>0.6</v>
      </c>
      <c r="F33" s="398"/>
      <c r="G33" s="404">
        <v>1</v>
      </c>
      <c r="H33" s="398">
        <f t="shared" si="1"/>
        <v>0</v>
      </c>
      <c r="I33" s="398">
        <f t="shared" si="2"/>
        <v>0</v>
      </c>
      <c r="J33" s="398">
        <f t="shared" si="3"/>
        <v>0</v>
      </c>
      <c r="K33" s="398">
        <f t="shared" si="4"/>
        <v>0</v>
      </c>
      <c r="L33" s="398">
        <f t="shared" si="5"/>
        <v>0</v>
      </c>
      <c r="M33" s="405">
        <v>2</v>
      </c>
      <c r="N33" s="398">
        <f t="shared" si="6"/>
        <v>0</v>
      </c>
      <c r="O33" s="722"/>
      <c r="P33" s="398">
        <f t="shared" si="7"/>
        <v>0</v>
      </c>
      <c r="Q33" s="723"/>
      <c r="R33" s="406"/>
      <c r="S33" s="543">
        <f t="shared" si="8"/>
        <v>0</v>
      </c>
      <c r="T33" s="706"/>
    </row>
    <row r="34" spans="1:23" s="249" customFormat="1" ht="15" customHeight="1" x14ac:dyDescent="0.2">
      <c r="A34" s="724"/>
      <c r="B34" s="725"/>
      <c r="C34" s="726"/>
      <c r="D34" s="402"/>
      <c r="E34" s="398">
        <f t="shared" si="0"/>
        <v>0.6</v>
      </c>
      <c r="F34" s="398"/>
      <c r="G34" s="404">
        <v>1</v>
      </c>
      <c r="H34" s="398">
        <f t="shared" si="1"/>
        <v>0</v>
      </c>
      <c r="I34" s="398">
        <f t="shared" si="2"/>
        <v>0</v>
      </c>
      <c r="J34" s="398">
        <f t="shared" si="3"/>
        <v>0</v>
      </c>
      <c r="K34" s="398">
        <f t="shared" si="4"/>
        <v>0</v>
      </c>
      <c r="L34" s="398">
        <f t="shared" si="5"/>
        <v>0</v>
      </c>
      <c r="M34" s="405">
        <v>2</v>
      </c>
      <c r="N34" s="398">
        <f t="shared" si="6"/>
        <v>0</v>
      </c>
      <c r="O34" s="722"/>
      <c r="P34" s="398">
        <f t="shared" si="7"/>
        <v>0</v>
      </c>
      <c r="Q34" s="723"/>
      <c r="R34" s="406"/>
      <c r="S34" s="543">
        <f t="shared" si="8"/>
        <v>0</v>
      </c>
      <c r="T34" s="706"/>
    </row>
    <row r="35" spans="1:23" s="249" customFormat="1" ht="15" customHeight="1" x14ac:dyDescent="0.2">
      <c r="A35" s="407"/>
      <c r="B35" s="402"/>
      <c r="C35" s="403"/>
      <c r="D35" s="402"/>
      <c r="E35" s="398">
        <f t="shared" si="0"/>
        <v>0.6</v>
      </c>
      <c r="F35" s="398"/>
      <c r="G35" s="404">
        <v>1</v>
      </c>
      <c r="H35" s="398">
        <f t="shared" si="1"/>
        <v>0</v>
      </c>
      <c r="I35" s="398">
        <f t="shared" si="2"/>
        <v>0</v>
      </c>
      <c r="J35" s="398">
        <f t="shared" si="3"/>
        <v>0</v>
      </c>
      <c r="K35" s="398">
        <f t="shared" si="4"/>
        <v>0</v>
      </c>
      <c r="L35" s="398">
        <f t="shared" si="5"/>
        <v>0</v>
      </c>
      <c r="M35" s="405">
        <v>2</v>
      </c>
      <c r="N35" s="398">
        <f t="shared" si="6"/>
        <v>0</v>
      </c>
      <c r="O35" s="722"/>
      <c r="P35" s="398">
        <f t="shared" si="7"/>
        <v>0</v>
      </c>
      <c r="Q35" s="723"/>
      <c r="R35" s="406"/>
      <c r="S35" s="543">
        <f t="shared" si="8"/>
        <v>0</v>
      </c>
      <c r="T35" s="706"/>
      <c r="V35" s="544"/>
      <c r="W35" s="545"/>
    </row>
    <row r="36" spans="1:23" s="249" customFormat="1" ht="15" customHeight="1" x14ac:dyDescent="0.2">
      <c r="A36" s="407"/>
      <c r="B36" s="402"/>
      <c r="C36" s="403"/>
      <c r="D36" s="402"/>
      <c r="E36" s="398">
        <f t="shared" si="0"/>
        <v>0.6</v>
      </c>
      <c r="F36" s="398"/>
      <c r="G36" s="404">
        <v>1</v>
      </c>
      <c r="H36" s="398">
        <f t="shared" si="1"/>
        <v>0</v>
      </c>
      <c r="I36" s="398">
        <f t="shared" si="2"/>
        <v>0</v>
      </c>
      <c r="J36" s="398">
        <f t="shared" si="3"/>
        <v>0</v>
      </c>
      <c r="K36" s="398">
        <f t="shared" si="4"/>
        <v>0</v>
      </c>
      <c r="L36" s="398">
        <f t="shared" si="5"/>
        <v>0</v>
      </c>
      <c r="M36" s="405">
        <v>2</v>
      </c>
      <c r="N36" s="398">
        <f t="shared" si="6"/>
        <v>0</v>
      </c>
      <c r="O36" s="722"/>
      <c r="P36" s="398">
        <f t="shared" si="7"/>
        <v>0</v>
      </c>
      <c r="Q36" s="723"/>
      <c r="R36" s="406"/>
      <c r="S36" s="543">
        <f t="shared" si="8"/>
        <v>0</v>
      </c>
      <c r="T36" s="706"/>
      <c r="V36" s="544"/>
      <c r="W36" s="545"/>
    </row>
    <row r="37" spans="1:23" s="249" customFormat="1" ht="15" customHeight="1" x14ac:dyDescent="0.2">
      <c r="A37" s="407"/>
      <c r="B37" s="402"/>
      <c r="C37" s="403"/>
      <c r="D37" s="402"/>
      <c r="E37" s="398">
        <f t="shared" si="0"/>
        <v>0.6</v>
      </c>
      <c r="F37" s="398"/>
      <c r="G37" s="404">
        <v>1</v>
      </c>
      <c r="H37" s="398">
        <f t="shared" si="1"/>
        <v>0</v>
      </c>
      <c r="I37" s="398">
        <f t="shared" si="2"/>
        <v>0</v>
      </c>
      <c r="J37" s="398">
        <f t="shared" si="3"/>
        <v>0</v>
      </c>
      <c r="K37" s="398">
        <f t="shared" si="4"/>
        <v>0</v>
      </c>
      <c r="L37" s="398">
        <f t="shared" si="5"/>
        <v>0</v>
      </c>
      <c r="M37" s="405">
        <v>2</v>
      </c>
      <c r="N37" s="398">
        <f t="shared" si="6"/>
        <v>0</v>
      </c>
      <c r="O37" s="722"/>
      <c r="P37" s="398">
        <f t="shared" si="7"/>
        <v>0</v>
      </c>
      <c r="Q37" s="723"/>
      <c r="R37" s="406"/>
      <c r="S37" s="543">
        <f t="shared" si="8"/>
        <v>0</v>
      </c>
      <c r="T37" s="706"/>
      <c r="V37" s="544"/>
      <c r="W37" s="545"/>
    </row>
    <row r="38" spans="1:23" s="249" customFormat="1" ht="15" customHeight="1" x14ac:dyDescent="0.2">
      <c r="A38" s="407"/>
      <c r="B38" s="402"/>
      <c r="C38" s="403"/>
      <c r="D38" s="402"/>
      <c r="E38" s="398">
        <f t="shared" si="0"/>
        <v>0.6</v>
      </c>
      <c r="F38" s="398"/>
      <c r="G38" s="404">
        <v>1</v>
      </c>
      <c r="H38" s="398">
        <f t="shared" si="1"/>
        <v>0</v>
      </c>
      <c r="I38" s="398">
        <f t="shared" si="2"/>
        <v>0</v>
      </c>
      <c r="J38" s="398">
        <f t="shared" si="3"/>
        <v>0</v>
      </c>
      <c r="K38" s="398">
        <f t="shared" si="4"/>
        <v>0</v>
      </c>
      <c r="L38" s="398">
        <f t="shared" si="5"/>
        <v>0</v>
      </c>
      <c r="M38" s="405">
        <v>2</v>
      </c>
      <c r="N38" s="398">
        <f t="shared" si="6"/>
        <v>0</v>
      </c>
      <c r="O38" s="722"/>
      <c r="P38" s="398">
        <f t="shared" si="7"/>
        <v>0</v>
      </c>
      <c r="Q38" s="723"/>
      <c r="R38" s="406"/>
      <c r="S38" s="543">
        <f t="shared" si="8"/>
        <v>0</v>
      </c>
      <c r="T38" s="706"/>
      <c r="V38" s="544"/>
      <c r="W38" s="545"/>
    </row>
    <row r="39" spans="1:23" s="249" customFormat="1" ht="15" customHeight="1" x14ac:dyDescent="0.2">
      <c r="A39" s="407"/>
      <c r="B39" s="402"/>
      <c r="C39" s="403"/>
      <c r="D39" s="402"/>
      <c r="E39" s="398">
        <f t="shared" si="0"/>
        <v>0.6</v>
      </c>
      <c r="F39" s="398"/>
      <c r="G39" s="404">
        <v>1</v>
      </c>
      <c r="H39" s="398">
        <f t="shared" si="1"/>
        <v>0</v>
      </c>
      <c r="I39" s="398">
        <f t="shared" si="2"/>
        <v>0</v>
      </c>
      <c r="J39" s="398">
        <f t="shared" si="3"/>
        <v>0</v>
      </c>
      <c r="K39" s="398">
        <f t="shared" si="4"/>
        <v>0</v>
      </c>
      <c r="L39" s="398">
        <f t="shared" si="5"/>
        <v>0</v>
      </c>
      <c r="M39" s="405">
        <v>2</v>
      </c>
      <c r="N39" s="398">
        <f t="shared" si="6"/>
        <v>0</v>
      </c>
      <c r="O39" s="722"/>
      <c r="P39" s="398">
        <f t="shared" si="7"/>
        <v>0</v>
      </c>
      <c r="Q39" s="723"/>
      <c r="R39" s="406"/>
      <c r="S39" s="543">
        <f t="shared" si="8"/>
        <v>0</v>
      </c>
      <c r="T39" s="706"/>
      <c r="U39" s="249">
        <v>1.7305013879999998</v>
      </c>
      <c r="V39" s="544"/>
      <c r="W39" s="545"/>
    </row>
    <row r="40" spans="1:23" s="249" customFormat="1" ht="15" customHeight="1" x14ac:dyDescent="0.2">
      <c r="A40" s="407"/>
      <c r="B40" s="402"/>
      <c r="C40" s="403"/>
      <c r="D40" s="402"/>
      <c r="E40" s="398">
        <f t="shared" si="0"/>
        <v>0.6</v>
      </c>
      <c r="F40" s="398"/>
      <c r="G40" s="404">
        <v>1</v>
      </c>
      <c r="H40" s="398">
        <f t="shared" si="1"/>
        <v>0</v>
      </c>
      <c r="I40" s="398">
        <f t="shared" si="2"/>
        <v>0</v>
      </c>
      <c r="J40" s="398">
        <f t="shared" si="3"/>
        <v>0</v>
      </c>
      <c r="K40" s="398">
        <f t="shared" si="4"/>
        <v>0</v>
      </c>
      <c r="L40" s="398">
        <f t="shared" si="5"/>
        <v>0</v>
      </c>
      <c r="M40" s="405">
        <v>2</v>
      </c>
      <c r="N40" s="398">
        <f t="shared" si="6"/>
        <v>0</v>
      </c>
      <c r="O40" s="722"/>
      <c r="P40" s="398">
        <f t="shared" si="7"/>
        <v>0</v>
      </c>
      <c r="Q40" s="723"/>
      <c r="R40" s="406"/>
      <c r="S40" s="543">
        <f t="shared" si="8"/>
        <v>0</v>
      </c>
      <c r="T40" s="706"/>
      <c r="U40" s="249">
        <v>0.49</v>
      </c>
      <c r="V40" s="544"/>
      <c r="W40" s="545"/>
    </row>
    <row r="41" spans="1:23" s="249" customFormat="1" ht="15" customHeight="1" x14ac:dyDescent="0.2">
      <c r="A41" s="407"/>
      <c r="B41" s="402"/>
      <c r="C41" s="403"/>
      <c r="D41" s="402"/>
      <c r="E41" s="398">
        <f t="shared" si="0"/>
        <v>0.6</v>
      </c>
      <c r="F41" s="398"/>
      <c r="G41" s="404">
        <v>1</v>
      </c>
      <c r="H41" s="398">
        <f t="shared" si="1"/>
        <v>0</v>
      </c>
      <c r="I41" s="398">
        <f t="shared" si="2"/>
        <v>0</v>
      </c>
      <c r="J41" s="398">
        <f t="shared" si="3"/>
        <v>0</v>
      </c>
      <c r="K41" s="398">
        <f t="shared" si="4"/>
        <v>0</v>
      </c>
      <c r="L41" s="398">
        <f t="shared" si="5"/>
        <v>0</v>
      </c>
      <c r="M41" s="405">
        <v>2</v>
      </c>
      <c r="N41" s="398">
        <f t="shared" si="6"/>
        <v>0</v>
      </c>
      <c r="O41" s="722"/>
      <c r="P41" s="398">
        <f t="shared" si="7"/>
        <v>0</v>
      </c>
      <c r="Q41" s="723"/>
      <c r="R41" s="406"/>
      <c r="S41" s="543">
        <f t="shared" si="8"/>
        <v>0</v>
      </c>
      <c r="T41" s="706"/>
      <c r="V41" s="544"/>
      <c r="W41" s="545"/>
    </row>
    <row r="42" spans="1:23" s="249" customFormat="1" ht="15" customHeight="1" x14ac:dyDescent="0.2">
      <c r="A42" s="407"/>
      <c r="B42" s="402"/>
      <c r="C42" s="403"/>
      <c r="D42" s="402"/>
      <c r="E42" s="398">
        <f t="shared" si="0"/>
        <v>0.6</v>
      </c>
      <c r="F42" s="398"/>
      <c r="G42" s="404">
        <v>1</v>
      </c>
      <c r="H42" s="398">
        <f t="shared" si="1"/>
        <v>0</v>
      </c>
      <c r="I42" s="398">
        <f t="shared" si="2"/>
        <v>0</v>
      </c>
      <c r="J42" s="398">
        <f t="shared" si="3"/>
        <v>0</v>
      </c>
      <c r="K42" s="398">
        <f t="shared" si="4"/>
        <v>0</v>
      </c>
      <c r="L42" s="398">
        <f t="shared" si="5"/>
        <v>0</v>
      </c>
      <c r="M42" s="405">
        <v>2</v>
      </c>
      <c r="N42" s="398">
        <f t="shared" si="6"/>
        <v>0</v>
      </c>
      <c r="O42" s="722"/>
      <c r="P42" s="398">
        <f t="shared" si="7"/>
        <v>0</v>
      </c>
      <c r="Q42" s="723"/>
      <c r="R42" s="406"/>
      <c r="S42" s="543">
        <f t="shared" si="8"/>
        <v>0</v>
      </c>
      <c r="T42" s="706"/>
    </row>
    <row r="43" spans="1:23" s="249" customFormat="1" ht="15" customHeight="1" x14ac:dyDescent="0.2">
      <c r="A43" s="407"/>
      <c r="B43" s="402"/>
      <c r="C43" s="403"/>
      <c r="D43" s="402"/>
      <c r="E43" s="398">
        <f t="shared" si="0"/>
        <v>0.6</v>
      </c>
      <c r="F43" s="398"/>
      <c r="G43" s="404">
        <v>1</v>
      </c>
      <c r="H43" s="398">
        <f t="shared" si="1"/>
        <v>0</v>
      </c>
      <c r="I43" s="398">
        <f t="shared" si="2"/>
        <v>0</v>
      </c>
      <c r="J43" s="398">
        <f t="shared" si="3"/>
        <v>0</v>
      </c>
      <c r="K43" s="398">
        <f t="shared" si="4"/>
        <v>0</v>
      </c>
      <c r="L43" s="398">
        <f t="shared" si="5"/>
        <v>0</v>
      </c>
      <c r="M43" s="405">
        <v>2</v>
      </c>
      <c r="N43" s="398">
        <f t="shared" si="6"/>
        <v>0</v>
      </c>
      <c r="O43" s="722"/>
      <c r="P43" s="398">
        <f t="shared" si="7"/>
        <v>0</v>
      </c>
      <c r="Q43" s="723"/>
      <c r="R43" s="406"/>
      <c r="S43" s="543">
        <f t="shared" si="8"/>
        <v>0</v>
      </c>
      <c r="T43" s="706"/>
    </row>
    <row r="44" spans="1:23" s="249" customFormat="1" ht="15" customHeight="1" x14ac:dyDescent="0.2">
      <c r="A44" s="407"/>
      <c r="B44" s="402"/>
      <c r="C44" s="403"/>
      <c r="D44" s="402"/>
      <c r="E44" s="398">
        <f t="shared" si="0"/>
        <v>0.6</v>
      </c>
      <c r="F44" s="398"/>
      <c r="G44" s="404">
        <v>1</v>
      </c>
      <c r="H44" s="398">
        <f t="shared" si="1"/>
        <v>0</v>
      </c>
      <c r="I44" s="398">
        <f t="shared" si="2"/>
        <v>0</v>
      </c>
      <c r="J44" s="398">
        <f t="shared" si="3"/>
        <v>0</v>
      </c>
      <c r="K44" s="398">
        <f t="shared" si="4"/>
        <v>0</v>
      </c>
      <c r="L44" s="398">
        <f t="shared" si="5"/>
        <v>0</v>
      </c>
      <c r="M44" s="405">
        <v>2</v>
      </c>
      <c r="N44" s="398">
        <f t="shared" si="6"/>
        <v>0</v>
      </c>
      <c r="O44" s="722"/>
      <c r="P44" s="398">
        <f t="shared" si="7"/>
        <v>0</v>
      </c>
      <c r="Q44" s="723"/>
      <c r="R44" s="406"/>
      <c r="S44" s="543">
        <f t="shared" si="8"/>
        <v>0</v>
      </c>
      <c r="T44" s="706"/>
      <c r="V44" s="544"/>
      <c r="W44" s="545"/>
    </row>
    <row r="45" spans="1:23" s="249" customFormat="1" ht="15" customHeight="1" x14ac:dyDescent="0.2">
      <c r="A45" s="407"/>
      <c r="B45" s="402"/>
      <c r="C45" s="403"/>
      <c r="D45" s="402"/>
      <c r="E45" s="398">
        <f t="shared" si="0"/>
        <v>0.6</v>
      </c>
      <c r="F45" s="398"/>
      <c r="G45" s="404">
        <v>1</v>
      </c>
      <c r="H45" s="398">
        <f t="shared" si="1"/>
        <v>0</v>
      </c>
      <c r="I45" s="398">
        <f t="shared" si="2"/>
        <v>0</v>
      </c>
      <c r="J45" s="398">
        <f t="shared" si="3"/>
        <v>0</v>
      </c>
      <c r="K45" s="398">
        <f t="shared" si="4"/>
        <v>0</v>
      </c>
      <c r="L45" s="398">
        <f t="shared" si="5"/>
        <v>0</v>
      </c>
      <c r="M45" s="405">
        <v>2</v>
      </c>
      <c r="N45" s="398">
        <f t="shared" si="6"/>
        <v>0</v>
      </c>
      <c r="O45" s="722"/>
      <c r="P45" s="398">
        <f t="shared" si="7"/>
        <v>0</v>
      </c>
      <c r="Q45" s="723"/>
      <c r="R45" s="406"/>
      <c r="S45" s="543">
        <f t="shared" si="8"/>
        <v>0</v>
      </c>
      <c r="T45" s="706"/>
      <c r="V45" s="544"/>
      <c r="W45" s="545"/>
    </row>
    <row r="46" spans="1:23" s="249" customFormat="1" ht="15" customHeight="1" x14ac:dyDescent="0.2">
      <c r="A46" s="407"/>
      <c r="B46" s="402"/>
      <c r="C46" s="403"/>
      <c r="D46" s="402"/>
      <c r="E46" s="398">
        <f t="shared" si="0"/>
        <v>0.6</v>
      </c>
      <c r="F46" s="398"/>
      <c r="G46" s="404">
        <v>1</v>
      </c>
      <c r="H46" s="398">
        <f t="shared" si="1"/>
        <v>0</v>
      </c>
      <c r="I46" s="398">
        <f t="shared" si="2"/>
        <v>0</v>
      </c>
      <c r="J46" s="398">
        <f t="shared" si="3"/>
        <v>0</v>
      </c>
      <c r="K46" s="398">
        <f t="shared" si="4"/>
        <v>0</v>
      </c>
      <c r="L46" s="398">
        <f t="shared" si="5"/>
        <v>0</v>
      </c>
      <c r="M46" s="405">
        <v>2</v>
      </c>
      <c r="N46" s="398">
        <f t="shared" si="6"/>
        <v>0</v>
      </c>
      <c r="O46" s="722"/>
      <c r="P46" s="398">
        <f t="shared" si="7"/>
        <v>0</v>
      </c>
      <c r="Q46" s="723"/>
      <c r="R46" s="406"/>
      <c r="S46" s="543">
        <f t="shared" si="8"/>
        <v>0</v>
      </c>
      <c r="T46" s="706"/>
      <c r="V46" s="544"/>
      <c r="W46" s="545"/>
    </row>
    <row r="47" spans="1:23" s="249" customFormat="1" ht="15" customHeight="1" x14ac:dyDescent="0.2">
      <c r="A47" s="701" t="s">
        <v>198</v>
      </c>
      <c r="B47" s="702"/>
      <c r="C47" s="702"/>
      <c r="D47" s="702"/>
      <c r="E47" s="702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2"/>
      <c r="S47" s="704"/>
      <c r="T47" s="705"/>
      <c r="V47" s="544"/>
      <c r="W47" s="545"/>
    </row>
    <row r="48" spans="1:23" s="249" customFormat="1" ht="15" customHeight="1" x14ac:dyDescent="0.2">
      <c r="A48" s="407"/>
      <c r="B48" s="402"/>
      <c r="C48" s="403"/>
      <c r="D48" s="402"/>
      <c r="E48" s="398">
        <f>IF(D48&lt;=1,0.6,1.2)</f>
        <v>0.6</v>
      </c>
      <c r="F48" s="398"/>
      <c r="G48" s="404">
        <v>1</v>
      </c>
      <c r="H48" s="398">
        <f>((B48+E48)*(D48+F48)*C48)*G48</f>
        <v>0</v>
      </c>
      <c r="I48" s="398">
        <f>(B48)*(C48)*G48</f>
        <v>0</v>
      </c>
      <c r="J48" s="398">
        <f>H48-P48</f>
        <v>0</v>
      </c>
      <c r="K48" s="398">
        <f>(H48-J48)*1.3</f>
        <v>0</v>
      </c>
      <c r="L48" s="398">
        <f>I48*$L$7</f>
        <v>0</v>
      </c>
      <c r="M48" s="405">
        <v>2</v>
      </c>
      <c r="N48" s="398">
        <f>((C48*D48*M48))*G48</f>
        <v>0</v>
      </c>
      <c r="O48" s="722"/>
      <c r="P48" s="398">
        <f>B48*D48*C48*G48</f>
        <v>0</v>
      </c>
      <c r="Q48" s="723"/>
      <c r="R48" s="406"/>
      <c r="S48" s="543">
        <f>P48*$S$7</f>
        <v>0</v>
      </c>
      <c r="T48" s="706"/>
      <c r="V48" s="544"/>
      <c r="W48" s="545"/>
    </row>
    <row r="49" spans="1:23" s="249" customFormat="1" ht="15" customHeight="1" x14ac:dyDescent="0.2">
      <c r="A49" s="701" t="s">
        <v>198</v>
      </c>
      <c r="B49" s="702"/>
      <c r="C49" s="702"/>
      <c r="D49" s="702"/>
      <c r="E49" s="702"/>
      <c r="F49" s="703"/>
      <c r="G49" s="703"/>
      <c r="H49" s="703"/>
      <c r="I49" s="703"/>
      <c r="J49" s="703"/>
      <c r="K49" s="703"/>
      <c r="L49" s="703"/>
      <c r="M49" s="703"/>
      <c r="N49" s="703"/>
      <c r="O49" s="703"/>
      <c r="P49" s="703"/>
      <c r="Q49" s="703"/>
      <c r="R49" s="702"/>
      <c r="S49" s="704"/>
      <c r="T49" s="705"/>
      <c r="V49" s="544"/>
      <c r="W49" s="545"/>
    </row>
    <row r="50" spans="1:23" s="249" customFormat="1" ht="15" customHeight="1" x14ac:dyDescent="0.2">
      <c r="A50" s="407"/>
      <c r="B50" s="402"/>
      <c r="C50" s="403"/>
      <c r="D50" s="402"/>
      <c r="E50" s="398">
        <f>IF(D50&lt;=1,0.6,1.2)</f>
        <v>0.6</v>
      </c>
      <c r="F50" s="398"/>
      <c r="G50" s="404">
        <v>1</v>
      </c>
      <c r="H50" s="398">
        <f>((B50+E50)*(D50+F50)*C50)*G50</f>
        <v>0</v>
      </c>
      <c r="I50" s="398">
        <f>(B50)*(C50)*G50</f>
        <v>0</v>
      </c>
      <c r="J50" s="398">
        <f>H50-P50</f>
        <v>0</v>
      </c>
      <c r="K50" s="398">
        <f>(H50-J50)*1.3</f>
        <v>0</v>
      </c>
      <c r="L50" s="398">
        <f>I50*$L$7</f>
        <v>0</v>
      </c>
      <c r="M50" s="405">
        <v>2</v>
      </c>
      <c r="N50" s="398">
        <f>((C50*D50*M50))*G50</f>
        <v>0</v>
      </c>
      <c r="O50" s="722"/>
      <c r="P50" s="398">
        <f>B50*D50*C50*G50</f>
        <v>0</v>
      </c>
      <c r="Q50" s="723"/>
      <c r="R50" s="406"/>
      <c r="S50" s="543">
        <f>P50*$S$7</f>
        <v>0</v>
      </c>
      <c r="T50" s="706"/>
    </row>
    <row r="51" spans="1:23" s="249" customFormat="1" ht="15" customHeight="1" x14ac:dyDescent="0.2">
      <c r="A51" s="407"/>
      <c r="B51" s="402"/>
      <c r="C51" s="403"/>
      <c r="D51" s="402"/>
      <c r="E51" s="398">
        <f>IF(D51&lt;=1,0.6,1.2)</f>
        <v>0.6</v>
      </c>
      <c r="F51" s="398"/>
      <c r="G51" s="404">
        <v>1</v>
      </c>
      <c r="H51" s="398">
        <f>((B51+E51)*(D51+F51)*C51)*G51</f>
        <v>0</v>
      </c>
      <c r="I51" s="398">
        <f>(B51)*(C51)*G51</f>
        <v>0</v>
      </c>
      <c r="J51" s="398">
        <f>H51-P51</f>
        <v>0</v>
      </c>
      <c r="K51" s="398">
        <f>(H51-J51)*1.3</f>
        <v>0</v>
      </c>
      <c r="L51" s="398">
        <f>I51*$L$7</f>
        <v>0</v>
      </c>
      <c r="M51" s="405">
        <v>2</v>
      </c>
      <c r="N51" s="398">
        <f>((C51*D51*M51))*G51</f>
        <v>0</v>
      </c>
      <c r="O51" s="722"/>
      <c r="P51" s="398">
        <f>B51*D51*C51*G51</f>
        <v>0</v>
      </c>
      <c r="Q51" s="723"/>
      <c r="R51" s="406"/>
      <c r="S51" s="543">
        <f>P51*$S$7</f>
        <v>0</v>
      </c>
      <c r="T51" s="706"/>
      <c r="V51" s="544"/>
      <c r="W51" s="545"/>
    </row>
    <row r="52" spans="1:23" s="249" customFormat="1" ht="15" customHeight="1" x14ac:dyDescent="0.2">
      <c r="A52" s="407"/>
      <c r="B52" s="402"/>
      <c r="C52" s="403"/>
      <c r="D52" s="402"/>
      <c r="E52" s="398">
        <f>IF(D52&lt;=1,0.6,1.2)</f>
        <v>0.6</v>
      </c>
      <c r="F52" s="398"/>
      <c r="G52" s="404">
        <v>1</v>
      </c>
      <c r="H52" s="398">
        <f>((B52+E52)*(D52+F52)*C52)*G52</f>
        <v>0</v>
      </c>
      <c r="I52" s="398">
        <f>(B52)*(C52)*G52</f>
        <v>0</v>
      </c>
      <c r="J52" s="398">
        <f>H52-P52</f>
        <v>0</v>
      </c>
      <c r="K52" s="398">
        <f>(H52-J52)*1.3</f>
        <v>0</v>
      </c>
      <c r="L52" s="398">
        <f>I52*$L$7</f>
        <v>0</v>
      </c>
      <c r="M52" s="405">
        <v>2</v>
      </c>
      <c r="N52" s="398">
        <f>((C52*D52*M52))*G52</f>
        <v>0</v>
      </c>
      <c r="O52" s="722"/>
      <c r="P52" s="398">
        <f>B52*D52*C52*G52</f>
        <v>0</v>
      </c>
      <c r="Q52" s="723"/>
      <c r="R52" s="406"/>
      <c r="S52" s="543">
        <f>P52*$S$7</f>
        <v>0</v>
      </c>
      <c r="T52" s="706"/>
      <c r="V52" s="544"/>
      <c r="W52" s="545"/>
    </row>
    <row r="53" spans="1:23" s="249" customFormat="1" ht="15" customHeight="1" x14ac:dyDescent="0.2">
      <c r="A53" s="407"/>
      <c r="B53" s="402"/>
      <c r="C53" s="403"/>
      <c r="D53" s="402"/>
      <c r="E53" s="398">
        <f>IF(D53&lt;=1,0.6,1.2)</f>
        <v>0.6</v>
      </c>
      <c r="F53" s="398"/>
      <c r="G53" s="404">
        <v>1</v>
      </c>
      <c r="H53" s="398">
        <f>((B53+E53)*(D53+F53)*C53)*G53</f>
        <v>0</v>
      </c>
      <c r="I53" s="398">
        <f>(B53)*(C53)*G53</f>
        <v>0</v>
      </c>
      <c r="J53" s="398">
        <f>H53-P53</f>
        <v>0</v>
      </c>
      <c r="K53" s="398">
        <f>(H53-J53)*1.3</f>
        <v>0</v>
      </c>
      <c r="L53" s="398">
        <f>I53*$L$7</f>
        <v>0</v>
      </c>
      <c r="M53" s="405">
        <v>2</v>
      </c>
      <c r="N53" s="398">
        <f>((C53*D53*M53))*G53</f>
        <v>0</v>
      </c>
      <c r="O53" s="722"/>
      <c r="P53" s="398">
        <f>B53*D53*C53*G53</f>
        <v>0</v>
      </c>
      <c r="Q53" s="723"/>
      <c r="R53" s="406"/>
      <c r="S53" s="543">
        <f>P53*$S$7</f>
        <v>0</v>
      </c>
      <c r="T53" s="706"/>
      <c r="V53" s="544"/>
      <c r="W53" s="545"/>
    </row>
    <row r="54" spans="1:23" s="249" customFormat="1" ht="15" customHeight="1" thickBot="1" x14ac:dyDescent="0.25">
      <c r="A54" s="407"/>
      <c r="B54" s="402"/>
      <c r="C54" s="403"/>
      <c r="D54" s="402"/>
      <c r="E54" s="398">
        <f>IF(D54&lt;=1,0.6,1.2)</f>
        <v>0.6</v>
      </c>
      <c r="F54" s="398"/>
      <c r="G54" s="404">
        <v>1</v>
      </c>
      <c r="H54" s="398">
        <f>((B54+E54)*(D54+F54)*C54)*G54</f>
        <v>0</v>
      </c>
      <c r="I54" s="398">
        <f>(B54)*(C54)*G54</f>
        <v>0</v>
      </c>
      <c r="J54" s="398">
        <f>H54-P54</f>
        <v>0</v>
      </c>
      <c r="K54" s="398">
        <f>(H54-J54)*1.3</f>
        <v>0</v>
      </c>
      <c r="L54" s="398">
        <f>I54*$L$7</f>
        <v>0</v>
      </c>
      <c r="M54" s="405">
        <v>2</v>
      </c>
      <c r="N54" s="398">
        <f>((C54*D54*M54))*G54</f>
        <v>0</v>
      </c>
      <c r="O54" s="722"/>
      <c r="P54" s="398">
        <f>B54*D54*C54*G54</f>
        <v>0</v>
      </c>
      <c r="Q54" s="723"/>
      <c r="R54" s="406"/>
      <c r="S54" s="543">
        <f>P54*$S$7</f>
        <v>0</v>
      </c>
      <c r="T54" s="706"/>
      <c r="V54" s="708"/>
      <c r="W54" s="709"/>
    </row>
    <row r="55" spans="1:23" s="249" customFormat="1" ht="15" customHeight="1" thickTop="1" thickBot="1" x14ac:dyDescent="0.25">
      <c r="A55" s="216"/>
      <c r="B55" s="216" t="s">
        <v>20</v>
      </c>
      <c r="C55" s="408">
        <f>SUM(C8:C27)</f>
        <v>0</v>
      </c>
      <c r="D55" s="308"/>
      <c r="E55" s="308"/>
      <c r="F55" s="308"/>
      <c r="G55" s="409"/>
      <c r="H55" s="310">
        <f>SUM(H8:H54)</f>
        <v>0</v>
      </c>
      <c r="I55" s="310">
        <f>SUM(I8:I54)</f>
        <v>0</v>
      </c>
      <c r="J55" s="310">
        <f>SUM(J8:J54)</f>
        <v>0</v>
      </c>
      <c r="K55" s="310">
        <f>SUM(K8:K54)</f>
        <v>0</v>
      </c>
      <c r="L55" s="310">
        <f>SUM(L8:L54)</f>
        <v>0</v>
      </c>
      <c r="M55" s="310"/>
      <c r="N55" s="310">
        <f>SUM(N8:N54)</f>
        <v>0</v>
      </c>
      <c r="O55" s="310">
        <f>SUM(O8:O54)</f>
        <v>0</v>
      </c>
      <c r="P55" s="310">
        <f>SUM(P8:P54)</f>
        <v>0</v>
      </c>
      <c r="Q55" s="310">
        <f>SUM(Q8:Q54)</f>
        <v>0</v>
      </c>
      <c r="R55" s="410"/>
      <c r="S55" s="251">
        <f>SUM(S8:S54)</f>
        <v>0</v>
      </c>
      <c r="T55" s="707">
        <f>SUM(T8:T54)</f>
        <v>0</v>
      </c>
      <c r="U55" s="4"/>
      <c r="V55" s="708"/>
      <c r="W55" s="709"/>
    </row>
    <row r="56" spans="1:23" s="249" customFormat="1" ht="15" customHeight="1" thickTop="1" x14ac:dyDescent="0.2">
      <c r="A56" s="714"/>
      <c r="B56" s="714"/>
      <c r="C56" s="715"/>
      <c r="D56" s="252"/>
      <c r="E56" s="252"/>
      <c r="F56" s="252"/>
      <c r="G56" s="716"/>
      <c r="H56" s="717"/>
      <c r="I56" s="717"/>
      <c r="J56" s="717"/>
      <c r="K56" s="717"/>
      <c r="L56" s="717"/>
      <c r="M56" s="717"/>
      <c r="N56" s="9"/>
      <c r="O56" s="9"/>
      <c r="P56" s="50"/>
      <c r="Q56" s="9"/>
      <c r="R56" s="4"/>
      <c r="S56" s="718"/>
      <c r="T56" s="718"/>
      <c r="U56" s="4"/>
      <c r="V56" s="708"/>
      <c r="W56" s="709"/>
    </row>
    <row r="57" spans="1:23" s="249" customFormat="1" ht="15" customHeight="1" thickBo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4"/>
      <c r="O57" s="4"/>
      <c r="P57" s="4"/>
      <c r="Q57" s="4"/>
      <c r="R57" s="4"/>
      <c r="S57" s="7"/>
      <c r="T57" s="10"/>
      <c r="U57" s="4"/>
      <c r="V57" s="544"/>
      <c r="W57" s="545"/>
    </row>
    <row r="58" spans="1:23" s="249" customFormat="1" ht="15" customHeight="1" thickBot="1" x14ac:dyDescent="0.25">
      <c r="A58" s="1320" t="s">
        <v>393</v>
      </c>
      <c r="B58" s="1321"/>
      <c r="C58" s="7"/>
      <c r="D58" s="4"/>
      <c r="E58" s="7"/>
      <c r="F58" s="7"/>
      <c r="G58" s="7"/>
      <c r="H58" s="7"/>
      <c r="I58" s="7"/>
      <c r="J58" s="7"/>
      <c r="K58" s="11" t="s">
        <v>58</v>
      </c>
      <c r="L58" s="7"/>
      <c r="M58" s="7"/>
      <c r="N58" s="9"/>
      <c r="O58" s="9"/>
      <c r="P58" s="50"/>
      <c r="Q58" s="4"/>
      <c r="R58" s="4"/>
      <c r="S58" s="7"/>
      <c r="T58" s="9"/>
      <c r="U58" s="4"/>
      <c r="V58" s="544"/>
      <c r="W58" s="545"/>
    </row>
    <row r="59" spans="1:23" s="249" customFormat="1" ht="15" customHeight="1" thickBot="1" x14ac:dyDescent="0.25">
      <c r="A59" s="285" t="s">
        <v>16</v>
      </c>
      <c r="B59" s="711">
        <f>N55</f>
        <v>0</v>
      </c>
      <c r="C59" s="71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4"/>
      <c r="Q59" s="4"/>
      <c r="R59" s="4"/>
      <c r="S59" s="7"/>
      <c r="T59" s="7"/>
      <c r="U59" s="4"/>
      <c r="V59" s="544"/>
      <c r="W59" s="545"/>
    </row>
    <row r="60" spans="1:23" s="249" customFormat="1" ht="15" customHeight="1" x14ac:dyDescent="0.2">
      <c r="A60" s="3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4"/>
      <c r="Q60" s="4"/>
      <c r="R60" s="4"/>
      <c r="S60" s="7"/>
      <c r="T60" s="7"/>
      <c r="U60" s="4"/>
    </row>
    <row r="61" spans="1:23" s="249" customFormat="1" ht="15" customHeight="1" x14ac:dyDescent="0.2">
      <c r="A61" s="54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4"/>
      <c r="Q61" s="4"/>
      <c r="R61" s="4"/>
      <c r="S61" s="7"/>
      <c r="T61" s="7"/>
      <c r="U61" s="4"/>
    </row>
    <row r="62" spans="1:23" s="249" customFormat="1" ht="15" customHeight="1" x14ac:dyDescent="0.2">
      <c r="A62" s="547"/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4"/>
      <c r="Q62" s="4"/>
      <c r="R62" s="4"/>
      <c r="S62" s="7"/>
      <c r="T62" s="7"/>
      <c r="U62" s="4"/>
      <c r="V62" s="544"/>
      <c r="W62" s="545"/>
    </row>
    <row r="63" spans="1:23" s="249" customFormat="1" ht="15" customHeight="1" x14ac:dyDescent="0.2">
      <c r="A63" s="547"/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4"/>
      <c r="V63" s="544"/>
      <c r="W63" s="545"/>
    </row>
    <row r="64" spans="1:23" s="249" customFormat="1" ht="15" customHeight="1" x14ac:dyDescent="0.2">
      <c r="A64" s="4"/>
      <c r="B64" s="54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44"/>
      <c r="W64" s="545"/>
    </row>
    <row r="65" spans="1:23" s="249" customFormat="1" ht="15" customHeight="1" x14ac:dyDescent="0.2">
      <c r="A65" s="53"/>
      <c r="B65" s="54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44"/>
      <c r="W65" s="545"/>
    </row>
    <row r="66" spans="1:23" s="249" customFormat="1" ht="15" customHeight="1" x14ac:dyDescent="0.2">
      <c r="A66" s="53"/>
      <c r="B66" s="548"/>
      <c r="C66" s="4"/>
      <c r="D66" s="5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44"/>
      <c r="W66" s="545"/>
    </row>
    <row r="67" spans="1:23" s="249" customFormat="1" ht="15" customHeight="1" x14ac:dyDescent="0.2">
      <c r="A67" s="53"/>
      <c r="B67" s="548"/>
      <c r="C67" s="4"/>
      <c r="D67" s="4"/>
      <c r="E67" s="4"/>
      <c r="F67" s="4"/>
      <c r="G67" s="4"/>
      <c r="H67" s="4"/>
      <c r="I67" s="4"/>
      <c r="J67" s="4"/>
      <c r="K67" s="4"/>
      <c r="L67" s="4"/>
      <c r="M67" s="50"/>
      <c r="N67" s="4"/>
      <c r="O67" s="4"/>
      <c r="P67" s="4"/>
      <c r="Q67" s="4"/>
      <c r="R67" s="4"/>
      <c r="S67" s="4"/>
      <c r="T67" s="4"/>
      <c r="U67" s="4"/>
      <c r="V67" s="544"/>
      <c r="W67" s="545"/>
    </row>
    <row r="68" spans="1:23" s="249" customFormat="1" ht="15" customHeight="1" x14ac:dyDescent="0.2">
      <c r="A68" s="53"/>
      <c r="B68" s="54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44"/>
      <c r="W68" s="545"/>
    </row>
    <row r="69" spans="1:23" s="249" customFormat="1" ht="15" customHeight="1" x14ac:dyDescent="0.2">
      <c r="A69" s="5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3" s="249" customFormat="1" ht="15" customHeight="1" x14ac:dyDescent="0.2">
      <c r="A70" s="5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3" s="249" customFormat="1" ht="15" customHeight="1" x14ac:dyDescent="0.2">
      <c r="A71" s="5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44"/>
      <c r="W71" s="545"/>
    </row>
    <row r="72" spans="1:23" s="249" customFormat="1" ht="15" customHeight="1" x14ac:dyDescent="0.2">
      <c r="A72" s="4"/>
      <c r="B72" s="5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44"/>
      <c r="W72" s="545"/>
    </row>
    <row r="73" spans="1:23" s="249" customFormat="1" ht="15" customHeight="1" x14ac:dyDescent="0.2">
      <c r="A73" s="4"/>
      <c r="B73" s="5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44"/>
      <c r="W73" s="545"/>
    </row>
    <row r="74" spans="1:23" s="249" customFormat="1" ht="1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44"/>
      <c r="W74" s="545"/>
    </row>
    <row r="75" spans="1:23" s="249" customFormat="1" ht="1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44"/>
      <c r="W75" s="545"/>
    </row>
    <row r="76" spans="1:23" s="249" customFormat="1" ht="1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44"/>
      <c r="W76" s="545"/>
    </row>
    <row r="77" spans="1:23" s="249" customFormat="1" ht="1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44"/>
      <c r="W77" s="545"/>
    </row>
    <row r="78" spans="1:23" s="249" customFormat="1" ht="1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44"/>
      <c r="W78" s="545"/>
    </row>
    <row r="79" spans="1:23" s="249" customFormat="1" ht="1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44"/>
      <c r="W79" s="545"/>
    </row>
    <row r="80" spans="1:23" s="249" customFormat="1" ht="1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44"/>
      <c r="W80" s="545"/>
    </row>
    <row r="81" spans="1:23" s="249" customFormat="1" ht="1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44"/>
      <c r="W81" s="545"/>
    </row>
    <row r="82" spans="1:23" s="249" customFormat="1" ht="1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3" s="249" customFormat="1" ht="1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3" s="249" customFormat="1" ht="15" customHeight="1" x14ac:dyDescent="0.2">
      <c r="A84" s="68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44"/>
      <c r="W84" s="545"/>
    </row>
    <row r="85" spans="1:23" s="249" customFormat="1" ht="1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44"/>
      <c r="W85" s="545"/>
    </row>
    <row r="86" spans="1:23" s="249" customFormat="1" ht="1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44"/>
      <c r="W86" s="545"/>
    </row>
    <row r="87" spans="1:23" s="249" customFormat="1" ht="1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713" t="s">
        <v>390</v>
      </c>
      <c r="W87" s="545"/>
    </row>
    <row r="88" spans="1:23" s="249" customFormat="1" ht="1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713">
        <v>1</v>
      </c>
      <c r="W88" s="545"/>
    </row>
    <row r="89" spans="1:23" s="249" customFormat="1" ht="1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44"/>
      <c r="W89" s="545"/>
    </row>
    <row r="90" spans="1:23" s="249" customFormat="1" ht="1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44"/>
      <c r="W90" s="545"/>
    </row>
    <row r="91" spans="1:23" s="249" customFormat="1" ht="1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3" s="249" customFormat="1" ht="1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3" s="249" customFormat="1" ht="1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44"/>
      <c r="W93" s="545"/>
    </row>
    <row r="94" spans="1:23" s="249" customFormat="1" ht="1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44"/>
      <c r="W94" s="545"/>
    </row>
    <row r="95" spans="1:23" s="249" customFormat="1" ht="1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44"/>
      <c r="W95" s="545"/>
    </row>
    <row r="96" spans="1:23" s="249" customFormat="1" ht="1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44"/>
      <c r="W96" s="545"/>
    </row>
    <row r="97" spans="1:21" s="249" customFormat="1" ht="1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s="249" customFormat="1" ht="1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s="249" customFormat="1" ht="1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s="249" customFormat="1" ht="1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s="249" customFormat="1" ht="1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s="249" customFormat="1" ht="1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s="249" customFormat="1" ht="1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s="249" customFormat="1" ht="1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s="249" customFormat="1" ht="1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s="249" customFormat="1" ht="1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s="249" customFormat="1" ht="1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s="249" customFormat="1" ht="1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s="249" customFormat="1" ht="1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s="249" customFormat="1" ht="1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s="249" customFormat="1" ht="1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s="249" customFormat="1" ht="1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s="249" customFormat="1" ht="1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s="249" customFormat="1" ht="1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s="249" customFormat="1" ht="1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s="249" customFormat="1" ht="1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s="249" customFormat="1" ht="1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s="249" customFormat="1" ht="1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s="249" customFormat="1" ht="1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s="249" customFormat="1" ht="1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s="249" customFormat="1" ht="1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s="249" customFormat="1" ht="1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s="249" customFormat="1" ht="1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s="249" customFormat="1" ht="1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s="249" customFormat="1" ht="1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s="249" customFormat="1" ht="1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s="249" customFormat="1" ht="1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s="249" customFormat="1" ht="1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s="249" customFormat="1" ht="1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s="249" customFormat="1" ht="1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s="249" customFormat="1" ht="20.10000000000000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5" spans="1:21" ht="10.15" customHeight="1" x14ac:dyDescent="0.2"/>
    <row r="136" spans="1:21" ht="10.9" customHeight="1" x14ac:dyDescent="0.2"/>
    <row r="137" spans="1:21" ht="18.600000000000001" customHeight="1" x14ac:dyDescent="0.2"/>
  </sheetData>
  <mergeCells count="18">
    <mergeCell ref="A58:B58"/>
    <mergeCell ref="P5:P6"/>
    <mergeCell ref="Q5:Q6"/>
    <mergeCell ref="S5:S6"/>
    <mergeCell ref="T5:T6"/>
    <mergeCell ref="V5:W5"/>
    <mergeCell ref="V6:V7"/>
    <mergeCell ref="W6:W7"/>
    <mergeCell ref="A4:T4"/>
    <mergeCell ref="A5:A7"/>
    <mergeCell ref="B5:D5"/>
    <mergeCell ref="E5:F5"/>
    <mergeCell ref="H5:H6"/>
    <mergeCell ref="I5:I6"/>
    <mergeCell ref="J5:J6"/>
    <mergeCell ref="K5:K6"/>
    <mergeCell ref="M5:N6"/>
    <mergeCell ref="O5:O6"/>
  </mergeCells>
  <dataValidations count="1">
    <dataValidation type="list" allowBlank="1" showInputMessage="1" showErrorMessage="1" sqref="R48 R50:R54 R9:R46" xr:uid="{F30F6D3C-0E74-4B15-9592-ECB12C7B23EE}">
      <formula1>$W$8:$W$13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1" orientation="landscape" horizontalDpi="300" verticalDpi="300" r:id="rId1"/>
  <headerFooter alignWithMargins="0">
    <oddFooter>&amp;L&amp;F - &amp;A&amp;R&amp;P / &amp;N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2C99-FCFD-471F-A8E3-E49439CB91B8}">
  <sheetPr codeName="Planilha19">
    <tabColor rgb="FFF43800"/>
    <pageSetUpPr fitToPage="1"/>
  </sheetPr>
  <dimension ref="A1:M28"/>
  <sheetViews>
    <sheetView showGridLines="0" view="pageBreakPreview" zoomScale="130" zoomScaleNormal="100" zoomScaleSheetLayoutView="130" workbookViewId="0">
      <pane ySplit="3" topLeftCell="A4" activePane="bottomLeft" state="frozen"/>
      <selection sqref="A1:XFD3"/>
      <selection pane="bottomLeft" activeCell="I16" sqref="I16"/>
    </sheetView>
  </sheetViews>
  <sheetFormatPr defaultRowHeight="11.25" x14ac:dyDescent="0.2"/>
  <cols>
    <col min="1" max="5" width="8.140625" style="54" customWidth="1"/>
    <col min="6" max="240" width="8.85546875" style="4"/>
    <col min="241" max="241" width="14.5703125" style="4" customWidth="1"/>
    <col min="242" max="242" width="20.7109375" style="4" customWidth="1"/>
    <col min="243" max="243" width="8.85546875" style="4"/>
    <col min="244" max="255" width="8.42578125" style="4" customWidth="1"/>
    <col min="256" max="496" width="8.85546875" style="4"/>
    <col min="497" max="497" width="14.5703125" style="4" customWidth="1"/>
    <col min="498" max="498" width="20.7109375" style="4" customWidth="1"/>
    <col min="499" max="499" width="8.85546875" style="4"/>
    <col min="500" max="511" width="8.42578125" style="4" customWidth="1"/>
    <col min="512" max="752" width="8.85546875" style="4"/>
    <col min="753" max="753" width="14.5703125" style="4" customWidth="1"/>
    <col min="754" max="754" width="20.7109375" style="4" customWidth="1"/>
    <col min="755" max="755" width="8.85546875" style="4"/>
    <col min="756" max="767" width="8.42578125" style="4" customWidth="1"/>
    <col min="768" max="1008" width="8.85546875" style="4"/>
    <col min="1009" max="1009" width="14.5703125" style="4" customWidth="1"/>
    <col min="1010" max="1010" width="20.7109375" style="4" customWidth="1"/>
    <col min="1011" max="1011" width="8.85546875" style="4"/>
    <col min="1012" max="1023" width="8.42578125" style="4" customWidth="1"/>
    <col min="1024" max="1264" width="8.85546875" style="4"/>
    <col min="1265" max="1265" width="14.5703125" style="4" customWidth="1"/>
    <col min="1266" max="1266" width="20.7109375" style="4" customWidth="1"/>
    <col min="1267" max="1267" width="8.85546875" style="4"/>
    <col min="1268" max="1279" width="8.42578125" style="4" customWidth="1"/>
    <col min="1280" max="1520" width="8.85546875" style="4"/>
    <col min="1521" max="1521" width="14.5703125" style="4" customWidth="1"/>
    <col min="1522" max="1522" width="20.7109375" style="4" customWidth="1"/>
    <col min="1523" max="1523" width="8.85546875" style="4"/>
    <col min="1524" max="1535" width="8.42578125" style="4" customWidth="1"/>
    <col min="1536" max="1776" width="8.85546875" style="4"/>
    <col min="1777" max="1777" width="14.5703125" style="4" customWidth="1"/>
    <col min="1778" max="1778" width="20.7109375" style="4" customWidth="1"/>
    <col min="1779" max="1779" width="8.85546875" style="4"/>
    <col min="1780" max="1791" width="8.42578125" style="4" customWidth="1"/>
    <col min="1792" max="2032" width="8.85546875" style="4"/>
    <col min="2033" max="2033" width="14.5703125" style="4" customWidth="1"/>
    <col min="2034" max="2034" width="20.7109375" style="4" customWidth="1"/>
    <col min="2035" max="2035" width="8.85546875" style="4"/>
    <col min="2036" max="2047" width="8.42578125" style="4" customWidth="1"/>
    <col min="2048" max="2288" width="8.85546875" style="4"/>
    <col min="2289" max="2289" width="14.5703125" style="4" customWidth="1"/>
    <col min="2290" max="2290" width="20.7109375" style="4" customWidth="1"/>
    <col min="2291" max="2291" width="8.85546875" style="4"/>
    <col min="2292" max="2303" width="8.42578125" style="4" customWidth="1"/>
    <col min="2304" max="2544" width="8.85546875" style="4"/>
    <col min="2545" max="2545" width="14.5703125" style="4" customWidth="1"/>
    <col min="2546" max="2546" width="20.7109375" style="4" customWidth="1"/>
    <col min="2547" max="2547" width="8.85546875" style="4"/>
    <col min="2548" max="2559" width="8.42578125" style="4" customWidth="1"/>
    <col min="2560" max="2800" width="8.85546875" style="4"/>
    <col min="2801" max="2801" width="14.5703125" style="4" customWidth="1"/>
    <col min="2802" max="2802" width="20.7109375" style="4" customWidth="1"/>
    <col min="2803" max="2803" width="8.85546875" style="4"/>
    <col min="2804" max="2815" width="8.42578125" style="4" customWidth="1"/>
    <col min="2816" max="3056" width="8.85546875" style="4"/>
    <col min="3057" max="3057" width="14.5703125" style="4" customWidth="1"/>
    <col min="3058" max="3058" width="20.7109375" style="4" customWidth="1"/>
    <col min="3059" max="3059" width="8.85546875" style="4"/>
    <col min="3060" max="3071" width="8.42578125" style="4" customWidth="1"/>
    <col min="3072" max="3312" width="8.85546875" style="4"/>
    <col min="3313" max="3313" width="14.5703125" style="4" customWidth="1"/>
    <col min="3314" max="3314" width="20.7109375" style="4" customWidth="1"/>
    <col min="3315" max="3315" width="8.85546875" style="4"/>
    <col min="3316" max="3327" width="8.42578125" style="4" customWidth="1"/>
    <col min="3328" max="3568" width="8.85546875" style="4"/>
    <col min="3569" max="3569" width="14.5703125" style="4" customWidth="1"/>
    <col min="3570" max="3570" width="20.7109375" style="4" customWidth="1"/>
    <col min="3571" max="3571" width="8.85546875" style="4"/>
    <col min="3572" max="3583" width="8.42578125" style="4" customWidth="1"/>
    <col min="3584" max="3824" width="8.85546875" style="4"/>
    <col min="3825" max="3825" width="14.5703125" style="4" customWidth="1"/>
    <col min="3826" max="3826" width="20.7109375" style="4" customWidth="1"/>
    <col min="3827" max="3827" width="8.85546875" style="4"/>
    <col min="3828" max="3839" width="8.42578125" style="4" customWidth="1"/>
    <col min="3840" max="4080" width="8.85546875" style="4"/>
    <col min="4081" max="4081" width="14.5703125" style="4" customWidth="1"/>
    <col min="4082" max="4082" width="20.7109375" style="4" customWidth="1"/>
    <col min="4083" max="4083" width="8.85546875" style="4"/>
    <col min="4084" max="4095" width="8.42578125" style="4" customWidth="1"/>
    <col min="4096" max="4336" width="8.85546875" style="4"/>
    <col min="4337" max="4337" width="14.5703125" style="4" customWidth="1"/>
    <col min="4338" max="4338" width="20.7109375" style="4" customWidth="1"/>
    <col min="4339" max="4339" width="8.85546875" style="4"/>
    <col min="4340" max="4351" width="8.42578125" style="4" customWidth="1"/>
    <col min="4352" max="4592" width="8.85546875" style="4"/>
    <col min="4593" max="4593" width="14.5703125" style="4" customWidth="1"/>
    <col min="4594" max="4594" width="20.7109375" style="4" customWidth="1"/>
    <col min="4595" max="4595" width="8.85546875" style="4"/>
    <col min="4596" max="4607" width="8.42578125" style="4" customWidth="1"/>
    <col min="4608" max="4848" width="8.85546875" style="4"/>
    <col min="4849" max="4849" width="14.5703125" style="4" customWidth="1"/>
    <col min="4850" max="4850" width="20.7109375" style="4" customWidth="1"/>
    <col min="4851" max="4851" width="8.85546875" style="4"/>
    <col min="4852" max="4863" width="8.42578125" style="4" customWidth="1"/>
    <col min="4864" max="5104" width="8.85546875" style="4"/>
    <col min="5105" max="5105" width="14.5703125" style="4" customWidth="1"/>
    <col min="5106" max="5106" width="20.7109375" style="4" customWidth="1"/>
    <col min="5107" max="5107" width="8.85546875" style="4"/>
    <col min="5108" max="5119" width="8.42578125" style="4" customWidth="1"/>
    <col min="5120" max="5360" width="8.85546875" style="4"/>
    <col min="5361" max="5361" width="14.5703125" style="4" customWidth="1"/>
    <col min="5362" max="5362" width="20.7109375" style="4" customWidth="1"/>
    <col min="5363" max="5363" width="8.85546875" style="4"/>
    <col min="5364" max="5375" width="8.42578125" style="4" customWidth="1"/>
    <col min="5376" max="5616" width="8.85546875" style="4"/>
    <col min="5617" max="5617" width="14.5703125" style="4" customWidth="1"/>
    <col min="5618" max="5618" width="20.7109375" style="4" customWidth="1"/>
    <col min="5619" max="5619" width="8.85546875" style="4"/>
    <col min="5620" max="5631" width="8.42578125" style="4" customWidth="1"/>
    <col min="5632" max="5872" width="8.85546875" style="4"/>
    <col min="5873" max="5873" width="14.5703125" style="4" customWidth="1"/>
    <col min="5874" max="5874" width="20.7109375" style="4" customWidth="1"/>
    <col min="5875" max="5875" width="8.85546875" style="4"/>
    <col min="5876" max="5887" width="8.42578125" style="4" customWidth="1"/>
    <col min="5888" max="6128" width="8.85546875" style="4"/>
    <col min="6129" max="6129" width="14.5703125" style="4" customWidth="1"/>
    <col min="6130" max="6130" width="20.7109375" style="4" customWidth="1"/>
    <col min="6131" max="6131" width="8.85546875" style="4"/>
    <col min="6132" max="6143" width="8.42578125" style="4" customWidth="1"/>
    <col min="6144" max="6384" width="8.85546875" style="4"/>
    <col min="6385" max="6385" width="14.5703125" style="4" customWidth="1"/>
    <col min="6386" max="6386" width="20.7109375" style="4" customWidth="1"/>
    <col min="6387" max="6387" width="8.85546875" style="4"/>
    <col min="6388" max="6399" width="8.42578125" style="4" customWidth="1"/>
    <col min="6400" max="6640" width="8.85546875" style="4"/>
    <col min="6641" max="6641" width="14.5703125" style="4" customWidth="1"/>
    <col min="6642" max="6642" width="20.7109375" style="4" customWidth="1"/>
    <col min="6643" max="6643" width="8.85546875" style="4"/>
    <col min="6644" max="6655" width="8.42578125" style="4" customWidth="1"/>
    <col min="6656" max="6896" width="8.85546875" style="4"/>
    <col min="6897" max="6897" width="14.5703125" style="4" customWidth="1"/>
    <col min="6898" max="6898" width="20.7109375" style="4" customWidth="1"/>
    <col min="6899" max="6899" width="8.85546875" style="4"/>
    <col min="6900" max="6911" width="8.42578125" style="4" customWidth="1"/>
    <col min="6912" max="7152" width="8.85546875" style="4"/>
    <col min="7153" max="7153" width="14.5703125" style="4" customWidth="1"/>
    <col min="7154" max="7154" width="20.7109375" style="4" customWidth="1"/>
    <col min="7155" max="7155" width="8.85546875" style="4"/>
    <col min="7156" max="7167" width="8.42578125" style="4" customWidth="1"/>
    <col min="7168" max="7408" width="8.85546875" style="4"/>
    <col min="7409" max="7409" width="14.5703125" style="4" customWidth="1"/>
    <col min="7410" max="7410" width="20.7109375" style="4" customWidth="1"/>
    <col min="7411" max="7411" width="8.85546875" style="4"/>
    <col min="7412" max="7423" width="8.42578125" style="4" customWidth="1"/>
    <col min="7424" max="7664" width="8.85546875" style="4"/>
    <col min="7665" max="7665" width="14.5703125" style="4" customWidth="1"/>
    <col min="7666" max="7666" width="20.7109375" style="4" customWidth="1"/>
    <col min="7667" max="7667" width="8.85546875" style="4"/>
    <col min="7668" max="7679" width="8.42578125" style="4" customWidth="1"/>
    <col min="7680" max="7920" width="8.85546875" style="4"/>
    <col min="7921" max="7921" width="14.5703125" style="4" customWidth="1"/>
    <col min="7922" max="7922" width="20.7109375" style="4" customWidth="1"/>
    <col min="7923" max="7923" width="8.85546875" style="4"/>
    <col min="7924" max="7935" width="8.42578125" style="4" customWidth="1"/>
    <col min="7936" max="8176" width="8.85546875" style="4"/>
    <col min="8177" max="8177" width="14.5703125" style="4" customWidth="1"/>
    <col min="8178" max="8178" width="20.7109375" style="4" customWidth="1"/>
    <col min="8179" max="8179" width="8.85546875" style="4"/>
    <col min="8180" max="8191" width="8.42578125" style="4" customWidth="1"/>
    <col min="8192" max="8432" width="8.85546875" style="4"/>
    <col min="8433" max="8433" width="14.5703125" style="4" customWidth="1"/>
    <col min="8434" max="8434" width="20.7109375" style="4" customWidth="1"/>
    <col min="8435" max="8435" width="8.85546875" style="4"/>
    <col min="8436" max="8447" width="8.42578125" style="4" customWidth="1"/>
    <col min="8448" max="8688" width="8.85546875" style="4"/>
    <col min="8689" max="8689" width="14.5703125" style="4" customWidth="1"/>
    <col min="8690" max="8690" width="20.7109375" style="4" customWidth="1"/>
    <col min="8691" max="8691" width="8.85546875" style="4"/>
    <col min="8692" max="8703" width="8.42578125" style="4" customWidth="1"/>
    <col min="8704" max="8944" width="8.85546875" style="4"/>
    <col min="8945" max="8945" width="14.5703125" style="4" customWidth="1"/>
    <col min="8946" max="8946" width="20.7109375" style="4" customWidth="1"/>
    <col min="8947" max="8947" width="8.85546875" style="4"/>
    <col min="8948" max="8959" width="8.42578125" style="4" customWidth="1"/>
    <col min="8960" max="9200" width="8.85546875" style="4"/>
    <col min="9201" max="9201" width="14.5703125" style="4" customWidth="1"/>
    <col min="9202" max="9202" width="20.7109375" style="4" customWidth="1"/>
    <col min="9203" max="9203" width="8.85546875" style="4"/>
    <col min="9204" max="9215" width="8.42578125" style="4" customWidth="1"/>
    <col min="9216" max="9456" width="8.85546875" style="4"/>
    <col min="9457" max="9457" width="14.5703125" style="4" customWidth="1"/>
    <col min="9458" max="9458" width="20.7109375" style="4" customWidth="1"/>
    <col min="9459" max="9459" width="8.85546875" style="4"/>
    <col min="9460" max="9471" width="8.42578125" style="4" customWidth="1"/>
    <col min="9472" max="9712" width="8.85546875" style="4"/>
    <col min="9713" max="9713" width="14.5703125" style="4" customWidth="1"/>
    <col min="9714" max="9714" width="20.7109375" style="4" customWidth="1"/>
    <col min="9715" max="9715" width="8.85546875" style="4"/>
    <col min="9716" max="9727" width="8.42578125" style="4" customWidth="1"/>
    <col min="9728" max="9968" width="8.85546875" style="4"/>
    <col min="9969" max="9969" width="14.5703125" style="4" customWidth="1"/>
    <col min="9970" max="9970" width="20.7109375" style="4" customWidth="1"/>
    <col min="9971" max="9971" width="8.85546875" style="4"/>
    <col min="9972" max="9983" width="8.42578125" style="4" customWidth="1"/>
    <col min="9984" max="10224" width="8.85546875" style="4"/>
    <col min="10225" max="10225" width="14.5703125" style="4" customWidth="1"/>
    <col min="10226" max="10226" width="20.7109375" style="4" customWidth="1"/>
    <col min="10227" max="10227" width="8.85546875" style="4"/>
    <col min="10228" max="10239" width="8.42578125" style="4" customWidth="1"/>
    <col min="10240" max="10480" width="8.85546875" style="4"/>
    <col min="10481" max="10481" width="14.5703125" style="4" customWidth="1"/>
    <col min="10482" max="10482" width="20.7109375" style="4" customWidth="1"/>
    <col min="10483" max="10483" width="8.85546875" style="4"/>
    <col min="10484" max="10495" width="8.42578125" style="4" customWidth="1"/>
    <col min="10496" max="10736" width="8.85546875" style="4"/>
    <col min="10737" max="10737" width="14.5703125" style="4" customWidth="1"/>
    <col min="10738" max="10738" width="20.7109375" style="4" customWidth="1"/>
    <col min="10739" max="10739" width="8.85546875" style="4"/>
    <col min="10740" max="10751" width="8.42578125" style="4" customWidth="1"/>
    <col min="10752" max="10992" width="8.85546875" style="4"/>
    <col min="10993" max="10993" width="14.5703125" style="4" customWidth="1"/>
    <col min="10994" max="10994" width="20.7109375" style="4" customWidth="1"/>
    <col min="10995" max="10995" width="8.85546875" style="4"/>
    <col min="10996" max="11007" width="8.42578125" style="4" customWidth="1"/>
    <col min="11008" max="11248" width="8.85546875" style="4"/>
    <col min="11249" max="11249" width="14.5703125" style="4" customWidth="1"/>
    <col min="11250" max="11250" width="20.7109375" style="4" customWidth="1"/>
    <col min="11251" max="11251" width="8.85546875" style="4"/>
    <col min="11252" max="11263" width="8.42578125" style="4" customWidth="1"/>
    <col min="11264" max="11504" width="8.85546875" style="4"/>
    <col min="11505" max="11505" width="14.5703125" style="4" customWidth="1"/>
    <col min="11506" max="11506" width="20.7109375" style="4" customWidth="1"/>
    <col min="11507" max="11507" width="8.85546875" style="4"/>
    <col min="11508" max="11519" width="8.42578125" style="4" customWidth="1"/>
    <col min="11520" max="11760" width="8.85546875" style="4"/>
    <col min="11761" max="11761" width="14.5703125" style="4" customWidth="1"/>
    <col min="11762" max="11762" width="20.7109375" style="4" customWidth="1"/>
    <col min="11763" max="11763" width="8.85546875" style="4"/>
    <col min="11764" max="11775" width="8.42578125" style="4" customWidth="1"/>
    <col min="11776" max="12016" width="8.85546875" style="4"/>
    <col min="12017" max="12017" width="14.5703125" style="4" customWidth="1"/>
    <col min="12018" max="12018" width="20.7109375" style="4" customWidth="1"/>
    <col min="12019" max="12019" width="8.85546875" style="4"/>
    <col min="12020" max="12031" width="8.42578125" style="4" customWidth="1"/>
    <col min="12032" max="12272" width="8.85546875" style="4"/>
    <col min="12273" max="12273" width="14.5703125" style="4" customWidth="1"/>
    <col min="12274" max="12274" width="20.7109375" style="4" customWidth="1"/>
    <col min="12275" max="12275" width="8.85546875" style="4"/>
    <col min="12276" max="12287" width="8.42578125" style="4" customWidth="1"/>
    <col min="12288" max="12528" width="8.85546875" style="4"/>
    <col min="12529" max="12529" width="14.5703125" style="4" customWidth="1"/>
    <col min="12530" max="12530" width="20.7109375" style="4" customWidth="1"/>
    <col min="12531" max="12531" width="8.85546875" style="4"/>
    <col min="12532" max="12543" width="8.42578125" style="4" customWidth="1"/>
    <col min="12544" max="12784" width="8.85546875" style="4"/>
    <col min="12785" max="12785" width="14.5703125" style="4" customWidth="1"/>
    <col min="12786" max="12786" width="20.7109375" style="4" customWidth="1"/>
    <col min="12787" max="12787" width="8.85546875" style="4"/>
    <col min="12788" max="12799" width="8.42578125" style="4" customWidth="1"/>
    <col min="12800" max="13040" width="8.85546875" style="4"/>
    <col min="13041" max="13041" width="14.5703125" style="4" customWidth="1"/>
    <col min="13042" max="13042" width="20.7109375" style="4" customWidth="1"/>
    <col min="13043" max="13043" width="8.85546875" style="4"/>
    <col min="13044" max="13055" width="8.42578125" style="4" customWidth="1"/>
    <col min="13056" max="13296" width="8.85546875" style="4"/>
    <col min="13297" max="13297" width="14.5703125" style="4" customWidth="1"/>
    <col min="13298" max="13298" width="20.7109375" style="4" customWidth="1"/>
    <col min="13299" max="13299" width="8.85546875" style="4"/>
    <col min="13300" max="13311" width="8.42578125" style="4" customWidth="1"/>
    <col min="13312" max="13552" width="8.85546875" style="4"/>
    <col min="13553" max="13553" width="14.5703125" style="4" customWidth="1"/>
    <col min="13554" max="13554" width="20.7109375" style="4" customWidth="1"/>
    <col min="13555" max="13555" width="8.85546875" style="4"/>
    <col min="13556" max="13567" width="8.42578125" style="4" customWidth="1"/>
    <col min="13568" max="13808" width="8.85546875" style="4"/>
    <col min="13809" max="13809" width="14.5703125" style="4" customWidth="1"/>
    <col min="13810" max="13810" width="20.7109375" style="4" customWidth="1"/>
    <col min="13811" max="13811" width="8.85546875" style="4"/>
    <col min="13812" max="13823" width="8.42578125" style="4" customWidth="1"/>
    <col min="13824" max="14064" width="8.85546875" style="4"/>
    <col min="14065" max="14065" width="14.5703125" style="4" customWidth="1"/>
    <col min="14066" max="14066" width="20.7109375" style="4" customWidth="1"/>
    <col min="14067" max="14067" width="8.85546875" style="4"/>
    <col min="14068" max="14079" width="8.42578125" style="4" customWidth="1"/>
    <col min="14080" max="14320" width="8.85546875" style="4"/>
    <col min="14321" max="14321" width="14.5703125" style="4" customWidth="1"/>
    <col min="14322" max="14322" width="20.7109375" style="4" customWidth="1"/>
    <col min="14323" max="14323" width="8.85546875" style="4"/>
    <col min="14324" max="14335" width="8.42578125" style="4" customWidth="1"/>
    <col min="14336" max="14576" width="8.85546875" style="4"/>
    <col min="14577" max="14577" width="14.5703125" style="4" customWidth="1"/>
    <col min="14578" max="14578" width="20.7109375" style="4" customWidth="1"/>
    <col min="14579" max="14579" width="8.85546875" style="4"/>
    <col min="14580" max="14591" width="8.42578125" style="4" customWidth="1"/>
    <col min="14592" max="14832" width="8.85546875" style="4"/>
    <col min="14833" max="14833" width="14.5703125" style="4" customWidth="1"/>
    <col min="14834" max="14834" width="20.7109375" style="4" customWidth="1"/>
    <col min="14835" max="14835" width="8.85546875" style="4"/>
    <col min="14836" max="14847" width="8.42578125" style="4" customWidth="1"/>
    <col min="14848" max="15088" width="8.85546875" style="4"/>
    <col min="15089" max="15089" width="14.5703125" style="4" customWidth="1"/>
    <col min="15090" max="15090" width="20.7109375" style="4" customWidth="1"/>
    <col min="15091" max="15091" width="8.85546875" style="4"/>
    <col min="15092" max="15103" width="8.42578125" style="4" customWidth="1"/>
    <col min="15104" max="15344" width="8.85546875" style="4"/>
    <col min="15345" max="15345" width="14.5703125" style="4" customWidth="1"/>
    <col min="15346" max="15346" width="20.7109375" style="4" customWidth="1"/>
    <col min="15347" max="15347" width="8.85546875" style="4"/>
    <col min="15348" max="15359" width="8.42578125" style="4" customWidth="1"/>
    <col min="15360" max="15600" width="8.85546875" style="4"/>
    <col min="15601" max="15601" width="14.5703125" style="4" customWidth="1"/>
    <col min="15602" max="15602" width="20.7109375" style="4" customWidth="1"/>
    <col min="15603" max="15603" width="8.85546875" style="4"/>
    <col min="15604" max="15615" width="8.42578125" style="4" customWidth="1"/>
    <col min="15616" max="15856" width="8.85546875" style="4"/>
    <col min="15857" max="15857" width="14.5703125" style="4" customWidth="1"/>
    <col min="15858" max="15858" width="20.7109375" style="4" customWidth="1"/>
    <col min="15859" max="15859" width="8.85546875" style="4"/>
    <col min="15860" max="15871" width="8.42578125" style="4" customWidth="1"/>
    <col min="15872" max="16112" width="8.85546875" style="4"/>
    <col min="16113" max="16113" width="14.5703125" style="4" customWidth="1"/>
    <col min="16114" max="16114" width="20.7109375" style="4" customWidth="1"/>
    <col min="16115" max="16115" width="8.85546875" style="4"/>
    <col min="16116" max="16127" width="8.42578125" style="4" customWidth="1"/>
    <col min="16128" max="16384" width="8.85546875" style="4"/>
  </cols>
  <sheetData>
    <row r="1" spans="1:13" s="2" customFormat="1" ht="21.6" customHeight="1" thickBot="1" x14ac:dyDescent="0.25">
      <c r="A1" s="1327" t="s">
        <v>28</v>
      </c>
      <c r="B1" s="1327"/>
      <c r="C1" s="1327"/>
      <c r="D1" s="1327"/>
      <c r="E1" s="1327"/>
      <c r="F1" s="1"/>
      <c r="G1" s="1"/>
      <c r="H1" s="1"/>
      <c r="I1" s="1"/>
      <c r="J1" s="1"/>
      <c r="K1" s="1"/>
      <c r="L1" s="1"/>
      <c r="M1" s="1"/>
    </row>
    <row r="2" spans="1:13" s="2" customFormat="1" ht="15" customHeight="1" thickBot="1" x14ac:dyDescent="0.25">
      <c r="A2" s="1328" t="s">
        <v>29</v>
      </c>
      <c r="B2" s="1329"/>
      <c r="C2" s="1330"/>
      <c r="D2" s="1328" t="s">
        <v>30</v>
      </c>
      <c r="E2" s="1330"/>
      <c r="F2" s="1"/>
      <c r="G2" s="1"/>
      <c r="H2" s="1"/>
      <c r="I2" s="1"/>
      <c r="J2" s="1"/>
      <c r="K2" s="1"/>
      <c r="L2" s="1"/>
      <c r="M2" s="1"/>
    </row>
    <row r="3" spans="1:13" s="3" customFormat="1" ht="16.899999999999999" customHeight="1" x14ac:dyDescent="0.2">
      <c r="A3" s="37" t="s">
        <v>31</v>
      </c>
      <c r="B3" s="5" t="s">
        <v>32</v>
      </c>
      <c r="C3" s="42" t="s">
        <v>33</v>
      </c>
      <c r="D3" s="37" t="s">
        <v>31</v>
      </c>
      <c r="E3" s="42" t="s">
        <v>32</v>
      </c>
      <c r="F3" s="1"/>
      <c r="G3" s="1"/>
      <c r="H3" s="1"/>
      <c r="I3" s="1"/>
      <c r="J3" s="1"/>
      <c r="K3" s="1"/>
      <c r="L3" s="1"/>
      <c r="M3" s="1"/>
    </row>
    <row r="4" spans="1:13" s="58" customFormat="1" ht="13.9" customHeight="1" x14ac:dyDescent="0.2">
      <c r="A4" s="38">
        <v>6.3</v>
      </c>
      <c r="B4" s="314">
        <v>0.245</v>
      </c>
      <c r="C4" s="39" t="s">
        <v>34</v>
      </c>
      <c r="D4" s="38">
        <v>3.4</v>
      </c>
      <c r="E4" s="315">
        <v>7.9000000000000001E-2</v>
      </c>
      <c r="F4" s="57"/>
      <c r="G4" s="57"/>
      <c r="H4" s="57"/>
      <c r="I4" s="57"/>
      <c r="J4" s="57"/>
      <c r="K4" s="57"/>
      <c r="L4" s="57"/>
      <c r="M4" s="57"/>
    </row>
    <row r="5" spans="1:13" s="58" customFormat="1" ht="13.9" customHeight="1" x14ac:dyDescent="0.2">
      <c r="A5" s="38">
        <v>8</v>
      </c>
      <c r="B5" s="314">
        <v>0.39500000000000002</v>
      </c>
      <c r="C5" s="39" t="s">
        <v>35</v>
      </c>
      <c r="D5" s="38">
        <v>4.2</v>
      </c>
      <c r="E5" s="315">
        <v>0.109</v>
      </c>
      <c r="F5" s="57"/>
      <c r="G5" s="57"/>
      <c r="H5" s="57"/>
      <c r="I5" s="57"/>
      <c r="J5" s="57"/>
      <c r="K5" s="57"/>
      <c r="L5" s="57"/>
      <c r="M5" s="57"/>
    </row>
    <row r="6" spans="1:13" s="58" customFormat="1" ht="13.9" customHeight="1" x14ac:dyDescent="0.2">
      <c r="A6" s="38">
        <v>10</v>
      </c>
      <c r="B6" s="314">
        <v>0.61699999999999999</v>
      </c>
      <c r="C6" s="39" t="s">
        <v>36</v>
      </c>
      <c r="D6" s="38">
        <v>5</v>
      </c>
      <c r="E6" s="315">
        <v>0.154</v>
      </c>
      <c r="F6" s="57"/>
      <c r="G6" s="57"/>
      <c r="H6" s="57"/>
      <c r="I6" s="57"/>
      <c r="J6" s="57"/>
      <c r="K6" s="57"/>
      <c r="L6" s="57"/>
      <c r="M6" s="57"/>
    </row>
    <row r="7" spans="1:13" s="3" customFormat="1" ht="13.9" customHeight="1" x14ac:dyDescent="0.2">
      <c r="A7" s="38">
        <v>12.5</v>
      </c>
      <c r="B7" s="314">
        <v>0.96299999999999997</v>
      </c>
      <c r="C7" s="39" t="s">
        <v>37</v>
      </c>
      <c r="D7" s="38">
        <v>6</v>
      </c>
      <c r="E7" s="315">
        <v>0.222</v>
      </c>
      <c r="F7" s="1"/>
      <c r="G7" s="1"/>
      <c r="H7" s="1"/>
      <c r="I7" s="1"/>
      <c r="J7" s="1"/>
      <c r="K7" s="1"/>
      <c r="L7" s="1"/>
      <c r="M7" s="1"/>
    </row>
    <row r="8" spans="1:13" s="58" customFormat="1" ht="13.9" customHeight="1" x14ac:dyDescent="0.2">
      <c r="A8" s="38">
        <v>16</v>
      </c>
      <c r="B8" s="314">
        <v>1.5780000000000001</v>
      </c>
      <c r="C8" s="39" t="s">
        <v>38</v>
      </c>
      <c r="D8" s="38">
        <v>7</v>
      </c>
      <c r="E8" s="315">
        <v>0.30199999999999999</v>
      </c>
      <c r="F8" s="57"/>
      <c r="G8" s="57"/>
      <c r="H8" s="57"/>
      <c r="I8" s="57"/>
      <c r="J8" s="57"/>
      <c r="K8" s="57"/>
      <c r="L8" s="57"/>
      <c r="M8" s="57"/>
    </row>
    <row r="9" spans="1:13" s="3" customFormat="1" ht="13.9" customHeight="1" x14ac:dyDescent="0.2">
      <c r="A9" s="38">
        <v>20</v>
      </c>
      <c r="B9" s="314">
        <v>2.4660000000000002</v>
      </c>
      <c r="C9" s="39" t="s">
        <v>39</v>
      </c>
      <c r="D9" s="38">
        <v>8</v>
      </c>
      <c r="E9" s="315">
        <v>0.39500000000000002</v>
      </c>
      <c r="F9" s="1"/>
      <c r="G9" s="1"/>
      <c r="H9" s="1"/>
      <c r="I9" s="1"/>
      <c r="J9" s="1"/>
      <c r="K9" s="1"/>
      <c r="L9" s="1"/>
      <c r="M9" s="1"/>
    </row>
    <row r="10" spans="1:13" s="58" customFormat="1" ht="13.9" customHeight="1" x14ac:dyDescent="0.2">
      <c r="A10" s="38">
        <v>25</v>
      </c>
      <c r="B10" s="314">
        <v>3.8530000000000002</v>
      </c>
      <c r="C10" s="39" t="s">
        <v>40</v>
      </c>
      <c r="D10" s="38">
        <v>9.5</v>
      </c>
      <c r="E10" s="315">
        <v>0.55800000000000005</v>
      </c>
      <c r="F10" s="57"/>
      <c r="G10" s="57"/>
      <c r="H10" s="57"/>
      <c r="I10" s="57"/>
      <c r="J10" s="57"/>
      <c r="K10" s="57"/>
      <c r="L10" s="57"/>
      <c r="M10" s="57"/>
    </row>
    <row r="11" spans="1:13" s="3" customFormat="1" ht="13.9" customHeight="1" x14ac:dyDescent="0.2">
      <c r="A11" s="38">
        <v>32</v>
      </c>
      <c r="B11" s="314">
        <v>6.3129999999999997</v>
      </c>
      <c r="C11" s="39" t="s">
        <v>41</v>
      </c>
      <c r="D11" s="38">
        <v>0</v>
      </c>
      <c r="E11" s="315"/>
      <c r="F11" s="1"/>
      <c r="G11" s="1"/>
      <c r="H11" s="1"/>
      <c r="I11" s="1"/>
      <c r="J11" s="1"/>
      <c r="K11" s="1"/>
      <c r="L11" s="1"/>
      <c r="M11" s="1"/>
    </row>
    <row r="12" spans="1:13" s="58" customFormat="1" ht="13.9" customHeight="1" thickBot="1" x14ac:dyDescent="0.25">
      <c r="A12" s="40">
        <v>40</v>
      </c>
      <c r="B12" s="316">
        <v>9.8650000000000002</v>
      </c>
      <c r="C12" s="41" t="s">
        <v>42</v>
      </c>
      <c r="D12" s="40">
        <v>0</v>
      </c>
      <c r="E12" s="317"/>
      <c r="F12" s="57"/>
      <c r="G12" s="57"/>
      <c r="H12" s="57"/>
      <c r="I12" s="57"/>
      <c r="J12" s="57"/>
      <c r="K12" s="57"/>
      <c r="L12" s="57"/>
      <c r="M12" s="57"/>
    </row>
    <row r="13" spans="1:13" s="69" customFormat="1" ht="13.9" customHeight="1" x14ac:dyDescent="0.2">
      <c r="A13" s="319"/>
      <c r="B13" s="319"/>
      <c r="C13" s="320"/>
      <c r="D13" s="319"/>
      <c r="E13" s="319"/>
      <c r="F13" s="1"/>
      <c r="G13" s="1"/>
      <c r="H13" s="1"/>
      <c r="I13" s="1"/>
      <c r="J13" s="1"/>
      <c r="K13" s="1"/>
      <c r="L13" s="1"/>
      <c r="M13" s="1"/>
    </row>
    <row r="14" spans="1:13" s="69" customFormat="1" ht="13.9" customHeight="1" x14ac:dyDescent="0.2">
      <c r="A14" s="319"/>
      <c r="B14" s="320"/>
      <c r="C14" s="319"/>
      <c r="D14" s="319"/>
      <c r="E14" s="319"/>
      <c r="F14" s="1"/>
      <c r="G14" s="1"/>
      <c r="H14" s="1"/>
      <c r="I14" s="1"/>
      <c r="J14" s="1"/>
      <c r="K14" s="1"/>
      <c r="L14" s="1"/>
      <c r="M14" s="1"/>
    </row>
    <row r="15" spans="1:13" s="250" customFormat="1" ht="13.9" customHeight="1" x14ac:dyDescent="0.2">
      <c r="A15" s="480"/>
      <c r="B15" s="480"/>
      <c r="C15" s="480"/>
      <c r="D15" s="480"/>
      <c r="E15" s="480"/>
      <c r="F15" s="290"/>
      <c r="G15" s="290"/>
      <c r="H15" s="290"/>
      <c r="I15" s="290"/>
      <c r="J15" s="290"/>
      <c r="K15" s="290"/>
      <c r="L15" s="290"/>
      <c r="M15" s="290"/>
    </row>
    <row r="16" spans="1:13" s="250" customFormat="1" ht="13.9" customHeight="1" x14ac:dyDescent="0.2">
      <c r="A16" s="480"/>
      <c r="B16" s="480"/>
      <c r="C16" s="480"/>
      <c r="D16" s="480"/>
      <c r="E16" s="480"/>
      <c r="F16" s="290"/>
      <c r="G16" s="290"/>
      <c r="H16" s="290"/>
      <c r="I16" s="290"/>
      <c r="J16" s="290"/>
      <c r="K16" s="290"/>
      <c r="L16" s="290"/>
      <c r="M16" s="290"/>
    </row>
    <row r="17" spans="1:13" s="250" customFormat="1" ht="13.9" customHeight="1" x14ac:dyDescent="0.2">
      <c r="A17" s="482"/>
      <c r="B17" s="482"/>
      <c r="C17" s="482"/>
      <c r="D17" s="482"/>
      <c r="E17" s="482"/>
      <c r="F17" s="290"/>
      <c r="G17" s="290"/>
      <c r="H17" s="290"/>
      <c r="I17" s="290"/>
      <c r="J17" s="290"/>
      <c r="K17" s="290"/>
      <c r="L17" s="290"/>
      <c r="M17" s="290"/>
    </row>
    <row r="18" spans="1:13" s="250" customFormat="1" ht="13.9" customHeight="1" x14ac:dyDescent="0.2">
      <c r="A18" s="482"/>
      <c r="B18" s="482"/>
      <c r="C18" s="482"/>
      <c r="D18" s="482"/>
      <c r="E18" s="482"/>
      <c r="F18" s="290"/>
      <c r="G18" s="290"/>
      <c r="H18" s="290"/>
      <c r="I18" s="290"/>
      <c r="J18" s="290"/>
      <c r="K18" s="290"/>
      <c r="L18" s="290"/>
      <c r="M18" s="290"/>
    </row>
    <row r="19" spans="1:13" s="250" customFormat="1" ht="13.9" customHeight="1" x14ac:dyDescent="0.2">
      <c r="A19" s="482"/>
      <c r="B19" s="482"/>
      <c r="C19" s="482"/>
      <c r="D19" s="482"/>
      <c r="E19" s="482"/>
      <c r="F19" s="290"/>
      <c r="G19" s="290"/>
      <c r="H19" s="290"/>
      <c r="I19" s="290"/>
      <c r="J19" s="290"/>
      <c r="K19" s="290"/>
      <c r="L19" s="290"/>
      <c r="M19" s="290"/>
    </row>
    <row r="20" spans="1:13" ht="13.9" customHeight="1" x14ac:dyDescent="0.2"/>
    <row r="21" spans="1:13" s="250" customFormat="1" ht="13.9" customHeight="1" x14ac:dyDescent="0.2">
      <c r="A21" s="482"/>
      <c r="B21" s="482"/>
      <c r="C21" s="482"/>
      <c r="D21" s="482"/>
      <c r="E21" s="482"/>
      <c r="F21" s="290"/>
      <c r="G21" s="290"/>
      <c r="H21" s="290"/>
      <c r="I21" s="290"/>
      <c r="J21" s="290"/>
      <c r="K21" s="290"/>
      <c r="L21" s="290"/>
      <c r="M21" s="290"/>
    </row>
    <row r="22" spans="1:13" ht="13.9" customHeight="1" x14ac:dyDescent="0.2"/>
    <row r="23" spans="1:13" ht="12.95" customHeight="1" x14ac:dyDescent="0.2"/>
    <row r="24" spans="1:13" ht="12.95" customHeight="1" x14ac:dyDescent="0.2"/>
    <row r="25" spans="1:13" ht="12.95" customHeight="1" x14ac:dyDescent="0.2"/>
    <row r="26" spans="1:13" ht="12.95" customHeight="1" x14ac:dyDescent="0.2"/>
    <row r="27" spans="1:13" ht="12.95" customHeight="1" x14ac:dyDescent="0.2"/>
    <row r="28" spans="1:13" ht="12.95" customHeight="1" x14ac:dyDescent="0.2"/>
  </sheetData>
  <mergeCells count="3">
    <mergeCell ref="A1:E1"/>
    <mergeCell ref="A2:C2"/>
    <mergeCell ref="D2:E2"/>
  </mergeCell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13">
    <tabColor theme="5" tint="0.59999389629810485"/>
    <pageSetUpPr fitToPage="1"/>
  </sheetPr>
  <dimension ref="A1:AC25"/>
  <sheetViews>
    <sheetView showGridLines="0" view="pageBreakPreview" zoomScaleNormal="100" zoomScaleSheetLayoutView="100" workbookViewId="0">
      <pane ySplit="6" topLeftCell="A7" activePane="bottomLeft" state="frozen"/>
      <selection activeCell="A4" sqref="A4:R6"/>
      <selection pane="bottomLeft" activeCell="A4" sqref="A4:R6"/>
    </sheetView>
  </sheetViews>
  <sheetFormatPr defaultColWidth="9.140625" defaultRowHeight="12.75" x14ac:dyDescent="0.2"/>
  <cols>
    <col min="1" max="1" width="29.7109375" style="12" customWidth="1"/>
    <col min="2" max="2" width="11.28515625" style="34" customWidth="1"/>
    <col min="3" max="3" width="6.7109375" style="12" customWidth="1"/>
    <col min="4" max="4" width="6.85546875" style="12" customWidth="1"/>
    <col min="5" max="5" width="5.7109375" style="12" customWidth="1"/>
    <col min="6" max="6" width="5.42578125" style="12" customWidth="1"/>
    <col min="7" max="8" width="6.42578125" style="12" customWidth="1"/>
    <col min="9" max="9" width="6.85546875" style="12" customWidth="1"/>
    <col min="10" max="10" width="9.5703125" style="12" customWidth="1"/>
    <col min="11" max="11" width="6.85546875" style="12" customWidth="1"/>
    <col min="12" max="12" width="7.140625" style="12" customWidth="1"/>
    <col min="13" max="13" width="9.85546875" style="12" customWidth="1"/>
    <col min="14" max="14" width="15" style="12" customWidth="1"/>
    <col min="15" max="15" width="7.28515625" style="12" customWidth="1"/>
    <col min="16" max="16" width="6.42578125" style="12" customWidth="1"/>
    <col min="17" max="17" width="17.85546875" style="12" customWidth="1"/>
    <col min="18" max="18" width="4" style="12" customWidth="1"/>
    <col min="19" max="20" width="8.7109375" style="12" customWidth="1"/>
    <col min="21" max="249" width="9.140625" style="12"/>
    <col min="250" max="250" width="18.140625" style="12" customWidth="1"/>
    <col min="251" max="251" width="15.85546875" style="12" customWidth="1"/>
    <col min="252" max="253" width="6.7109375" style="12" customWidth="1"/>
    <col min="254" max="254" width="5.7109375" style="12" customWidth="1"/>
    <col min="255" max="255" width="7" style="12" customWidth="1"/>
    <col min="256" max="256" width="5.7109375" style="12" customWidth="1"/>
    <col min="257" max="257" width="7.7109375" style="12" customWidth="1"/>
    <col min="258" max="258" width="8.7109375" style="12" customWidth="1"/>
    <col min="259" max="259" width="7.7109375" style="12" customWidth="1"/>
    <col min="260" max="260" width="8.7109375" style="12" customWidth="1"/>
    <col min="261" max="261" width="16.28515625" style="12" customWidth="1"/>
    <col min="262" max="262" width="7.7109375" style="12" customWidth="1"/>
    <col min="263" max="263" width="8" style="12" customWidth="1"/>
    <col min="264" max="264" width="7.7109375" style="12" customWidth="1"/>
    <col min="265" max="265" width="8.7109375" style="12" customWidth="1"/>
    <col min="266" max="505" width="9.140625" style="12"/>
    <col min="506" max="506" width="18.140625" style="12" customWidth="1"/>
    <col min="507" max="507" width="15.85546875" style="12" customWidth="1"/>
    <col min="508" max="509" width="6.7109375" style="12" customWidth="1"/>
    <col min="510" max="510" width="5.7109375" style="12" customWidth="1"/>
    <col min="511" max="511" width="7" style="12" customWidth="1"/>
    <col min="512" max="512" width="5.7109375" style="12" customWidth="1"/>
    <col min="513" max="513" width="7.7109375" style="12" customWidth="1"/>
    <col min="514" max="514" width="8.7109375" style="12" customWidth="1"/>
    <col min="515" max="515" width="7.7109375" style="12" customWidth="1"/>
    <col min="516" max="516" width="8.7109375" style="12" customWidth="1"/>
    <col min="517" max="517" width="16.28515625" style="12" customWidth="1"/>
    <col min="518" max="518" width="7.7109375" style="12" customWidth="1"/>
    <col min="519" max="519" width="8" style="12" customWidth="1"/>
    <col min="520" max="520" width="7.7109375" style="12" customWidth="1"/>
    <col min="521" max="521" width="8.7109375" style="12" customWidth="1"/>
    <col min="522" max="761" width="9.140625" style="12"/>
    <col min="762" max="762" width="18.140625" style="12" customWidth="1"/>
    <col min="763" max="763" width="15.85546875" style="12" customWidth="1"/>
    <col min="764" max="765" width="6.7109375" style="12" customWidth="1"/>
    <col min="766" max="766" width="5.7109375" style="12" customWidth="1"/>
    <col min="767" max="767" width="7" style="12" customWidth="1"/>
    <col min="768" max="768" width="5.7109375" style="12" customWidth="1"/>
    <col min="769" max="769" width="7.7109375" style="12" customWidth="1"/>
    <col min="770" max="770" width="8.7109375" style="12" customWidth="1"/>
    <col min="771" max="771" width="7.7109375" style="12" customWidth="1"/>
    <col min="772" max="772" width="8.7109375" style="12" customWidth="1"/>
    <col min="773" max="773" width="16.28515625" style="12" customWidth="1"/>
    <col min="774" max="774" width="7.7109375" style="12" customWidth="1"/>
    <col min="775" max="775" width="8" style="12" customWidth="1"/>
    <col min="776" max="776" width="7.7109375" style="12" customWidth="1"/>
    <col min="777" max="777" width="8.7109375" style="12" customWidth="1"/>
    <col min="778" max="1017" width="9.140625" style="12"/>
    <col min="1018" max="1018" width="18.140625" style="12" customWidth="1"/>
    <col min="1019" max="1019" width="15.85546875" style="12" customWidth="1"/>
    <col min="1020" max="1021" width="6.7109375" style="12" customWidth="1"/>
    <col min="1022" max="1022" width="5.7109375" style="12" customWidth="1"/>
    <col min="1023" max="1023" width="7" style="12" customWidth="1"/>
    <col min="1024" max="1024" width="5.7109375" style="12" customWidth="1"/>
    <col min="1025" max="1025" width="7.7109375" style="12" customWidth="1"/>
    <col min="1026" max="1026" width="8.7109375" style="12" customWidth="1"/>
    <col min="1027" max="1027" width="7.7109375" style="12" customWidth="1"/>
    <col min="1028" max="1028" width="8.7109375" style="12" customWidth="1"/>
    <col min="1029" max="1029" width="16.28515625" style="12" customWidth="1"/>
    <col min="1030" max="1030" width="7.7109375" style="12" customWidth="1"/>
    <col min="1031" max="1031" width="8" style="12" customWidth="1"/>
    <col min="1032" max="1032" width="7.7109375" style="12" customWidth="1"/>
    <col min="1033" max="1033" width="8.7109375" style="12" customWidth="1"/>
    <col min="1034" max="1273" width="9.140625" style="12"/>
    <col min="1274" max="1274" width="18.140625" style="12" customWidth="1"/>
    <col min="1275" max="1275" width="15.85546875" style="12" customWidth="1"/>
    <col min="1276" max="1277" width="6.7109375" style="12" customWidth="1"/>
    <col min="1278" max="1278" width="5.7109375" style="12" customWidth="1"/>
    <col min="1279" max="1279" width="7" style="12" customWidth="1"/>
    <col min="1280" max="1280" width="5.7109375" style="12" customWidth="1"/>
    <col min="1281" max="1281" width="7.7109375" style="12" customWidth="1"/>
    <col min="1282" max="1282" width="8.7109375" style="12" customWidth="1"/>
    <col min="1283" max="1283" width="7.7109375" style="12" customWidth="1"/>
    <col min="1284" max="1284" width="8.7109375" style="12" customWidth="1"/>
    <col min="1285" max="1285" width="16.28515625" style="12" customWidth="1"/>
    <col min="1286" max="1286" width="7.7109375" style="12" customWidth="1"/>
    <col min="1287" max="1287" width="8" style="12" customWidth="1"/>
    <col min="1288" max="1288" width="7.7109375" style="12" customWidth="1"/>
    <col min="1289" max="1289" width="8.7109375" style="12" customWidth="1"/>
    <col min="1290" max="1529" width="9.140625" style="12"/>
    <col min="1530" max="1530" width="18.140625" style="12" customWidth="1"/>
    <col min="1531" max="1531" width="15.85546875" style="12" customWidth="1"/>
    <col min="1532" max="1533" width="6.7109375" style="12" customWidth="1"/>
    <col min="1534" max="1534" width="5.7109375" style="12" customWidth="1"/>
    <col min="1535" max="1535" width="7" style="12" customWidth="1"/>
    <col min="1536" max="1536" width="5.7109375" style="12" customWidth="1"/>
    <col min="1537" max="1537" width="7.7109375" style="12" customWidth="1"/>
    <col min="1538" max="1538" width="8.7109375" style="12" customWidth="1"/>
    <col min="1539" max="1539" width="7.7109375" style="12" customWidth="1"/>
    <col min="1540" max="1540" width="8.7109375" style="12" customWidth="1"/>
    <col min="1541" max="1541" width="16.28515625" style="12" customWidth="1"/>
    <col min="1542" max="1542" width="7.7109375" style="12" customWidth="1"/>
    <col min="1543" max="1543" width="8" style="12" customWidth="1"/>
    <col min="1544" max="1544" width="7.7109375" style="12" customWidth="1"/>
    <col min="1545" max="1545" width="8.7109375" style="12" customWidth="1"/>
    <col min="1546" max="1785" width="9.140625" style="12"/>
    <col min="1786" max="1786" width="18.140625" style="12" customWidth="1"/>
    <col min="1787" max="1787" width="15.85546875" style="12" customWidth="1"/>
    <col min="1788" max="1789" width="6.7109375" style="12" customWidth="1"/>
    <col min="1790" max="1790" width="5.7109375" style="12" customWidth="1"/>
    <col min="1791" max="1791" width="7" style="12" customWidth="1"/>
    <col min="1792" max="1792" width="5.7109375" style="12" customWidth="1"/>
    <col min="1793" max="1793" width="7.7109375" style="12" customWidth="1"/>
    <col min="1794" max="1794" width="8.7109375" style="12" customWidth="1"/>
    <col min="1795" max="1795" width="7.7109375" style="12" customWidth="1"/>
    <col min="1796" max="1796" width="8.7109375" style="12" customWidth="1"/>
    <col min="1797" max="1797" width="16.28515625" style="12" customWidth="1"/>
    <col min="1798" max="1798" width="7.7109375" style="12" customWidth="1"/>
    <col min="1799" max="1799" width="8" style="12" customWidth="1"/>
    <col min="1800" max="1800" width="7.7109375" style="12" customWidth="1"/>
    <col min="1801" max="1801" width="8.7109375" style="12" customWidth="1"/>
    <col min="1802" max="2041" width="9.140625" style="12"/>
    <col min="2042" max="2042" width="18.140625" style="12" customWidth="1"/>
    <col min="2043" max="2043" width="15.85546875" style="12" customWidth="1"/>
    <col min="2044" max="2045" width="6.7109375" style="12" customWidth="1"/>
    <col min="2046" max="2046" width="5.7109375" style="12" customWidth="1"/>
    <col min="2047" max="2047" width="7" style="12" customWidth="1"/>
    <col min="2048" max="2048" width="5.7109375" style="12" customWidth="1"/>
    <col min="2049" max="2049" width="7.7109375" style="12" customWidth="1"/>
    <col min="2050" max="2050" width="8.7109375" style="12" customWidth="1"/>
    <col min="2051" max="2051" width="7.7109375" style="12" customWidth="1"/>
    <col min="2052" max="2052" width="8.7109375" style="12" customWidth="1"/>
    <col min="2053" max="2053" width="16.28515625" style="12" customWidth="1"/>
    <col min="2054" max="2054" width="7.7109375" style="12" customWidth="1"/>
    <col min="2055" max="2055" width="8" style="12" customWidth="1"/>
    <col min="2056" max="2056" width="7.7109375" style="12" customWidth="1"/>
    <col min="2057" max="2057" width="8.7109375" style="12" customWidth="1"/>
    <col min="2058" max="2297" width="9.140625" style="12"/>
    <col min="2298" max="2298" width="18.140625" style="12" customWidth="1"/>
    <col min="2299" max="2299" width="15.85546875" style="12" customWidth="1"/>
    <col min="2300" max="2301" width="6.7109375" style="12" customWidth="1"/>
    <col min="2302" max="2302" width="5.7109375" style="12" customWidth="1"/>
    <col min="2303" max="2303" width="7" style="12" customWidth="1"/>
    <col min="2304" max="2304" width="5.7109375" style="12" customWidth="1"/>
    <col min="2305" max="2305" width="7.7109375" style="12" customWidth="1"/>
    <col min="2306" max="2306" width="8.7109375" style="12" customWidth="1"/>
    <col min="2307" max="2307" width="7.7109375" style="12" customWidth="1"/>
    <col min="2308" max="2308" width="8.7109375" style="12" customWidth="1"/>
    <col min="2309" max="2309" width="16.28515625" style="12" customWidth="1"/>
    <col min="2310" max="2310" width="7.7109375" style="12" customWidth="1"/>
    <col min="2311" max="2311" width="8" style="12" customWidth="1"/>
    <col min="2312" max="2312" width="7.7109375" style="12" customWidth="1"/>
    <col min="2313" max="2313" width="8.7109375" style="12" customWidth="1"/>
    <col min="2314" max="2553" width="9.140625" style="12"/>
    <col min="2554" max="2554" width="18.140625" style="12" customWidth="1"/>
    <col min="2555" max="2555" width="15.85546875" style="12" customWidth="1"/>
    <col min="2556" max="2557" width="6.7109375" style="12" customWidth="1"/>
    <col min="2558" max="2558" width="5.7109375" style="12" customWidth="1"/>
    <col min="2559" max="2559" width="7" style="12" customWidth="1"/>
    <col min="2560" max="2560" width="5.7109375" style="12" customWidth="1"/>
    <col min="2561" max="2561" width="7.7109375" style="12" customWidth="1"/>
    <col min="2562" max="2562" width="8.7109375" style="12" customWidth="1"/>
    <col min="2563" max="2563" width="7.7109375" style="12" customWidth="1"/>
    <col min="2564" max="2564" width="8.7109375" style="12" customWidth="1"/>
    <col min="2565" max="2565" width="16.28515625" style="12" customWidth="1"/>
    <col min="2566" max="2566" width="7.7109375" style="12" customWidth="1"/>
    <col min="2567" max="2567" width="8" style="12" customWidth="1"/>
    <col min="2568" max="2568" width="7.7109375" style="12" customWidth="1"/>
    <col min="2569" max="2569" width="8.7109375" style="12" customWidth="1"/>
    <col min="2570" max="2809" width="9.140625" style="12"/>
    <col min="2810" max="2810" width="18.140625" style="12" customWidth="1"/>
    <col min="2811" max="2811" width="15.85546875" style="12" customWidth="1"/>
    <col min="2812" max="2813" width="6.7109375" style="12" customWidth="1"/>
    <col min="2814" max="2814" width="5.7109375" style="12" customWidth="1"/>
    <col min="2815" max="2815" width="7" style="12" customWidth="1"/>
    <col min="2816" max="2816" width="5.7109375" style="12" customWidth="1"/>
    <col min="2817" max="2817" width="7.7109375" style="12" customWidth="1"/>
    <col min="2818" max="2818" width="8.7109375" style="12" customWidth="1"/>
    <col min="2819" max="2819" width="7.7109375" style="12" customWidth="1"/>
    <col min="2820" max="2820" width="8.7109375" style="12" customWidth="1"/>
    <col min="2821" max="2821" width="16.28515625" style="12" customWidth="1"/>
    <col min="2822" max="2822" width="7.7109375" style="12" customWidth="1"/>
    <col min="2823" max="2823" width="8" style="12" customWidth="1"/>
    <col min="2824" max="2824" width="7.7109375" style="12" customWidth="1"/>
    <col min="2825" max="2825" width="8.7109375" style="12" customWidth="1"/>
    <col min="2826" max="3065" width="9.140625" style="12"/>
    <col min="3066" max="3066" width="18.140625" style="12" customWidth="1"/>
    <col min="3067" max="3067" width="15.85546875" style="12" customWidth="1"/>
    <col min="3068" max="3069" width="6.7109375" style="12" customWidth="1"/>
    <col min="3070" max="3070" width="5.7109375" style="12" customWidth="1"/>
    <col min="3071" max="3071" width="7" style="12" customWidth="1"/>
    <col min="3072" max="3072" width="5.7109375" style="12" customWidth="1"/>
    <col min="3073" max="3073" width="7.7109375" style="12" customWidth="1"/>
    <col min="3074" max="3074" width="8.7109375" style="12" customWidth="1"/>
    <col min="3075" max="3075" width="7.7109375" style="12" customWidth="1"/>
    <col min="3076" max="3076" width="8.7109375" style="12" customWidth="1"/>
    <col min="3077" max="3077" width="16.28515625" style="12" customWidth="1"/>
    <col min="3078" max="3078" width="7.7109375" style="12" customWidth="1"/>
    <col min="3079" max="3079" width="8" style="12" customWidth="1"/>
    <col min="3080" max="3080" width="7.7109375" style="12" customWidth="1"/>
    <col min="3081" max="3081" width="8.7109375" style="12" customWidth="1"/>
    <col min="3082" max="3321" width="9.140625" style="12"/>
    <col min="3322" max="3322" width="18.140625" style="12" customWidth="1"/>
    <col min="3323" max="3323" width="15.85546875" style="12" customWidth="1"/>
    <col min="3324" max="3325" width="6.7109375" style="12" customWidth="1"/>
    <col min="3326" max="3326" width="5.7109375" style="12" customWidth="1"/>
    <col min="3327" max="3327" width="7" style="12" customWidth="1"/>
    <col min="3328" max="3328" width="5.7109375" style="12" customWidth="1"/>
    <col min="3329" max="3329" width="7.7109375" style="12" customWidth="1"/>
    <col min="3330" max="3330" width="8.7109375" style="12" customWidth="1"/>
    <col min="3331" max="3331" width="7.7109375" style="12" customWidth="1"/>
    <col min="3332" max="3332" width="8.7109375" style="12" customWidth="1"/>
    <col min="3333" max="3333" width="16.28515625" style="12" customWidth="1"/>
    <col min="3334" max="3334" width="7.7109375" style="12" customWidth="1"/>
    <col min="3335" max="3335" width="8" style="12" customWidth="1"/>
    <col min="3336" max="3336" width="7.7109375" style="12" customWidth="1"/>
    <col min="3337" max="3337" width="8.7109375" style="12" customWidth="1"/>
    <col min="3338" max="3577" width="9.140625" style="12"/>
    <col min="3578" max="3578" width="18.140625" style="12" customWidth="1"/>
    <col min="3579" max="3579" width="15.85546875" style="12" customWidth="1"/>
    <col min="3580" max="3581" width="6.7109375" style="12" customWidth="1"/>
    <col min="3582" max="3582" width="5.7109375" style="12" customWidth="1"/>
    <col min="3583" max="3583" width="7" style="12" customWidth="1"/>
    <col min="3584" max="3584" width="5.7109375" style="12" customWidth="1"/>
    <col min="3585" max="3585" width="7.7109375" style="12" customWidth="1"/>
    <col min="3586" max="3586" width="8.7109375" style="12" customWidth="1"/>
    <col min="3587" max="3587" width="7.7109375" style="12" customWidth="1"/>
    <col min="3588" max="3588" width="8.7109375" style="12" customWidth="1"/>
    <col min="3589" max="3589" width="16.28515625" style="12" customWidth="1"/>
    <col min="3590" max="3590" width="7.7109375" style="12" customWidth="1"/>
    <col min="3591" max="3591" width="8" style="12" customWidth="1"/>
    <col min="3592" max="3592" width="7.7109375" style="12" customWidth="1"/>
    <col min="3593" max="3593" width="8.7109375" style="12" customWidth="1"/>
    <col min="3594" max="3833" width="9.140625" style="12"/>
    <col min="3834" max="3834" width="18.140625" style="12" customWidth="1"/>
    <col min="3835" max="3835" width="15.85546875" style="12" customWidth="1"/>
    <col min="3836" max="3837" width="6.7109375" style="12" customWidth="1"/>
    <col min="3838" max="3838" width="5.7109375" style="12" customWidth="1"/>
    <col min="3839" max="3839" width="7" style="12" customWidth="1"/>
    <col min="3840" max="3840" width="5.7109375" style="12" customWidth="1"/>
    <col min="3841" max="3841" width="7.7109375" style="12" customWidth="1"/>
    <col min="3842" max="3842" width="8.7109375" style="12" customWidth="1"/>
    <col min="3843" max="3843" width="7.7109375" style="12" customWidth="1"/>
    <col min="3844" max="3844" width="8.7109375" style="12" customWidth="1"/>
    <col min="3845" max="3845" width="16.28515625" style="12" customWidth="1"/>
    <col min="3846" max="3846" width="7.7109375" style="12" customWidth="1"/>
    <col min="3847" max="3847" width="8" style="12" customWidth="1"/>
    <col min="3848" max="3848" width="7.7109375" style="12" customWidth="1"/>
    <col min="3849" max="3849" width="8.7109375" style="12" customWidth="1"/>
    <col min="3850" max="4089" width="9.140625" style="12"/>
    <col min="4090" max="4090" width="18.140625" style="12" customWidth="1"/>
    <col min="4091" max="4091" width="15.85546875" style="12" customWidth="1"/>
    <col min="4092" max="4093" width="6.7109375" style="12" customWidth="1"/>
    <col min="4094" max="4094" width="5.7109375" style="12" customWidth="1"/>
    <col min="4095" max="4095" width="7" style="12" customWidth="1"/>
    <col min="4096" max="4096" width="5.7109375" style="12" customWidth="1"/>
    <col min="4097" max="4097" width="7.7109375" style="12" customWidth="1"/>
    <col min="4098" max="4098" width="8.7109375" style="12" customWidth="1"/>
    <col min="4099" max="4099" width="7.7109375" style="12" customWidth="1"/>
    <col min="4100" max="4100" width="8.7109375" style="12" customWidth="1"/>
    <col min="4101" max="4101" width="16.28515625" style="12" customWidth="1"/>
    <col min="4102" max="4102" width="7.7109375" style="12" customWidth="1"/>
    <col min="4103" max="4103" width="8" style="12" customWidth="1"/>
    <col min="4104" max="4104" width="7.7109375" style="12" customWidth="1"/>
    <col min="4105" max="4105" width="8.7109375" style="12" customWidth="1"/>
    <col min="4106" max="4345" width="9.140625" style="12"/>
    <col min="4346" max="4346" width="18.140625" style="12" customWidth="1"/>
    <col min="4347" max="4347" width="15.85546875" style="12" customWidth="1"/>
    <col min="4348" max="4349" width="6.7109375" style="12" customWidth="1"/>
    <col min="4350" max="4350" width="5.7109375" style="12" customWidth="1"/>
    <col min="4351" max="4351" width="7" style="12" customWidth="1"/>
    <col min="4352" max="4352" width="5.7109375" style="12" customWidth="1"/>
    <col min="4353" max="4353" width="7.7109375" style="12" customWidth="1"/>
    <col min="4354" max="4354" width="8.7109375" style="12" customWidth="1"/>
    <col min="4355" max="4355" width="7.7109375" style="12" customWidth="1"/>
    <col min="4356" max="4356" width="8.7109375" style="12" customWidth="1"/>
    <col min="4357" max="4357" width="16.28515625" style="12" customWidth="1"/>
    <col min="4358" max="4358" width="7.7109375" style="12" customWidth="1"/>
    <col min="4359" max="4359" width="8" style="12" customWidth="1"/>
    <col min="4360" max="4360" width="7.7109375" style="12" customWidth="1"/>
    <col min="4361" max="4361" width="8.7109375" style="12" customWidth="1"/>
    <col min="4362" max="4601" width="9.140625" style="12"/>
    <col min="4602" max="4602" width="18.140625" style="12" customWidth="1"/>
    <col min="4603" max="4603" width="15.85546875" style="12" customWidth="1"/>
    <col min="4604" max="4605" width="6.7109375" style="12" customWidth="1"/>
    <col min="4606" max="4606" width="5.7109375" style="12" customWidth="1"/>
    <col min="4607" max="4607" width="7" style="12" customWidth="1"/>
    <col min="4608" max="4608" width="5.7109375" style="12" customWidth="1"/>
    <col min="4609" max="4609" width="7.7109375" style="12" customWidth="1"/>
    <col min="4610" max="4610" width="8.7109375" style="12" customWidth="1"/>
    <col min="4611" max="4611" width="7.7109375" style="12" customWidth="1"/>
    <col min="4612" max="4612" width="8.7109375" style="12" customWidth="1"/>
    <col min="4613" max="4613" width="16.28515625" style="12" customWidth="1"/>
    <col min="4614" max="4614" width="7.7109375" style="12" customWidth="1"/>
    <col min="4615" max="4615" width="8" style="12" customWidth="1"/>
    <col min="4616" max="4616" width="7.7109375" style="12" customWidth="1"/>
    <col min="4617" max="4617" width="8.7109375" style="12" customWidth="1"/>
    <col min="4618" max="4857" width="9.140625" style="12"/>
    <col min="4858" max="4858" width="18.140625" style="12" customWidth="1"/>
    <col min="4859" max="4859" width="15.85546875" style="12" customWidth="1"/>
    <col min="4860" max="4861" width="6.7109375" style="12" customWidth="1"/>
    <col min="4862" max="4862" width="5.7109375" style="12" customWidth="1"/>
    <col min="4863" max="4863" width="7" style="12" customWidth="1"/>
    <col min="4864" max="4864" width="5.7109375" style="12" customWidth="1"/>
    <col min="4865" max="4865" width="7.7109375" style="12" customWidth="1"/>
    <col min="4866" max="4866" width="8.7109375" style="12" customWidth="1"/>
    <col min="4867" max="4867" width="7.7109375" style="12" customWidth="1"/>
    <col min="4868" max="4868" width="8.7109375" style="12" customWidth="1"/>
    <col min="4869" max="4869" width="16.28515625" style="12" customWidth="1"/>
    <col min="4870" max="4870" width="7.7109375" style="12" customWidth="1"/>
    <col min="4871" max="4871" width="8" style="12" customWidth="1"/>
    <col min="4872" max="4872" width="7.7109375" style="12" customWidth="1"/>
    <col min="4873" max="4873" width="8.7109375" style="12" customWidth="1"/>
    <col min="4874" max="5113" width="9.140625" style="12"/>
    <col min="5114" max="5114" width="18.140625" style="12" customWidth="1"/>
    <col min="5115" max="5115" width="15.85546875" style="12" customWidth="1"/>
    <col min="5116" max="5117" width="6.7109375" style="12" customWidth="1"/>
    <col min="5118" max="5118" width="5.7109375" style="12" customWidth="1"/>
    <col min="5119" max="5119" width="7" style="12" customWidth="1"/>
    <col min="5120" max="5120" width="5.7109375" style="12" customWidth="1"/>
    <col min="5121" max="5121" width="7.7109375" style="12" customWidth="1"/>
    <col min="5122" max="5122" width="8.7109375" style="12" customWidth="1"/>
    <col min="5123" max="5123" width="7.7109375" style="12" customWidth="1"/>
    <col min="5124" max="5124" width="8.7109375" style="12" customWidth="1"/>
    <col min="5125" max="5125" width="16.28515625" style="12" customWidth="1"/>
    <col min="5126" max="5126" width="7.7109375" style="12" customWidth="1"/>
    <col min="5127" max="5127" width="8" style="12" customWidth="1"/>
    <col min="5128" max="5128" width="7.7109375" style="12" customWidth="1"/>
    <col min="5129" max="5129" width="8.7109375" style="12" customWidth="1"/>
    <col min="5130" max="5369" width="9.140625" style="12"/>
    <col min="5370" max="5370" width="18.140625" style="12" customWidth="1"/>
    <col min="5371" max="5371" width="15.85546875" style="12" customWidth="1"/>
    <col min="5372" max="5373" width="6.7109375" style="12" customWidth="1"/>
    <col min="5374" max="5374" width="5.7109375" style="12" customWidth="1"/>
    <col min="5375" max="5375" width="7" style="12" customWidth="1"/>
    <col min="5376" max="5376" width="5.7109375" style="12" customWidth="1"/>
    <col min="5377" max="5377" width="7.7109375" style="12" customWidth="1"/>
    <col min="5378" max="5378" width="8.7109375" style="12" customWidth="1"/>
    <col min="5379" max="5379" width="7.7109375" style="12" customWidth="1"/>
    <col min="5380" max="5380" width="8.7109375" style="12" customWidth="1"/>
    <col min="5381" max="5381" width="16.28515625" style="12" customWidth="1"/>
    <col min="5382" max="5382" width="7.7109375" style="12" customWidth="1"/>
    <col min="5383" max="5383" width="8" style="12" customWidth="1"/>
    <col min="5384" max="5384" width="7.7109375" style="12" customWidth="1"/>
    <col min="5385" max="5385" width="8.7109375" style="12" customWidth="1"/>
    <col min="5386" max="5625" width="9.140625" style="12"/>
    <col min="5626" max="5626" width="18.140625" style="12" customWidth="1"/>
    <col min="5627" max="5627" width="15.85546875" style="12" customWidth="1"/>
    <col min="5628" max="5629" width="6.7109375" style="12" customWidth="1"/>
    <col min="5630" max="5630" width="5.7109375" style="12" customWidth="1"/>
    <col min="5631" max="5631" width="7" style="12" customWidth="1"/>
    <col min="5632" max="5632" width="5.7109375" style="12" customWidth="1"/>
    <col min="5633" max="5633" width="7.7109375" style="12" customWidth="1"/>
    <col min="5634" max="5634" width="8.7109375" style="12" customWidth="1"/>
    <col min="5635" max="5635" width="7.7109375" style="12" customWidth="1"/>
    <col min="5636" max="5636" width="8.7109375" style="12" customWidth="1"/>
    <col min="5637" max="5637" width="16.28515625" style="12" customWidth="1"/>
    <col min="5638" max="5638" width="7.7109375" style="12" customWidth="1"/>
    <col min="5639" max="5639" width="8" style="12" customWidth="1"/>
    <col min="5640" max="5640" width="7.7109375" style="12" customWidth="1"/>
    <col min="5641" max="5641" width="8.7109375" style="12" customWidth="1"/>
    <col min="5642" max="5881" width="9.140625" style="12"/>
    <col min="5882" max="5882" width="18.140625" style="12" customWidth="1"/>
    <col min="5883" max="5883" width="15.85546875" style="12" customWidth="1"/>
    <col min="5884" max="5885" width="6.7109375" style="12" customWidth="1"/>
    <col min="5886" max="5886" width="5.7109375" style="12" customWidth="1"/>
    <col min="5887" max="5887" width="7" style="12" customWidth="1"/>
    <col min="5888" max="5888" width="5.7109375" style="12" customWidth="1"/>
    <col min="5889" max="5889" width="7.7109375" style="12" customWidth="1"/>
    <col min="5890" max="5890" width="8.7109375" style="12" customWidth="1"/>
    <col min="5891" max="5891" width="7.7109375" style="12" customWidth="1"/>
    <col min="5892" max="5892" width="8.7109375" style="12" customWidth="1"/>
    <col min="5893" max="5893" width="16.28515625" style="12" customWidth="1"/>
    <col min="5894" max="5894" width="7.7109375" style="12" customWidth="1"/>
    <col min="5895" max="5895" width="8" style="12" customWidth="1"/>
    <col min="5896" max="5896" width="7.7109375" style="12" customWidth="1"/>
    <col min="5897" max="5897" width="8.7109375" style="12" customWidth="1"/>
    <col min="5898" max="6137" width="9.140625" style="12"/>
    <col min="6138" max="6138" width="18.140625" style="12" customWidth="1"/>
    <col min="6139" max="6139" width="15.85546875" style="12" customWidth="1"/>
    <col min="6140" max="6141" width="6.7109375" style="12" customWidth="1"/>
    <col min="6142" max="6142" width="5.7109375" style="12" customWidth="1"/>
    <col min="6143" max="6143" width="7" style="12" customWidth="1"/>
    <col min="6144" max="6144" width="5.7109375" style="12" customWidth="1"/>
    <col min="6145" max="6145" width="7.7109375" style="12" customWidth="1"/>
    <col min="6146" max="6146" width="8.7109375" style="12" customWidth="1"/>
    <col min="6147" max="6147" width="7.7109375" style="12" customWidth="1"/>
    <col min="6148" max="6148" width="8.7109375" style="12" customWidth="1"/>
    <col min="6149" max="6149" width="16.28515625" style="12" customWidth="1"/>
    <col min="6150" max="6150" width="7.7109375" style="12" customWidth="1"/>
    <col min="6151" max="6151" width="8" style="12" customWidth="1"/>
    <col min="6152" max="6152" width="7.7109375" style="12" customWidth="1"/>
    <col min="6153" max="6153" width="8.7109375" style="12" customWidth="1"/>
    <col min="6154" max="6393" width="9.140625" style="12"/>
    <col min="6394" max="6394" width="18.140625" style="12" customWidth="1"/>
    <col min="6395" max="6395" width="15.85546875" style="12" customWidth="1"/>
    <col min="6396" max="6397" width="6.7109375" style="12" customWidth="1"/>
    <col min="6398" max="6398" width="5.7109375" style="12" customWidth="1"/>
    <col min="6399" max="6399" width="7" style="12" customWidth="1"/>
    <col min="6400" max="6400" width="5.7109375" style="12" customWidth="1"/>
    <col min="6401" max="6401" width="7.7109375" style="12" customWidth="1"/>
    <col min="6402" max="6402" width="8.7109375" style="12" customWidth="1"/>
    <col min="6403" max="6403" width="7.7109375" style="12" customWidth="1"/>
    <col min="6404" max="6404" width="8.7109375" style="12" customWidth="1"/>
    <col min="6405" max="6405" width="16.28515625" style="12" customWidth="1"/>
    <col min="6406" max="6406" width="7.7109375" style="12" customWidth="1"/>
    <col min="6407" max="6407" width="8" style="12" customWidth="1"/>
    <col min="6408" max="6408" width="7.7109375" style="12" customWidth="1"/>
    <col min="6409" max="6409" width="8.7109375" style="12" customWidth="1"/>
    <col min="6410" max="6649" width="9.140625" style="12"/>
    <col min="6650" max="6650" width="18.140625" style="12" customWidth="1"/>
    <col min="6651" max="6651" width="15.85546875" style="12" customWidth="1"/>
    <col min="6652" max="6653" width="6.7109375" style="12" customWidth="1"/>
    <col min="6654" max="6654" width="5.7109375" style="12" customWidth="1"/>
    <col min="6655" max="6655" width="7" style="12" customWidth="1"/>
    <col min="6656" max="6656" width="5.7109375" style="12" customWidth="1"/>
    <col min="6657" max="6657" width="7.7109375" style="12" customWidth="1"/>
    <col min="6658" max="6658" width="8.7109375" style="12" customWidth="1"/>
    <col min="6659" max="6659" width="7.7109375" style="12" customWidth="1"/>
    <col min="6660" max="6660" width="8.7109375" style="12" customWidth="1"/>
    <col min="6661" max="6661" width="16.28515625" style="12" customWidth="1"/>
    <col min="6662" max="6662" width="7.7109375" style="12" customWidth="1"/>
    <col min="6663" max="6663" width="8" style="12" customWidth="1"/>
    <col min="6664" max="6664" width="7.7109375" style="12" customWidth="1"/>
    <col min="6665" max="6665" width="8.7109375" style="12" customWidth="1"/>
    <col min="6666" max="6905" width="9.140625" style="12"/>
    <col min="6906" max="6906" width="18.140625" style="12" customWidth="1"/>
    <col min="6907" max="6907" width="15.85546875" style="12" customWidth="1"/>
    <col min="6908" max="6909" width="6.7109375" style="12" customWidth="1"/>
    <col min="6910" max="6910" width="5.7109375" style="12" customWidth="1"/>
    <col min="6911" max="6911" width="7" style="12" customWidth="1"/>
    <col min="6912" max="6912" width="5.7109375" style="12" customWidth="1"/>
    <col min="6913" max="6913" width="7.7109375" style="12" customWidth="1"/>
    <col min="6914" max="6914" width="8.7109375" style="12" customWidth="1"/>
    <col min="6915" max="6915" width="7.7109375" style="12" customWidth="1"/>
    <col min="6916" max="6916" width="8.7109375" style="12" customWidth="1"/>
    <col min="6917" max="6917" width="16.28515625" style="12" customWidth="1"/>
    <col min="6918" max="6918" width="7.7109375" style="12" customWidth="1"/>
    <col min="6919" max="6919" width="8" style="12" customWidth="1"/>
    <col min="6920" max="6920" width="7.7109375" style="12" customWidth="1"/>
    <col min="6921" max="6921" width="8.7109375" style="12" customWidth="1"/>
    <col min="6922" max="7161" width="9.140625" style="12"/>
    <col min="7162" max="7162" width="18.140625" style="12" customWidth="1"/>
    <col min="7163" max="7163" width="15.85546875" style="12" customWidth="1"/>
    <col min="7164" max="7165" width="6.7109375" style="12" customWidth="1"/>
    <col min="7166" max="7166" width="5.7109375" style="12" customWidth="1"/>
    <col min="7167" max="7167" width="7" style="12" customWidth="1"/>
    <col min="7168" max="7168" width="5.7109375" style="12" customWidth="1"/>
    <col min="7169" max="7169" width="7.7109375" style="12" customWidth="1"/>
    <col min="7170" max="7170" width="8.7109375" style="12" customWidth="1"/>
    <col min="7171" max="7171" width="7.7109375" style="12" customWidth="1"/>
    <col min="7172" max="7172" width="8.7109375" style="12" customWidth="1"/>
    <col min="7173" max="7173" width="16.28515625" style="12" customWidth="1"/>
    <col min="7174" max="7174" width="7.7109375" style="12" customWidth="1"/>
    <col min="7175" max="7175" width="8" style="12" customWidth="1"/>
    <col min="7176" max="7176" width="7.7109375" style="12" customWidth="1"/>
    <col min="7177" max="7177" width="8.7109375" style="12" customWidth="1"/>
    <col min="7178" max="7417" width="9.140625" style="12"/>
    <col min="7418" max="7418" width="18.140625" style="12" customWidth="1"/>
    <col min="7419" max="7419" width="15.85546875" style="12" customWidth="1"/>
    <col min="7420" max="7421" width="6.7109375" style="12" customWidth="1"/>
    <col min="7422" max="7422" width="5.7109375" style="12" customWidth="1"/>
    <col min="7423" max="7423" width="7" style="12" customWidth="1"/>
    <col min="7424" max="7424" width="5.7109375" style="12" customWidth="1"/>
    <col min="7425" max="7425" width="7.7109375" style="12" customWidth="1"/>
    <col min="7426" max="7426" width="8.7109375" style="12" customWidth="1"/>
    <col min="7427" max="7427" width="7.7109375" style="12" customWidth="1"/>
    <col min="7428" max="7428" width="8.7109375" style="12" customWidth="1"/>
    <col min="7429" max="7429" width="16.28515625" style="12" customWidth="1"/>
    <col min="7430" max="7430" width="7.7109375" style="12" customWidth="1"/>
    <col min="7431" max="7431" width="8" style="12" customWidth="1"/>
    <col min="7432" max="7432" width="7.7109375" style="12" customWidth="1"/>
    <col min="7433" max="7433" width="8.7109375" style="12" customWidth="1"/>
    <col min="7434" max="7673" width="9.140625" style="12"/>
    <col min="7674" max="7674" width="18.140625" style="12" customWidth="1"/>
    <col min="7675" max="7675" width="15.85546875" style="12" customWidth="1"/>
    <col min="7676" max="7677" width="6.7109375" style="12" customWidth="1"/>
    <col min="7678" max="7678" width="5.7109375" style="12" customWidth="1"/>
    <col min="7679" max="7679" width="7" style="12" customWidth="1"/>
    <col min="7680" max="7680" width="5.7109375" style="12" customWidth="1"/>
    <col min="7681" max="7681" width="7.7109375" style="12" customWidth="1"/>
    <col min="7682" max="7682" width="8.7109375" style="12" customWidth="1"/>
    <col min="7683" max="7683" width="7.7109375" style="12" customWidth="1"/>
    <col min="7684" max="7684" width="8.7109375" style="12" customWidth="1"/>
    <col min="7685" max="7685" width="16.28515625" style="12" customWidth="1"/>
    <col min="7686" max="7686" width="7.7109375" style="12" customWidth="1"/>
    <col min="7687" max="7687" width="8" style="12" customWidth="1"/>
    <col min="7688" max="7688" width="7.7109375" style="12" customWidth="1"/>
    <col min="7689" max="7689" width="8.7109375" style="12" customWidth="1"/>
    <col min="7690" max="7929" width="9.140625" style="12"/>
    <col min="7930" max="7930" width="18.140625" style="12" customWidth="1"/>
    <col min="7931" max="7931" width="15.85546875" style="12" customWidth="1"/>
    <col min="7932" max="7933" width="6.7109375" style="12" customWidth="1"/>
    <col min="7934" max="7934" width="5.7109375" style="12" customWidth="1"/>
    <col min="7935" max="7935" width="7" style="12" customWidth="1"/>
    <col min="7936" max="7936" width="5.7109375" style="12" customWidth="1"/>
    <col min="7937" max="7937" width="7.7109375" style="12" customWidth="1"/>
    <col min="7938" max="7938" width="8.7109375" style="12" customWidth="1"/>
    <col min="7939" max="7939" width="7.7109375" style="12" customWidth="1"/>
    <col min="7940" max="7940" width="8.7109375" style="12" customWidth="1"/>
    <col min="7941" max="7941" width="16.28515625" style="12" customWidth="1"/>
    <col min="7942" max="7942" width="7.7109375" style="12" customWidth="1"/>
    <col min="7943" max="7943" width="8" style="12" customWidth="1"/>
    <col min="7944" max="7944" width="7.7109375" style="12" customWidth="1"/>
    <col min="7945" max="7945" width="8.7109375" style="12" customWidth="1"/>
    <col min="7946" max="8185" width="9.140625" style="12"/>
    <col min="8186" max="8186" width="18.140625" style="12" customWidth="1"/>
    <col min="8187" max="8187" width="15.85546875" style="12" customWidth="1"/>
    <col min="8188" max="8189" width="6.7109375" style="12" customWidth="1"/>
    <col min="8190" max="8190" width="5.7109375" style="12" customWidth="1"/>
    <col min="8191" max="8191" width="7" style="12" customWidth="1"/>
    <col min="8192" max="8192" width="5.7109375" style="12" customWidth="1"/>
    <col min="8193" max="8193" width="7.7109375" style="12" customWidth="1"/>
    <col min="8194" max="8194" width="8.7109375" style="12" customWidth="1"/>
    <col min="8195" max="8195" width="7.7109375" style="12" customWidth="1"/>
    <col min="8196" max="8196" width="8.7109375" style="12" customWidth="1"/>
    <col min="8197" max="8197" width="16.28515625" style="12" customWidth="1"/>
    <col min="8198" max="8198" width="7.7109375" style="12" customWidth="1"/>
    <col min="8199" max="8199" width="8" style="12" customWidth="1"/>
    <col min="8200" max="8200" width="7.7109375" style="12" customWidth="1"/>
    <col min="8201" max="8201" width="8.7109375" style="12" customWidth="1"/>
    <col min="8202" max="8441" width="9.140625" style="12"/>
    <col min="8442" max="8442" width="18.140625" style="12" customWidth="1"/>
    <col min="8443" max="8443" width="15.85546875" style="12" customWidth="1"/>
    <col min="8444" max="8445" width="6.7109375" style="12" customWidth="1"/>
    <col min="8446" max="8446" width="5.7109375" style="12" customWidth="1"/>
    <col min="8447" max="8447" width="7" style="12" customWidth="1"/>
    <col min="8448" max="8448" width="5.7109375" style="12" customWidth="1"/>
    <col min="8449" max="8449" width="7.7109375" style="12" customWidth="1"/>
    <col min="8450" max="8450" width="8.7109375" style="12" customWidth="1"/>
    <col min="8451" max="8451" width="7.7109375" style="12" customWidth="1"/>
    <col min="8452" max="8452" width="8.7109375" style="12" customWidth="1"/>
    <col min="8453" max="8453" width="16.28515625" style="12" customWidth="1"/>
    <col min="8454" max="8454" width="7.7109375" style="12" customWidth="1"/>
    <col min="8455" max="8455" width="8" style="12" customWidth="1"/>
    <col min="8456" max="8456" width="7.7109375" style="12" customWidth="1"/>
    <col min="8457" max="8457" width="8.7109375" style="12" customWidth="1"/>
    <col min="8458" max="8697" width="9.140625" style="12"/>
    <col min="8698" max="8698" width="18.140625" style="12" customWidth="1"/>
    <col min="8699" max="8699" width="15.85546875" style="12" customWidth="1"/>
    <col min="8700" max="8701" width="6.7109375" style="12" customWidth="1"/>
    <col min="8702" max="8702" width="5.7109375" style="12" customWidth="1"/>
    <col min="8703" max="8703" width="7" style="12" customWidth="1"/>
    <col min="8704" max="8704" width="5.7109375" style="12" customWidth="1"/>
    <col min="8705" max="8705" width="7.7109375" style="12" customWidth="1"/>
    <col min="8706" max="8706" width="8.7109375" style="12" customWidth="1"/>
    <col min="8707" max="8707" width="7.7109375" style="12" customWidth="1"/>
    <col min="8708" max="8708" width="8.7109375" style="12" customWidth="1"/>
    <col min="8709" max="8709" width="16.28515625" style="12" customWidth="1"/>
    <col min="8710" max="8710" width="7.7109375" style="12" customWidth="1"/>
    <col min="8711" max="8711" width="8" style="12" customWidth="1"/>
    <col min="8712" max="8712" width="7.7109375" style="12" customWidth="1"/>
    <col min="8713" max="8713" width="8.7109375" style="12" customWidth="1"/>
    <col min="8714" max="8953" width="9.140625" style="12"/>
    <col min="8954" max="8954" width="18.140625" style="12" customWidth="1"/>
    <col min="8955" max="8955" width="15.85546875" style="12" customWidth="1"/>
    <col min="8956" max="8957" width="6.7109375" style="12" customWidth="1"/>
    <col min="8958" max="8958" width="5.7109375" style="12" customWidth="1"/>
    <col min="8959" max="8959" width="7" style="12" customWidth="1"/>
    <col min="8960" max="8960" width="5.7109375" style="12" customWidth="1"/>
    <col min="8961" max="8961" width="7.7109375" style="12" customWidth="1"/>
    <col min="8962" max="8962" width="8.7109375" style="12" customWidth="1"/>
    <col min="8963" max="8963" width="7.7109375" style="12" customWidth="1"/>
    <col min="8964" max="8964" width="8.7109375" style="12" customWidth="1"/>
    <col min="8965" max="8965" width="16.28515625" style="12" customWidth="1"/>
    <col min="8966" max="8966" width="7.7109375" style="12" customWidth="1"/>
    <col min="8967" max="8967" width="8" style="12" customWidth="1"/>
    <col min="8968" max="8968" width="7.7109375" style="12" customWidth="1"/>
    <col min="8969" max="8969" width="8.7109375" style="12" customWidth="1"/>
    <col min="8970" max="9209" width="9.140625" style="12"/>
    <col min="9210" max="9210" width="18.140625" style="12" customWidth="1"/>
    <col min="9211" max="9211" width="15.85546875" style="12" customWidth="1"/>
    <col min="9212" max="9213" width="6.7109375" style="12" customWidth="1"/>
    <col min="9214" max="9214" width="5.7109375" style="12" customWidth="1"/>
    <col min="9215" max="9215" width="7" style="12" customWidth="1"/>
    <col min="9216" max="9216" width="5.7109375" style="12" customWidth="1"/>
    <col min="9217" max="9217" width="7.7109375" style="12" customWidth="1"/>
    <col min="9218" max="9218" width="8.7109375" style="12" customWidth="1"/>
    <col min="9219" max="9219" width="7.7109375" style="12" customWidth="1"/>
    <col min="9220" max="9220" width="8.7109375" style="12" customWidth="1"/>
    <col min="9221" max="9221" width="16.28515625" style="12" customWidth="1"/>
    <col min="9222" max="9222" width="7.7109375" style="12" customWidth="1"/>
    <col min="9223" max="9223" width="8" style="12" customWidth="1"/>
    <col min="9224" max="9224" width="7.7109375" style="12" customWidth="1"/>
    <col min="9225" max="9225" width="8.7109375" style="12" customWidth="1"/>
    <col min="9226" max="9465" width="9.140625" style="12"/>
    <col min="9466" max="9466" width="18.140625" style="12" customWidth="1"/>
    <col min="9467" max="9467" width="15.85546875" style="12" customWidth="1"/>
    <col min="9468" max="9469" width="6.7109375" style="12" customWidth="1"/>
    <col min="9470" max="9470" width="5.7109375" style="12" customWidth="1"/>
    <col min="9471" max="9471" width="7" style="12" customWidth="1"/>
    <col min="9472" max="9472" width="5.7109375" style="12" customWidth="1"/>
    <col min="9473" max="9473" width="7.7109375" style="12" customWidth="1"/>
    <col min="9474" max="9474" width="8.7109375" style="12" customWidth="1"/>
    <col min="9475" max="9475" width="7.7109375" style="12" customWidth="1"/>
    <col min="9476" max="9476" width="8.7109375" style="12" customWidth="1"/>
    <col min="9477" max="9477" width="16.28515625" style="12" customWidth="1"/>
    <col min="9478" max="9478" width="7.7109375" style="12" customWidth="1"/>
    <col min="9479" max="9479" width="8" style="12" customWidth="1"/>
    <col min="9480" max="9480" width="7.7109375" style="12" customWidth="1"/>
    <col min="9481" max="9481" width="8.7109375" style="12" customWidth="1"/>
    <col min="9482" max="9721" width="9.140625" style="12"/>
    <col min="9722" max="9722" width="18.140625" style="12" customWidth="1"/>
    <col min="9723" max="9723" width="15.85546875" style="12" customWidth="1"/>
    <col min="9724" max="9725" width="6.7109375" style="12" customWidth="1"/>
    <col min="9726" max="9726" width="5.7109375" style="12" customWidth="1"/>
    <col min="9727" max="9727" width="7" style="12" customWidth="1"/>
    <col min="9728" max="9728" width="5.7109375" style="12" customWidth="1"/>
    <col min="9729" max="9729" width="7.7109375" style="12" customWidth="1"/>
    <col min="9730" max="9730" width="8.7109375" style="12" customWidth="1"/>
    <col min="9731" max="9731" width="7.7109375" style="12" customWidth="1"/>
    <col min="9732" max="9732" width="8.7109375" style="12" customWidth="1"/>
    <col min="9733" max="9733" width="16.28515625" style="12" customWidth="1"/>
    <col min="9734" max="9734" width="7.7109375" style="12" customWidth="1"/>
    <col min="9735" max="9735" width="8" style="12" customWidth="1"/>
    <col min="9736" max="9736" width="7.7109375" style="12" customWidth="1"/>
    <col min="9737" max="9737" width="8.7109375" style="12" customWidth="1"/>
    <col min="9738" max="9977" width="9.140625" style="12"/>
    <col min="9978" max="9978" width="18.140625" style="12" customWidth="1"/>
    <col min="9979" max="9979" width="15.85546875" style="12" customWidth="1"/>
    <col min="9980" max="9981" width="6.7109375" style="12" customWidth="1"/>
    <col min="9982" max="9982" width="5.7109375" style="12" customWidth="1"/>
    <col min="9983" max="9983" width="7" style="12" customWidth="1"/>
    <col min="9984" max="9984" width="5.7109375" style="12" customWidth="1"/>
    <col min="9985" max="9985" width="7.7109375" style="12" customWidth="1"/>
    <col min="9986" max="9986" width="8.7109375" style="12" customWidth="1"/>
    <col min="9987" max="9987" width="7.7109375" style="12" customWidth="1"/>
    <col min="9988" max="9988" width="8.7109375" style="12" customWidth="1"/>
    <col min="9989" max="9989" width="16.28515625" style="12" customWidth="1"/>
    <col min="9990" max="9990" width="7.7109375" style="12" customWidth="1"/>
    <col min="9991" max="9991" width="8" style="12" customWidth="1"/>
    <col min="9992" max="9992" width="7.7109375" style="12" customWidth="1"/>
    <col min="9993" max="9993" width="8.7109375" style="12" customWidth="1"/>
    <col min="9994" max="10233" width="9.140625" style="12"/>
    <col min="10234" max="10234" width="18.140625" style="12" customWidth="1"/>
    <col min="10235" max="10235" width="15.85546875" style="12" customWidth="1"/>
    <col min="10236" max="10237" width="6.7109375" style="12" customWidth="1"/>
    <col min="10238" max="10238" width="5.7109375" style="12" customWidth="1"/>
    <col min="10239" max="10239" width="7" style="12" customWidth="1"/>
    <col min="10240" max="10240" width="5.7109375" style="12" customWidth="1"/>
    <col min="10241" max="10241" width="7.7109375" style="12" customWidth="1"/>
    <col min="10242" max="10242" width="8.7109375" style="12" customWidth="1"/>
    <col min="10243" max="10243" width="7.7109375" style="12" customWidth="1"/>
    <col min="10244" max="10244" width="8.7109375" style="12" customWidth="1"/>
    <col min="10245" max="10245" width="16.28515625" style="12" customWidth="1"/>
    <col min="10246" max="10246" width="7.7109375" style="12" customWidth="1"/>
    <col min="10247" max="10247" width="8" style="12" customWidth="1"/>
    <col min="10248" max="10248" width="7.7109375" style="12" customWidth="1"/>
    <col min="10249" max="10249" width="8.7109375" style="12" customWidth="1"/>
    <col min="10250" max="10489" width="9.140625" style="12"/>
    <col min="10490" max="10490" width="18.140625" style="12" customWidth="1"/>
    <col min="10491" max="10491" width="15.85546875" style="12" customWidth="1"/>
    <col min="10492" max="10493" width="6.7109375" style="12" customWidth="1"/>
    <col min="10494" max="10494" width="5.7109375" style="12" customWidth="1"/>
    <col min="10495" max="10495" width="7" style="12" customWidth="1"/>
    <col min="10496" max="10496" width="5.7109375" style="12" customWidth="1"/>
    <col min="10497" max="10497" width="7.7109375" style="12" customWidth="1"/>
    <col min="10498" max="10498" width="8.7109375" style="12" customWidth="1"/>
    <col min="10499" max="10499" width="7.7109375" style="12" customWidth="1"/>
    <col min="10500" max="10500" width="8.7109375" style="12" customWidth="1"/>
    <col min="10501" max="10501" width="16.28515625" style="12" customWidth="1"/>
    <col min="10502" max="10502" width="7.7109375" style="12" customWidth="1"/>
    <col min="10503" max="10503" width="8" style="12" customWidth="1"/>
    <col min="10504" max="10504" width="7.7109375" style="12" customWidth="1"/>
    <col min="10505" max="10505" width="8.7109375" style="12" customWidth="1"/>
    <col min="10506" max="10745" width="9.140625" style="12"/>
    <col min="10746" max="10746" width="18.140625" style="12" customWidth="1"/>
    <col min="10747" max="10747" width="15.85546875" style="12" customWidth="1"/>
    <col min="10748" max="10749" width="6.7109375" style="12" customWidth="1"/>
    <col min="10750" max="10750" width="5.7109375" style="12" customWidth="1"/>
    <col min="10751" max="10751" width="7" style="12" customWidth="1"/>
    <col min="10752" max="10752" width="5.7109375" style="12" customWidth="1"/>
    <col min="10753" max="10753" width="7.7109375" style="12" customWidth="1"/>
    <col min="10754" max="10754" width="8.7109375" style="12" customWidth="1"/>
    <col min="10755" max="10755" width="7.7109375" style="12" customWidth="1"/>
    <col min="10756" max="10756" width="8.7109375" style="12" customWidth="1"/>
    <col min="10757" max="10757" width="16.28515625" style="12" customWidth="1"/>
    <col min="10758" max="10758" width="7.7109375" style="12" customWidth="1"/>
    <col min="10759" max="10759" width="8" style="12" customWidth="1"/>
    <col min="10760" max="10760" width="7.7109375" style="12" customWidth="1"/>
    <col min="10761" max="10761" width="8.7109375" style="12" customWidth="1"/>
    <col min="10762" max="11001" width="9.140625" style="12"/>
    <col min="11002" max="11002" width="18.140625" style="12" customWidth="1"/>
    <col min="11003" max="11003" width="15.85546875" style="12" customWidth="1"/>
    <col min="11004" max="11005" width="6.7109375" style="12" customWidth="1"/>
    <col min="11006" max="11006" width="5.7109375" style="12" customWidth="1"/>
    <col min="11007" max="11007" width="7" style="12" customWidth="1"/>
    <col min="11008" max="11008" width="5.7109375" style="12" customWidth="1"/>
    <col min="11009" max="11009" width="7.7109375" style="12" customWidth="1"/>
    <col min="11010" max="11010" width="8.7109375" style="12" customWidth="1"/>
    <col min="11011" max="11011" width="7.7109375" style="12" customWidth="1"/>
    <col min="11012" max="11012" width="8.7109375" style="12" customWidth="1"/>
    <col min="11013" max="11013" width="16.28515625" style="12" customWidth="1"/>
    <col min="11014" max="11014" width="7.7109375" style="12" customWidth="1"/>
    <col min="11015" max="11015" width="8" style="12" customWidth="1"/>
    <col min="11016" max="11016" width="7.7109375" style="12" customWidth="1"/>
    <col min="11017" max="11017" width="8.7109375" style="12" customWidth="1"/>
    <col min="11018" max="11257" width="9.140625" style="12"/>
    <col min="11258" max="11258" width="18.140625" style="12" customWidth="1"/>
    <col min="11259" max="11259" width="15.85546875" style="12" customWidth="1"/>
    <col min="11260" max="11261" width="6.7109375" style="12" customWidth="1"/>
    <col min="11262" max="11262" width="5.7109375" style="12" customWidth="1"/>
    <col min="11263" max="11263" width="7" style="12" customWidth="1"/>
    <col min="11264" max="11264" width="5.7109375" style="12" customWidth="1"/>
    <col min="11265" max="11265" width="7.7109375" style="12" customWidth="1"/>
    <col min="11266" max="11266" width="8.7109375" style="12" customWidth="1"/>
    <col min="11267" max="11267" width="7.7109375" style="12" customWidth="1"/>
    <col min="11268" max="11268" width="8.7109375" style="12" customWidth="1"/>
    <col min="11269" max="11269" width="16.28515625" style="12" customWidth="1"/>
    <col min="11270" max="11270" width="7.7109375" style="12" customWidth="1"/>
    <col min="11271" max="11271" width="8" style="12" customWidth="1"/>
    <col min="11272" max="11272" width="7.7109375" style="12" customWidth="1"/>
    <col min="11273" max="11273" width="8.7109375" style="12" customWidth="1"/>
    <col min="11274" max="11513" width="9.140625" style="12"/>
    <col min="11514" max="11514" width="18.140625" style="12" customWidth="1"/>
    <col min="11515" max="11515" width="15.85546875" style="12" customWidth="1"/>
    <col min="11516" max="11517" width="6.7109375" style="12" customWidth="1"/>
    <col min="11518" max="11518" width="5.7109375" style="12" customWidth="1"/>
    <col min="11519" max="11519" width="7" style="12" customWidth="1"/>
    <col min="11520" max="11520" width="5.7109375" style="12" customWidth="1"/>
    <col min="11521" max="11521" width="7.7109375" style="12" customWidth="1"/>
    <col min="11522" max="11522" width="8.7109375" style="12" customWidth="1"/>
    <col min="11523" max="11523" width="7.7109375" style="12" customWidth="1"/>
    <col min="11524" max="11524" width="8.7109375" style="12" customWidth="1"/>
    <col min="11525" max="11525" width="16.28515625" style="12" customWidth="1"/>
    <col min="11526" max="11526" width="7.7109375" style="12" customWidth="1"/>
    <col min="11527" max="11527" width="8" style="12" customWidth="1"/>
    <col min="11528" max="11528" width="7.7109375" style="12" customWidth="1"/>
    <col min="11529" max="11529" width="8.7109375" style="12" customWidth="1"/>
    <col min="11530" max="11769" width="9.140625" style="12"/>
    <col min="11770" max="11770" width="18.140625" style="12" customWidth="1"/>
    <col min="11771" max="11771" width="15.85546875" style="12" customWidth="1"/>
    <col min="11772" max="11773" width="6.7109375" style="12" customWidth="1"/>
    <col min="11774" max="11774" width="5.7109375" style="12" customWidth="1"/>
    <col min="11775" max="11775" width="7" style="12" customWidth="1"/>
    <col min="11776" max="11776" width="5.7109375" style="12" customWidth="1"/>
    <col min="11777" max="11777" width="7.7109375" style="12" customWidth="1"/>
    <col min="11778" max="11778" width="8.7109375" style="12" customWidth="1"/>
    <col min="11779" max="11779" width="7.7109375" style="12" customWidth="1"/>
    <col min="11780" max="11780" width="8.7109375" style="12" customWidth="1"/>
    <col min="11781" max="11781" width="16.28515625" style="12" customWidth="1"/>
    <col min="11782" max="11782" width="7.7109375" style="12" customWidth="1"/>
    <col min="11783" max="11783" width="8" style="12" customWidth="1"/>
    <col min="11784" max="11784" width="7.7109375" style="12" customWidth="1"/>
    <col min="11785" max="11785" width="8.7109375" style="12" customWidth="1"/>
    <col min="11786" max="12025" width="9.140625" style="12"/>
    <col min="12026" max="12026" width="18.140625" style="12" customWidth="1"/>
    <col min="12027" max="12027" width="15.85546875" style="12" customWidth="1"/>
    <col min="12028" max="12029" width="6.7109375" style="12" customWidth="1"/>
    <col min="12030" max="12030" width="5.7109375" style="12" customWidth="1"/>
    <col min="12031" max="12031" width="7" style="12" customWidth="1"/>
    <col min="12032" max="12032" width="5.7109375" style="12" customWidth="1"/>
    <col min="12033" max="12033" width="7.7109375" style="12" customWidth="1"/>
    <col min="12034" max="12034" width="8.7109375" style="12" customWidth="1"/>
    <col min="12035" max="12035" width="7.7109375" style="12" customWidth="1"/>
    <col min="12036" max="12036" width="8.7109375" style="12" customWidth="1"/>
    <col min="12037" max="12037" width="16.28515625" style="12" customWidth="1"/>
    <col min="12038" max="12038" width="7.7109375" style="12" customWidth="1"/>
    <col min="12039" max="12039" width="8" style="12" customWidth="1"/>
    <col min="12040" max="12040" width="7.7109375" style="12" customWidth="1"/>
    <col min="12041" max="12041" width="8.7109375" style="12" customWidth="1"/>
    <col min="12042" max="12281" width="9.140625" style="12"/>
    <col min="12282" max="12282" width="18.140625" style="12" customWidth="1"/>
    <col min="12283" max="12283" width="15.85546875" style="12" customWidth="1"/>
    <col min="12284" max="12285" width="6.7109375" style="12" customWidth="1"/>
    <col min="12286" max="12286" width="5.7109375" style="12" customWidth="1"/>
    <col min="12287" max="12287" width="7" style="12" customWidth="1"/>
    <col min="12288" max="12288" width="5.7109375" style="12" customWidth="1"/>
    <col min="12289" max="12289" width="7.7109375" style="12" customWidth="1"/>
    <col min="12290" max="12290" width="8.7109375" style="12" customWidth="1"/>
    <col min="12291" max="12291" width="7.7109375" style="12" customWidth="1"/>
    <col min="12292" max="12292" width="8.7109375" style="12" customWidth="1"/>
    <col min="12293" max="12293" width="16.28515625" style="12" customWidth="1"/>
    <col min="12294" max="12294" width="7.7109375" style="12" customWidth="1"/>
    <col min="12295" max="12295" width="8" style="12" customWidth="1"/>
    <col min="12296" max="12296" width="7.7109375" style="12" customWidth="1"/>
    <col min="12297" max="12297" width="8.7109375" style="12" customWidth="1"/>
    <col min="12298" max="12537" width="9.140625" style="12"/>
    <col min="12538" max="12538" width="18.140625" style="12" customWidth="1"/>
    <col min="12539" max="12539" width="15.85546875" style="12" customWidth="1"/>
    <col min="12540" max="12541" width="6.7109375" style="12" customWidth="1"/>
    <col min="12542" max="12542" width="5.7109375" style="12" customWidth="1"/>
    <col min="12543" max="12543" width="7" style="12" customWidth="1"/>
    <col min="12544" max="12544" width="5.7109375" style="12" customWidth="1"/>
    <col min="12545" max="12545" width="7.7109375" style="12" customWidth="1"/>
    <col min="12546" max="12546" width="8.7109375" style="12" customWidth="1"/>
    <col min="12547" max="12547" width="7.7109375" style="12" customWidth="1"/>
    <col min="12548" max="12548" width="8.7109375" style="12" customWidth="1"/>
    <col min="12549" max="12549" width="16.28515625" style="12" customWidth="1"/>
    <col min="12550" max="12550" width="7.7109375" style="12" customWidth="1"/>
    <col min="12551" max="12551" width="8" style="12" customWidth="1"/>
    <col min="12552" max="12552" width="7.7109375" style="12" customWidth="1"/>
    <col min="12553" max="12553" width="8.7109375" style="12" customWidth="1"/>
    <col min="12554" max="12793" width="9.140625" style="12"/>
    <col min="12794" max="12794" width="18.140625" style="12" customWidth="1"/>
    <col min="12795" max="12795" width="15.85546875" style="12" customWidth="1"/>
    <col min="12796" max="12797" width="6.7109375" style="12" customWidth="1"/>
    <col min="12798" max="12798" width="5.7109375" style="12" customWidth="1"/>
    <col min="12799" max="12799" width="7" style="12" customWidth="1"/>
    <col min="12800" max="12800" width="5.7109375" style="12" customWidth="1"/>
    <col min="12801" max="12801" width="7.7109375" style="12" customWidth="1"/>
    <col min="12802" max="12802" width="8.7109375" style="12" customWidth="1"/>
    <col min="12803" max="12803" width="7.7109375" style="12" customWidth="1"/>
    <col min="12804" max="12804" width="8.7109375" style="12" customWidth="1"/>
    <col min="12805" max="12805" width="16.28515625" style="12" customWidth="1"/>
    <col min="12806" max="12806" width="7.7109375" style="12" customWidth="1"/>
    <col min="12807" max="12807" width="8" style="12" customWidth="1"/>
    <col min="12808" max="12808" width="7.7109375" style="12" customWidth="1"/>
    <col min="12809" max="12809" width="8.7109375" style="12" customWidth="1"/>
    <col min="12810" max="13049" width="9.140625" style="12"/>
    <col min="13050" max="13050" width="18.140625" style="12" customWidth="1"/>
    <col min="13051" max="13051" width="15.85546875" style="12" customWidth="1"/>
    <col min="13052" max="13053" width="6.7109375" style="12" customWidth="1"/>
    <col min="13054" max="13054" width="5.7109375" style="12" customWidth="1"/>
    <col min="13055" max="13055" width="7" style="12" customWidth="1"/>
    <col min="13056" max="13056" width="5.7109375" style="12" customWidth="1"/>
    <col min="13057" max="13057" width="7.7109375" style="12" customWidth="1"/>
    <col min="13058" max="13058" width="8.7109375" style="12" customWidth="1"/>
    <col min="13059" max="13059" width="7.7109375" style="12" customWidth="1"/>
    <col min="13060" max="13060" width="8.7109375" style="12" customWidth="1"/>
    <col min="13061" max="13061" width="16.28515625" style="12" customWidth="1"/>
    <col min="13062" max="13062" width="7.7109375" style="12" customWidth="1"/>
    <col min="13063" max="13063" width="8" style="12" customWidth="1"/>
    <col min="13064" max="13064" width="7.7109375" style="12" customWidth="1"/>
    <col min="13065" max="13065" width="8.7109375" style="12" customWidth="1"/>
    <col min="13066" max="13305" width="9.140625" style="12"/>
    <col min="13306" max="13306" width="18.140625" style="12" customWidth="1"/>
    <col min="13307" max="13307" width="15.85546875" style="12" customWidth="1"/>
    <col min="13308" max="13309" width="6.7109375" style="12" customWidth="1"/>
    <col min="13310" max="13310" width="5.7109375" style="12" customWidth="1"/>
    <col min="13311" max="13311" width="7" style="12" customWidth="1"/>
    <col min="13312" max="13312" width="5.7109375" style="12" customWidth="1"/>
    <col min="13313" max="13313" width="7.7109375" style="12" customWidth="1"/>
    <col min="13314" max="13314" width="8.7109375" style="12" customWidth="1"/>
    <col min="13315" max="13315" width="7.7109375" style="12" customWidth="1"/>
    <col min="13316" max="13316" width="8.7109375" style="12" customWidth="1"/>
    <col min="13317" max="13317" width="16.28515625" style="12" customWidth="1"/>
    <col min="13318" max="13318" width="7.7109375" style="12" customWidth="1"/>
    <col min="13319" max="13319" width="8" style="12" customWidth="1"/>
    <col min="13320" max="13320" width="7.7109375" style="12" customWidth="1"/>
    <col min="13321" max="13321" width="8.7109375" style="12" customWidth="1"/>
    <col min="13322" max="13561" width="9.140625" style="12"/>
    <col min="13562" max="13562" width="18.140625" style="12" customWidth="1"/>
    <col min="13563" max="13563" width="15.85546875" style="12" customWidth="1"/>
    <col min="13564" max="13565" width="6.7109375" style="12" customWidth="1"/>
    <col min="13566" max="13566" width="5.7109375" style="12" customWidth="1"/>
    <col min="13567" max="13567" width="7" style="12" customWidth="1"/>
    <col min="13568" max="13568" width="5.7109375" style="12" customWidth="1"/>
    <col min="13569" max="13569" width="7.7109375" style="12" customWidth="1"/>
    <col min="13570" max="13570" width="8.7109375" style="12" customWidth="1"/>
    <col min="13571" max="13571" width="7.7109375" style="12" customWidth="1"/>
    <col min="13572" max="13572" width="8.7109375" style="12" customWidth="1"/>
    <col min="13573" max="13573" width="16.28515625" style="12" customWidth="1"/>
    <col min="13574" max="13574" width="7.7109375" style="12" customWidth="1"/>
    <col min="13575" max="13575" width="8" style="12" customWidth="1"/>
    <col min="13576" max="13576" width="7.7109375" style="12" customWidth="1"/>
    <col min="13577" max="13577" width="8.7109375" style="12" customWidth="1"/>
    <col min="13578" max="13817" width="9.140625" style="12"/>
    <col min="13818" max="13818" width="18.140625" style="12" customWidth="1"/>
    <col min="13819" max="13819" width="15.85546875" style="12" customWidth="1"/>
    <col min="13820" max="13821" width="6.7109375" style="12" customWidth="1"/>
    <col min="13822" max="13822" width="5.7109375" style="12" customWidth="1"/>
    <col min="13823" max="13823" width="7" style="12" customWidth="1"/>
    <col min="13824" max="13824" width="5.7109375" style="12" customWidth="1"/>
    <col min="13825" max="13825" width="7.7109375" style="12" customWidth="1"/>
    <col min="13826" max="13826" width="8.7109375" style="12" customWidth="1"/>
    <col min="13827" max="13827" width="7.7109375" style="12" customWidth="1"/>
    <col min="13828" max="13828" width="8.7109375" style="12" customWidth="1"/>
    <col min="13829" max="13829" width="16.28515625" style="12" customWidth="1"/>
    <col min="13830" max="13830" width="7.7109375" style="12" customWidth="1"/>
    <col min="13831" max="13831" width="8" style="12" customWidth="1"/>
    <col min="13832" max="13832" width="7.7109375" style="12" customWidth="1"/>
    <col min="13833" max="13833" width="8.7109375" style="12" customWidth="1"/>
    <col min="13834" max="14073" width="9.140625" style="12"/>
    <col min="14074" max="14074" width="18.140625" style="12" customWidth="1"/>
    <col min="14075" max="14075" width="15.85546875" style="12" customWidth="1"/>
    <col min="14076" max="14077" width="6.7109375" style="12" customWidth="1"/>
    <col min="14078" max="14078" width="5.7109375" style="12" customWidth="1"/>
    <col min="14079" max="14079" width="7" style="12" customWidth="1"/>
    <col min="14080" max="14080" width="5.7109375" style="12" customWidth="1"/>
    <col min="14081" max="14081" width="7.7109375" style="12" customWidth="1"/>
    <col min="14082" max="14082" width="8.7109375" style="12" customWidth="1"/>
    <col min="14083" max="14083" width="7.7109375" style="12" customWidth="1"/>
    <col min="14084" max="14084" width="8.7109375" style="12" customWidth="1"/>
    <col min="14085" max="14085" width="16.28515625" style="12" customWidth="1"/>
    <col min="14086" max="14086" width="7.7109375" style="12" customWidth="1"/>
    <col min="14087" max="14087" width="8" style="12" customWidth="1"/>
    <col min="14088" max="14088" width="7.7109375" style="12" customWidth="1"/>
    <col min="14089" max="14089" width="8.7109375" style="12" customWidth="1"/>
    <col min="14090" max="14329" width="9.140625" style="12"/>
    <col min="14330" max="14330" width="18.140625" style="12" customWidth="1"/>
    <col min="14331" max="14331" width="15.85546875" style="12" customWidth="1"/>
    <col min="14332" max="14333" width="6.7109375" style="12" customWidth="1"/>
    <col min="14334" max="14334" width="5.7109375" style="12" customWidth="1"/>
    <col min="14335" max="14335" width="7" style="12" customWidth="1"/>
    <col min="14336" max="14336" width="5.7109375" style="12" customWidth="1"/>
    <col min="14337" max="14337" width="7.7109375" style="12" customWidth="1"/>
    <col min="14338" max="14338" width="8.7109375" style="12" customWidth="1"/>
    <col min="14339" max="14339" width="7.7109375" style="12" customWidth="1"/>
    <col min="14340" max="14340" width="8.7109375" style="12" customWidth="1"/>
    <col min="14341" max="14341" width="16.28515625" style="12" customWidth="1"/>
    <col min="14342" max="14342" width="7.7109375" style="12" customWidth="1"/>
    <col min="14343" max="14343" width="8" style="12" customWidth="1"/>
    <col min="14344" max="14344" width="7.7109375" style="12" customWidth="1"/>
    <col min="14345" max="14345" width="8.7109375" style="12" customWidth="1"/>
    <col min="14346" max="14585" width="9.140625" style="12"/>
    <col min="14586" max="14586" width="18.140625" style="12" customWidth="1"/>
    <col min="14587" max="14587" width="15.85546875" style="12" customWidth="1"/>
    <col min="14588" max="14589" width="6.7109375" style="12" customWidth="1"/>
    <col min="14590" max="14590" width="5.7109375" style="12" customWidth="1"/>
    <col min="14591" max="14591" width="7" style="12" customWidth="1"/>
    <col min="14592" max="14592" width="5.7109375" style="12" customWidth="1"/>
    <col min="14593" max="14593" width="7.7109375" style="12" customWidth="1"/>
    <col min="14594" max="14594" width="8.7109375" style="12" customWidth="1"/>
    <col min="14595" max="14595" width="7.7109375" style="12" customWidth="1"/>
    <col min="14596" max="14596" width="8.7109375" style="12" customWidth="1"/>
    <col min="14597" max="14597" width="16.28515625" style="12" customWidth="1"/>
    <col min="14598" max="14598" width="7.7109375" style="12" customWidth="1"/>
    <col min="14599" max="14599" width="8" style="12" customWidth="1"/>
    <col min="14600" max="14600" width="7.7109375" style="12" customWidth="1"/>
    <col min="14601" max="14601" width="8.7109375" style="12" customWidth="1"/>
    <col min="14602" max="14841" width="9.140625" style="12"/>
    <col min="14842" max="14842" width="18.140625" style="12" customWidth="1"/>
    <col min="14843" max="14843" width="15.85546875" style="12" customWidth="1"/>
    <col min="14844" max="14845" width="6.7109375" style="12" customWidth="1"/>
    <col min="14846" max="14846" width="5.7109375" style="12" customWidth="1"/>
    <col min="14847" max="14847" width="7" style="12" customWidth="1"/>
    <col min="14848" max="14848" width="5.7109375" style="12" customWidth="1"/>
    <col min="14849" max="14849" width="7.7109375" style="12" customWidth="1"/>
    <col min="14850" max="14850" width="8.7109375" style="12" customWidth="1"/>
    <col min="14851" max="14851" width="7.7109375" style="12" customWidth="1"/>
    <col min="14852" max="14852" width="8.7109375" style="12" customWidth="1"/>
    <col min="14853" max="14853" width="16.28515625" style="12" customWidth="1"/>
    <col min="14854" max="14854" width="7.7109375" style="12" customWidth="1"/>
    <col min="14855" max="14855" width="8" style="12" customWidth="1"/>
    <col min="14856" max="14856" width="7.7109375" style="12" customWidth="1"/>
    <col min="14857" max="14857" width="8.7109375" style="12" customWidth="1"/>
    <col min="14858" max="15097" width="9.140625" style="12"/>
    <col min="15098" max="15098" width="18.140625" style="12" customWidth="1"/>
    <col min="15099" max="15099" width="15.85546875" style="12" customWidth="1"/>
    <col min="15100" max="15101" width="6.7109375" style="12" customWidth="1"/>
    <col min="15102" max="15102" width="5.7109375" style="12" customWidth="1"/>
    <col min="15103" max="15103" width="7" style="12" customWidth="1"/>
    <col min="15104" max="15104" width="5.7109375" style="12" customWidth="1"/>
    <col min="15105" max="15105" width="7.7109375" style="12" customWidth="1"/>
    <col min="15106" max="15106" width="8.7109375" style="12" customWidth="1"/>
    <col min="15107" max="15107" width="7.7109375" style="12" customWidth="1"/>
    <col min="15108" max="15108" width="8.7109375" style="12" customWidth="1"/>
    <col min="15109" max="15109" width="16.28515625" style="12" customWidth="1"/>
    <col min="15110" max="15110" width="7.7109375" style="12" customWidth="1"/>
    <col min="15111" max="15111" width="8" style="12" customWidth="1"/>
    <col min="15112" max="15112" width="7.7109375" style="12" customWidth="1"/>
    <col min="15113" max="15113" width="8.7109375" style="12" customWidth="1"/>
    <col min="15114" max="15353" width="9.140625" style="12"/>
    <col min="15354" max="15354" width="18.140625" style="12" customWidth="1"/>
    <col min="15355" max="15355" width="15.85546875" style="12" customWidth="1"/>
    <col min="15356" max="15357" width="6.7109375" style="12" customWidth="1"/>
    <col min="15358" max="15358" width="5.7109375" style="12" customWidth="1"/>
    <col min="15359" max="15359" width="7" style="12" customWidth="1"/>
    <col min="15360" max="15360" width="5.7109375" style="12" customWidth="1"/>
    <col min="15361" max="15361" width="7.7109375" style="12" customWidth="1"/>
    <col min="15362" max="15362" width="8.7109375" style="12" customWidth="1"/>
    <col min="15363" max="15363" width="7.7109375" style="12" customWidth="1"/>
    <col min="15364" max="15364" width="8.7109375" style="12" customWidth="1"/>
    <col min="15365" max="15365" width="16.28515625" style="12" customWidth="1"/>
    <col min="15366" max="15366" width="7.7109375" style="12" customWidth="1"/>
    <col min="15367" max="15367" width="8" style="12" customWidth="1"/>
    <col min="15368" max="15368" width="7.7109375" style="12" customWidth="1"/>
    <col min="15369" max="15369" width="8.7109375" style="12" customWidth="1"/>
    <col min="15370" max="15609" width="9.140625" style="12"/>
    <col min="15610" max="15610" width="18.140625" style="12" customWidth="1"/>
    <col min="15611" max="15611" width="15.85546875" style="12" customWidth="1"/>
    <col min="15612" max="15613" width="6.7109375" style="12" customWidth="1"/>
    <col min="15614" max="15614" width="5.7109375" style="12" customWidth="1"/>
    <col min="15615" max="15615" width="7" style="12" customWidth="1"/>
    <col min="15616" max="15616" width="5.7109375" style="12" customWidth="1"/>
    <col min="15617" max="15617" width="7.7109375" style="12" customWidth="1"/>
    <col min="15618" max="15618" width="8.7109375" style="12" customWidth="1"/>
    <col min="15619" max="15619" width="7.7109375" style="12" customWidth="1"/>
    <col min="15620" max="15620" width="8.7109375" style="12" customWidth="1"/>
    <col min="15621" max="15621" width="16.28515625" style="12" customWidth="1"/>
    <col min="15622" max="15622" width="7.7109375" style="12" customWidth="1"/>
    <col min="15623" max="15623" width="8" style="12" customWidth="1"/>
    <col min="15624" max="15624" width="7.7109375" style="12" customWidth="1"/>
    <col min="15625" max="15625" width="8.7109375" style="12" customWidth="1"/>
    <col min="15626" max="15865" width="9.140625" style="12"/>
    <col min="15866" max="15866" width="18.140625" style="12" customWidth="1"/>
    <col min="15867" max="15867" width="15.85546875" style="12" customWidth="1"/>
    <col min="15868" max="15869" width="6.7109375" style="12" customWidth="1"/>
    <col min="15870" max="15870" width="5.7109375" style="12" customWidth="1"/>
    <col min="15871" max="15871" width="7" style="12" customWidth="1"/>
    <col min="15872" max="15872" width="5.7109375" style="12" customWidth="1"/>
    <col min="15873" max="15873" width="7.7109375" style="12" customWidth="1"/>
    <col min="15874" max="15874" width="8.7109375" style="12" customWidth="1"/>
    <col min="15875" max="15875" width="7.7109375" style="12" customWidth="1"/>
    <col min="15876" max="15876" width="8.7109375" style="12" customWidth="1"/>
    <col min="15877" max="15877" width="16.28515625" style="12" customWidth="1"/>
    <col min="15878" max="15878" width="7.7109375" style="12" customWidth="1"/>
    <col min="15879" max="15879" width="8" style="12" customWidth="1"/>
    <col min="15880" max="15880" width="7.7109375" style="12" customWidth="1"/>
    <col min="15881" max="15881" width="8.7109375" style="12" customWidth="1"/>
    <col min="15882" max="16121" width="9.140625" style="12"/>
    <col min="16122" max="16122" width="18.140625" style="12" customWidth="1"/>
    <col min="16123" max="16123" width="15.85546875" style="12" customWidth="1"/>
    <col min="16124" max="16125" width="6.7109375" style="12" customWidth="1"/>
    <col min="16126" max="16126" width="5.7109375" style="12" customWidth="1"/>
    <col min="16127" max="16127" width="7" style="12" customWidth="1"/>
    <col min="16128" max="16128" width="5.7109375" style="12" customWidth="1"/>
    <col min="16129" max="16129" width="7.7109375" style="12" customWidth="1"/>
    <col min="16130" max="16130" width="8.7109375" style="12" customWidth="1"/>
    <col min="16131" max="16131" width="7.7109375" style="12" customWidth="1"/>
    <col min="16132" max="16132" width="8.7109375" style="12" customWidth="1"/>
    <col min="16133" max="16133" width="16.28515625" style="12" customWidth="1"/>
    <col min="16134" max="16134" width="7.7109375" style="12" customWidth="1"/>
    <col min="16135" max="16135" width="8" style="12" customWidth="1"/>
    <col min="16136" max="16136" width="7.7109375" style="12" customWidth="1"/>
    <col min="16137" max="16137" width="8.7109375" style="12" customWidth="1"/>
    <col min="16138" max="16380" width="9.140625" style="12"/>
    <col min="16381" max="16383" width="9.140625" style="12" customWidth="1"/>
    <col min="16384" max="16384" width="9.140625" style="12"/>
  </cols>
  <sheetData>
    <row r="1" spans="1:29" s="71" customFormat="1" ht="15.6" customHeight="1" x14ac:dyDescent="0.2">
      <c r="A1" s="598"/>
      <c r="B1" s="623" t="s">
        <v>357</v>
      </c>
      <c r="C1" s="594" t="s">
        <v>360</v>
      </c>
      <c r="D1" s="594"/>
      <c r="E1" s="590"/>
      <c r="F1" s="590"/>
      <c r="G1" s="590"/>
      <c r="H1" s="590"/>
      <c r="I1" s="590"/>
      <c r="J1" s="590"/>
      <c r="K1" s="590"/>
      <c r="L1" s="594"/>
      <c r="M1" s="594"/>
      <c r="N1" s="594"/>
      <c r="O1" s="594"/>
      <c r="P1" s="591"/>
      <c r="Q1" s="602"/>
      <c r="R1" s="318"/>
      <c r="S1" s="318"/>
      <c r="T1" s="318"/>
      <c r="U1" s="318"/>
    </row>
    <row r="2" spans="1:29" s="90" customFormat="1" ht="15.6" customHeight="1" x14ac:dyDescent="0.2">
      <c r="A2" s="599"/>
      <c r="B2" s="592" t="s">
        <v>358</v>
      </c>
      <c r="C2" s="593" t="s">
        <v>361</v>
      </c>
      <c r="D2" s="593"/>
      <c r="E2" s="593"/>
      <c r="F2" s="593"/>
      <c r="G2" s="593"/>
      <c r="H2" s="593"/>
      <c r="I2" s="593"/>
      <c r="J2" s="593"/>
      <c r="K2" s="594"/>
      <c r="L2" s="612"/>
      <c r="M2" s="612"/>
      <c r="N2" s="612"/>
      <c r="O2" s="612"/>
      <c r="P2" s="595"/>
      <c r="Q2" s="604"/>
      <c r="R2" s="248"/>
      <c r="S2" s="248"/>
      <c r="T2" s="248"/>
      <c r="U2" s="248"/>
    </row>
    <row r="3" spans="1:29" s="75" customFormat="1" ht="15.6" customHeight="1" x14ac:dyDescent="0.2">
      <c r="A3" s="600"/>
      <c r="B3" s="592" t="s">
        <v>359</v>
      </c>
      <c r="C3" s="593" t="s">
        <v>313</v>
      </c>
      <c r="D3" s="593"/>
      <c r="E3" s="593"/>
      <c r="F3" s="593"/>
      <c r="G3" s="593"/>
      <c r="H3" s="593"/>
      <c r="I3" s="593"/>
      <c r="J3" s="593"/>
      <c r="K3" s="596"/>
      <c r="L3" s="593"/>
      <c r="M3" s="593"/>
      <c r="N3" s="593"/>
      <c r="O3" s="593"/>
      <c r="P3" s="617"/>
      <c r="Q3" s="606"/>
    </row>
    <row r="4" spans="1:29" s="2" customFormat="1" ht="21.6" customHeight="1" x14ac:dyDescent="0.2">
      <c r="A4" s="1194" t="s">
        <v>365</v>
      </c>
      <c r="B4" s="1194"/>
      <c r="C4" s="1194"/>
      <c r="D4" s="1194"/>
      <c r="E4" s="1194"/>
      <c r="F4" s="1194"/>
      <c r="G4" s="1194"/>
      <c r="H4" s="1194"/>
      <c r="I4" s="1194"/>
      <c r="J4" s="1194"/>
      <c r="K4" s="1194"/>
      <c r="L4" s="1194"/>
      <c r="M4" s="1194"/>
      <c r="N4" s="1194"/>
      <c r="O4" s="1194"/>
      <c r="P4" s="1194"/>
      <c r="Q4" s="1194"/>
      <c r="R4" s="618"/>
      <c r="S4" s="618"/>
      <c r="T4" s="618"/>
      <c r="U4" s="618"/>
      <c r="V4" s="1"/>
      <c r="W4" s="1"/>
      <c r="X4" s="1"/>
      <c r="Y4" s="1"/>
      <c r="Z4" s="1"/>
      <c r="AA4" s="1"/>
      <c r="AB4" s="1"/>
      <c r="AC4" s="1"/>
    </row>
    <row r="5" spans="1:29" s="261" customFormat="1" ht="21" customHeight="1" x14ac:dyDescent="0.2">
      <c r="A5" s="1343" t="s">
        <v>43</v>
      </c>
      <c r="B5" s="1333" t="s">
        <v>12</v>
      </c>
      <c r="C5" s="1337" t="s">
        <v>44</v>
      </c>
      <c r="D5" s="1338"/>
      <c r="E5" s="1338"/>
      <c r="F5" s="1339"/>
      <c r="G5" s="1337" t="s">
        <v>51</v>
      </c>
      <c r="H5" s="1339"/>
      <c r="I5" s="1333" t="s">
        <v>196</v>
      </c>
      <c r="J5" s="1333" t="s">
        <v>279</v>
      </c>
      <c r="K5" s="1342" t="s">
        <v>195</v>
      </c>
      <c r="L5" s="1338"/>
      <c r="M5" s="1339"/>
      <c r="N5" s="625" t="s">
        <v>60</v>
      </c>
      <c r="O5" s="626"/>
      <c r="P5" s="626"/>
      <c r="Q5" s="1340" t="s">
        <v>189</v>
      </c>
      <c r="S5" s="1331" t="s">
        <v>183</v>
      </c>
      <c r="T5" s="1332"/>
    </row>
    <row r="6" spans="1:29" s="261" customFormat="1" ht="19.899999999999999" customHeight="1" x14ac:dyDescent="0.2">
      <c r="A6" s="1344"/>
      <c r="B6" s="1334"/>
      <c r="C6" s="624" t="s">
        <v>13</v>
      </c>
      <c r="D6" s="627" t="s">
        <v>193</v>
      </c>
      <c r="E6" s="628" t="s">
        <v>64</v>
      </c>
      <c r="F6" s="629" t="s">
        <v>22</v>
      </c>
      <c r="G6" s="624" t="s">
        <v>59</v>
      </c>
      <c r="H6" s="630" t="s">
        <v>10</v>
      </c>
      <c r="I6" s="1335"/>
      <c r="J6" s="1334"/>
      <c r="K6" s="624" t="s">
        <v>59</v>
      </c>
      <c r="L6" s="630" t="s">
        <v>10</v>
      </c>
      <c r="M6" s="624" t="s">
        <v>186</v>
      </c>
      <c r="N6" s="624" t="s">
        <v>11</v>
      </c>
      <c r="O6" s="624" t="s">
        <v>59</v>
      </c>
      <c r="P6" s="628" t="s">
        <v>10</v>
      </c>
      <c r="Q6" s="1341"/>
      <c r="S6" s="631" t="s">
        <v>4</v>
      </c>
      <c r="T6" s="632" t="s">
        <v>11</v>
      </c>
    </row>
    <row r="7" spans="1:29" s="269" customFormat="1" ht="15" customHeight="1" x14ac:dyDescent="0.2">
      <c r="A7" s="260" t="s">
        <v>198</v>
      </c>
      <c r="B7" s="270"/>
      <c r="C7" s="270"/>
      <c r="D7" s="270"/>
      <c r="E7" s="270"/>
      <c r="F7" s="270"/>
      <c r="G7" s="270"/>
      <c r="H7" s="270"/>
      <c r="I7" s="270"/>
      <c r="J7" s="270"/>
      <c r="K7" s="271"/>
      <c r="L7" s="270"/>
      <c r="M7" s="270"/>
      <c r="N7" s="270"/>
      <c r="O7" s="421"/>
      <c r="P7" s="421"/>
      <c r="Q7" s="272"/>
      <c r="S7" s="619">
        <f t="shared" ref="S7:S12" si="0">SUMIF($M$7:$M$16,T7,$L$7:$L$16)</f>
        <v>0</v>
      </c>
      <c r="T7" s="620" t="s">
        <v>323</v>
      </c>
    </row>
    <row r="8" spans="1:29" s="282" customFormat="1" ht="15" customHeight="1" x14ac:dyDescent="0.2">
      <c r="A8" s="286"/>
      <c r="B8" s="417" t="s">
        <v>331</v>
      </c>
      <c r="C8" s="273"/>
      <c r="D8" s="273"/>
      <c r="E8" s="273"/>
      <c r="F8" s="283">
        <v>1</v>
      </c>
      <c r="G8" s="274" t="str">
        <f>IF(C8="","",IF(F8&lt;0,(D8*(E8+0.02)),(D8*(E8+0.02))))</f>
        <v/>
      </c>
      <c r="H8" s="274" t="str">
        <f>IF(C8="","",IF(F8&gt;0,F8*G8,F8*-G8))</f>
        <v/>
      </c>
      <c r="I8" s="275" t="str">
        <f>IF(C8="","",C8*F8)</f>
        <v/>
      </c>
      <c r="J8" s="275" t="str">
        <f>IF(C8="","",C8*F8*0.05)</f>
        <v/>
      </c>
      <c r="K8" s="274" t="str">
        <f>IF(C8="","",IF(F8&lt;0,-C8*E8,C8*E8))</f>
        <v/>
      </c>
      <c r="L8" s="276" t="str">
        <f>IF(C8="","",IF(F8&gt;0,K8*F8,-K8*F8))</f>
        <v/>
      </c>
      <c r="M8" s="420"/>
      <c r="N8" s="415" t="s">
        <v>68</v>
      </c>
      <c r="O8" s="422" t="str">
        <f>IF(C8="","",IF(F8&lt;0,-C8,C8))</f>
        <v/>
      </c>
      <c r="P8" s="422" t="str">
        <f>IF(C8="","",C8*F8)</f>
        <v/>
      </c>
      <c r="Q8" s="413"/>
      <c r="S8" s="621">
        <f t="shared" si="0"/>
        <v>0</v>
      </c>
      <c r="T8" s="622" t="s">
        <v>321</v>
      </c>
    </row>
    <row r="9" spans="1:29" s="282" customFormat="1" ht="15" customHeight="1" x14ac:dyDescent="0.2">
      <c r="A9" s="284"/>
      <c r="B9" s="417" t="s">
        <v>79</v>
      </c>
      <c r="C9" s="273"/>
      <c r="D9" s="273"/>
      <c r="E9" s="273"/>
      <c r="F9" s="283">
        <v>-1</v>
      </c>
      <c r="G9" s="274" t="str">
        <f>IF(C9="","",IF(F9&lt;0,(D9*(E9+0.02)),(D9*(E9+0.02))))</f>
        <v/>
      </c>
      <c r="H9" s="274" t="str">
        <f>IF(C9="","",IF(F9&gt;0,F9*G9,F9*-G9))</f>
        <v/>
      </c>
      <c r="I9" s="275" t="str">
        <f>IF(C9="","",C9*F9)</f>
        <v/>
      </c>
      <c r="J9" s="275" t="str">
        <f>IF(C9="","",C9*F9*0.05)</f>
        <v/>
      </c>
      <c r="K9" s="275" t="str">
        <f>IF(C9="","",IF(F9&lt;0,-C9*E9,C9*E9))</f>
        <v/>
      </c>
      <c r="L9" s="279" t="str">
        <f>IF(C9="","",IF(F9&gt;0,K9*F9,-K9*F9))</f>
        <v/>
      </c>
      <c r="M9" s="420"/>
      <c r="N9" s="415" t="s">
        <v>68</v>
      </c>
      <c r="O9" s="423" t="str">
        <f>IF(C9="","",IF(F9&lt;0,-C9,C9))</f>
        <v/>
      </c>
      <c r="P9" s="424" t="str">
        <f>IF(C9="","",C9*F9)</f>
        <v/>
      </c>
      <c r="Q9" s="413"/>
      <c r="S9" s="621">
        <f t="shared" si="0"/>
        <v>0</v>
      </c>
      <c r="T9" s="622" t="s">
        <v>322</v>
      </c>
    </row>
    <row r="10" spans="1:29" s="282" customFormat="1" ht="15" customHeight="1" x14ac:dyDescent="0.2">
      <c r="A10" s="284"/>
      <c r="B10" s="417"/>
      <c r="C10" s="273"/>
      <c r="D10" s="273"/>
      <c r="E10" s="273"/>
      <c r="F10" s="283"/>
      <c r="G10" s="274" t="str">
        <f>IF(C10="","",IF(F10&lt;0,(D10*(E10+0.02)),(D10*(E10+0.02))))</f>
        <v/>
      </c>
      <c r="H10" s="274" t="str">
        <f>IF(C10="","",IF(F10&gt;0,F10*G10,F10*-G10))</f>
        <v/>
      </c>
      <c r="I10" s="275" t="str">
        <f>IF(C10="","",C10*F10)</f>
        <v/>
      </c>
      <c r="J10" s="275" t="str">
        <f>IF(C10="","",C10*F10*0.05)</f>
        <v/>
      </c>
      <c r="K10" s="275" t="str">
        <f>IF(C10="","",IF(F10&lt;0,-C10*E10,C10*E10))</f>
        <v/>
      </c>
      <c r="L10" s="279" t="str">
        <f>IF(C10="","",IF(F10&gt;0,K10*F10,-K10*F10))</f>
        <v/>
      </c>
      <c r="M10" s="420"/>
      <c r="N10" s="415"/>
      <c r="O10" s="423" t="str">
        <f>IF(C10="","",IF(F10&lt;0,-C10,C10))</f>
        <v/>
      </c>
      <c r="P10" s="424" t="str">
        <f>IF(C10="","",C10*F10)</f>
        <v/>
      </c>
      <c r="Q10" s="413"/>
      <c r="S10" s="621">
        <f t="shared" si="0"/>
        <v>0</v>
      </c>
      <c r="T10" s="622" t="s">
        <v>184</v>
      </c>
    </row>
    <row r="11" spans="1:29" s="282" customFormat="1" ht="15" customHeight="1" thickBot="1" x14ac:dyDescent="0.25">
      <c r="A11" s="418"/>
      <c r="B11" s="414"/>
      <c r="C11" s="356"/>
      <c r="D11" s="356"/>
      <c r="E11" s="356"/>
      <c r="F11" s="357"/>
      <c r="G11" s="274" t="str">
        <f>IF(C11="","",IF(F11&lt;0,(D11*(E11+0.02)),(D11*(E11+0.02))))</f>
        <v/>
      </c>
      <c r="H11" s="274" t="str">
        <f>IF(C11="","",IF(F11&gt;0,F11*G11,F11*-G11))</f>
        <v/>
      </c>
      <c r="I11" s="274" t="str">
        <f>IF(C11="","",C11*F11)</f>
        <v/>
      </c>
      <c r="J11" s="274" t="str">
        <f>IF(C11="","",C11*F11*0.05)</f>
        <v/>
      </c>
      <c r="K11" s="274" t="str">
        <f>IF(C11="","",IF(F11&lt;0,-C11*E11,C11*E11))</f>
        <v/>
      </c>
      <c r="L11" s="276" t="str">
        <f>IF(C11="","",IF(F11&gt;0,K11*F11,-K11*F11))</f>
        <v/>
      </c>
      <c r="M11" s="412"/>
      <c r="N11" s="416"/>
      <c r="O11" s="422" t="str">
        <f>IF(C11="","",IF(F11&lt;0,-C11,C11))</f>
        <v/>
      </c>
      <c r="P11" s="425" t="str">
        <f>IF(C11="","",C11*F11)</f>
        <v/>
      </c>
      <c r="Q11" s="413"/>
      <c r="S11" s="621">
        <f t="shared" si="0"/>
        <v>0</v>
      </c>
      <c r="T11" s="622"/>
    </row>
    <row r="12" spans="1:29" s="269" customFormat="1" ht="15" customHeight="1" thickTop="1" thickBot="1" x14ac:dyDescent="0.25">
      <c r="A12" s="280"/>
      <c r="B12" s="289" t="s">
        <v>20</v>
      </c>
      <c r="C12" s="289">
        <f>SUMPRODUCT(C7:C11,F7:F11)</f>
        <v>0</v>
      </c>
      <c r="D12" s="289"/>
      <c r="E12" s="289"/>
      <c r="F12" s="289"/>
      <c r="G12" s="280">
        <f t="shared" ref="G12:L12" si="1">SUM(G7:G11)</f>
        <v>0</v>
      </c>
      <c r="H12" s="280">
        <f t="shared" si="1"/>
        <v>0</v>
      </c>
      <c r="I12" s="280">
        <f t="shared" si="1"/>
        <v>0</v>
      </c>
      <c r="J12" s="280">
        <f t="shared" si="1"/>
        <v>0</v>
      </c>
      <c r="K12" s="280">
        <f t="shared" si="1"/>
        <v>0</v>
      </c>
      <c r="L12" s="280">
        <f t="shared" si="1"/>
        <v>0</v>
      </c>
      <c r="M12" s="411"/>
      <c r="N12" s="280"/>
      <c r="O12" s="426">
        <f>SUM(O7:O11)</f>
        <v>0</v>
      </c>
      <c r="P12" s="426">
        <f>SUM(P7:P11)</f>
        <v>0</v>
      </c>
      <c r="Q12" s="281"/>
      <c r="S12" s="621">
        <f t="shared" si="0"/>
        <v>0</v>
      </c>
      <c r="T12" s="622"/>
    </row>
    <row r="13" spans="1:29" s="269" customFormat="1" ht="15" customHeight="1" thickTop="1" thickBot="1" x14ac:dyDescent="0.25">
      <c r="A13" s="280"/>
      <c r="B13" s="1336"/>
      <c r="C13" s="1336"/>
      <c r="D13" s="1336"/>
      <c r="E13" s="1336"/>
      <c r="F13" s="1336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1"/>
      <c r="S13" s="633">
        <f>SUM(S7:S12)</f>
        <v>0</v>
      </c>
      <c r="T13" s="634" t="str">
        <f>IF(L12=S13,"OK","Conferir")</f>
        <v>OK</v>
      </c>
    </row>
    <row r="14" spans="1:29" s="269" customFormat="1" ht="15" customHeight="1" x14ac:dyDescent="0.2">
      <c r="A14" s="264"/>
      <c r="B14" s="262"/>
      <c r="C14" s="262"/>
      <c r="D14" s="262"/>
      <c r="E14" s="262"/>
      <c r="F14" s="262"/>
      <c r="G14" s="262"/>
      <c r="H14" s="262"/>
      <c r="I14" s="262"/>
      <c r="J14" s="265"/>
      <c r="K14" s="262"/>
      <c r="L14" s="262"/>
      <c r="M14" s="261"/>
      <c r="N14" s="261"/>
      <c r="O14" s="261"/>
      <c r="P14" s="261"/>
      <c r="Q14" s="261"/>
    </row>
    <row r="15" spans="1:29" s="269" customFormat="1" ht="15" customHeight="1" x14ac:dyDescent="0.2">
      <c r="A15" s="261"/>
      <c r="B15" s="263"/>
      <c r="C15" s="262"/>
      <c r="D15" s="262"/>
      <c r="E15" s="262"/>
      <c r="F15" s="261"/>
      <c r="G15" s="261"/>
      <c r="H15" s="262"/>
      <c r="I15" s="262"/>
      <c r="J15" s="261"/>
      <c r="K15" s="261"/>
      <c r="L15" s="261"/>
      <c r="M15" s="262"/>
      <c r="N15" s="266"/>
      <c r="O15" s="267"/>
      <c r="P15" s="268"/>
      <c r="Q15" s="261"/>
    </row>
    <row r="16" spans="1:29" s="269" customFormat="1" ht="15" customHeight="1" x14ac:dyDescent="0.2">
      <c r="A16" s="12"/>
      <c r="B16" s="34"/>
      <c r="C16" s="17"/>
      <c r="D16" s="17"/>
      <c r="E16" s="17"/>
      <c r="F16" s="12"/>
      <c r="G16" s="12"/>
      <c r="H16" s="35"/>
      <c r="I16" s="17"/>
      <c r="J16" s="12"/>
      <c r="K16" s="12"/>
      <c r="L16" s="17"/>
      <c r="M16" s="12"/>
      <c r="N16" s="12"/>
      <c r="O16" s="12"/>
      <c r="P16" s="12"/>
      <c r="Q16" s="12"/>
    </row>
    <row r="17" spans="1:17" s="261" customFormat="1" ht="15" customHeight="1" x14ac:dyDescent="0.2">
      <c r="A17" s="12"/>
      <c r="B17" s="34"/>
      <c r="C17" s="17"/>
      <c r="D17" s="17"/>
      <c r="E17" s="17"/>
      <c r="F17" s="12"/>
      <c r="G17" s="12"/>
      <c r="H17" s="17"/>
      <c r="I17" s="55"/>
      <c r="J17" s="12"/>
      <c r="K17" s="12"/>
      <c r="L17" s="35"/>
      <c r="M17" s="12"/>
      <c r="N17" s="12"/>
      <c r="O17" s="12"/>
      <c r="P17" s="12"/>
      <c r="Q17" s="12"/>
    </row>
    <row r="18" spans="1:17" s="261" customFormat="1" ht="15" customHeight="1" x14ac:dyDescent="0.2">
      <c r="A18" s="12"/>
      <c r="B18" s="34"/>
      <c r="C18" s="17"/>
      <c r="D18" s="17"/>
      <c r="E18" s="17"/>
      <c r="F18" s="12"/>
      <c r="G18" s="12"/>
      <c r="H18" s="17"/>
      <c r="I18" s="17"/>
      <c r="J18" s="12"/>
      <c r="K18" s="12"/>
      <c r="L18" s="35"/>
      <c r="M18" s="12"/>
      <c r="N18" s="12"/>
      <c r="O18" s="12"/>
      <c r="P18" s="12"/>
      <c r="Q18" s="12"/>
    </row>
    <row r="19" spans="1:17" ht="15" customHeight="1" x14ac:dyDescent="0.2">
      <c r="C19" s="17"/>
      <c r="D19" s="17"/>
      <c r="E19" s="17"/>
      <c r="I19" s="17"/>
      <c r="J19" s="17"/>
      <c r="M19" s="35"/>
    </row>
    <row r="20" spans="1:17" ht="15" customHeight="1" x14ac:dyDescent="0.2">
      <c r="C20" s="17"/>
      <c r="D20" s="17"/>
      <c r="E20" s="17"/>
      <c r="I20" s="17"/>
      <c r="J20" s="17"/>
      <c r="M20" s="35"/>
    </row>
    <row r="21" spans="1:17" ht="15" customHeight="1" x14ac:dyDescent="0.2">
      <c r="I21" s="17"/>
      <c r="J21" s="17"/>
      <c r="M21" s="35"/>
    </row>
    <row r="22" spans="1:17" ht="14.25" customHeight="1" x14ac:dyDescent="0.2">
      <c r="H22" s="17"/>
      <c r="I22" s="17"/>
      <c r="J22" s="17"/>
      <c r="K22" s="17"/>
      <c r="L22" s="35"/>
      <c r="M22" s="35"/>
    </row>
    <row r="23" spans="1:17" x14ac:dyDescent="0.2">
      <c r="H23" s="17"/>
      <c r="I23" s="17"/>
      <c r="J23" s="17"/>
      <c r="K23" s="17"/>
      <c r="L23" s="35"/>
      <c r="M23" s="35"/>
    </row>
    <row r="24" spans="1:17" x14ac:dyDescent="0.2">
      <c r="H24" s="17"/>
      <c r="I24" s="17"/>
      <c r="J24" s="17"/>
      <c r="K24" s="17"/>
      <c r="L24" s="35"/>
      <c r="M24" s="35"/>
    </row>
    <row r="25" spans="1:17" x14ac:dyDescent="0.2">
      <c r="H25" s="17"/>
      <c r="I25" s="17"/>
      <c r="J25" s="17"/>
      <c r="K25" s="17"/>
      <c r="L25" s="35"/>
      <c r="M25" s="35"/>
    </row>
  </sheetData>
  <mergeCells count="11">
    <mergeCell ref="S5:T5"/>
    <mergeCell ref="J5:J6"/>
    <mergeCell ref="I5:I6"/>
    <mergeCell ref="A4:Q4"/>
    <mergeCell ref="B13:F13"/>
    <mergeCell ref="C5:F5"/>
    <mergeCell ref="Q5:Q6"/>
    <mergeCell ref="G5:H5"/>
    <mergeCell ref="K5:M5"/>
    <mergeCell ref="A5:A6"/>
    <mergeCell ref="B5:B6"/>
  </mergeCells>
  <dataValidations count="1">
    <dataValidation type="list" allowBlank="1" showInputMessage="1" showErrorMessage="1" sqref="K7 M8:M11" xr:uid="{00000000-0002-0000-1800-000000000000}">
      <formula1>$T$7:$T$13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4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18">
    <tabColor theme="4" tint="0.39997558519241921"/>
    <pageSetUpPr fitToPage="1"/>
  </sheetPr>
  <dimension ref="A1:V72"/>
  <sheetViews>
    <sheetView showGridLines="0" view="pageBreakPreview" zoomScaleNormal="100" zoomScaleSheetLayoutView="100" workbookViewId="0">
      <pane ySplit="6" topLeftCell="A7" activePane="bottomLeft" state="frozen"/>
      <selection activeCell="A4" sqref="A4:R6"/>
      <selection pane="bottomLeft" activeCell="A4" sqref="A4:R6"/>
    </sheetView>
  </sheetViews>
  <sheetFormatPr defaultRowHeight="14.1" customHeight="1" x14ac:dyDescent="0.2"/>
  <cols>
    <col min="1" max="1" width="36.85546875" style="12" customWidth="1"/>
    <col min="2" max="4" width="12.140625" style="12" customWidth="1"/>
    <col min="5" max="5" width="7.42578125" style="12" customWidth="1"/>
    <col min="6" max="6" width="7.5703125" style="12" customWidth="1"/>
    <col min="7" max="10" width="9.28515625" style="12" customWidth="1"/>
    <col min="11" max="11" width="10.85546875" style="12" customWidth="1"/>
    <col min="12" max="12" width="3.28515625" style="12" customWidth="1"/>
    <col min="13" max="14" width="10.5703125" style="12" customWidth="1"/>
    <col min="15" max="15" width="3.28515625" style="12" customWidth="1"/>
    <col min="16" max="16" width="7.5703125" style="12" customWidth="1"/>
    <col min="17" max="254" width="9.140625" style="12"/>
    <col min="255" max="255" width="11.5703125" style="12" bestFit="1" customWidth="1"/>
    <col min="256" max="256" width="20.7109375" style="12" customWidth="1"/>
    <col min="257" max="264" width="6.7109375" style="12" customWidth="1"/>
    <col min="265" max="265" width="9.140625" style="12"/>
    <col min="266" max="266" width="6.7109375" style="12" customWidth="1"/>
    <col min="267" max="510" width="9.140625" style="12"/>
    <col min="511" max="511" width="11.5703125" style="12" bestFit="1" customWidth="1"/>
    <col min="512" max="512" width="20.7109375" style="12" customWidth="1"/>
    <col min="513" max="520" width="6.7109375" style="12" customWidth="1"/>
    <col min="521" max="521" width="9.140625" style="12"/>
    <col min="522" max="522" width="6.7109375" style="12" customWidth="1"/>
    <col min="523" max="766" width="9.140625" style="12"/>
    <col min="767" max="767" width="11.5703125" style="12" bestFit="1" customWidth="1"/>
    <col min="768" max="768" width="20.7109375" style="12" customWidth="1"/>
    <col min="769" max="776" width="6.7109375" style="12" customWidth="1"/>
    <col min="777" max="777" width="9.140625" style="12"/>
    <col min="778" max="778" width="6.7109375" style="12" customWidth="1"/>
    <col min="779" max="1022" width="9.140625" style="12"/>
    <col min="1023" max="1023" width="11.5703125" style="12" bestFit="1" customWidth="1"/>
    <col min="1024" max="1024" width="20.7109375" style="12" customWidth="1"/>
    <col min="1025" max="1032" width="6.7109375" style="12" customWidth="1"/>
    <col min="1033" max="1033" width="9.140625" style="12"/>
    <col min="1034" max="1034" width="6.7109375" style="12" customWidth="1"/>
    <col min="1035" max="1278" width="9.140625" style="12"/>
    <col min="1279" max="1279" width="11.5703125" style="12" bestFit="1" customWidth="1"/>
    <col min="1280" max="1280" width="20.7109375" style="12" customWidth="1"/>
    <col min="1281" max="1288" width="6.7109375" style="12" customWidth="1"/>
    <col min="1289" max="1289" width="9.140625" style="12"/>
    <col min="1290" max="1290" width="6.7109375" style="12" customWidth="1"/>
    <col min="1291" max="1534" width="9.140625" style="12"/>
    <col min="1535" max="1535" width="11.5703125" style="12" bestFit="1" customWidth="1"/>
    <col min="1536" max="1536" width="20.7109375" style="12" customWidth="1"/>
    <col min="1537" max="1544" width="6.7109375" style="12" customWidth="1"/>
    <col min="1545" max="1545" width="9.140625" style="12"/>
    <col min="1546" max="1546" width="6.7109375" style="12" customWidth="1"/>
    <col min="1547" max="1790" width="9.140625" style="12"/>
    <col min="1791" max="1791" width="11.5703125" style="12" bestFit="1" customWidth="1"/>
    <col min="1792" max="1792" width="20.7109375" style="12" customWidth="1"/>
    <col min="1793" max="1800" width="6.7109375" style="12" customWidth="1"/>
    <col min="1801" max="1801" width="9.140625" style="12"/>
    <col min="1802" max="1802" width="6.7109375" style="12" customWidth="1"/>
    <col min="1803" max="2046" width="9.140625" style="12"/>
    <col min="2047" max="2047" width="11.5703125" style="12" bestFit="1" customWidth="1"/>
    <col min="2048" max="2048" width="20.7109375" style="12" customWidth="1"/>
    <col min="2049" max="2056" width="6.7109375" style="12" customWidth="1"/>
    <col min="2057" max="2057" width="9.140625" style="12"/>
    <col min="2058" max="2058" width="6.7109375" style="12" customWidth="1"/>
    <col min="2059" max="2302" width="9.140625" style="12"/>
    <col min="2303" max="2303" width="11.5703125" style="12" bestFit="1" customWidth="1"/>
    <col min="2304" max="2304" width="20.7109375" style="12" customWidth="1"/>
    <col min="2305" max="2312" width="6.7109375" style="12" customWidth="1"/>
    <col min="2313" max="2313" width="9.140625" style="12"/>
    <col min="2314" max="2314" width="6.7109375" style="12" customWidth="1"/>
    <col min="2315" max="2558" width="9.140625" style="12"/>
    <col min="2559" max="2559" width="11.5703125" style="12" bestFit="1" customWidth="1"/>
    <col min="2560" max="2560" width="20.7109375" style="12" customWidth="1"/>
    <col min="2561" max="2568" width="6.7109375" style="12" customWidth="1"/>
    <col min="2569" max="2569" width="9.140625" style="12"/>
    <col min="2570" max="2570" width="6.7109375" style="12" customWidth="1"/>
    <col min="2571" max="2814" width="9.140625" style="12"/>
    <col min="2815" max="2815" width="11.5703125" style="12" bestFit="1" customWidth="1"/>
    <col min="2816" max="2816" width="20.7109375" style="12" customWidth="1"/>
    <col min="2817" max="2824" width="6.7109375" style="12" customWidth="1"/>
    <col min="2825" max="2825" width="9.140625" style="12"/>
    <col min="2826" max="2826" width="6.7109375" style="12" customWidth="1"/>
    <col min="2827" max="3070" width="9.140625" style="12"/>
    <col min="3071" max="3071" width="11.5703125" style="12" bestFit="1" customWidth="1"/>
    <col min="3072" max="3072" width="20.7109375" style="12" customWidth="1"/>
    <col min="3073" max="3080" width="6.7109375" style="12" customWidth="1"/>
    <col min="3081" max="3081" width="9.140625" style="12"/>
    <col min="3082" max="3082" width="6.7109375" style="12" customWidth="1"/>
    <col min="3083" max="3326" width="9.140625" style="12"/>
    <col min="3327" max="3327" width="11.5703125" style="12" bestFit="1" customWidth="1"/>
    <col min="3328" max="3328" width="20.7109375" style="12" customWidth="1"/>
    <col min="3329" max="3336" width="6.7109375" style="12" customWidth="1"/>
    <col min="3337" max="3337" width="9.140625" style="12"/>
    <col min="3338" max="3338" width="6.7109375" style="12" customWidth="1"/>
    <col min="3339" max="3582" width="9.140625" style="12"/>
    <col min="3583" max="3583" width="11.5703125" style="12" bestFit="1" customWidth="1"/>
    <col min="3584" max="3584" width="20.7109375" style="12" customWidth="1"/>
    <col min="3585" max="3592" width="6.7109375" style="12" customWidth="1"/>
    <col min="3593" max="3593" width="9.140625" style="12"/>
    <col min="3594" max="3594" width="6.7109375" style="12" customWidth="1"/>
    <col min="3595" max="3838" width="9.140625" style="12"/>
    <col min="3839" max="3839" width="11.5703125" style="12" bestFit="1" customWidth="1"/>
    <col min="3840" max="3840" width="20.7109375" style="12" customWidth="1"/>
    <col min="3841" max="3848" width="6.7109375" style="12" customWidth="1"/>
    <col min="3849" max="3849" width="9.140625" style="12"/>
    <col min="3850" max="3850" width="6.7109375" style="12" customWidth="1"/>
    <col min="3851" max="4094" width="9.140625" style="12"/>
    <col min="4095" max="4095" width="11.5703125" style="12" bestFit="1" customWidth="1"/>
    <col min="4096" max="4096" width="20.7109375" style="12" customWidth="1"/>
    <col min="4097" max="4104" width="6.7109375" style="12" customWidth="1"/>
    <col min="4105" max="4105" width="9.140625" style="12"/>
    <col min="4106" max="4106" width="6.7109375" style="12" customWidth="1"/>
    <col min="4107" max="4350" width="9.140625" style="12"/>
    <col min="4351" max="4351" width="11.5703125" style="12" bestFit="1" customWidth="1"/>
    <col min="4352" max="4352" width="20.7109375" style="12" customWidth="1"/>
    <col min="4353" max="4360" width="6.7109375" style="12" customWidth="1"/>
    <col min="4361" max="4361" width="9.140625" style="12"/>
    <col min="4362" max="4362" width="6.7109375" style="12" customWidth="1"/>
    <col min="4363" max="4606" width="9.140625" style="12"/>
    <col min="4607" max="4607" width="11.5703125" style="12" bestFit="1" customWidth="1"/>
    <col min="4608" max="4608" width="20.7109375" style="12" customWidth="1"/>
    <col min="4609" max="4616" width="6.7109375" style="12" customWidth="1"/>
    <col min="4617" max="4617" width="9.140625" style="12"/>
    <col min="4618" max="4618" width="6.7109375" style="12" customWidth="1"/>
    <col min="4619" max="4862" width="9.140625" style="12"/>
    <col min="4863" max="4863" width="11.5703125" style="12" bestFit="1" customWidth="1"/>
    <col min="4864" max="4864" width="20.7109375" style="12" customWidth="1"/>
    <col min="4865" max="4872" width="6.7109375" style="12" customWidth="1"/>
    <col min="4873" max="4873" width="9.140625" style="12"/>
    <col min="4874" max="4874" width="6.7109375" style="12" customWidth="1"/>
    <col min="4875" max="5118" width="9.140625" style="12"/>
    <col min="5119" max="5119" width="11.5703125" style="12" bestFit="1" customWidth="1"/>
    <col min="5120" max="5120" width="20.7109375" style="12" customWidth="1"/>
    <col min="5121" max="5128" width="6.7109375" style="12" customWidth="1"/>
    <col min="5129" max="5129" width="9.140625" style="12"/>
    <col min="5130" max="5130" width="6.7109375" style="12" customWidth="1"/>
    <col min="5131" max="5374" width="9.140625" style="12"/>
    <col min="5375" max="5375" width="11.5703125" style="12" bestFit="1" customWidth="1"/>
    <col min="5376" max="5376" width="20.7109375" style="12" customWidth="1"/>
    <col min="5377" max="5384" width="6.7109375" style="12" customWidth="1"/>
    <col min="5385" max="5385" width="9.140625" style="12"/>
    <col min="5386" max="5386" width="6.7109375" style="12" customWidth="1"/>
    <col min="5387" max="5630" width="9.140625" style="12"/>
    <col min="5631" max="5631" width="11.5703125" style="12" bestFit="1" customWidth="1"/>
    <col min="5632" max="5632" width="20.7109375" style="12" customWidth="1"/>
    <col min="5633" max="5640" width="6.7109375" style="12" customWidth="1"/>
    <col min="5641" max="5641" width="9.140625" style="12"/>
    <col min="5642" max="5642" width="6.7109375" style="12" customWidth="1"/>
    <col min="5643" max="5886" width="9.140625" style="12"/>
    <col min="5887" max="5887" width="11.5703125" style="12" bestFit="1" customWidth="1"/>
    <col min="5888" max="5888" width="20.7109375" style="12" customWidth="1"/>
    <col min="5889" max="5896" width="6.7109375" style="12" customWidth="1"/>
    <col min="5897" max="5897" width="9.140625" style="12"/>
    <col min="5898" max="5898" width="6.7109375" style="12" customWidth="1"/>
    <col min="5899" max="6142" width="9.140625" style="12"/>
    <col min="6143" max="6143" width="11.5703125" style="12" bestFit="1" customWidth="1"/>
    <col min="6144" max="6144" width="20.7109375" style="12" customWidth="1"/>
    <col min="6145" max="6152" width="6.7109375" style="12" customWidth="1"/>
    <col min="6153" max="6153" width="9.140625" style="12"/>
    <col min="6154" max="6154" width="6.7109375" style="12" customWidth="1"/>
    <col min="6155" max="6398" width="9.140625" style="12"/>
    <col min="6399" max="6399" width="11.5703125" style="12" bestFit="1" customWidth="1"/>
    <col min="6400" max="6400" width="20.7109375" style="12" customWidth="1"/>
    <col min="6401" max="6408" width="6.7109375" style="12" customWidth="1"/>
    <col min="6409" max="6409" width="9.140625" style="12"/>
    <col min="6410" max="6410" width="6.7109375" style="12" customWidth="1"/>
    <col min="6411" max="6654" width="9.140625" style="12"/>
    <col min="6655" max="6655" width="11.5703125" style="12" bestFit="1" customWidth="1"/>
    <col min="6656" max="6656" width="20.7109375" style="12" customWidth="1"/>
    <col min="6657" max="6664" width="6.7109375" style="12" customWidth="1"/>
    <col min="6665" max="6665" width="9.140625" style="12"/>
    <col min="6666" max="6666" width="6.7109375" style="12" customWidth="1"/>
    <col min="6667" max="6910" width="9.140625" style="12"/>
    <col min="6911" max="6911" width="11.5703125" style="12" bestFit="1" customWidth="1"/>
    <col min="6912" max="6912" width="20.7109375" style="12" customWidth="1"/>
    <col min="6913" max="6920" width="6.7109375" style="12" customWidth="1"/>
    <col min="6921" max="6921" width="9.140625" style="12"/>
    <col min="6922" max="6922" width="6.7109375" style="12" customWidth="1"/>
    <col min="6923" max="7166" width="9.140625" style="12"/>
    <col min="7167" max="7167" width="11.5703125" style="12" bestFit="1" customWidth="1"/>
    <col min="7168" max="7168" width="20.7109375" style="12" customWidth="1"/>
    <col min="7169" max="7176" width="6.7109375" style="12" customWidth="1"/>
    <col min="7177" max="7177" width="9.140625" style="12"/>
    <col min="7178" max="7178" width="6.7109375" style="12" customWidth="1"/>
    <col min="7179" max="7422" width="9.140625" style="12"/>
    <col min="7423" max="7423" width="11.5703125" style="12" bestFit="1" customWidth="1"/>
    <col min="7424" max="7424" width="20.7109375" style="12" customWidth="1"/>
    <col min="7425" max="7432" width="6.7109375" style="12" customWidth="1"/>
    <col min="7433" max="7433" width="9.140625" style="12"/>
    <col min="7434" max="7434" width="6.7109375" style="12" customWidth="1"/>
    <col min="7435" max="7678" width="9.140625" style="12"/>
    <col min="7679" max="7679" width="11.5703125" style="12" bestFit="1" customWidth="1"/>
    <col min="7680" max="7680" width="20.7109375" style="12" customWidth="1"/>
    <col min="7681" max="7688" width="6.7109375" style="12" customWidth="1"/>
    <col min="7689" max="7689" width="9.140625" style="12"/>
    <col min="7690" max="7690" width="6.7109375" style="12" customWidth="1"/>
    <col min="7691" max="7934" width="9.140625" style="12"/>
    <col min="7935" max="7935" width="11.5703125" style="12" bestFit="1" customWidth="1"/>
    <col min="7936" max="7936" width="20.7109375" style="12" customWidth="1"/>
    <col min="7937" max="7944" width="6.7109375" style="12" customWidth="1"/>
    <col min="7945" max="7945" width="9.140625" style="12"/>
    <col min="7946" max="7946" width="6.7109375" style="12" customWidth="1"/>
    <col min="7947" max="8190" width="9.140625" style="12"/>
    <col min="8191" max="8191" width="11.5703125" style="12" bestFit="1" customWidth="1"/>
    <col min="8192" max="8192" width="20.7109375" style="12" customWidth="1"/>
    <col min="8193" max="8200" width="6.7109375" style="12" customWidth="1"/>
    <col min="8201" max="8201" width="9.140625" style="12"/>
    <col min="8202" max="8202" width="6.7109375" style="12" customWidth="1"/>
    <col min="8203" max="8446" width="9.140625" style="12"/>
    <col min="8447" max="8447" width="11.5703125" style="12" bestFit="1" customWidth="1"/>
    <col min="8448" max="8448" width="20.7109375" style="12" customWidth="1"/>
    <col min="8449" max="8456" width="6.7109375" style="12" customWidth="1"/>
    <col min="8457" max="8457" width="9.140625" style="12"/>
    <col min="8458" max="8458" width="6.7109375" style="12" customWidth="1"/>
    <col min="8459" max="8702" width="9.140625" style="12"/>
    <col min="8703" max="8703" width="11.5703125" style="12" bestFit="1" customWidth="1"/>
    <col min="8704" max="8704" width="20.7109375" style="12" customWidth="1"/>
    <col min="8705" max="8712" width="6.7109375" style="12" customWidth="1"/>
    <col min="8713" max="8713" width="9.140625" style="12"/>
    <col min="8714" max="8714" width="6.7109375" style="12" customWidth="1"/>
    <col min="8715" max="8958" width="9.140625" style="12"/>
    <col min="8959" max="8959" width="11.5703125" style="12" bestFit="1" customWidth="1"/>
    <col min="8960" max="8960" width="20.7109375" style="12" customWidth="1"/>
    <col min="8961" max="8968" width="6.7109375" style="12" customWidth="1"/>
    <col min="8969" max="8969" width="9.140625" style="12"/>
    <col min="8970" max="8970" width="6.7109375" style="12" customWidth="1"/>
    <col min="8971" max="9214" width="9.140625" style="12"/>
    <col min="9215" max="9215" width="11.5703125" style="12" bestFit="1" customWidth="1"/>
    <col min="9216" max="9216" width="20.7109375" style="12" customWidth="1"/>
    <col min="9217" max="9224" width="6.7109375" style="12" customWidth="1"/>
    <col min="9225" max="9225" width="9.140625" style="12"/>
    <col min="9226" max="9226" width="6.7109375" style="12" customWidth="1"/>
    <col min="9227" max="9470" width="9.140625" style="12"/>
    <col min="9471" max="9471" width="11.5703125" style="12" bestFit="1" customWidth="1"/>
    <col min="9472" max="9472" width="20.7109375" style="12" customWidth="1"/>
    <col min="9473" max="9480" width="6.7109375" style="12" customWidth="1"/>
    <col min="9481" max="9481" width="9.140625" style="12"/>
    <col min="9482" max="9482" width="6.7109375" style="12" customWidth="1"/>
    <col min="9483" max="9726" width="9.140625" style="12"/>
    <col min="9727" max="9727" width="11.5703125" style="12" bestFit="1" customWidth="1"/>
    <col min="9728" max="9728" width="20.7109375" style="12" customWidth="1"/>
    <col min="9729" max="9736" width="6.7109375" style="12" customWidth="1"/>
    <col min="9737" max="9737" width="9.140625" style="12"/>
    <col min="9738" max="9738" width="6.7109375" style="12" customWidth="1"/>
    <col min="9739" max="9982" width="9.140625" style="12"/>
    <col min="9983" max="9983" width="11.5703125" style="12" bestFit="1" customWidth="1"/>
    <col min="9984" max="9984" width="20.7109375" style="12" customWidth="1"/>
    <col min="9985" max="9992" width="6.7109375" style="12" customWidth="1"/>
    <col min="9993" max="9993" width="9.140625" style="12"/>
    <col min="9994" max="9994" width="6.7109375" style="12" customWidth="1"/>
    <col min="9995" max="10238" width="9.140625" style="12"/>
    <col min="10239" max="10239" width="11.5703125" style="12" bestFit="1" customWidth="1"/>
    <col min="10240" max="10240" width="20.7109375" style="12" customWidth="1"/>
    <col min="10241" max="10248" width="6.7109375" style="12" customWidth="1"/>
    <col min="10249" max="10249" width="9.140625" style="12"/>
    <col min="10250" max="10250" width="6.7109375" style="12" customWidth="1"/>
    <col min="10251" max="10494" width="9.140625" style="12"/>
    <col min="10495" max="10495" width="11.5703125" style="12" bestFit="1" customWidth="1"/>
    <col min="10496" max="10496" width="20.7109375" style="12" customWidth="1"/>
    <col min="10497" max="10504" width="6.7109375" style="12" customWidth="1"/>
    <col min="10505" max="10505" width="9.140625" style="12"/>
    <col min="10506" max="10506" width="6.7109375" style="12" customWidth="1"/>
    <col min="10507" max="10750" width="9.140625" style="12"/>
    <col min="10751" max="10751" width="11.5703125" style="12" bestFit="1" customWidth="1"/>
    <col min="10752" max="10752" width="20.7109375" style="12" customWidth="1"/>
    <col min="10753" max="10760" width="6.7109375" style="12" customWidth="1"/>
    <col min="10761" max="10761" width="9.140625" style="12"/>
    <col min="10762" max="10762" width="6.7109375" style="12" customWidth="1"/>
    <col min="10763" max="11006" width="9.140625" style="12"/>
    <col min="11007" max="11007" width="11.5703125" style="12" bestFit="1" customWidth="1"/>
    <col min="11008" max="11008" width="20.7109375" style="12" customWidth="1"/>
    <col min="11009" max="11016" width="6.7109375" style="12" customWidth="1"/>
    <col min="11017" max="11017" width="9.140625" style="12"/>
    <col min="11018" max="11018" width="6.7109375" style="12" customWidth="1"/>
    <col min="11019" max="11262" width="9.140625" style="12"/>
    <col min="11263" max="11263" width="11.5703125" style="12" bestFit="1" customWidth="1"/>
    <col min="11264" max="11264" width="20.7109375" style="12" customWidth="1"/>
    <col min="11265" max="11272" width="6.7109375" style="12" customWidth="1"/>
    <col min="11273" max="11273" width="9.140625" style="12"/>
    <col min="11274" max="11274" width="6.7109375" style="12" customWidth="1"/>
    <col min="11275" max="11518" width="9.140625" style="12"/>
    <col min="11519" max="11519" width="11.5703125" style="12" bestFit="1" customWidth="1"/>
    <col min="11520" max="11520" width="20.7109375" style="12" customWidth="1"/>
    <col min="11521" max="11528" width="6.7109375" style="12" customWidth="1"/>
    <col min="11529" max="11529" width="9.140625" style="12"/>
    <col min="11530" max="11530" width="6.7109375" style="12" customWidth="1"/>
    <col min="11531" max="11774" width="9.140625" style="12"/>
    <col min="11775" max="11775" width="11.5703125" style="12" bestFit="1" customWidth="1"/>
    <col min="11776" max="11776" width="20.7109375" style="12" customWidth="1"/>
    <col min="11777" max="11784" width="6.7109375" style="12" customWidth="1"/>
    <col min="11785" max="11785" width="9.140625" style="12"/>
    <col min="11786" max="11786" width="6.7109375" style="12" customWidth="1"/>
    <col min="11787" max="12030" width="9.140625" style="12"/>
    <col min="12031" max="12031" width="11.5703125" style="12" bestFit="1" customWidth="1"/>
    <col min="12032" max="12032" width="20.7109375" style="12" customWidth="1"/>
    <col min="12033" max="12040" width="6.7109375" style="12" customWidth="1"/>
    <col min="12041" max="12041" width="9.140625" style="12"/>
    <col min="12042" max="12042" width="6.7109375" style="12" customWidth="1"/>
    <col min="12043" max="12286" width="9.140625" style="12"/>
    <col min="12287" max="12287" width="11.5703125" style="12" bestFit="1" customWidth="1"/>
    <col min="12288" max="12288" width="20.7109375" style="12" customWidth="1"/>
    <col min="12289" max="12296" width="6.7109375" style="12" customWidth="1"/>
    <col min="12297" max="12297" width="9.140625" style="12"/>
    <col min="12298" max="12298" width="6.7109375" style="12" customWidth="1"/>
    <col min="12299" max="12542" width="9.140625" style="12"/>
    <col min="12543" max="12543" width="11.5703125" style="12" bestFit="1" customWidth="1"/>
    <col min="12544" max="12544" width="20.7109375" style="12" customWidth="1"/>
    <col min="12545" max="12552" width="6.7109375" style="12" customWidth="1"/>
    <col min="12553" max="12553" width="9.140625" style="12"/>
    <col min="12554" max="12554" width="6.7109375" style="12" customWidth="1"/>
    <col min="12555" max="12798" width="9.140625" style="12"/>
    <col min="12799" max="12799" width="11.5703125" style="12" bestFit="1" customWidth="1"/>
    <col min="12800" max="12800" width="20.7109375" style="12" customWidth="1"/>
    <col min="12801" max="12808" width="6.7109375" style="12" customWidth="1"/>
    <col min="12809" max="12809" width="9.140625" style="12"/>
    <col min="12810" max="12810" width="6.7109375" style="12" customWidth="1"/>
    <col min="12811" max="13054" width="9.140625" style="12"/>
    <col min="13055" max="13055" width="11.5703125" style="12" bestFit="1" customWidth="1"/>
    <col min="13056" max="13056" width="20.7109375" style="12" customWidth="1"/>
    <col min="13057" max="13064" width="6.7109375" style="12" customWidth="1"/>
    <col min="13065" max="13065" width="9.140625" style="12"/>
    <col min="13066" max="13066" width="6.7109375" style="12" customWidth="1"/>
    <col min="13067" max="13310" width="9.140625" style="12"/>
    <col min="13311" max="13311" width="11.5703125" style="12" bestFit="1" customWidth="1"/>
    <col min="13312" max="13312" width="20.7109375" style="12" customWidth="1"/>
    <col min="13313" max="13320" width="6.7109375" style="12" customWidth="1"/>
    <col min="13321" max="13321" width="9.140625" style="12"/>
    <col min="13322" max="13322" width="6.7109375" style="12" customWidth="1"/>
    <col min="13323" max="13566" width="9.140625" style="12"/>
    <col min="13567" max="13567" width="11.5703125" style="12" bestFit="1" customWidth="1"/>
    <col min="13568" max="13568" width="20.7109375" style="12" customWidth="1"/>
    <col min="13569" max="13576" width="6.7109375" style="12" customWidth="1"/>
    <col min="13577" max="13577" width="9.140625" style="12"/>
    <col min="13578" max="13578" width="6.7109375" style="12" customWidth="1"/>
    <col min="13579" max="13822" width="9.140625" style="12"/>
    <col min="13823" max="13823" width="11.5703125" style="12" bestFit="1" customWidth="1"/>
    <col min="13824" max="13824" width="20.7109375" style="12" customWidth="1"/>
    <col min="13825" max="13832" width="6.7109375" style="12" customWidth="1"/>
    <col min="13833" max="13833" width="9.140625" style="12"/>
    <col min="13834" max="13834" width="6.7109375" style="12" customWidth="1"/>
    <col min="13835" max="14078" width="9.140625" style="12"/>
    <col min="14079" max="14079" width="11.5703125" style="12" bestFit="1" customWidth="1"/>
    <col min="14080" max="14080" width="20.7109375" style="12" customWidth="1"/>
    <col min="14081" max="14088" width="6.7109375" style="12" customWidth="1"/>
    <col min="14089" max="14089" width="9.140625" style="12"/>
    <col min="14090" max="14090" width="6.7109375" style="12" customWidth="1"/>
    <col min="14091" max="14334" width="9.140625" style="12"/>
    <col min="14335" max="14335" width="11.5703125" style="12" bestFit="1" customWidth="1"/>
    <col min="14336" max="14336" width="20.7109375" style="12" customWidth="1"/>
    <col min="14337" max="14344" width="6.7109375" style="12" customWidth="1"/>
    <col min="14345" max="14345" width="9.140625" style="12"/>
    <col min="14346" max="14346" width="6.7109375" style="12" customWidth="1"/>
    <col min="14347" max="14590" width="9.140625" style="12"/>
    <col min="14591" max="14591" width="11.5703125" style="12" bestFit="1" customWidth="1"/>
    <col min="14592" max="14592" width="20.7109375" style="12" customWidth="1"/>
    <col min="14593" max="14600" width="6.7109375" style="12" customWidth="1"/>
    <col min="14601" max="14601" width="9.140625" style="12"/>
    <col min="14602" max="14602" width="6.7109375" style="12" customWidth="1"/>
    <col min="14603" max="14846" width="9.140625" style="12"/>
    <col min="14847" max="14847" width="11.5703125" style="12" bestFit="1" customWidth="1"/>
    <col min="14848" max="14848" width="20.7109375" style="12" customWidth="1"/>
    <col min="14849" max="14856" width="6.7109375" style="12" customWidth="1"/>
    <col min="14857" max="14857" width="9.140625" style="12"/>
    <col min="14858" max="14858" width="6.7109375" style="12" customWidth="1"/>
    <col min="14859" max="15102" width="9.140625" style="12"/>
    <col min="15103" max="15103" width="11.5703125" style="12" bestFit="1" customWidth="1"/>
    <col min="15104" max="15104" width="20.7109375" style="12" customWidth="1"/>
    <col min="15105" max="15112" width="6.7109375" style="12" customWidth="1"/>
    <col min="15113" max="15113" width="9.140625" style="12"/>
    <col min="15114" max="15114" width="6.7109375" style="12" customWidth="1"/>
    <col min="15115" max="15358" width="9.140625" style="12"/>
    <col min="15359" max="15359" width="11.5703125" style="12" bestFit="1" customWidth="1"/>
    <col min="15360" max="15360" width="20.7109375" style="12" customWidth="1"/>
    <col min="15361" max="15368" width="6.7109375" style="12" customWidth="1"/>
    <col min="15369" max="15369" width="9.140625" style="12"/>
    <col min="15370" max="15370" width="6.7109375" style="12" customWidth="1"/>
    <col min="15371" max="15614" width="9.140625" style="12"/>
    <col min="15615" max="15615" width="11.5703125" style="12" bestFit="1" customWidth="1"/>
    <col min="15616" max="15616" width="20.7109375" style="12" customWidth="1"/>
    <col min="15617" max="15624" width="6.7109375" style="12" customWidth="1"/>
    <col min="15625" max="15625" width="9.140625" style="12"/>
    <col min="15626" max="15626" width="6.7109375" style="12" customWidth="1"/>
    <col min="15627" max="15870" width="9.140625" style="12"/>
    <col min="15871" max="15871" width="11.5703125" style="12" bestFit="1" customWidth="1"/>
    <col min="15872" max="15872" width="20.7109375" style="12" customWidth="1"/>
    <col min="15873" max="15880" width="6.7109375" style="12" customWidth="1"/>
    <col min="15881" max="15881" width="9.140625" style="12"/>
    <col min="15882" max="15882" width="6.7109375" style="12" customWidth="1"/>
    <col min="15883" max="16126" width="9.140625" style="12"/>
    <col min="16127" max="16127" width="11.5703125" style="12" bestFit="1" customWidth="1"/>
    <col min="16128" max="16128" width="20.7109375" style="12" customWidth="1"/>
    <col min="16129" max="16136" width="6.7109375" style="12" customWidth="1"/>
    <col min="16137" max="16137" width="9.140625" style="12"/>
    <col min="16138" max="16138" width="6.7109375" style="12" customWidth="1"/>
    <col min="16139" max="16375" width="9.140625" style="12"/>
    <col min="16376" max="16381" width="9.140625" style="12" customWidth="1"/>
    <col min="16382" max="16382" width="9.140625" style="12"/>
    <col min="16383" max="16384" width="9.140625" style="12" customWidth="1"/>
  </cols>
  <sheetData>
    <row r="1" spans="1:22" s="71" customFormat="1" ht="37.5" customHeight="1" thickBot="1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s="75" customFormat="1" ht="12.75" x14ac:dyDescent="0.2">
      <c r="A2" s="342" t="s">
        <v>178</v>
      </c>
      <c r="B2" s="90"/>
      <c r="C2" s="90"/>
      <c r="D2" s="90"/>
      <c r="E2" s="90"/>
      <c r="F2" s="90"/>
      <c r="G2" s="90"/>
      <c r="H2" s="343" t="s">
        <v>18</v>
      </c>
      <c r="I2" s="343"/>
      <c r="J2" s="90"/>
      <c r="K2" s="343" t="s">
        <v>9</v>
      </c>
    </row>
    <row r="3" spans="1:22" s="75" customFormat="1" ht="15" customHeight="1" x14ac:dyDescent="0.2">
      <c r="A3" s="89" t="e">
        <f>#REF!</f>
        <v>#REF!</v>
      </c>
      <c r="B3" s="90"/>
      <c r="C3" s="90"/>
      <c r="D3" s="90"/>
      <c r="E3" s="90"/>
      <c r="F3" s="90"/>
      <c r="G3" s="90"/>
      <c r="H3" s="89" t="s">
        <v>345</v>
      </c>
      <c r="I3" s="91"/>
      <c r="J3" s="90"/>
      <c r="K3" s="92"/>
    </row>
    <row r="4" spans="1:22" s="75" customFormat="1" ht="15" customHeight="1" x14ac:dyDescent="0.2">
      <c r="A4" s="89"/>
      <c r="B4" s="90"/>
      <c r="C4" s="90"/>
      <c r="D4" s="90"/>
      <c r="E4" s="90"/>
      <c r="F4" s="90"/>
      <c r="G4" s="90"/>
      <c r="H4" s="89"/>
      <c r="I4" s="91"/>
      <c r="J4" s="90"/>
      <c r="K4" s="92"/>
    </row>
    <row r="5" spans="1:22" ht="20.100000000000001" customHeight="1" x14ac:dyDescent="0.2">
      <c r="A5" s="1347" t="s">
        <v>12</v>
      </c>
      <c r="B5" s="125" t="s">
        <v>188</v>
      </c>
      <c r="C5" s="121"/>
      <c r="D5" s="121"/>
      <c r="E5" s="1347" t="s">
        <v>22</v>
      </c>
      <c r="F5" s="125" t="s">
        <v>51</v>
      </c>
      <c r="G5" s="125"/>
      <c r="H5" s="120"/>
      <c r="I5" s="120" t="s">
        <v>185</v>
      </c>
      <c r="J5" s="121"/>
      <c r="K5" s="126"/>
      <c r="M5" s="1345" t="s">
        <v>183</v>
      </c>
      <c r="N5" s="1346"/>
    </row>
    <row r="6" spans="1:22" ht="24" customHeight="1" x14ac:dyDescent="0.2">
      <c r="A6" s="1348"/>
      <c r="B6" s="123" t="s">
        <v>84</v>
      </c>
      <c r="C6" s="123" t="s">
        <v>85</v>
      </c>
      <c r="D6" s="124" t="s">
        <v>83</v>
      </c>
      <c r="E6" s="1348"/>
      <c r="F6" s="122" t="s">
        <v>86</v>
      </c>
      <c r="G6" s="122" t="s">
        <v>59</v>
      </c>
      <c r="H6" s="122" t="s">
        <v>10</v>
      </c>
      <c r="I6" s="123" t="s">
        <v>59</v>
      </c>
      <c r="J6" s="124" t="s">
        <v>10</v>
      </c>
      <c r="K6" s="122" t="s">
        <v>186</v>
      </c>
      <c r="M6" s="219" t="s">
        <v>187</v>
      </c>
      <c r="N6" s="220" t="s">
        <v>186</v>
      </c>
    </row>
    <row r="7" spans="1:22" ht="14.1" customHeight="1" x14ac:dyDescent="0.2">
      <c r="A7" s="218" t="s">
        <v>198</v>
      </c>
      <c r="B7" s="198"/>
      <c r="C7" s="198"/>
      <c r="D7" s="198"/>
      <c r="E7" s="198"/>
      <c r="F7" s="198"/>
      <c r="G7" s="198"/>
      <c r="H7" s="198"/>
      <c r="I7" s="198"/>
      <c r="J7" s="199"/>
      <c r="K7" s="427"/>
      <c r="M7" s="221">
        <f>IF(N7="","",SUMIF($K$7:$K$60,N7,$J$7:$J$60))</f>
        <v>0</v>
      </c>
      <c r="N7" s="224" t="s">
        <v>325</v>
      </c>
    </row>
    <row r="8" spans="1:22" ht="14.1" customHeight="1" x14ac:dyDescent="0.2">
      <c r="A8" s="60"/>
      <c r="B8" s="16"/>
      <c r="C8" s="16"/>
      <c r="D8" s="16"/>
      <c r="E8" s="14"/>
      <c r="F8" s="14">
        <v>4</v>
      </c>
      <c r="G8" s="13">
        <f t="shared" ref="G8:G17" si="0">IF(F8=2,C8*2*D8,IF(F8=4,(B8+C8)*2*D8,0))</f>
        <v>0</v>
      </c>
      <c r="H8" s="13">
        <f>G8*E8</f>
        <v>0</v>
      </c>
      <c r="I8" s="13">
        <f t="shared" ref="I8:I17" si="1">B8*D8*C8</f>
        <v>0</v>
      </c>
      <c r="J8" s="15">
        <f>I8*E8</f>
        <v>0</v>
      </c>
      <c r="K8" s="428" t="s">
        <v>326</v>
      </c>
      <c r="M8" s="222">
        <f t="shared" ref="M8:M14" si="2">IF(N8="","",SUMIF($K$7:$K$60,N8,$J$7:$J$60))</f>
        <v>0</v>
      </c>
      <c r="N8" s="225" t="s">
        <v>327</v>
      </c>
    </row>
    <row r="9" spans="1:22" ht="14.1" customHeight="1" x14ac:dyDescent="0.2">
      <c r="A9" s="60"/>
      <c r="B9" s="16"/>
      <c r="C9" s="16"/>
      <c r="D9" s="16"/>
      <c r="E9" s="14"/>
      <c r="F9" s="14">
        <v>4</v>
      </c>
      <c r="G9" s="13">
        <f t="shared" si="0"/>
        <v>0</v>
      </c>
      <c r="H9" s="13">
        <f t="shared" ref="H9:H59" si="3">G9*E9</f>
        <v>0</v>
      </c>
      <c r="I9" s="13">
        <f t="shared" si="1"/>
        <v>0</v>
      </c>
      <c r="J9" s="15">
        <f t="shared" ref="J9:J59" si="4">I9*E9</f>
        <v>0</v>
      </c>
      <c r="K9" s="428" t="s">
        <v>326</v>
      </c>
      <c r="M9" s="222">
        <f t="shared" si="2"/>
        <v>0</v>
      </c>
      <c r="N9" s="225" t="s">
        <v>328</v>
      </c>
    </row>
    <row r="10" spans="1:22" ht="14.1" customHeight="1" x14ac:dyDescent="0.2">
      <c r="A10" s="60"/>
      <c r="B10" s="16"/>
      <c r="C10" s="16"/>
      <c r="D10" s="16"/>
      <c r="E10" s="14"/>
      <c r="F10" s="14">
        <v>4</v>
      </c>
      <c r="G10" s="13">
        <f t="shared" si="0"/>
        <v>0</v>
      </c>
      <c r="H10" s="13">
        <f t="shared" si="3"/>
        <v>0</v>
      </c>
      <c r="I10" s="13">
        <f t="shared" si="1"/>
        <v>0</v>
      </c>
      <c r="J10" s="15">
        <f t="shared" si="4"/>
        <v>0</v>
      </c>
      <c r="K10" s="428" t="s">
        <v>326</v>
      </c>
      <c r="M10" s="222">
        <f t="shared" si="2"/>
        <v>0</v>
      </c>
      <c r="N10" s="225" t="s">
        <v>329</v>
      </c>
    </row>
    <row r="11" spans="1:22" ht="14.1" customHeight="1" x14ac:dyDescent="0.2">
      <c r="A11" s="60"/>
      <c r="B11" s="16"/>
      <c r="C11" s="16"/>
      <c r="D11" s="16"/>
      <c r="E11" s="14"/>
      <c r="F11" s="14">
        <v>4</v>
      </c>
      <c r="G11" s="13">
        <f t="shared" si="0"/>
        <v>0</v>
      </c>
      <c r="H11" s="13">
        <f t="shared" si="3"/>
        <v>0</v>
      </c>
      <c r="I11" s="13">
        <f t="shared" si="1"/>
        <v>0</v>
      </c>
      <c r="J11" s="15">
        <f t="shared" si="4"/>
        <v>0</v>
      </c>
      <c r="K11" s="428" t="s">
        <v>326</v>
      </c>
      <c r="M11" s="222">
        <f t="shared" si="2"/>
        <v>0</v>
      </c>
      <c r="N11" s="225" t="s">
        <v>326</v>
      </c>
    </row>
    <row r="12" spans="1:22" ht="14.1" customHeight="1" x14ac:dyDescent="0.2">
      <c r="A12" s="60"/>
      <c r="B12" s="16"/>
      <c r="C12" s="16"/>
      <c r="D12" s="16"/>
      <c r="E12" s="14"/>
      <c r="F12" s="14">
        <v>4</v>
      </c>
      <c r="G12" s="13">
        <f t="shared" si="0"/>
        <v>0</v>
      </c>
      <c r="H12" s="13">
        <f t="shared" si="3"/>
        <v>0</v>
      </c>
      <c r="I12" s="13">
        <f t="shared" si="1"/>
        <v>0</v>
      </c>
      <c r="J12" s="15">
        <f t="shared" si="4"/>
        <v>0</v>
      </c>
      <c r="K12" s="428" t="s">
        <v>326</v>
      </c>
      <c r="M12" s="222" t="str">
        <f t="shared" si="2"/>
        <v/>
      </c>
      <c r="N12" s="225"/>
    </row>
    <row r="13" spans="1:22" ht="14.1" customHeight="1" x14ac:dyDescent="0.2">
      <c r="A13" s="60"/>
      <c r="B13" s="16"/>
      <c r="C13" s="16"/>
      <c r="D13" s="16"/>
      <c r="E13" s="14"/>
      <c r="F13" s="14">
        <v>4</v>
      </c>
      <c r="G13" s="13">
        <f t="shared" si="0"/>
        <v>0</v>
      </c>
      <c r="H13" s="13">
        <f t="shared" si="3"/>
        <v>0</v>
      </c>
      <c r="I13" s="13">
        <f t="shared" si="1"/>
        <v>0</v>
      </c>
      <c r="J13" s="15">
        <f t="shared" si="4"/>
        <v>0</v>
      </c>
      <c r="K13" s="428" t="s">
        <v>326</v>
      </c>
      <c r="M13" s="222" t="str">
        <f t="shared" si="2"/>
        <v/>
      </c>
      <c r="N13" s="225"/>
    </row>
    <row r="14" spans="1:22" ht="14.1" customHeight="1" x14ac:dyDescent="0.2">
      <c r="A14" s="60"/>
      <c r="B14" s="16"/>
      <c r="C14" s="16"/>
      <c r="D14" s="16"/>
      <c r="E14" s="14"/>
      <c r="F14" s="14">
        <v>4</v>
      </c>
      <c r="G14" s="13">
        <f t="shared" si="0"/>
        <v>0</v>
      </c>
      <c r="H14" s="13">
        <f t="shared" si="3"/>
        <v>0</v>
      </c>
      <c r="I14" s="13">
        <f t="shared" si="1"/>
        <v>0</v>
      </c>
      <c r="J14" s="15">
        <f t="shared" si="4"/>
        <v>0</v>
      </c>
      <c r="K14" s="428" t="s">
        <v>326</v>
      </c>
      <c r="M14" s="226" t="str">
        <f t="shared" si="2"/>
        <v/>
      </c>
      <c r="N14" s="227"/>
    </row>
    <row r="15" spans="1:22" ht="14.1" customHeight="1" x14ac:dyDescent="0.2">
      <c r="A15" s="60"/>
      <c r="B15" s="16"/>
      <c r="C15" s="16"/>
      <c r="D15" s="16"/>
      <c r="E15" s="14"/>
      <c r="F15" s="14">
        <v>4</v>
      </c>
      <c r="G15" s="13">
        <f t="shared" si="0"/>
        <v>0</v>
      </c>
      <c r="H15" s="13">
        <f t="shared" si="3"/>
        <v>0</v>
      </c>
      <c r="I15" s="13">
        <f t="shared" si="1"/>
        <v>0</v>
      </c>
      <c r="J15" s="15">
        <f t="shared" si="4"/>
        <v>0</v>
      </c>
      <c r="K15" s="428" t="s">
        <v>326</v>
      </c>
      <c r="M15" s="228">
        <f>SUM(M7:M14)</f>
        <v>0</v>
      </c>
      <c r="N15" s="247" t="str">
        <f>IF(J60=M15,"OK","Conferir")</f>
        <v>OK</v>
      </c>
    </row>
    <row r="16" spans="1:22" ht="14.1" customHeight="1" x14ac:dyDescent="0.2">
      <c r="A16" s="60"/>
      <c r="B16" s="16"/>
      <c r="C16" s="16"/>
      <c r="D16" s="16"/>
      <c r="E16" s="14"/>
      <c r="F16" s="14">
        <v>4</v>
      </c>
      <c r="G16" s="13">
        <f t="shared" si="0"/>
        <v>0</v>
      </c>
      <c r="H16" s="13">
        <f t="shared" si="3"/>
        <v>0</v>
      </c>
      <c r="I16" s="13">
        <f t="shared" si="1"/>
        <v>0</v>
      </c>
      <c r="J16" s="15">
        <f t="shared" si="4"/>
        <v>0</v>
      </c>
      <c r="K16" s="428" t="s">
        <v>326</v>
      </c>
    </row>
    <row r="17" spans="1:11" ht="14.1" customHeight="1" x14ac:dyDescent="0.2">
      <c r="A17" s="94"/>
      <c r="B17" s="95"/>
      <c r="C17" s="95"/>
      <c r="D17" s="95"/>
      <c r="E17" s="96"/>
      <c r="F17" s="96">
        <v>4</v>
      </c>
      <c r="G17" s="45">
        <f t="shared" si="0"/>
        <v>0</v>
      </c>
      <c r="H17" s="45">
        <f t="shared" si="3"/>
        <v>0</v>
      </c>
      <c r="I17" s="45">
        <f t="shared" si="1"/>
        <v>0</v>
      </c>
      <c r="J17" s="97">
        <f t="shared" si="4"/>
        <v>0</v>
      </c>
      <c r="K17" s="428" t="s">
        <v>326</v>
      </c>
    </row>
    <row r="18" spans="1:11" ht="14.1" customHeight="1" x14ac:dyDescent="0.2">
      <c r="A18" s="218" t="s">
        <v>198</v>
      </c>
      <c r="B18" s="198"/>
      <c r="C18" s="198"/>
      <c r="D18" s="198"/>
      <c r="E18" s="198"/>
      <c r="F18" s="198"/>
      <c r="G18" s="198"/>
      <c r="H18" s="198"/>
      <c r="I18" s="198"/>
      <c r="J18" s="199"/>
      <c r="K18" s="427"/>
    </row>
    <row r="19" spans="1:11" ht="14.1" customHeight="1" x14ac:dyDescent="0.2">
      <c r="A19" s="60"/>
      <c r="B19" s="16"/>
      <c r="C19" s="16"/>
      <c r="D19" s="16"/>
      <c r="E19" s="14"/>
      <c r="F19" s="14">
        <v>4</v>
      </c>
      <c r="G19" s="13">
        <f t="shared" ref="G19:G28" si="5">IF(F19=2,C19*2*D19,IF(F19=4,(B19+C19)*2*D19,0))</f>
        <v>0</v>
      </c>
      <c r="H19" s="13">
        <f t="shared" si="3"/>
        <v>0</v>
      </c>
      <c r="I19" s="13">
        <f t="shared" ref="I19:I28" si="6">B19*D19*C19</f>
        <v>0</v>
      </c>
      <c r="J19" s="15">
        <f t="shared" si="4"/>
        <v>0</v>
      </c>
      <c r="K19" s="428" t="s">
        <v>326</v>
      </c>
    </row>
    <row r="20" spans="1:11" ht="14.1" customHeight="1" x14ac:dyDescent="0.2">
      <c r="A20" s="60"/>
      <c r="B20" s="16"/>
      <c r="C20" s="16"/>
      <c r="D20" s="16"/>
      <c r="E20" s="14"/>
      <c r="F20" s="14">
        <v>4</v>
      </c>
      <c r="G20" s="13">
        <f t="shared" si="5"/>
        <v>0</v>
      </c>
      <c r="H20" s="13">
        <f t="shared" si="3"/>
        <v>0</v>
      </c>
      <c r="I20" s="13">
        <f t="shared" si="6"/>
        <v>0</v>
      </c>
      <c r="J20" s="15">
        <f t="shared" si="4"/>
        <v>0</v>
      </c>
      <c r="K20" s="428" t="s">
        <v>326</v>
      </c>
    </row>
    <row r="21" spans="1:11" ht="14.1" customHeight="1" x14ac:dyDescent="0.2">
      <c r="A21" s="60"/>
      <c r="B21" s="16"/>
      <c r="C21" s="16"/>
      <c r="D21" s="16"/>
      <c r="E21" s="14"/>
      <c r="F21" s="14">
        <v>4</v>
      </c>
      <c r="G21" s="13">
        <f t="shared" si="5"/>
        <v>0</v>
      </c>
      <c r="H21" s="13">
        <f t="shared" si="3"/>
        <v>0</v>
      </c>
      <c r="I21" s="13">
        <f t="shared" si="6"/>
        <v>0</v>
      </c>
      <c r="J21" s="15">
        <f t="shared" si="4"/>
        <v>0</v>
      </c>
      <c r="K21" s="428" t="s">
        <v>326</v>
      </c>
    </row>
    <row r="22" spans="1:11" ht="14.1" customHeight="1" x14ac:dyDescent="0.2">
      <c r="A22" s="60"/>
      <c r="B22" s="16"/>
      <c r="C22" s="16"/>
      <c r="D22" s="16"/>
      <c r="E22" s="14"/>
      <c r="F22" s="14">
        <v>4</v>
      </c>
      <c r="G22" s="13">
        <f t="shared" si="5"/>
        <v>0</v>
      </c>
      <c r="H22" s="13">
        <f t="shared" si="3"/>
        <v>0</v>
      </c>
      <c r="I22" s="13">
        <f t="shared" si="6"/>
        <v>0</v>
      </c>
      <c r="J22" s="15">
        <f t="shared" si="4"/>
        <v>0</v>
      </c>
      <c r="K22" s="428" t="s">
        <v>326</v>
      </c>
    </row>
    <row r="23" spans="1:11" ht="14.1" customHeight="1" x14ac:dyDescent="0.2">
      <c r="A23" s="60"/>
      <c r="B23" s="16"/>
      <c r="C23" s="16"/>
      <c r="D23" s="16"/>
      <c r="E23" s="14"/>
      <c r="F23" s="14">
        <v>4</v>
      </c>
      <c r="G23" s="13">
        <f t="shared" si="5"/>
        <v>0</v>
      </c>
      <c r="H23" s="13">
        <f t="shared" si="3"/>
        <v>0</v>
      </c>
      <c r="I23" s="13">
        <f t="shared" si="6"/>
        <v>0</v>
      </c>
      <c r="J23" s="15">
        <f t="shared" si="4"/>
        <v>0</v>
      </c>
      <c r="K23" s="428" t="s">
        <v>326</v>
      </c>
    </row>
    <row r="24" spans="1:11" ht="14.1" customHeight="1" x14ac:dyDescent="0.2">
      <c r="A24" s="60"/>
      <c r="B24" s="16"/>
      <c r="C24" s="16"/>
      <c r="D24" s="16"/>
      <c r="E24" s="14"/>
      <c r="F24" s="14">
        <v>4</v>
      </c>
      <c r="G24" s="13">
        <f t="shared" si="5"/>
        <v>0</v>
      </c>
      <c r="H24" s="13">
        <f t="shared" si="3"/>
        <v>0</v>
      </c>
      <c r="I24" s="13">
        <f t="shared" si="6"/>
        <v>0</v>
      </c>
      <c r="J24" s="15">
        <f t="shared" si="4"/>
        <v>0</v>
      </c>
      <c r="K24" s="428" t="s">
        <v>326</v>
      </c>
    </row>
    <row r="25" spans="1:11" ht="14.1" customHeight="1" x14ac:dyDescent="0.2">
      <c r="A25" s="60"/>
      <c r="B25" s="16"/>
      <c r="C25" s="16"/>
      <c r="D25" s="16"/>
      <c r="E25" s="14"/>
      <c r="F25" s="14">
        <v>4</v>
      </c>
      <c r="G25" s="13">
        <f t="shared" si="5"/>
        <v>0</v>
      </c>
      <c r="H25" s="13">
        <f t="shared" si="3"/>
        <v>0</v>
      </c>
      <c r="I25" s="13">
        <f t="shared" si="6"/>
        <v>0</v>
      </c>
      <c r="J25" s="15">
        <f t="shared" si="4"/>
        <v>0</v>
      </c>
      <c r="K25" s="428" t="s">
        <v>326</v>
      </c>
    </row>
    <row r="26" spans="1:11" ht="14.1" customHeight="1" x14ac:dyDescent="0.2">
      <c r="A26" s="60"/>
      <c r="B26" s="16"/>
      <c r="C26" s="16"/>
      <c r="D26" s="16"/>
      <c r="E26" s="14"/>
      <c r="F26" s="14">
        <v>4</v>
      </c>
      <c r="G26" s="13">
        <f t="shared" si="5"/>
        <v>0</v>
      </c>
      <c r="H26" s="13">
        <f t="shared" si="3"/>
        <v>0</v>
      </c>
      <c r="I26" s="13">
        <f t="shared" si="6"/>
        <v>0</v>
      </c>
      <c r="J26" s="15">
        <f t="shared" si="4"/>
        <v>0</v>
      </c>
      <c r="K26" s="428" t="s">
        <v>326</v>
      </c>
    </row>
    <row r="27" spans="1:11" ht="14.1" customHeight="1" x14ac:dyDescent="0.2">
      <c r="A27" s="60"/>
      <c r="B27" s="16"/>
      <c r="C27" s="16"/>
      <c r="D27" s="16"/>
      <c r="E27" s="14"/>
      <c r="F27" s="14">
        <v>4</v>
      </c>
      <c r="G27" s="13">
        <f t="shared" si="5"/>
        <v>0</v>
      </c>
      <c r="H27" s="13">
        <f t="shared" si="3"/>
        <v>0</v>
      </c>
      <c r="I27" s="13">
        <f t="shared" si="6"/>
        <v>0</v>
      </c>
      <c r="J27" s="15">
        <f t="shared" si="4"/>
        <v>0</v>
      </c>
      <c r="K27" s="428" t="s">
        <v>326</v>
      </c>
    </row>
    <row r="28" spans="1:11" ht="14.1" customHeight="1" x14ac:dyDescent="0.2">
      <c r="A28" s="94"/>
      <c r="B28" s="95"/>
      <c r="C28" s="95"/>
      <c r="D28" s="95"/>
      <c r="E28" s="96"/>
      <c r="F28" s="96">
        <v>4</v>
      </c>
      <c r="G28" s="45">
        <f t="shared" si="5"/>
        <v>0</v>
      </c>
      <c r="H28" s="45">
        <f t="shared" si="3"/>
        <v>0</v>
      </c>
      <c r="I28" s="45">
        <f t="shared" si="6"/>
        <v>0</v>
      </c>
      <c r="J28" s="97">
        <f t="shared" si="4"/>
        <v>0</v>
      </c>
      <c r="K28" s="428" t="s">
        <v>326</v>
      </c>
    </row>
    <row r="29" spans="1:11" ht="14.1" customHeight="1" x14ac:dyDescent="0.2">
      <c r="A29" s="218" t="s">
        <v>198</v>
      </c>
      <c r="B29" s="198"/>
      <c r="C29" s="198"/>
      <c r="D29" s="198"/>
      <c r="E29" s="198"/>
      <c r="F29" s="198"/>
      <c r="G29" s="198"/>
      <c r="H29" s="198"/>
      <c r="I29" s="198"/>
      <c r="J29" s="199"/>
      <c r="K29" s="427"/>
    </row>
    <row r="30" spans="1:11" ht="14.1" customHeight="1" x14ac:dyDescent="0.2">
      <c r="A30" s="60"/>
      <c r="B30" s="16"/>
      <c r="C30" s="16"/>
      <c r="D30" s="16"/>
      <c r="E30" s="14"/>
      <c r="F30" s="14">
        <v>4</v>
      </c>
      <c r="G30" s="13">
        <f t="shared" ref="G30:G43" si="7">IF(F30=2,C30*2*D30,IF(F30=4,(B30+C30)*2*D30,0))</f>
        <v>0</v>
      </c>
      <c r="H30" s="13">
        <f t="shared" si="3"/>
        <v>0</v>
      </c>
      <c r="I30" s="13">
        <f t="shared" ref="I30:I43" si="8">B30*D30*C30</f>
        <v>0</v>
      </c>
      <c r="J30" s="15">
        <f t="shared" si="4"/>
        <v>0</v>
      </c>
      <c r="K30" s="428" t="s">
        <v>326</v>
      </c>
    </row>
    <row r="31" spans="1:11" ht="14.1" customHeight="1" x14ac:dyDescent="0.2">
      <c r="A31" s="60"/>
      <c r="B31" s="16"/>
      <c r="C31" s="16"/>
      <c r="D31" s="16"/>
      <c r="E31" s="14"/>
      <c r="F31" s="14">
        <v>4</v>
      </c>
      <c r="G31" s="13">
        <f t="shared" si="7"/>
        <v>0</v>
      </c>
      <c r="H31" s="13">
        <f t="shared" si="3"/>
        <v>0</v>
      </c>
      <c r="I31" s="13">
        <f t="shared" si="8"/>
        <v>0</v>
      </c>
      <c r="J31" s="15">
        <f t="shared" si="4"/>
        <v>0</v>
      </c>
      <c r="K31" s="428" t="s">
        <v>326</v>
      </c>
    </row>
    <row r="32" spans="1:11" ht="14.1" customHeight="1" x14ac:dyDescent="0.2">
      <c r="A32" s="60"/>
      <c r="B32" s="16"/>
      <c r="C32" s="16"/>
      <c r="D32" s="16"/>
      <c r="E32" s="14"/>
      <c r="F32" s="14">
        <v>4</v>
      </c>
      <c r="G32" s="13">
        <f t="shared" si="7"/>
        <v>0</v>
      </c>
      <c r="H32" s="13">
        <f t="shared" si="3"/>
        <v>0</v>
      </c>
      <c r="I32" s="13">
        <f t="shared" si="8"/>
        <v>0</v>
      </c>
      <c r="J32" s="15">
        <f t="shared" si="4"/>
        <v>0</v>
      </c>
      <c r="K32" s="428" t="s">
        <v>326</v>
      </c>
    </row>
    <row r="33" spans="1:11" ht="14.1" customHeight="1" x14ac:dyDescent="0.2">
      <c r="A33" s="60"/>
      <c r="B33" s="16"/>
      <c r="C33" s="16"/>
      <c r="D33" s="16"/>
      <c r="E33" s="14"/>
      <c r="F33" s="14">
        <v>4</v>
      </c>
      <c r="G33" s="13">
        <f t="shared" si="7"/>
        <v>0</v>
      </c>
      <c r="H33" s="13">
        <f t="shared" si="3"/>
        <v>0</v>
      </c>
      <c r="I33" s="13">
        <f t="shared" si="8"/>
        <v>0</v>
      </c>
      <c r="J33" s="15">
        <f t="shared" si="4"/>
        <v>0</v>
      </c>
      <c r="K33" s="428" t="s">
        <v>326</v>
      </c>
    </row>
    <row r="34" spans="1:11" ht="14.1" customHeight="1" x14ac:dyDescent="0.2">
      <c r="A34" s="60"/>
      <c r="B34" s="16"/>
      <c r="C34" s="16"/>
      <c r="D34" s="16"/>
      <c r="E34" s="14"/>
      <c r="F34" s="14">
        <v>4</v>
      </c>
      <c r="G34" s="13">
        <f t="shared" si="7"/>
        <v>0</v>
      </c>
      <c r="H34" s="13">
        <f t="shared" si="3"/>
        <v>0</v>
      </c>
      <c r="I34" s="13">
        <f t="shared" si="8"/>
        <v>0</v>
      </c>
      <c r="J34" s="15">
        <f t="shared" si="4"/>
        <v>0</v>
      </c>
      <c r="K34" s="428" t="s">
        <v>326</v>
      </c>
    </row>
    <row r="35" spans="1:11" ht="14.1" customHeight="1" x14ac:dyDescent="0.2">
      <c r="A35" s="60"/>
      <c r="B35" s="16"/>
      <c r="C35" s="16"/>
      <c r="D35" s="16"/>
      <c r="E35" s="14"/>
      <c r="F35" s="14">
        <v>4</v>
      </c>
      <c r="G35" s="13">
        <f t="shared" si="7"/>
        <v>0</v>
      </c>
      <c r="H35" s="13">
        <f t="shared" si="3"/>
        <v>0</v>
      </c>
      <c r="I35" s="13">
        <f t="shared" si="8"/>
        <v>0</v>
      </c>
      <c r="J35" s="15">
        <f t="shared" si="4"/>
        <v>0</v>
      </c>
      <c r="K35" s="428" t="s">
        <v>326</v>
      </c>
    </row>
    <row r="36" spans="1:11" ht="14.1" customHeight="1" x14ac:dyDescent="0.2">
      <c r="A36" s="60"/>
      <c r="B36" s="16"/>
      <c r="C36" s="16"/>
      <c r="D36" s="16"/>
      <c r="E36" s="14"/>
      <c r="F36" s="14">
        <v>4</v>
      </c>
      <c r="G36" s="13">
        <f t="shared" si="7"/>
        <v>0</v>
      </c>
      <c r="H36" s="13">
        <f t="shared" si="3"/>
        <v>0</v>
      </c>
      <c r="I36" s="13">
        <f t="shared" si="8"/>
        <v>0</v>
      </c>
      <c r="J36" s="15">
        <f t="shared" si="4"/>
        <v>0</v>
      </c>
      <c r="K36" s="428" t="s">
        <v>326</v>
      </c>
    </row>
    <row r="37" spans="1:11" ht="14.1" customHeight="1" x14ac:dyDescent="0.2">
      <c r="A37" s="60"/>
      <c r="B37" s="16"/>
      <c r="C37" s="16"/>
      <c r="D37" s="16"/>
      <c r="E37" s="14"/>
      <c r="F37" s="14">
        <v>4</v>
      </c>
      <c r="G37" s="13">
        <f t="shared" si="7"/>
        <v>0</v>
      </c>
      <c r="H37" s="13">
        <f t="shared" si="3"/>
        <v>0</v>
      </c>
      <c r="I37" s="13">
        <f t="shared" si="8"/>
        <v>0</v>
      </c>
      <c r="J37" s="15">
        <f t="shared" si="4"/>
        <v>0</v>
      </c>
      <c r="K37" s="428" t="s">
        <v>326</v>
      </c>
    </row>
    <row r="38" spans="1:11" ht="14.1" customHeight="1" x14ac:dyDescent="0.2">
      <c r="A38" s="60"/>
      <c r="B38" s="16"/>
      <c r="C38" s="16"/>
      <c r="D38" s="16"/>
      <c r="E38" s="14"/>
      <c r="F38" s="14">
        <v>4</v>
      </c>
      <c r="G38" s="13">
        <f t="shared" si="7"/>
        <v>0</v>
      </c>
      <c r="H38" s="13">
        <f t="shared" si="3"/>
        <v>0</v>
      </c>
      <c r="I38" s="13">
        <f t="shared" si="8"/>
        <v>0</v>
      </c>
      <c r="J38" s="15">
        <f t="shared" si="4"/>
        <v>0</v>
      </c>
      <c r="K38" s="428" t="s">
        <v>326</v>
      </c>
    </row>
    <row r="39" spans="1:11" ht="14.1" customHeight="1" x14ac:dyDescent="0.2">
      <c r="A39" s="60"/>
      <c r="B39" s="16"/>
      <c r="C39" s="16"/>
      <c r="D39" s="16"/>
      <c r="E39" s="14"/>
      <c r="F39" s="14">
        <v>4</v>
      </c>
      <c r="G39" s="13">
        <f t="shared" si="7"/>
        <v>0</v>
      </c>
      <c r="H39" s="13">
        <f t="shared" si="3"/>
        <v>0</v>
      </c>
      <c r="I39" s="13">
        <f t="shared" si="8"/>
        <v>0</v>
      </c>
      <c r="J39" s="15">
        <f t="shared" si="4"/>
        <v>0</v>
      </c>
      <c r="K39" s="428" t="s">
        <v>326</v>
      </c>
    </row>
    <row r="40" spans="1:11" ht="14.1" customHeight="1" x14ac:dyDescent="0.2">
      <c r="A40" s="60"/>
      <c r="B40" s="16"/>
      <c r="C40" s="16"/>
      <c r="D40" s="16"/>
      <c r="E40" s="14"/>
      <c r="F40" s="14">
        <v>4</v>
      </c>
      <c r="G40" s="13">
        <f t="shared" si="7"/>
        <v>0</v>
      </c>
      <c r="H40" s="13">
        <f t="shared" si="3"/>
        <v>0</v>
      </c>
      <c r="I40" s="13">
        <f t="shared" si="8"/>
        <v>0</v>
      </c>
      <c r="J40" s="15">
        <f t="shared" si="4"/>
        <v>0</v>
      </c>
      <c r="K40" s="428" t="s">
        <v>326</v>
      </c>
    </row>
    <row r="41" spans="1:11" ht="14.1" customHeight="1" x14ac:dyDescent="0.2">
      <c r="A41" s="60"/>
      <c r="B41" s="16"/>
      <c r="C41" s="16"/>
      <c r="D41" s="16"/>
      <c r="E41" s="14"/>
      <c r="F41" s="14">
        <v>4</v>
      </c>
      <c r="G41" s="13">
        <f t="shared" si="7"/>
        <v>0</v>
      </c>
      <c r="H41" s="13">
        <f t="shared" si="3"/>
        <v>0</v>
      </c>
      <c r="I41" s="13">
        <f t="shared" si="8"/>
        <v>0</v>
      </c>
      <c r="J41" s="15">
        <f t="shared" si="4"/>
        <v>0</v>
      </c>
      <c r="K41" s="428" t="s">
        <v>326</v>
      </c>
    </row>
    <row r="42" spans="1:11" ht="14.1" customHeight="1" x14ac:dyDescent="0.2">
      <c r="A42" s="60"/>
      <c r="B42" s="16"/>
      <c r="C42" s="16"/>
      <c r="D42" s="16"/>
      <c r="E42" s="14"/>
      <c r="F42" s="14">
        <v>4</v>
      </c>
      <c r="G42" s="13">
        <f t="shared" si="7"/>
        <v>0</v>
      </c>
      <c r="H42" s="13">
        <f t="shared" si="3"/>
        <v>0</v>
      </c>
      <c r="I42" s="13">
        <f t="shared" si="8"/>
        <v>0</v>
      </c>
      <c r="J42" s="15">
        <f t="shared" si="4"/>
        <v>0</v>
      </c>
      <c r="K42" s="428" t="s">
        <v>326</v>
      </c>
    </row>
    <row r="43" spans="1:11" ht="14.1" customHeight="1" x14ac:dyDescent="0.2">
      <c r="A43" s="94"/>
      <c r="B43" s="95"/>
      <c r="C43" s="95"/>
      <c r="D43" s="95"/>
      <c r="E43" s="96"/>
      <c r="F43" s="96">
        <v>4</v>
      </c>
      <c r="G43" s="45">
        <f t="shared" si="7"/>
        <v>0</v>
      </c>
      <c r="H43" s="45">
        <f t="shared" si="3"/>
        <v>0</v>
      </c>
      <c r="I43" s="45">
        <f t="shared" si="8"/>
        <v>0</v>
      </c>
      <c r="J43" s="97">
        <f t="shared" si="4"/>
        <v>0</v>
      </c>
      <c r="K43" s="428" t="s">
        <v>326</v>
      </c>
    </row>
    <row r="44" spans="1:11" ht="14.1" customHeight="1" x14ac:dyDescent="0.2">
      <c r="A44" s="218" t="s">
        <v>198</v>
      </c>
      <c r="B44" s="198"/>
      <c r="C44" s="198"/>
      <c r="D44" s="198"/>
      <c r="E44" s="198"/>
      <c r="F44" s="198"/>
      <c r="G44" s="198"/>
      <c r="H44" s="198"/>
      <c r="I44" s="198"/>
      <c r="J44" s="199"/>
      <c r="K44" s="427"/>
    </row>
    <row r="45" spans="1:11" ht="14.1" customHeight="1" x14ac:dyDescent="0.2">
      <c r="A45" s="60"/>
      <c r="B45" s="16"/>
      <c r="C45" s="16"/>
      <c r="D45" s="16"/>
      <c r="E45" s="14"/>
      <c r="F45" s="14">
        <v>4</v>
      </c>
      <c r="G45" s="13">
        <f t="shared" ref="G45:G56" si="9">IF(F45=2,C45*2*D45,IF(F45=4,(B45+C45)*2*D45,0))</f>
        <v>0</v>
      </c>
      <c r="H45" s="13">
        <f t="shared" ref="H45:H58" si="10">G45*E45</f>
        <v>0</v>
      </c>
      <c r="I45" s="13">
        <f t="shared" ref="I45:I56" si="11">B45*D45*C45</f>
        <v>0</v>
      </c>
      <c r="J45" s="15">
        <f t="shared" ref="J45:J58" si="12">I45*E45</f>
        <v>0</v>
      </c>
      <c r="K45" s="428" t="s">
        <v>326</v>
      </c>
    </row>
    <row r="46" spans="1:11" ht="14.1" customHeight="1" x14ac:dyDescent="0.2">
      <c r="A46" s="60"/>
      <c r="B46" s="16"/>
      <c r="C46" s="16"/>
      <c r="D46" s="16"/>
      <c r="E46" s="14"/>
      <c r="F46" s="14">
        <v>4</v>
      </c>
      <c r="G46" s="13">
        <f t="shared" si="9"/>
        <v>0</v>
      </c>
      <c r="H46" s="13">
        <f t="shared" si="10"/>
        <v>0</v>
      </c>
      <c r="I46" s="13">
        <f t="shared" si="11"/>
        <v>0</v>
      </c>
      <c r="J46" s="15">
        <f t="shared" si="12"/>
        <v>0</v>
      </c>
      <c r="K46" s="428" t="s">
        <v>326</v>
      </c>
    </row>
    <row r="47" spans="1:11" ht="14.1" customHeight="1" x14ac:dyDescent="0.2">
      <c r="A47" s="60"/>
      <c r="B47" s="16"/>
      <c r="C47" s="16"/>
      <c r="D47" s="16"/>
      <c r="E47" s="14"/>
      <c r="F47" s="14">
        <v>4</v>
      </c>
      <c r="G47" s="13">
        <f t="shared" si="9"/>
        <v>0</v>
      </c>
      <c r="H47" s="13">
        <f t="shared" si="10"/>
        <v>0</v>
      </c>
      <c r="I47" s="13">
        <f t="shared" si="11"/>
        <v>0</v>
      </c>
      <c r="J47" s="15">
        <f t="shared" si="12"/>
        <v>0</v>
      </c>
      <c r="K47" s="428" t="s">
        <v>326</v>
      </c>
    </row>
    <row r="48" spans="1:11" ht="14.1" customHeight="1" x14ac:dyDescent="0.2">
      <c r="A48" s="60"/>
      <c r="B48" s="16"/>
      <c r="C48" s="16"/>
      <c r="D48" s="16"/>
      <c r="E48" s="14"/>
      <c r="F48" s="14">
        <v>4</v>
      </c>
      <c r="G48" s="13">
        <f t="shared" si="9"/>
        <v>0</v>
      </c>
      <c r="H48" s="13">
        <f t="shared" si="10"/>
        <v>0</v>
      </c>
      <c r="I48" s="13">
        <f t="shared" si="11"/>
        <v>0</v>
      </c>
      <c r="J48" s="15">
        <f t="shared" si="12"/>
        <v>0</v>
      </c>
      <c r="K48" s="428" t="s">
        <v>326</v>
      </c>
    </row>
    <row r="49" spans="1:17" ht="14.1" customHeight="1" x14ac:dyDescent="0.2">
      <c r="A49" s="60"/>
      <c r="B49" s="16"/>
      <c r="C49" s="16"/>
      <c r="D49" s="16"/>
      <c r="E49" s="14"/>
      <c r="F49" s="14">
        <v>4</v>
      </c>
      <c r="G49" s="13">
        <f t="shared" si="9"/>
        <v>0</v>
      </c>
      <c r="H49" s="13">
        <f t="shared" si="10"/>
        <v>0</v>
      </c>
      <c r="I49" s="13">
        <f t="shared" si="11"/>
        <v>0</v>
      </c>
      <c r="J49" s="15">
        <f t="shared" si="12"/>
        <v>0</v>
      </c>
      <c r="K49" s="428" t="s">
        <v>326</v>
      </c>
    </row>
    <row r="50" spans="1:17" ht="14.1" customHeight="1" x14ac:dyDescent="0.2">
      <c r="A50" s="60"/>
      <c r="B50" s="16"/>
      <c r="C50" s="16"/>
      <c r="D50" s="16"/>
      <c r="E50" s="14"/>
      <c r="F50" s="14">
        <v>4</v>
      </c>
      <c r="G50" s="13">
        <f t="shared" si="9"/>
        <v>0</v>
      </c>
      <c r="H50" s="13">
        <f t="shared" si="10"/>
        <v>0</v>
      </c>
      <c r="I50" s="13">
        <f t="shared" si="11"/>
        <v>0</v>
      </c>
      <c r="J50" s="15">
        <f t="shared" si="12"/>
        <v>0</v>
      </c>
      <c r="K50" s="428" t="s">
        <v>326</v>
      </c>
    </row>
    <row r="51" spans="1:17" ht="14.1" customHeight="1" x14ac:dyDescent="0.2">
      <c r="A51" s="60"/>
      <c r="B51" s="16"/>
      <c r="C51" s="16"/>
      <c r="D51" s="16"/>
      <c r="E51" s="14"/>
      <c r="F51" s="14">
        <v>4</v>
      </c>
      <c r="G51" s="13">
        <f t="shared" si="9"/>
        <v>0</v>
      </c>
      <c r="H51" s="13">
        <f t="shared" si="10"/>
        <v>0</v>
      </c>
      <c r="I51" s="13">
        <f t="shared" si="11"/>
        <v>0</v>
      </c>
      <c r="J51" s="15">
        <f t="shared" si="12"/>
        <v>0</v>
      </c>
      <c r="K51" s="428" t="s">
        <v>326</v>
      </c>
    </row>
    <row r="52" spans="1:17" ht="14.1" customHeight="1" x14ac:dyDescent="0.2">
      <c r="A52" s="60"/>
      <c r="B52" s="16"/>
      <c r="C52" s="16"/>
      <c r="D52" s="16"/>
      <c r="E52" s="14"/>
      <c r="F52" s="14">
        <v>4</v>
      </c>
      <c r="G52" s="13">
        <f t="shared" si="9"/>
        <v>0</v>
      </c>
      <c r="H52" s="13">
        <f t="shared" si="10"/>
        <v>0</v>
      </c>
      <c r="I52" s="13">
        <f t="shared" si="11"/>
        <v>0</v>
      </c>
      <c r="J52" s="15">
        <f t="shared" si="12"/>
        <v>0</v>
      </c>
      <c r="K52" s="428" t="s">
        <v>326</v>
      </c>
      <c r="Q52" s="27"/>
    </row>
    <row r="53" spans="1:17" ht="14.1" customHeight="1" x14ac:dyDescent="0.2">
      <c r="A53" s="60"/>
      <c r="B53" s="16"/>
      <c r="C53" s="16"/>
      <c r="D53" s="16"/>
      <c r="E53" s="14"/>
      <c r="F53" s="14">
        <v>4</v>
      </c>
      <c r="G53" s="13">
        <f t="shared" si="9"/>
        <v>0</v>
      </c>
      <c r="H53" s="13">
        <f t="shared" si="10"/>
        <v>0</v>
      </c>
      <c r="I53" s="13">
        <f t="shared" si="11"/>
        <v>0</v>
      </c>
      <c r="J53" s="15">
        <f t="shared" si="12"/>
        <v>0</v>
      </c>
      <c r="K53" s="428" t="s">
        <v>326</v>
      </c>
    </row>
    <row r="54" spans="1:17" ht="14.1" customHeight="1" x14ac:dyDescent="0.2">
      <c r="A54" s="60"/>
      <c r="B54" s="16"/>
      <c r="C54" s="16"/>
      <c r="D54" s="16"/>
      <c r="E54" s="14"/>
      <c r="F54" s="14">
        <v>4</v>
      </c>
      <c r="G54" s="13">
        <f t="shared" si="9"/>
        <v>0</v>
      </c>
      <c r="H54" s="13">
        <f t="shared" si="10"/>
        <v>0</v>
      </c>
      <c r="I54" s="13">
        <f t="shared" si="11"/>
        <v>0</v>
      </c>
      <c r="J54" s="15">
        <f t="shared" si="12"/>
        <v>0</v>
      </c>
      <c r="K54" s="428" t="s">
        <v>326</v>
      </c>
    </row>
    <row r="55" spans="1:17" ht="14.1" customHeight="1" x14ac:dyDescent="0.2">
      <c r="A55" s="60"/>
      <c r="B55" s="16"/>
      <c r="C55" s="16"/>
      <c r="D55" s="16"/>
      <c r="E55" s="14"/>
      <c r="F55" s="14">
        <v>4</v>
      </c>
      <c r="G55" s="13">
        <f t="shared" si="9"/>
        <v>0</v>
      </c>
      <c r="H55" s="13">
        <f t="shared" si="10"/>
        <v>0</v>
      </c>
      <c r="I55" s="13">
        <f t="shared" si="11"/>
        <v>0</v>
      </c>
      <c r="J55" s="15">
        <f t="shared" si="12"/>
        <v>0</v>
      </c>
      <c r="K55" s="428" t="s">
        <v>326</v>
      </c>
    </row>
    <row r="56" spans="1:17" ht="14.1" customHeight="1" x14ac:dyDescent="0.2">
      <c r="A56" s="94"/>
      <c r="B56" s="95"/>
      <c r="C56" s="95"/>
      <c r="D56" s="95"/>
      <c r="E56" s="98"/>
      <c r="F56" s="98">
        <v>4</v>
      </c>
      <c r="G56" s="13">
        <f t="shared" si="9"/>
        <v>0</v>
      </c>
      <c r="H56" s="13">
        <f t="shared" si="10"/>
        <v>0</v>
      </c>
      <c r="I56" s="13">
        <f t="shared" si="11"/>
        <v>0</v>
      </c>
      <c r="J56" s="15">
        <f t="shared" si="12"/>
        <v>0</v>
      </c>
      <c r="K56" s="428" t="s">
        <v>326</v>
      </c>
    </row>
    <row r="57" spans="1:17" ht="14.1" customHeight="1" x14ac:dyDescent="0.2">
      <c r="A57" s="218" t="s">
        <v>198</v>
      </c>
      <c r="B57" s="198"/>
      <c r="C57" s="198"/>
      <c r="D57" s="198"/>
      <c r="E57" s="198"/>
      <c r="F57" s="198"/>
      <c r="G57" s="198"/>
      <c r="H57" s="198"/>
      <c r="I57" s="198"/>
      <c r="J57" s="199"/>
      <c r="K57" s="427"/>
    </row>
    <row r="58" spans="1:17" ht="14.1" customHeight="1" x14ac:dyDescent="0.2">
      <c r="A58" s="60"/>
      <c r="B58" s="16"/>
      <c r="C58" s="16"/>
      <c r="D58" s="16"/>
      <c r="E58" s="14"/>
      <c r="F58" s="14">
        <v>4</v>
      </c>
      <c r="G58" s="13">
        <f>IF(F58=2,C58*2*D58,IF(F58=4,(B58+C58)*2*D58,0))</f>
        <v>0</v>
      </c>
      <c r="H58" s="13">
        <f t="shared" si="10"/>
        <v>0</v>
      </c>
      <c r="I58" s="13">
        <f>B58*D58*C58</f>
        <v>0</v>
      </c>
      <c r="J58" s="15">
        <f t="shared" si="12"/>
        <v>0</v>
      </c>
      <c r="K58" s="428" t="s">
        <v>326</v>
      </c>
    </row>
    <row r="59" spans="1:17" ht="14.1" customHeight="1" thickBot="1" x14ac:dyDescent="0.25">
      <c r="A59" s="99"/>
      <c r="B59" s="16"/>
      <c r="C59" s="16"/>
      <c r="D59" s="16"/>
      <c r="E59" s="14"/>
      <c r="F59" s="14">
        <v>4</v>
      </c>
      <c r="G59" s="13">
        <f>IF(F59=2,C59*2*D59,IF(F59=4,(B59+C59)*2*D59,0))</f>
        <v>0</v>
      </c>
      <c r="H59" s="13">
        <f t="shared" si="3"/>
        <v>0</v>
      </c>
      <c r="I59" s="13">
        <f>B59*D59*C59</f>
        <v>0</v>
      </c>
      <c r="J59" s="15">
        <f t="shared" si="4"/>
        <v>0</v>
      </c>
      <c r="K59" s="428" t="s">
        <v>326</v>
      </c>
    </row>
    <row r="60" spans="1:17" ht="14.1" customHeight="1" thickTop="1" thickBot="1" x14ac:dyDescent="0.25">
      <c r="A60" s="105" t="s">
        <v>20</v>
      </c>
      <c r="B60" s="109"/>
      <c r="C60" s="105"/>
      <c r="D60" s="110"/>
      <c r="E60" s="111"/>
      <c r="F60" s="112"/>
      <c r="G60" s="110"/>
      <c r="H60" s="44">
        <f>SUM(H7:H59)</f>
        <v>0</v>
      </c>
      <c r="I60" s="110" t="s">
        <v>15</v>
      </c>
      <c r="J60" s="110">
        <f>SUM(J7:J59)</f>
        <v>0</v>
      </c>
      <c r="K60" s="229" t="s">
        <v>91</v>
      </c>
      <c r="L60" s="52"/>
      <c r="M60" s="52"/>
    </row>
    <row r="61" spans="1:17" ht="14.1" customHeight="1" thickTop="1" thickBot="1" x14ac:dyDescent="0.25">
      <c r="A61" s="100"/>
      <c r="B61" s="101"/>
      <c r="C61" s="101"/>
      <c r="D61" s="101"/>
      <c r="E61" s="101"/>
      <c r="F61" s="101"/>
      <c r="G61" s="101"/>
      <c r="H61" s="101"/>
      <c r="I61" s="101"/>
      <c r="J61" s="101"/>
      <c r="K61" s="217"/>
      <c r="L61" s="52"/>
      <c r="M61" s="52"/>
    </row>
    <row r="62" spans="1:17" ht="14.1" customHeight="1" thickTop="1" thickBot="1" x14ac:dyDescent="0.25">
      <c r="A62" s="104"/>
      <c r="B62" s="105"/>
      <c r="C62" s="105"/>
      <c r="D62" s="110" t="s">
        <v>190</v>
      </c>
      <c r="E62" s="105"/>
      <c r="F62" s="112"/>
      <c r="G62" s="110"/>
      <c r="H62" s="110">
        <f>SUM(H30:H43)</f>
        <v>0</v>
      </c>
      <c r="I62" s="110" t="s">
        <v>15</v>
      </c>
      <c r="J62" s="110"/>
      <c r="K62" s="230"/>
    </row>
    <row r="63" spans="1:17" ht="14.1" customHeight="1" thickTop="1" x14ac:dyDescent="0.2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231"/>
      <c r="L63" s="52"/>
      <c r="M63" s="52"/>
    </row>
    <row r="64" spans="1:17" ht="14.1" customHeight="1" x14ac:dyDescent="0.2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231"/>
      <c r="L64" s="52"/>
      <c r="M64" s="52"/>
    </row>
    <row r="65" spans="1:13" ht="14.1" customHeight="1" x14ac:dyDescent="0.2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231"/>
      <c r="L65" s="52"/>
      <c r="M65" s="52"/>
    </row>
    <row r="66" spans="1:13" ht="14.1" customHeight="1" x14ac:dyDescent="0.2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231"/>
      <c r="L66" s="52"/>
      <c r="M66" s="52"/>
    </row>
    <row r="67" spans="1:13" ht="14.1" customHeight="1" x14ac:dyDescent="0.2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231"/>
      <c r="L67" s="52"/>
      <c r="M67" s="52"/>
    </row>
    <row r="68" spans="1:13" ht="14.1" customHeight="1" x14ac:dyDescent="0.2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231"/>
      <c r="L68" s="52"/>
      <c r="M68" s="52"/>
    </row>
    <row r="69" spans="1:13" ht="14.1" customHeight="1" x14ac:dyDescent="0.2">
      <c r="K69" s="26"/>
    </row>
    <row r="70" spans="1:13" ht="14.1" customHeight="1" x14ac:dyDescent="0.2">
      <c r="K70" s="26"/>
    </row>
    <row r="72" spans="1:13" ht="14.1" customHeight="1" x14ac:dyDescent="0.2">
      <c r="J72" s="52"/>
      <c r="K72" s="52"/>
    </row>
  </sheetData>
  <mergeCells count="3">
    <mergeCell ref="M5:N5"/>
    <mergeCell ref="A5:A6"/>
    <mergeCell ref="E5:E6"/>
  </mergeCells>
  <dataValidations disablePrompts="1" count="1">
    <dataValidation type="list" allowBlank="1" showInputMessage="1" showErrorMessage="1" sqref="K7:K59" xr:uid="{00000000-0002-0000-1D00-000000000000}">
      <formula1>$N$7:$N$15</formula1>
    </dataValidation>
  </dataValidations>
  <pageMargins left="0.39370078740157483" right="0" top="0.78740157480314965" bottom="0.78740157480314965" header="0.51181102362204722" footer="0.19685039370078741"/>
  <pageSetup paperSize="9" scale="63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20">
    <tabColor theme="4" tint="0.39997558519241921"/>
    <pageSetUpPr fitToPage="1"/>
  </sheetPr>
  <dimension ref="A1:V36"/>
  <sheetViews>
    <sheetView showGridLines="0" view="pageBreakPreview" zoomScaleNormal="100" zoomScaleSheetLayoutView="100" workbookViewId="0">
      <pane ySplit="5" topLeftCell="A6" activePane="bottomLeft" state="frozen"/>
      <selection activeCell="A4" sqref="A4:R6"/>
      <selection pane="bottomLeft" activeCell="A4" sqref="A4:R6"/>
    </sheetView>
  </sheetViews>
  <sheetFormatPr defaultRowHeight="12.75" x14ac:dyDescent="0.2"/>
  <cols>
    <col min="1" max="1" width="41" style="20" customWidth="1"/>
    <col min="2" max="3" width="7.7109375" style="20" customWidth="1"/>
    <col min="4" max="4" width="8.85546875" style="20" customWidth="1"/>
    <col min="5" max="5" width="8.42578125" style="20" bestFit="1" customWidth="1"/>
    <col min="6" max="6" width="8.28515625" style="20" customWidth="1"/>
    <col min="7" max="7" width="5.85546875" style="20" customWidth="1"/>
    <col min="8" max="8" width="7.7109375" style="20" customWidth="1"/>
    <col min="9" max="9" width="9.140625" style="20"/>
    <col min="10" max="10" width="8.140625" style="20" customWidth="1"/>
    <col min="11" max="11" width="7.7109375" style="20" customWidth="1"/>
    <col min="12" max="12" width="10.7109375" style="20" customWidth="1"/>
    <col min="13" max="13" width="3.85546875" style="20" customWidth="1"/>
    <col min="14" max="14" width="9.7109375" style="20" customWidth="1"/>
    <col min="15" max="15" width="11.28515625" style="20" customWidth="1"/>
    <col min="16" max="252" width="9.140625" style="20"/>
    <col min="253" max="254" width="15.7109375" style="20" customWidth="1"/>
    <col min="255" max="257" width="7.7109375" style="20" customWidth="1"/>
    <col min="258" max="258" width="6.28515625" style="20" customWidth="1"/>
    <col min="259" max="259" width="7" style="20" customWidth="1"/>
    <col min="260" max="260" width="5.85546875" style="20" customWidth="1"/>
    <col min="261" max="261" width="7.7109375" style="20" customWidth="1"/>
    <col min="262" max="262" width="9.140625" style="20"/>
    <col min="263" max="263" width="6.7109375" style="20" customWidth="1"/>
    <col min="264" max="264" width="7.7109375" style="20" customWidth="1"/>
    <col min="265" max="508" width="9.140625" style="20"/>
    <col min="509" max="510" width="15.7109375" style="20" customWidth="1"/>
    <col min="511" max="513" width="7.7109375" style="20" customWidth="1"/>
    <col min="514" max="514" width="6.28515625" style="20" customWidth="1"/>
    <col min="515" max="515" width="7" style="20" customWidth="1"/>
    <col min="516" max="516" width="5.85546875" style="20" customWidth="1"/>
    <col min="517" max="517" width="7.7109375" style="20" customWidth="1"/>
    <col min="518" max="518" width="9.140625" style="20"/>
    <col min="519" max="519" width="6.7109375" style="20" customWidth="1"/>
    <col min="520" max="520" width="7.7109375" style="20" customWidth="1"/>
    <col min="521" max="764" width="9.140625" style="20"/>
    <col min="765" max="766" width="15.7109375" style="20" customWidth="1"/>
    <col min="767" max="769" width="7.7109375" style="20" customWidth="1"/>
    <col min="770" max="770" width="6.28515625" style="20" customWidth="1"/>
    <col min="771" max="771" width="7" style="20" customWidth="1"/>
    <col min="772" max="772" width="5.85546875" style="20" customWidth="1"/>
    <col min="773" max="773" width="7.7109375" style="20" customWidth="1"/>
    <col min="774" max="774" width="9.140625" style="20"/>
    <col min="775" max="775" width="6.7109375" style="20" customWidth="1"/>
    <col min="776" max="776" width="7.7109375" style="20" customWidth="1"/>
    <col min="777" max="1020" width="9.140625" style="20"/>
    <col min="1021" max="1022" width="15.7109375" style="20" customWidth="1"/>
    <col min="1023" max="1025" width="7.7109375" style="20" customWidth="1"/>
    <col min="1026" max="1026" width="6.28515625" style="20" customWidth="1"/>
    <col min="1027" max="1027" width="7" style="20" customWidth="1"/>
    <col min="1028" max="1028" width="5.85546875" style="20" customWidth="1"/>
    <col min="1029" max="1029" width="7.7109375" style="20" customWidth="1"/>
    <col min="1030" max="1030" width="9.140625" style="20"/>
    <col min="1031" max="1031" width="6.7109375" style="20" customWidth="1"/>
    <col min="1032" max="1032" width="7.7109375" style="20" customWidth="1"/>
    <col min="1033" max="1276" width="9.140625" style="20"/>
    <col min="1277" max="1278" width="15.7109375" style="20" customWidth="1"/>
    <col min="1279" max="1281" width="7.7109375" style="20" customWidth="1"/>
    <col min="1282" max="1282" width="6.28515625" style="20" customWidth="1"/>
    <col min="1283" max="1283" width="7" style="20" customWidth="1"/>
    <col min="1284" max="1284" width="5.85546875" style="20" customWidth="1"/>
    <col min="1285" max="1285" width="7.7109375" style="20" customWidth="1"/>
    <col min="1286" max="1286" width="9.140625" style="20"/>
    <col min="1287" max="1287" width="6.7109375" style="20" customWidth="1"/>
    <col min="1288" max="1288" width="7.7109375" style="20" customWidth="1"/>
    <col min="1289" max="1532" width="9.140625" style="20"/>
    <col min="1533" max="1534" width="15.7109375" style="20" customWidth="1"/>
    <col min="1535" max="1537" width="7.7109375" style="20" customWidth="1"/>
    <col min="1538" max="1538" width="6.28515625" style="20" customWidth="1"/>
    <col min="1539" max="1539" width="7" style="20" customWidth="1"/>
    <col min="1540" max="1540" width="5.85546875" style="20" customWidth="1"/>
    <col min="1541" max="1541" width="7.7109375" style="20" customWidth="1"/>
    <col min="1542" max="1542" width="9.140625" style="20"/>
    <col min="1543" max="1543" width="6.7109375" style="20" customWidth="1"/>
    <col min="1544" max="1544" width="7.7109375" style="20" customWidth="1"/>
    <col min="1545" max="1788" width="9.140625" style="20"/>
    <col min="1789" max="1790" width="15.7109375" style="20" customWidth="1"/>
    <col min="1791" max="1793" width="7.7109375" style="20" customWidth="1"/>
    <col min="1794" max="1794" width="6.28515625" style="20" customWidth="1"/>
    <col min="1795" max="1795" width="7" style="20" customWidth="1"/>
    <col min="1796" max="1796" width="5.85546875" style="20" customWidth="1"/>
    <col min="1797" max="1797" width="7.7109375" style="20" customWidth="1"/>
    <col min="1798" max="1798" width="9.140625" style="20"/>
    <col min="1799" max="1799" width="6.7109375" style="20" customWidth="1"/>
    <col min="1800" max="1800" width="7.7109375" style="20" customWidth="1"/>
    <col min="1801" max="2044" width="9.140625" style="20"/>
    <col min="2045" max="2046" width="15.7109375" style="20" customWidth="1"/>
    <col min="2047" max="2049" width="7.7109375" style="20" customWidth="1"/>
    <col min="2050" max="2050" width="6.28515625" style="20" customWidth="1"/>
    <col min="2051" max="2051" width="7" style="20" customWidth="1"/>
    <col min="2052" max="2052" width="5.85546875" style="20" customWidth="1"/>
    <col min="2053" max="2053" width="7.7109375" style="20" customWidth="1"/>
    <col min="2054" max="2054" width="9.140625" style="20"/>
    <col min="2055" max="2055" width="6.7109375" style="20" customWidth="1"/>
    <col min="2056" max="2056" width="7.7109375" style="20" customWidth="1"/>
    <col min="2057" max="2300" width="9.140625" style="20"/>
    <col min="2301" max="2302" width="15.7109375" style="20" customWidth="1"/>
    <col min="2303" max="2305" width="7.7109375" style="20" customWidth="1"/>
    <col min="2306" max="2306" width="6.28515625" style="20" customWidth="1"/>
    <col min="2307" max="2307" width="7" style="20" customWidth="1"/>
    <col min="2308" max="2308" width="5.85546875" style="20" customWidth="1"/>
    <col min="2309" max="2309" width="7.7109375" style="20" customWidth="1"/>
    <col min="2310" max="2310" width="9.140625" style="20"/>
    <col min="2311" max="2311" width="6.7109375" style="20" customWidth="1"/>
    <col min="2312" max="2312" width="7.7109375" style="20" customWidth="1"/>
    <col min="2313" max="2556" width="9.140625" style="20"/>
    <col min="2557" max="2558" width="15.7109375" style="20" customWidth="1"/>
    <col min="2559" max="2561" width="7.7109375" style="20" customWidth="1"/>
    <col min="2562" max="2562" width="6.28515625" style="20" customWidth="1"/>
    <col min="2563" max="2563" width="7" style="20" customWidth="1"/>
    <col min="2564" max="2564" width="5.85546875" style="20" customWidth="1"/>
    <col min="2565" max="2565" width="7.7109375" style="20" customWidth="1"/>
    <col min="2566" max="2566" width="9.140625" style="20"/>
    <col min="2567" max="2567" width="6.7109375" style="20" customWidth="1"/>
    <col min="2568" max="2568" width="7.7109375" style="20" customWidth="1"/>
    <col min="2569" max="2812" width="9.140625" style="20"/>
    <col min="2813" max="2814" width="15.7109375" style="20" customWidth="1"/>
    <col min="2815" max="2817" width="7.7109375" style="20" customWidth="1"/>
    <col min="2818" max="2818" width="6.28515625" style="20" customWidth="1"/>
    <col min="2819" max="2819" width="7" style="20" customWidth="1"/>
    <col min="2820" max="2820" width="5.85546875" style="20" customWidth="1"/>
    <col min="2821" max="2821" width="7.7109375" style="20" customWidth="1"/>
    <col min="2822" max="2822" width="9.140625" style="20"/>
    <col min="2823" max="2823" width="6.7109375" style="20" customWidth="1"/>
    <col min="2824" max="2824" width="7.7109375" style="20" customWidth="1"/>
    <col min="2825" max="3068" width="9.140625" style="20"/>
    <col min="3069" max="3070" width="15.7109375" style="20" customWidth="1"/>
    <col min="3071" max="3073" width="7.7109375" style="20" customWidth="1"/>
    <col min="3074" max="3074" width="6.28515625" style="20" customWidth="1"/>
    <col min="3075" max="3075" width="7" style="20" customWidth="1"/>
    <col min="3076" max="3076" width="5.85546875" style="20" customWidth="1"/>
    <col min="3077" max="3077" width="7.7109375" style="20" customWidth="1"/>
    <col min="3078" max="3078" width="9.140625" style="20"/>
    <col min="3079" max="3079" width="6.7109375" style="20" customWidth="1"/>
    <col min="3080" max="3080" width="7.7109375" style="20" customWidth="1"/>
    <col min="3081" max="3324" width="9.140625" style="20"/>
    <col min="3325" max="3326" width="15.7109375" style="20" customWidth="1"/>
    <col min="3327" max="3329" width="7.7109375" style="20" customWidth="1"/>
    <col min="3330" max="3330" width="6.28515625" style="20" customWidth="1"/>
    <col min="3331" max="3331" width="7" style="20" customWidth="1"/>
    <col min="3332" max="3332" width="5.85546875" style="20" customWidth="1"/>
    <col min="3333" max="3333" width="7.7109375" style="20" customWidth="1"/>
    <col min="3334" max="3334" width="9.140625" style="20"/>
    <col min="3335" max="3335" width="6.7109375" style="20" customWidth="1"/>
    <col min="3336" max="3336" width="7.7109375" style="20" customWidth="1"/>
    <col min="3337" max="3580" width="9.140625" style="20"/>
    <col min="3581" max="3582" width="15.7109375" style="20" customWidth="1"/>
    <col min="3583" max="3585" width="7.7109375" style="20" customWidth="1"/>
    <col min="3586" max="3586" width="6.28515625" style="20" customWidth="1"/>
    <col min="3587" max="3587" width="7" style="20" customWidth="1"/>
    <col min="3588" max="3588" width="5.85546875" style="20" customWidth="1"/>
    <col min="3589" max="3589" width="7.7109375" style="20" customWidth="1"/>
    <col min="3590" max="3590" width="9.140625" style="20"/>
    <col min="3591" max="3591" width="6.7109375" style="20" customWidth="1"/>
    <col min="3592" max="3592" width="7.7109375" style="20" customWidth="1"/>
    <col min="3593" max="3836" width="9.140625" style="20"/>
    <col min="3837" max="3838" width="15.7109375" style="20" customWidth="1"/>
    <col min="3839" max="3841" width="7.7109375" style="20" customWidth="1"/>
    <col min="3842" max="3842" width="6.28515625" style="20" customWidth="1"/>
    <col min="3843" max="3843" width="7" style="20" customWidth="1"/>
    <col min="3844" max="3844" width="5.85546875" style="20" customWidth="1"/>
    <col min="3845" max="3845" width="7.7109375" style="20" customWidth="1"/>
    <col min="3846" max="3846" width="9.140625" style="20"/>
    <col min="3847" max="3847" width="6.7109375" style="20" customWidth="1"/>
    <col min="3848" max="3848" width="7.7109375" style="20" customWidth="1"/>
    <col min="3849" max="4092" width="9.140625" style="20"/>
    <col min="4093" max="4094" width="15.7109375" style="20" customWidth="1"/>
    <col min="4095" max="4097" width="7.7109375" style="20" customWidth="1"/>
    <col min="4098" max="4098" width="6.28515625" style="20" customWidth="1"/>
    <col min="4099" max="4099" width="7" style="20" customWidth="1"/>
    <col min="4100" max="4100" width="5.85546875" style="20" customWidth="1"/>
    <col min="4101" max="4101" width="7.7109375" style="20" customWidth="1"/>
    <col min="4102" max="4102" width="9.140625" style="20"/>
    <col min="4103" max="4103" width="6.7109375" style="20" customWidth="1"/>
    <col min="4104" max="4104" width="7.7109375" style="20" customWidth="1"/>
    <col min="4105" max="4348" width="9.140625" style="20"/>
    <col min="4349" max="4350" width="15.7109375" style="20" customWidth="1"/>
    <col min="4351" max="4353" width="7.7109375" style="20" customWidth="1"/>
    <col min="4354" max="4354" width="6.28515625" style="20" customWidth="1"/>
    <col min="4355" max="4355" width="7" style="20" customWidth="1"/>
    <col min="4356" max="4356" width="5.85546875" style="20" customWidth="1"/>
    <col min="4357" max="4357" width="7.7109375" style="20" customWidth="1"/>
    <col min="4358" max="4358" width="9.140625" style="20"/>
    <col min="4359" max="4359" width="6.7109375" style="20" customWidth="1"/>
    <col min="4360" max="4360" width="7.7109375" style="20" customWidth="1"/>
    <col min="4361" max="4604" width="9.140625" style="20"/>
    <col min="4605" max="4606" width="15.7109375" style="20" customWidth="1"/>
    <col min="4607" max="4609" width="7.7109375" style="20" customWidth="1"/>
    <col min="4610" max="4610" width="6.28515625" style="20" customWidth="1"/>
    <col min="4611" max="4611" width="7" style="20" customWidth="1"/>
    <col min="4612" max="4612" width="5.85546875" style="20" customWidth="1"/>
    <col min="4613" max="4613" width="7.7109375" style="20" customWidth="1"/>
    <col min="4614" max="4614" width="9.140625" style="20"/>
    <col min="4615" max="4615" width="6.7109375" style="20" customWidth="1"/>
    <col min="4616" max="4616" width="7.7109375" style="20" customWidth="1"/>
    <col min="4617" max="4860" width="9.140625" style="20"/>
    <col min="4861" max="4862" width="15.7109375" style="20" customWidth="1"/>
    <col min="4863" max="4865" width="7.7109375" style="20" customWidth="1"/>
    <col min="4866" max="4866" width="6.28515625" style="20" customWidth="1"/>
    <col min="4867" max="4867" width="7" style="20" customWidth="1"/>
    <col min="4868" max="4868" width="5.85546875" style="20" customWidth="1"/>
    <col min="4869" max="4869" width="7.7109375" style="20" customWidth="1"/>
    <col min="4870" max="4870" width="9.140625" style="20"/>
    <col min="4871" max="4871" width="6.7109375" style="20" customWidth="1"/>
    <col min="4872" max="4872" width="7.7109375" style="20" customWidth="1"/>
    <col min="4873" max="5116" width="9.140625" style="20"/>
    <col min="5117" max="5118" width="15.7109375" style="20" customWidth="1"/>
    <col min="5119" max="5121" width="7.7109375" style="20" customWidth="1"/>
    <col min="5122" max="5122" width="6.28515625" style="20" customWidth="1"/>
    <col min="5123" max="5123" width="7" style="20" customWidth="1"/>
    <col min="5124" max="5124" width="5.85546875" style="20" customWidth="1"/>
    <col min="5125" max="5125" width="7.7109375" style="20" customWidth="1"/>
    <col min="5126" max="5126" width="9.140625" style="20"/>
    <col min="5127" max="5127" width="6.7109375" style="20" customWidth="1"/>
    <col min="5128" max="5128" width="7.7109375" style="20" customWidth="1"/>
    <col min="5129" max="5372" width="9.140625" style="20"/>
    <col min="5373" max="5374" width="15.7109375" style="20" customWidth="1"/>
    <col min="5375" max="5377" width="7.7109375" style="20" customWidth="1"/>
    <col min="5378" max="5378" width="6.28515625" style="20" customWidth="1"/>
    <col min="5379" max="5379" width="7" style="20" customWidth="1"/>
    <col min="5380" max="5380" width="5.85546875" style="20" customWidth="1"/>
    <col min="5381" max="5381" width="7.7109375" style="20" customWidth="1"/>
    <col min="5382" max="5382" width="9.140625" style="20"/>
    <col min="5383" max="5383" width="6.7109375" style="20" customWidth="1"/>
    <col min="5384" max="5384" width="7.7109375" style="20" customWidth="1"/>
    <col min="5385" max="5628" width="9.140625" style="20"/>
    <col min="5629" max="5630" width="15.7109375" style="20" customWidth="1"/>
    <col min="5631" max="5633" width="7.7109375" style="20" customWidth="1"/>
    <col min="5634" max="5634" width="6.28515625" style="20" customWidth="1"/>
    <col min="5635" max="5635" width="7" style="20" customWidth="1"/>
    <col min="5636" max="5636" width="5.85546875" style="20" customWidth="1"/>
    <col min="5637" max="5637" width="7.7109375" style="20" customWidth="1"/>
    <col min="5638" max="5638" width="9.140625" style="20"/>
    <col min="5639" max="5639" width="6.7109375" style="20" customWidth="1"/>
    <col min="5640" max="5640" width="7.7109375" style="20" customWidth="1"/>
    <col min="5641" max="5884" width="9.140625" style="20"/>
    <col min="5885" max="5886" width="15.7109375" style="20" customWidth="1"/>
    <col min="5887" max="5889" width="7.7109375" style="20" customWidth="1"/>
    <col min="5890" max="5890" width="6.28515625" style="20" customWidth="1"/>
    <col min="5891" max="5891" width="7" style="20" customWidth="1"/>
    <col min="5892" max="5892" width="5.85546875" style="20" customWidth="1"/>
    <col min="5893" max="5893" width="7.7109375" style="20" customWidth="1"/>
    <col min="5894" max="5894" width="9.140625" style="20"/>
    <col min="5895" max="5895" width="6.7109375" style="20" customWidth="1"/>
    <col min="5896" max="5896" width="7.7109375" style="20" customWidth="1"/>
    <col min="5897" max="6140" width="9.140625" style="20"/>
    <col min="6141" max="6142" width="15.7109375" style="20" customWidth="1"/>
    <col min="6143" max="6145" width="7.7109375" style="20" customWidth="1"/>
    <col min="6146" max="6146" width="6.28515625" style="20" customWidth="1"/>
    <col min="6147" max="6147" width="7" style="20" customWidth="1"/>
    <col min="6148" max="6148" width="5.85546875" style="20" customWidth="1"/>
    <col min="6149" max="6149" width="7.7109375" style="20" customWidth="1"/>
    <col min="6150" max="6150" width="9.140625" style="20"/>
    <col min="6151" max="6151" width="6.7109375" style="20" customWidth="1"/>
    <col min="6152" max="6152" width="7.7109375" style="20" customWidth="1"/>
    <col min="6153" max="6396" width="9.140625" style="20"/>
    <col min="6397" max="6398" width="15.7109375" style="20" customWidth="1"/>
    <col min="6399" max="6401" width="7.7109375" style="20" customWidth="1"/>
    <col min="6402" max="6402" width="6.28515625" style="20" customWidth="1"/>
    <col min="6403" max="6403" width="7" style="20" customWidth="1"/>
    <col min="6404" max="6404" width="5.85546875" style="20" customWidth="1"/>
    <col min="6405" max="6405" width="7.7109375" style="20" customWidth="1"/>
    <col min="6406" max="6406" width="9.140625" style="20"/>
    <col min="6407" max="6407" width="6.7109375" style="20" customWidth="1"/>
    <col min="6408" max="6408" width="7.7109375" style="20" customWidth="1"/>
    <col min="6409" max="6652" width="9.140625" style="20"/>
    <col min="6653" max="6654" width="15.7109375" style="20" customWidth="1"/>
    <col min="6655" max="6657" width="7.7109375" style="20" customWidth="1"/>
    <col min="6658" max="6658" width="6.28515625" style="20" customWidth="1"/>
    <col min="6659" max="6659" width="7" style="20" customWidth="1"/>
    <col min="6660" max="6660" width="5.85546875" style="20" customWidth="1"/>
    <col min="6661" max="6661" width="7.7109375" style="20" customWidth="1"/>
    <col min="6662" max="6662" width="9.140625" style="20"/>
    <col min="6663" max="6663" width="6.7109375" style="20" customWidth="1"/>
    <col min="6664" max="6664" width="7.7109375" style="20" customWidth="1"/>
    <col min="6665" max="6908" width="9.140625" style="20"/>
    <col min="6909" max="6910" width="15.7109375" style="20" customWidth="1"/>
    <col min="6911" max="6913" width="7.7109375" style="20" customWidth="1"/>
    <col min="6914" max="6914" width="6.28515625" style="20" customWidth="1"/>
    <col min="6915" max="6915" width="7" style="20" customWidth="1"/>
    <col min="6916" max="6916" width="5.85546875" style="20" customWidth="1"/>
    <col min="6917" max="6917" width="7.7109375" style="20" customWidth="1"/>
    <col min="6918" max="6918" width="9.140625" style="20"/>
    <col min="6919" max="6919" width="6.7109375" style="20" customWidth="1"/>
    <col min="6920" max="6920" width="7.7109375" style="20" customWidth="1"/>
    <col min="6921" max="7164" width="9.140625" style="20"/>
    <col min="7165" max="7166" width="15.7109375" style="20" customWidth="1"/>
    <col min="7167" max="7169" width="7.7109375" style="20" customWidth="1"/>
    <col min="7170" max="7170" width="6.28515625" style="20" customWidth="1"/>
    <col min="7171" max="7171" width="7" style="20" customWidth="1"/>
    <col min="7172" max="7172" width="5.85546875" style="20" customWidth="1"/>
    <col min="7173" max="7173" width="7.7109375" style="20" customWidth="1"/>
    <col min="7174" max="7174" width="9.140625" style="20"/>
    <col min="7175" max="7175" width="6.7109375" style="20" customWidth="1"/>
    <col min="7176" max="7176" width="7.7109375" style="20" customWidth="1"/>
    <col min="7177" max="7420" width="9.140625" style="20"/>
    <col min="7421" max="7422" width="15.7109375" style="20" customWidth="1"/>
    <col min="7423" max="7425" width="7.7109375" style="20" customWidth="1"/>
    <col min="7426" max="7426" width="6.28515625" style="20" customWidth="1"/>
    <col min="7427" max="7427" width="7" style="20" customWidth="1"/>
    <col min="7428" max="7428" width="5.85546875" style="20" customWidth="1"/>
    <col min="7429" max="7429" width="7.7109375" style="20" customWidth="1"/>
    <col min="7430" max="7430" width="9.140625" style="20"/>
    <col min="7431" max="7431" width="6.7109375" style="20" customWidth="1"/>
    <col min="7432" max="7432" width="7.7109375" style="20" customWidth="1"/>
    <col min="7433" max="7676" width="9.140625" style="20"/>
    <col min="7677" max="7678" width="15.7109375" style="20" customWidth="1"/>
    <col min="7679" max="7681" width="7.7109375" style="20" customWidth="1"/>
    <col min="7682" max="7682" width="6.28515625" style="20" customWidth="1"/>
    <col min="7683" max="7683" width="7" style="20" customWidth="1"/>
    <col min="7684" max="7684" width="5.85546875" style="20" customWidth="1"/>
    <col min="7685" max="7685" width="7.7109375" style="20" customWidth="1"/>
    <col min="7686" max="7686" width="9.140625" style="20"/>
    <col min="7687" max="7687" width="6.7109375" style="20" customWidth="1"/>
    <col min="7688" max="7688" width="7.7109375" style="20" customWidth="1"/>
    <col min="7689" max="7932" width="9.140625" style="20"/>
    <col min="7933" max="7934" width="15.7109375" style="20" customWidth="1"/>
    <col min="7935" max="7937" width="7.7109375" style="20" customWidth="1"/>
    <col min="7938" max="7938" width="6.28515625" style="20" customWidth="1"/>
    <col min="7939" max="7939" width="7" style="20" customWidth="1"/>
    <col min="7940" max="7940" width="5.85546875" style="20" customWidth="1"/>
    <col min="7941" max="7941" width="7.7109375" style="20" customWidth="1"/>
    <col min="7942" max="7942" width="9.140625" style="20"/>
    <col min="7943" max="7943" width="6.7109375" style="20" customWidth="1"/>
    <col min="7944" max="7944" width="7.7109375" style="20" customWidth="1"/>
    <col min="7945" max="8188" width="9.140625" style="20"/>
    <col min="8189" max="8190" width="15.7109375" style="20" customWidth="1"/>
    <col min="8191" max="8193" width="7.7109375" style="20" customWidth="1"/>
    <col min="8194" max="8194" width="6.28515625" style="20" customWidth="1"/>
    <col min="8195" max="8195" width="7" style="20" customWidth="1"/>
    <col min="8196" max="8196" width="5.85546875" style="20" customWidth="1"/>
    <col min="8197" max="8197" width="7.7109375" style="20" customWidth="1"/>
    <col min="8198" max="8198" width="9.140625" style="20"/>
    <col min="8199" max="8199" width="6.7109375" style="20" customWidth="1"/>
    <col min="8200" max="8200" width="7.7109375" style="20" customWidth="1"/>
    <col min="8201" max="8444" width="9.140625" style="20"/>
    <col min="8445" max="8446" width="15.7109375" style="20" customWidth="1"/>
    <col min="8447" max="8449" width="7.7109375" style="20" customWidth="1"/>
    <col min="8450" max="8450" width="6.28515625" style="20" customWidth="1"/>
    <col min="8451" max="8451" width="7" style="20" customWidth="1"/>
    <col min="8452" max="8452" width="5.85546875" style="20" customWidth="1"/>
    <col min="8453" max="8453" width="7.7109375" style="20" customWidth="1"/>
    <col min="8454" max="8454" width="9.140625" style="20"/>
    <col min="8455" max="8455" width="6.7109375" style="20" customWidth="1"/>
    <col min="8456" max="8456" width="7.7109375" style="20" customWidth="1"/>
    <col min="8457" max="8700" width="9.140625" style="20"/>
    <col min="8701" max="8702" width="15.7109375" style="20" customWidth="1"/>
    <col min="8703" max="8705" width="7.7109375" style="20" customWidth="1"/>
    <col min="8706" max="8706" width="6.28515625" style="20" customWidth="1"/>
    <col min="8707" max="8707" width="7" style="20" customWidth="1"/>
    <col min="8708" max="8708" width="5.85546875" style="20" customWidth="1"/>
    <col min="8709" max="8709" width="7.7109375" style="20" customWidth="1"/>
    <col min="8710" max="8710" width="9.140625" style="20"/>
    <col min="8711" max="8711" width="6.7109375" style="20" customWidth="1"/>
    <col min="8712" max="8712" width="7.7109375" style="20" customWidth="1"/>
    <col min="8713" max="8956" width="9.140625" style="20"/>
    <col min="8957" max="8958" width="15.7109375" style="20" customWidth="1"/>
    <col min="8959" max="8961" width="7.7109375" style="20" customWidth="1"/>
    <col min="8962" max="8962" width="6.28515625" style="20" customWidth="1"/>
    <col min="8963" max="8963" width="7" style="20" customWidth="1"/>
    <col min="8964" max="8964" width="5.85546875" style="20" customWidth="1"/>
    <col min="8965" max="8965" width="7.7109375" style="20" customWidth="1"/>
    <col min="8966" max="8966" width="9.140625" style="20"/>
    <col min="8967" max="8967" width="6.7109375" style="20" customWidth="1"/>
    <col min="8968" max="8968" width="7.7109375" style="20" customWidth="1"/>
    <col min="8969" max="9212" width="9.140625" style="20"/>
    <col min="9213" max="9214" width="15.7109375" style="20" customWidth="1"/>
    <col min="9215" max="9217" width="7.7109375" style="20" customWidth="1"/>
    <col min="9218" max="9218" width="6.28515625" style="20" customWidth="1"/>
    <col min="9219" max="9219" width="7" style="20" customWidth="1"/>
    <col min="9220" max="9220" width="5.85546875" style="20" customWidth="1"/>
    <col min="9221" max="9221" width="7.7109375" style="20" customWidth="1"/>
    <col min="9222" max="9222" width="9.140625" style="20"/>
    <col min="9223" max="9223" width="6.7109375" style="20" customWidth="1"/>
    <col min="9224" max="9224" width="7.7109375" style="20" customWidth="1"/>
    <col min="9225" max="9468" width="9.140625" style="20"/>
    <col min="9469" max="9470" width="15.7109375" style="20" customWidth="1"/>
    <col min="9471" max="9473" width="7.7109375" style="20" customWidth="1"/>
    <col min="9474" max="9474" width="6.28515625" style="20" customWidth="1"/>
    <col min="9475" max="9475" width="7" style="20" customWidth="1"/>
    <col min="9476" max="9476" width="5.85546875" style="20" customWidth="1"/>
    <col min="9477" max="9477" width="7.7109375" style="20" customWidth="1"/>
    <col min="9478" max="9478" width="9.140625" style="20"/>
    <col min="9479" max="9479" width="6.7109375" style="20" customWidth="1"/>
    <col min="9480" max="9480" width="7.7109375" style="20" customWidth="1"/>
    <col min="9481" max="9724" width="9.140625" style="20"/>
    <col min="9725" max="9726" width="15.7109375" style="20" customWidth="1"/>
    <col min="9727" max="9729" width="7.7109375" style="20" customWidth="1"/>
    <col min="9730" max="9730" width="6.28515625" style="20" customWidth="1"/>
    <col min="9731" max="9731" width="7" style="20" customWidth="1"/>
    <col min="9732" max="9732" width="5.85546875" style="20" customWidth="1"/>
    <col min="9733" max="9733" width="7.7109375" style="20" customWidth="1"/>
    <col min="9734" max="9734" width="9.140625" style="20"/>
    <col min="9735" max="9735" width="6.7109375" style="20" customWidth="1"/>
    <col min="9736" max="9736" width="7.7109375" style="20" customWidth="1"/>
    <col min="9737" max="9980" width="9.140625" style="20"/>
    <col min="9981" max="9982" width="15.7109375" style="20" customWidth="1"/>
    <col min="9983" max="9985" width="7.7109375" style="20" customWidth="1"/>
    <col min="9986" max="9986" width="6.28515625" style="20" customWidth="1"/>
    <col min="9987" max="9987" width="7" style="20" customWidth="1"/>
    <col min="9988" max="9988" width="5.85546875" style="20" customWidth="1"/>
    <col min="9989" max="9989" width="7.7109375" style="20" customWidth="1"/>
    <col min="9990" max="9990" width="9.140625" style="20"/>
    <col min="9991" max="9991" width="6.7109375" style="20" customWidth="1"/>
    <col min="9992" max="9992" width="7.7109375" style="20" customWidth="1"/>
    <col min="9993" max="10236" width="9.140625" style="20"/>
    <col min="10237" max="10238" width="15.7109375" style="20" customWidth="1"/>
    <col min="10239" max="10241" width="7.7109375" style="20" customWidth="1"/>
    <col min="10242" max="10242" width="6.28515625" style="20" customWidth="1"/>
    <col min="10243" max="10243" width="7" style="20" customWidth="1"/>
    <col min="10244" max="10244" width="5.85546875" style="20" customWidth="1"/>
    <col min="10245" max="10245" width="7.7109375" style="20" customWidth="1"/>
    <col min="10246" max="10246" width="9.140625" style="20"/>
    <col min="10247" max="10247" width="6.7109375" style="20" customWidth="1"/>
    <col min="10248" max="10248" width="7.7109375" style="20" customWidth="1"/>
    <col min="10249" max="10492" width="9.140625" style="20"/>
    <col min="10493" max="10494" width="15.7109375" style="20" customWidth="1"/>
    <col min="10495" max="10497" width="7.7109375" style="20" customWidth="1"/>
    <col min="10498" max="10498" width="6.28515625" style="20" customWidth="1"/>
    <col min="10499" max="10499" width="7" style="20" customWidth="1"/>
    <col min="10500" max="10500" width="5.85546875" style="20" customWidth="1"/>
    <col min="10501" max="10501" width="7.7109375" style="20" customWidth="1"/>
    <col min="10502" max="10502" width="9.140625" style="20"/>
    <col min="10503" max="10503" width="6.7109375" style="20" customWidth="1"/>
    <col min="10504" max="10504" width="7.7109375" style="20" customWidth="1"/>
    <col min="10505" max="10748" width="9.140625" style="20"/>
    <col min="10749" max="10750" width="15.7109375" style="20" customWidth="1"/>
    <col min="10751" max="10753" width="7.7109375" style="20" customWidth="1"/>
    <col min="10754" max="10754" width="6.28515625" style="20" customWidth="1"/>
    <col min="10755" max="10755" width="7" style="20" customWidth="1"/>
    <col min="10756" max="10756" width="5.85546875" style="20" customWidth="1"/>
    <col min="10757" max="10757" width="7.7109375" style="20" customWidth="1"/>
    <col min="10758" max="10758" width="9.140625" style="20"/>
    <col min="10759" max="10759" width="6.7109375" style="20" customWidth="1"/>
    <col min="10760" max="10760" width="7.7109375" style="20" customWidth="1"/>
    <col min="10761" max="11004" width="9.140625" style="20"/>
    <col min="11005" max="11006" width="15.7109375" style="20" customWidth="1"/>
    <col min="11007" max="11009" width="7.7109375" style="20" customWidth="1"/>
    <col min="11010" max="11010" width="6.28515625" style="20" customWidth="1"/>
    <col min="11011" max="11011" width="7" style="20" customWidth="1"/>
    <col min="11012" max="11012" width="5.85546875" style="20" customWidth="1"/>
    <col min="11013" max="11013" width="7.7109375" style="20" customWidth="1"/>
    <col min="11014" max="11014" width="9.140625" style="20"/>
    <col min="11015" max="11015" width="6.7109375" style="20" customWidth="1"/>
    <col min="11016" max="11016" width="7.7109375" style="20" customWidth="1"/>
    <col min="11017" max="11260" width="9.140625" style="20"/>
    <col min="11261" max="11262" width="15.7109375" style="20" customWidth="1"/>
    <col min="11263" max="11265" width="7.7109375" style="20" customWidth="1"/>
    <col min="11266" max="11266" width="6.28515625" style="20" customWidth="1"/>
    <col min="11267" max="11267" width="7" style="20" customWidth="1"/>
    <col min="11268" max="11268" width="5.85546875" style="20" customWidth="1"/>
    <col min="11269" max="11269" width="7.7109375" style="20" customWidth="1"/>
    <col min="11270" max="11270" width="9.140625" style="20"/>
    <col min="11271" max="11271" width="6.7109375" style="20" customWidth="1"/>
    <col min="11272" max="11272" width="7.7109375" style="20" customWidth="1"/>
    <col min="11273" max="11516" width="9.140625" style="20"/>
    <col min="11517" max="11518" width="15.7109375" style="20" customWidth="1"/>
    <col min="11519" max="11521" width="7.7109375" style="20" customWidth="1"/>
    <col min="11522" max="11522" width="6.28515625" style="20" customWidth="1"/>
    <col min="11523" max="11523" width="7" style="20" customWidth="1"/>
    <col min="11524" max="11524" width="5.85546875" style="20" customWidth="1"/>
    <col min="11525" max="11525" width="7.7109375" style="20" customWidth="1"/>
    <col min="11526" max="11526" width="9.140625" style="20"/>
    <col min="11527" max="11527" width="6.7109375" style="20" customWidth="1"/>
    <col min="11528" max="11528" width="7.7109375" style="20" customWidth="1"/>
    <col min="11529" max="11772" width="9.140625" style="20"/>
    <col min="11773" max="11774" width="15.7109375" style="20" customWidth="1"/>
    <col min="11775" max="11777" width="7.7109375" style="20" customWidth="1"/>
    <col min="11778" max="11778" width="6.28515625" style="20" customWidth="1"/>
    <col min="11779" max="11779" width="7" style="20" customWidth="1"/>
    <col min="11780" max="11780" width="5.85546875" style="20" customWidth="1"/>
    <col min="11781" max="11781" width="7.7109375" style="20" customWidth="1"/>
    <col min="11782" max="11782" width="9.140625" style="20"/>
    <col min="11783" max="11783" width="6.7109375" style="20" customWidth="1"/>
    <col min="11784" max="11784" width="7.7109375" style="20" customWidth="1"/>
    <col min="11785" max="12028" width="9.140625" style="20"/>
    <col min="12029" max="12030" width="15.7109375" style="20" customWidth="1"/>
    <col min="12031" max="12033" width="7.7109375" style="20" customWidth="1"/>
    <col min="12034" max="12034" width="6.28515625" style="20" customWidth="1"/>
    <col min="12035" max="12035" width="7" style="20" customWidth="1"/>
    <col min="12036" max="12036" width="5.85546875" style="20" customWidth="1"/>
    <col min="12037" max="12037" width="7.7109375" style="20" customWidth="1"/>
    <col min="12038" max="12038" width="9.140625" style="20"/>
    <col min="12039" max="12039" width="6.7109375" style="20" customWidth="1"/>
    <col min="12040" max="12040" width="7.7109375" style="20" customWidth="1"/>
    <col min="12041" max="12284" width="9.140625" style="20"/>
    <col min="12285" max="12286" width="15.7109375" style="20" customWidth="1"/>
    <col min="12287" max="12289" width="7.7109375" style="20" customWidth="1"/>
    <col min="12290" max="12290" width="6.28515625" style="20" customWidth="1"/>
    <col min="12291" max="12291" width="7" style="20" customWidth="1"/>
    <col min="12292" max="12292" width="5.85546875" style="20" customWidth="1"/>
    <col min="12293" max="12293" width="7.7109375" style="20" customWidth="1"/>
    <col min="12294" max="12294" width="9.140625" style="20"/>
    <col min="12295" max="12295" width="6.7109375" style="20" customWidth="1"/>
    <col min="12296" max="12296" width="7.7109375" style="20" customWidth="1"/>
    <col min="12297" max="12540" width="9.140625" style="20"/>
    <col min="12541" max="12542" width="15.7109375" style="20" customWidth="1"/>
    <col min="12543" max="12545" width="7.7109375" style="20" customWidth="1"/>
    <col min="12546" max="12546" width="6.28515625" style="20" customWidth="1"/>
    <col min="12547" max="12547" width="7" style="20" customWidth="1"/>
    <col min="12548" max="12548" width="5.85546875" style="20" customWidth="1"/>
    <col min="12549" max="12549" width="7.7109375" style="20" customWidth="1"/>
    <col min="12550" max="12550" width="9.140625" style="20"/>
    <col min="12551" max="12551" width="6.7109375" style="20" customWidth="1"/>
    <col min="12552" max="12552" width="7.7109375" style="20" customWidth="1"/>
    <col min="12553" max="12796" width="9.140625" style="20"/>
    <col min="12797" max="12798" width="15.7109375" style="20" customWidth="1"/>
    <col min="12799" max="12801" width="7.7109375" style="20" customWidth="1"/>
    <col min="12802" max="12802" width="6.28515625" style="20" customWidth="1"/>
    <col min="12803" max="12803" width="7" style="20" customWidth="1"/>
    <col min="12804" max="12804" width="5.85546875" style="20" customWidth="1"/>
    <col min="12805" max="12805" width="7.7109375" style="20" customWidth="1"/>
    <col min="12806" max="12806" width="9.140625" style="20"/>
    <col min="12807" max="12807" width="6.7109375" style="20" customWidth="1"/>
    <col min="12808" max="12808" width="7.7109375" style="20" customWidth="1"/>
    <col min="12809" max="13052" width="9.140625" style="20"/>
    <col min="13053" max="13054" width="15.7109375" style="20" customWidth="1"/>
    <col min="13055" max="13057" width="7.7109375" style="20" customWidth="1"/>
    <col min="13058" max="13058" width="6.28515625" style="20" customWidth="1"/>
    <col min="13059" max="13059" width="7" style="20" customWidth="1"/>
    <col min="13060" max="13060" width="5.85546875" style="20" customWidth="1"/>
    <col min="13061" max="13061" width="7.7109375" style="20" customWidth="1"/>
    <col min="13062" max="13062" width="9.140625" style="20"/>
    <col min="13063" max="13063" width="6.7109375" style="20" customWidth="1"/>
    <col min="13064" max="13064" width="7.7109375" style="20" customWidth="1"/>
    <col min="13065" max="13308" width="9.140625" style="20"/>
    <col min="13309" max="13310" width="15.7109375" style="20" customWidth="1"/>
    <col min="13311" max="13313" width="7.7109375" style="20" customWidth="1"/>
    <col min="13314" max="13314" width="6.28515625" style="20" customWidth="1"/>
    <col min="13315" max="13315" width="7" style="20" customWidth="1"/>
    <col min="13316" max="13316" width="5.85546875" style="20" customWidth="1"/>
    <col min="13317" max="13317" width="7.7109375" style="20" customWidth="1"/>
    <col min="13318" max="13318" width="9.140625" style="20"/>
    <col min="13319" max="13319" width="6.7109375" style="20" customWidth="1"/>
    <col min="13320" max="13320" width="7.7109375" style="20" customWidth="1"/>
    <col min="13321" max="13564" width="9.140625" style="20"/>
    <col min="13565" max="13566" width="15.7109375" style="20" customWidth="1"/>
    <col min="13567" max="13569" width="7.7109375" style="20" customWidth="1"/>
    <col min="13570" max="13570" width="6.28515625" style="20" customWidth="1"/>
    <col min="13571" max="13571" width="7" style="20" customWidth="1"/>
    <col min="13572" max="13572" width="5.85546875" style="20" customWidth="1"/>
    <col min="13573" max="13573" width="7.7109375" style="20" customWidth="1"/>
    <col min="13574" max="13574" width="9.140625" style="20"/>
    <col min="13575" max="13575" width="6.7109375" style="20" customWidth="1"/>
    <col min="13576" max="13576" width="7.7109375" style="20" customWidth="1"/>
    <col min="13577" max="13820" width="9.140625" style="20"/>
    <col min="13821" max="13822" width="15.7109375" style="20" customWidth="1"/>
    <col min="13823" max="13825" width="7.7109375" style="20" customWidth="1"/>
    <col min="13826" max="13826" width="6.28515625" style="20" customWidth="1"/>
    <col min="13827" max="13827" width="7" style="20" customWidth="1"/>
    <col min="13828" max="13828" width="5.85546875" style="20" customWidth="1"/>
    <col min="13829" max="13829" width="7.7109375" style="20" customWidth="1"/>
    <col min="13830" max="13830" width="9.140625" style="20"/>
    <col min="13831" max="13831" width="6.7109375" style="20" customWidth="1"/>
    <col min="13832" max="13832" width="7.7109375" style="20" customWidth="1"/>
    <col min="13833" max="14076" width="9.140625" style="20"/>
    <col min="14077" max="14078" width="15.7109375" style="20" customWidth="1"/>
    <col min="14079" max="14081" width="7.7109375" style="20" customWidth="1"/>
    <col min="14082" max="14082" width="6.28515625" style="20" customWidth="1"/>
    <col min="14083" max="14083" width="7" style="20" customWidth="1"/>
    <col min="14084" max="14084" width="5.85546875" style="20" customWidth="1"/>
    <col min="14085" max="14085" width="7.7109375" style="20" customWidth="1"/>
    <col min="14086" max="14086" width="9.140625" style="20"/>
    <col min="14087" max="14087" width="6.7109375" style="20" customWidth="1"/>
    <col min="14088" max="14088" width="7.7109375" style="20" customWidth="1"/>
    <col min="14089" max="14332" width="9.140625" style="20"/>
    <col min="14333" max="14334" width="15.7109375" style="20" customWidth="1"/>
    <col min="14335" max="14337" width="7.7109375" style="20" customWidth="1"/>
    <col min="14338" max="14338" width="6.28515625" style="20" customWidth="1"/>
    <col min="14339" max="14339" width="7" style="20" customWidth="1"/>
    <col min="14340" max="14340" width="5.85546875" style="20" customWidth="1"/>
    <col min="14341" max="14341" width="7.7109375" style="20" customWidth="1"/>
    <col min="14342" max="14342" width="9.140625" style="20"/>
    <col min="14343" max="14343" width="6.7109375" style="20" customWidth="1"/>
    <col min="14344" max="14344" width="7.7109375" style="20" customWidth="1"/>
    <col min="14345" max="14588" width="9.140625" style="20"/>
    <col min="14589" max="14590" width="15.7109375" style="20" customWidth="1"/>
    <col min="14591" max="14593" width="7.7109375" style="20" customWidth="1"/>
    <col min="14594" max="14594" width="6.28515625" style="20" customWidth="1"/>
    <col min="14595" max="14595" width="7" style="20" customWidth="1"/>
    <col min="14596" max="14596" width="5.85546875" style="20" customWidth="1"/>
    <col min="14597" max="14597" width="7.7109375" style="20" customWidth="1"/>
    <col min="14598" max="14598" width="9.140625" style="20"/>
    <col min="14599" max="14599" width="6.7109375" style="20" customWidth="1"/>
    <col min="14600" max="14600" width="7.7109375" style="20" customWidth="1"/>
    <col min="14601" max="14844" width="9.140625" style="20"/>
    <col min="14845" max="14846" width="15.7109375" style="20" customWidth="1"/>
    <col min="14847" max="14849" width="7.7109375" style="20" customWidth="1"/>
    <col min="14850" max="14850" width="6.28515625" style="20" customWidth="1"/>
    <col min="14851" max="14851" width="7" style="20" customWidth="1"/>
    <col min="14852" max="14852" width="5.85546875" style="20" customWidth="1"/>
    <col min="14853" max="14853" width="7.7109375" style="20" customWidth="1"/>
    <col min="14854" max="14854" width="9.140625" style="20"/>
    <col min="14855" max="14855" width="6.7109375" style="20" customWidth="1"/>
    <col min="14856" max="14856" width="7.7109375" style="20" customWidth="1"/>
    <col min="14857" max="15100" width="9.140625" style="20"/>
    <col min="15101" max="15102" width="15.7109375" style="20" customWidth="1"/>
    <col min="15103" max="15105" width="7.7109375" style="20" customWidth="1"/>
    <col min="15106" max="15106" width="6.28515625" style="20" customWidth="1"/>
    <col min="15107" max="15107" width="7" style="20" customWidth="1"/>
    <col min="15108" max="15108" width="5.85546875" style="20" customWidth="1"/>
    <col min="15109" max="15109" width="7.7109375" style="20" customWidth="1"/>
    <col min="15110" max="15110" width="9.140625" style="20"/>
    <col min="15111" max="15111" width="6.7109375" style="20" customWidth="1"/>
    <col min="15112" max="15112" width="7.7109375" style="20" customWidth="1"/>
    <col min="15113" max="15356" width="9.140625" style="20"/>
    <col min="15357" max="15358" width="15.7109375" style="20" customWidth="1"/>
    <col min="15359" max="15361" width="7.7109375" style="20" customWidth="1"/>
    <col min="15362" max="15362" width="6.28515625" style="20" customWidth="1"/>
    <col min="15363" max="15363" width="7" style="20" customWidth="1"/>
    <col min="15364" max="15364" width="5.85546875" style="20" customWidth="1"/>
    <col min="15365" max="15365" width="7.7109375" style="20" customWidth="1"/>
    <col min="15366" max="15366" width="9.140625" style="20"/>
    <col min="15367" max="15367" width="6.7109375" style="20" customWidth="1"/>
    <col min="15368" max="15368" width="7.7109375" style="20" customWidth="1"/>
    <col min="15369" max="15612" width="9.140625" style="20"/>
    <col min="15613" max="15614" width="15.7109375" style="20" customWidth="1"/>
    <col min="15615" max="15617" width="7.7109375" style="20" customWidth="1"/>
    <col min="15618" max="15618" width="6.28515625" style="20" customWidth="1"/>
    <col min="15619" max="15619" width="7" style="20" customWidth="1"/>
    <col min="15620" max="15620" width="5.85546875" style="20" customWidth="1"/>
    <col min="15621" max="15621" width="7.7109375" style="20" customWidth="1"/>
    <col min="15622" max="15622" width="9.140625" style="20"/>
    <col min="15623" max="15623" width="6.7109375" style="20" customWidth="1"/>
    <col min="15624" max="15624" width="7.7109375" style="20" customWidth="1"/>
    <col min="15625" max="15868" width="9.140625" style="20"/>
    <col min="15869" max="15870" width="15.7109375" style="20" customWidth="1"/>
    <col min="15871" max="15873" width="7.7109375" style="20" customWidth="1"/>
    <col min="15874" max="15874" width="6.28515625" style="20" customWidth="1"/>
    <col min="15875" max="15875" width="7" style="20" customWidth="1"/>
    <col min="15876" max="15876" width="5.85546875" style="20" customWidth="1"/>
    <col min="15877" max="15877" width="7.7109375" style="20" customWidth="1"/>
    <col min="15878" max="15878" width="9.140625" style="20"/>
    <col min="15879" max="15879" width="6.7109375" style="20" customWidth="1"/>
    <col min="15880" max="15880" width="7.7109375" style="20" customWidth="1"/>
    <col min="15881" max="16124" width="9.140625" style="20"/>
    <col min="16125" max="16126" width="15.7109375" style="20" customWidth="1"/>
    <col min="16127" max="16129" width="7.7109375" style="20" customWidth="1"/>
    <col min="16130" max="16130" width="6.28515625" style="20" customWidth="1"/>
    <col min="16131" max="16131" width="7" style="20" customWidth="1"/>
    <col min="16132" max="16132" width="5.85546875" style="20" customWidth="1"/>
    <col min="16133" max="16133" width="7.7109375" style="20" customWidth="1"/>
    <col min="16134" max="16134" width="9.140625" style="20"/>
    <col min="16135" max="16135" width="6.7109375" style="20" customWidth="1"/>
    <col min="16136" max="16136" width="7.7109375" style="20" customWidth="1"/>
    <col min="16137" max="16379" width="9.140625" style="20"/>
    <col min="16380" max="16383" width="9.140625" style="20" customWidth="1"/>
    <col min="16384" max="16384" width="9.140625" style="20"/>
  </cols>
  <sheetData>
    <row r="1" spans="1:22" s="71" customFormat="1" ht="37.5" customHeight="1" thickBot="1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s="75" customFormat="1" x14ac:dyDescent="0.2">
      <c r="A2" s="342" t="s">
        <v>178</v>
      </c>
      <c r="B2" s="90"/>
      <c r="C2" s="90"/>
      <c r="D2" s="90"/>
      <c r="E2" s="90"/>
      <c r="F2" s="90"/>
      <c r="G2" s="90"/>
      <c r="H2" s="90"/>
      <c r="I2" s="343" t="s">
        <v>18</v>
      </c>
      <c r="J2" s="343"/>
      <c r="K2" s="90"/>
      <c r="L2" s="343" t="s">
        <v>9</v>
      </c>
    </row>
    <row r="3" spans="1:22" s="75" customFormat="1" ht="15" customHeight="1" x14ac:dyDescent="0.2">
      <c r="A3" s="89" t="e">
        <f>#REF!</f>
        <v>#REF!</v>
      </c>
      <c r="B3" s="90"/>
      <c r="C3" s="90"/>
      <c r="D3" s="90"/>
      <c r="E3" s="90"/>
      <c r="F3" s="90"/>
      <c r="G3" s="90"/>
      <c r="H3" s="90"/>
      <c r="I3" s="89" t="s">
        <v>345</v>
      </c>
      <c r="J3" s="91"/>
      <c r="K3" s="90"/>
      <c r="L3" s="92"/>
    </row>
    <row r="4" spans="1:22" ht="15" customHeight="1" x14ac:dyDescent="0.2">
      <c r="A4" s="1351" t="s">
        <v>12</v>
      </c>
      <c r="B4" s="1349" t="s">
        <v>44</v>
      </c>
      <c r="C4" s="1350"/>
      <c r="D4" s="1351"/>
      <c r="E4" s="1353" t="s">
        <v>22</v>
      </c>
      <c r="F4" s="127" t="s">
        <v>51</v>
      </c>
      <c r="G4" s="127"/>
      <c r="H4" s="127"/>
      <c r="I4" s="127"/>
      <c r="J4" s="128" t="s">
        <v>152</v>
      </c>
      <c r="K4" s="129"/>
      <c r="L4" s="130"/>
      <c r="N4" s="1345" t="s">
        <v>183</v>
      </c>
      <c r="O4" s="1346"/>
    </row>
    <row r="5" spans="1:22" ht="21.75" customHeight="1" x14ac:dyDescent="0.2">
      <c r="A5" s="1352"/>
      <c r="B5" s="131" t="s">
        <v>62</v>
      </c>
      <c r="C5" s="132" t="s">
        <v>64</v>
      </c>
      <c r="D5" s="133" t="s">
        <v>66</v>
      </c>
      <c r="E5" s="1354"/>
      <c r="F5" s="134" t="s">
        <v>90</v>
      </c>
      <c r="G5" s="132" t="s">
        <v>67</v>
      </c>
      <c r="H5" s="132" t="s">
        <v>59</v>
      </c>
      <c r="I5" s="132" t="s">
        <v>10</v>
      </c>
      <c r="J5" s="131" t="s">
        <v>59</v>
      </c>
      <c r="K5" s="133" t="s">
        <v>10</v>
      </c>
      <c r="L5" s="122" t="s">
        <v>186</v>
      </c>
      <c r="N5" s="214" t="s">
        <v>4</v>
      </c>
      <c r="O5" s="213" t="s">
        <v>186</v>
      </c>
    </row>
    <row r="6" spans="1:22" x14ac:dyDescent="0.2">
      <c r="A6" s="218" t="s">
        <v>198</v>
      </c>
      <c r="B6" s="198"/>
      <c r="C6" s="198"/>
      <c r="D6" s="198"/>
      <c r="E6" s="198"/>
      <c r="F6" s="198"/>
      <c r="G6" s="198"/>
      <c r="H6" s="198"/>
      <c r="I6" s="198"/>
      <c r="J6" s="198"/>
      <c r="K6" s="199"/>
      <c r="L6" s="429"/>
      <c r="N6" s="221">
        <f t="shared" ref="N6:N12" si="0">IF(O6="","",SUMIF($L$6:$L$32,O6,$K$6:$K$32))</f>
        <v>0</v>
      </c>
      <c r="O6" s="224" t="s">
        <v>325</v>
      </c>
    </row>
    <row r="7" spans="1:22" x14ac:dyDescent="0.2">
      <c r="A7" s="66"/>
      <c r="B7" s="16"/>
      <c r="C7" s="16"/>
      <c r="D7" s="16"/>
      <c r="E7" s="21"/>
      <c r="F7" s="22" t="s">
        <v>14</v>
      </c>
      <c r="G7" s="21">
        <v>2</v>
      </c>
      <c r="H7" s="23">
        <f>IF(F7="s",(B7+(C7*G7))*D7+C7*B7*2,C7*G7*D7+B7*C7*2)</f>
        <v>0</v>
      </c>
      <c r="I7" s="24">
        <f>H7*E7</f>
        <v>0</v>
      </c>
      <c r="J7" s="24">
        <f>B7*C7*D7</f>
        <v>0</v>
      </c>
      <c r="K7" s="25">
        <f>J7*E7</f>
        <v>0</v>
      </c>
      <c r="L7" s="430" t="s">
        <v>326</v>
      </c>
      <c r="N7" s="222">
        <f t="shared" si="0"/>
        <v>0</v>
      </c>
      <c r="O7" s="225" t="s">
        <v>327</v>
      </c>
    </row>
    <row r="8" spans="1:22" x14ac:dyDescent="0.2">
      <c r="A8" s="66"/>
      <c r="B8" s="16"/>
      <c r="C8" s="16"/>
      <c r="D8" s="16"/>
      <c r="E8" s="21"/>
      <c r="F8" s="22" t="s">
        <v>14</v>
      </c>
      <c r="G8" s="21">
        <v>2</v>
      </c>
      <c r="H8" s="23">
        <f>IF(F8="s",(B8+(C8*G8))*D8+C8*B8*2,C8*G8*D8+B8*C8*2)</f>
        <v>0</v>
      </c>
      <c r="I8" s="24">
        <f>H8*E8</f>
        <v>0</v>
      </c>
      <c r="J8" s="24">
        <f>B8*C8*D8</f>
        <v>0</v>
      </c>
      <c r="K8" s="25">
        <f>J8*E8</f>
        <v>0</v>
      </c>
      <c r="L8" s="430" t="s">
        <v>326</v>
      </c>
      <c r="N8" s="222">
        <f t="shared" si="0"/>
        <v>0</v>
      </c>
      <c r="O8" s="225" t="s">
        <v>328</v>
      </c>
    </row>
    <row r="9" spans="1:22" x14ac:dyDescent="0.2">
      <c r="A9" s="61"/>
      <c r="B9" s="16"/>
      <c r="C9" s="16"/>
      <c r="D9" s="16"/>
      <c r="E9" s="21"/>
      <c r="F9" s="22" t="s">
        <v>14</v>
      </c>
      <c r="G9" s="21">
        <v>2</v>
      </c>
      <c r="H9" s="23">
        <f>IF(F9="s",(B9+(C9*G9))*D9+C9*B9*2,C9*G9*D9+B9*C9*2)</f>
        <v>0</v>
      </c>
      <c r="I9" s="24">
        <f>H9*E9</f>
        <v>0</v>
      </c>
      <c r="J9" s="24">
        <f>B9*C9*D9</f>
        <v>0</v>
      </c>
      <c r="K9" s="25">
        <f>J9*E9</f>
        <v>0</v>
      </c>
      <c r="L9" s="430" t="s">
        <v>326</v>
      </c>
      <c r="N9" s="222">
        <f t="shared" si="0"/>
        <v>0</v>
      </c>
      <c r="O9" s="225" t="s">
        <v>329</v>
      </c>
    </row>
    <row r="10" spans="1:22" x14ac:dyDescent="0.2">
      <c r="A10" s="61"/>
      <c r="B10" s="16"/>
      <c r="C10" s="16"/>
      <c r="D10" s="16"/>
      <c r="E10" s="21"/>
      <c r="F10" s="22" t="s">
        <v>14</v>
      </c>
      <c r="G10" s="21">
        <v>2</v>
      </c>
      <c r="H10" s="23">
        <f>IF(F10="s",(B10+(C10*G10))*D10+C10*B10*2,C10*G10*D10+B10*C10*2)</f>
        <v>0</v>
      </c>
      <c r="I10" s="102">
        <f>H10*E10</f>
        <v>0</v>
      </c>
      <c r="J10" s="102">
        <f>B10*C10*D10</f>
        <v>0</v>
      </c>
      <c r="K10" s="103">
        <f>J10*E10</f>
        <v>0</v>
      </c>
      <c r="L10" s="430" t="s">
        <v>326</v>
      </c>
      <c r="N10" s="222">
        <f t="shared" si="0"/>
        <v>0</v>
      </c>
      <c r="O10" s="225" t="s">
        <v>326</v>
      </c>
    </row>
    <row r="11" spans="1:22" x14ac:dyDescent="0.2">
      <c r="A11" s="61"/>
      <c r="B11" s="16"/>
      <c r="C11" s="16"/>
      <c r="D11" s="16"/>
      <c r="E11" s="21"/>
      <c r="F11" s="22"/>
      <c r="G11" s="21"/>
      <c r="H11" s="23">
        <f>IF(F11="s",(B11+(C11*G11))*D11+C11*B11*2,C11*G11*D11+B11*C11*2)</f>
        <v>0</v>
      </c>
      <c r="I11" s="102">
        <f>H11*E11</f>
        <v>0</v>
      </c>
      <c r="J11" s="102">
        <f>B11*C11*D11</f>
        <v>0</v>
      </c>
      <c r="K11" s="103">
        <f>J11*E11</f>
        <v>0</v>
      </c>
      <c r="L11" s="430" t="s">
        <v>326</v>
      </c>
      <c r="N11" s="222" t="str">
        <f t="shared" si="0"/>
        <v/>
      </c>
      <c r="O11" s="223"/>
    </row>
    <row r="12" spans="1:22" x14ac:dyDescent="0.2">
      <c r="A12" s="218" t="s">
        <v>198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9"/>
      <c r="L12" s="431"/>
      <c r="N12" s="226" t="str">
        <f t="shared" si="0"/>
        <v/>
      </c>
      <c r="O12" s="236"/>
    </row>
    <row r="13" spans="1:22" x14ac:dyDescent="0.2">
      <c r="A13" s="66"/>
      <c r="B13" s="16"/>
      <c r="C13" s="16"/>
      <c r="D13" s="16"/>
      <c r="E13" s="67"/>
      <c r="F13" s="22" t="s">
        <v>14</v>
      </c>
      <c r="G13" s="21">
        <v>2</v>
      </c>
      <c r="H13" s="23">
        <f>IF(F13="s",(B13+(C13*G13))*D13+C13*B13*2,C13*G13*D13+B13*C13*2)</f>
        <v>0</v>
      </c>
      <c r="I13" s="68">
        <f>H13*E13</f>
        <v>0</v>
      </c>
      <c r="J13" s="24">
        <f>B13*C13*D13</f>
        <v>0</v>
      </c>
      <c r="K13" s="25">
        <f>J13*E13</f>
        <v>0</v>
      </c>
      <c r="L13" s="430" t="s">
        <v>326</v>
      </c>
      <c r="N13" s="228">
        <f>SUM(N6:N12)</f>
        <v>0</v>
      </c>
      <c r="O13" s="247" t="str">
        <f>IF(K33=N13,"OK","Conferir")</f>
        <v>OK</v>
      </c>
    </row>
    <row r="14" spans="1:22" x14ac:dyDescent="0.2">
      <c r="A14" s="66"/>
      <c r="B14" s="16"/>
      <c r="C14" s="16"/>
      <c r="D14" s="16"/>
      <c r="E14" s="67"/>
      <c r="F14" s="22" t="s">
        <v>14</v>
      </c>
      <c r="G14" s="21">
        <v>2</v>
      </c>
      <c r="H14" s="23">
        <f>IF(F14="s",(B14+(C14*G14))*D14+C14*B14*2,C14*G14*D14+B14*C14*2)</f>
        <v>0</v>
      </c>
      <c r="I14" s="24">
        <f>H14*E14</f>
        <v>0</v>
      </c>
      <c r="J14" s="24">
        <f>B14*C14*D14</f>
        <v>0</v>
      </c>
      <c r="K14" s="25">
        <f>J14*E14</f>
        <v>0</v>
      </c>
      <c r="L14" s="430" t="s">
        <v>326</v>
      </c>
    </row>
    <row r="15" spans="1:22" x14ac:dyDescent="0.2">
      <c r="A15" s="8"/>
      <c r="B15" s="16"/>
      <c r="C15" s="16"/>
      <c r="D15" s="16"/>
      <c r="E15" s="67"/>
      <c r="F15" s="22" t="s">
        <v>14</v>
      </c>
      <c r="G15" s="21">
        <v>2</v>
      </c>
      <c r="H15" s="23">
        <f>IF(F15="s",(B15+(C15*G15))*D15+C15*B15*2,C15*G15*D15+B15*C15*2)</f>
        <v>0</v>
      </c>
      <c r="I15" s="24">
        <f>H15*E15</f>
        <v>0</v>
      </c>
      <c r="J15" s="24">
        <f>B15*C15*D15</f>
        <v>0</v>
      </c>
      <c r="K15" s="25">
        <f>J15*E15</f>
        <v>0</v>
      </c>
      <c r="L15" s="430" t="s">
        <v>326</v>
      </c>
    </row>
    <row r="16" spans="1:22" x14ac:dyDescent="0.2">
      <c r="A16" s="8"/>
      <c r="B16" s="16"/>
      <c r="C16" s="16"/>
      <c r="D16" s="16"/>
      <c r="E16" s="67"/>
      <c r="F16" s="22" t="s">
        <v>14</v>
      </c>
      <c r="G16" s="21">
        <v>2</v>
      </c>
      <c r="H16" s="23">
        <f>IF(F16="s",(B16+(C16*G16))*D16+C16*B16*2,C16*G16*D16+B16*C16*2)</f>
        <v>0</v>
      </c>
      <c r="I16" s="24">
        <f>H16*E16</f>
        <v>0</v>
      </c>
      <c r="J16" s="24">
        <f>B16*C16*D16</f>
        <v>0</v>
      </c>
      <c r="K16" s="25">
        <f>J16*E16</f>
        <v>0</v>
      </c>
      <c r="L16" s="430" t="s">
        <v>326</v>
      </c>
    </row>
    <row r="17" spans="1:13" x14ac:dyDescent="0.2">
      <c r="A17" s="8"/>
      <c r="B17" s="16"/>
      <c r="C17" s="16"/>
      <c r="D17" s="16"/>
      <c r="E17" s="67"/>
      <c r="F17" s="22" t="s">
        <v>14</v>
      </c>
      <c r="G17" s="21">
        <v>2</v>
      </c>
      <c r="H17" s="23">
        <f>IF(F17="s",(B17+(C17*G17))*D17+C17*B17*2,C17*G17*D17+B17*C17*2)</f>
        <v>0</v>
      </c>
      <c r="I17" s="24">
        <f>H17*E17</f>
        <v>0</v>
      </c>
      <c r="J17" s="24">
        <f>B17*C17*D17</f>
        <v>0</v>
      </c>
      <c r="K17" s="25">
        <f>J17*E17</f>
        <v>0</v>
      </c>
      <c r="L17" s="430" t="s">
        <v>326</v>
      </c>
    </row>
    <row r="18" spans="1:13" x14ac:dyDescent="0.2">
      <c r="A18" s="218" t="s">
        <v>198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9"/>
      <c r="L18" s="431"/>
    </row>
    <row r="19" spans="1:13" x14ac:dyDescent="0.2">
      <c r="A19" s="66"/>
      <c r="B19" s="16"/>
      <c r="C19" s="16"/>
      <c r="D19" s="16"/>
      <c r="E19" s="21"/>
      <c r="F19" s="22" t="s">
        <v>14</v>
      </c>
      <c r="G19" s="21">
        <v>2</v>
      </c>
      <c r="H19" s="23">
        <f t="shared" ref="H19:H26" si="1">IF(F19="s",(B19+(C19*G19))*D19+C19*B19*2,C19*G19*D19+B19*C19*2)</f>
        <v>0</v>
      </c>
      <c r="I19" s="24">
        <f t="shared" ref="I19:I26" si="2">H19*E19</f>
        <v>0</v>
      </c>
      <c r="J19" s="24">
        <f t="shared" ref="J19:J26" si="3">B19*C19*D19</f>
        <v>0</v>
      </c>
      <c r="K19" s="25">
        <f t="shared" ref="K19:K26" si="4">J19*E19</f>
        <v>0</v>
      </c>
      <c r="L19" s="430" t="s">
        <v>327</v>
      </c>
    </row>
    <row r="20" spans="1:13" x14ac:dyDescent="0.2">
      <c r="A20" s="66"/>
      <c r="B20" s="16"/>
      <c r="C20" s="16"/>
      <c r="D20" s="16"/>
      <c r="E20" s="21"/>
      <c r="F20" s="22" t="s">
        <v>14</v>
      </c>
      <c r="G20" s="21">
        <v>2</v>
      </c>
      <c r="H20" s="23">
        <f t="shared" si="1"/>
        <v>0</v>
      </c>
      <c r="I20" s="24">
        <f t="shared" si="2"/>
        <v>0</v>
      </c>
      <c r="J20" s="24">
        <f t="shared" si="3"/>
        <v>0</v>
      </c>
      <c r="K20" s="25">
        <f t="shared" si="4"/>
        <v>0</v>
      </c>
      <c r="L20" s="430" t="s">
        <v>327</v>
      </c>
      <c r="M20" s="51"/>
    </row>
    <row r="21" spans="1:13" x14ac:dyDescent="0.2">
      <c r="A21" s="61"/>
      <c r="B21" s="16"/>
      <c r="C21" s="16"/>
      <c r="D21" s="16"/>
      <c r="E21" s="21"/>
      <c r="F21" s="22" t="s">
        <v>14</v>
      </c>
      <c r="G21" s="21">
        <v>2</v>
      </c>
      <c r="H21" s="23">
        <f t="shared" si="1"/>
        <v>0</v>
      </c>
      <c r="I21" s="24">
        <f t="shared" si="2"/>
        <v>0</v>
      </c>
      <c r="J21" s="24">
        <f t="shared" si="3"/>
        <v>0</v>
      </c>
      <c r="K21" s="25">
        <f t="shared" si="4"/>
        <v>0</v>
      </c>
      <c r="L21" s="430" t="s">
        <v>327</v>
      </c>
    </row>
    <row r="22" spans="1:13" x14ac:dyDescent="0.2">
      <c r="A22" s="62"/>
      <c r="B22" s="16"/>
      <c r="C22" s="16"/>
      <c r="D22" s="16"/>
      <c r="E22" s="21"/>
      <c r="F22" s="22" t="s">
        <v>14</v>
      </c>
      <c r="G22" s="21">
        <v>2</v>
      </c>
      <c r="H22" s="23">
        <f t="shared" si="1"/>
        <v>0</v>
      </c>
      <c r="I22" s="24">
        <f t="shared" si="2"/>
        <v>0</v>
      </c>
      <c r="J22" s="24">
        <f t="shared" si="3"/>
        <v>0</v>
      </c>
      <c r="K22" s="25">
        <f t="shared" si="4"/>
        <v>0</v>
      </c>
      <c r="L22" s="430" t="s">
        <v>327</v>
      </c>
    </row>
    <row r="23" spans="1:13" x14ac:dyDescent="0.2">
      <c r="A23" s="62"/>
      <c r="B23" s="16"/>
      <c r="C23" s="16"/>
      <c r="D23" s="16"/>
      <c r="E23" s="21"/>
      <c r="F23" s="22" t="s">
        <v>14</v>
      </c>
      <c r="G23" s="21">
        <v>2</v>
      </c>
      <c r="H23" s="23">
        <f t="shared" si="1"/>
        <v>0</v>
      </c>
      <c r="I23" s="24">
        <f t="shared" si="2"/>
        <v>0</v>
      </c>
      <c r="J23" s="24">
        <f t="shared" si="3"/>
        <v>0</v>
      </c>
      <c r="K23" s="25">
        <f t="shared" si="4"/>
        <v>0</v>
      </c>
      <c r="L23" s="430" t="s">
        <v>327</v>
      </c>
    </row>
    <row r="24" spans="1:13" x14ac:dyDescent="0.2">
      <c r="A24" s="62"/>
      <c r="B24" s="16"/>
      <c r="C24" s="16"/>
      <c r="D24" s="16"/>
      <c r="E24" s="21"/>
      <c r="F24" s="22" t="s">
        <v>14</v>
      </c>
      <c r="G24" s="21">
        <v>2</v>
      </c>
      <c r="H24" s="23">
        <f t="shared" si="1"/>
        <v>0</v>
      </c>
      <c r="I24" s="68">
        <f t="shared" si="2"/>
        <v>0</v>
      </c>
      <c r="J24" s="24">
        <f t="shared" si="3"/>
        <v>0</v>
      </c>
      <c r="K24" s="25">
        <f t="shared" si="4"/>
        <v>0</v>
      </c>
      <c r="L24" s="430" t="s">
        <v>327</v>
      </c>
    </row>
    <row r="25" spans="1:13" x14ac:dyDescent="0.2">
      <c r="A25" s="218" t="s">
        <v>198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9"/>
      <c r="L25" s="431"/>
    </row>
    <row r="26" spans="1:13" x14ac:dyDescent="0.2">
      <c r="A26" s="66"/>
      <c r="B26" s="16"/>
      <c r="C26" s="16"/>
      <c r="D26" s="16"/>
      <c r="E26" s="21"/>
      <c r="F26" s="22" t="s">
        <v>14</v>
      </c>
      <c r="G26" s="21">
        <v>2</v>
      </c>
      <c r="H26" s="23">
        <f t="shared" si="1"/>
        <v>0</v>
      </c>
      <c r="I26" s="68">
        <f t="shared" si="2"/>
        <v>0</v>
      </c>
      <c r="J26" s="24">
        <f t="shared" si="3"/>
        <v>0</v>
      </c>
      <c r="K26" s="25">
        <f t="shared" si="4"/>
        <v>0</v>
      </c>
      <c r="L26" s="430" t="s">
        <v>327</v>
      </c>
    </row>
    <row r="27" spans="1:13" x14ac:dyDescent="0.2">
      <c r="A27" s="66"/>
      <c r="B27" s="16"/>
      <c r="C27" s="16"/>
      <c r="D27" s="16"/>
      <c r="E27" s="21"/>
      <c r="F27" s="22"/>
      <c r="G27" s="21"/>
      <c r="H27" s="23"/>
      <c r="I27" s="24"/>
      <c r="J27" s="24"/>
      <c r="K27" s="25"/>
      <c r="L27" s="430"/>
    </row>
    <row r="28" spans="1:13" x14ac:dyDescent="0.2">
      <c r="A28" s="218" t="s">
        <v>198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9"/>
      <c r="L28" s="431"/>
    </row>
    <row r="29" spans="1:13" x14ac:dyDescent="0.2">
      <c r="A29" s="60"/>
      <c r="B29" s="16"/>
      <c r="C29" s="16"/>
      <c r="D29" s="16"/>
      <c r="E29" s="21"/>
      <c r="F29" s="22" t="s">
        <v>14</v>
      </c>
      <c r="G29" s="21">
        <v>2</v>
      </c>
      <c r="H29" s="23">
        <f>IF(F29="s",(B29+(C29*G29))*D29+C29*B29*2,C29*G29*D29+B29*C29*2)</f>
        <v>0</v>
      </c>
      <c r="I29" s="24">
        <f>H29*E29</f>
        <v>0</v>
      </c>
      <c r="J29" s="24">
        <f>B29*C29*D29</f>
        <v>0</v>
      </c>
      <c r="K29" s="25">
        <f>J29*E29</f>
        <v>0</v>
      </c>
      <c r="L29" s="430" t="s">
        <v>326</v>
      </c>
    </row>
    <row r="30" spans="1:13" x14ac:dyDescent="0.2">
      <c r="A30" s="60"/>
      <c r="B30" s="16"/>
      <c r="C30" s="16"/>
      <c r="D30" s="16"/>
      <c r="E30" s="21"/>
      <c r="F30" s="22" t="s">
        <v>14</v>
      </c>
      <c r="G30" s="21">
        <v>2</v>
      </c>
      <c r="H30" s="23">
        <f>IF(F30="s",(B30+(C30*G30))*D30+C30*B30*2,C30*G30*D30+B30*C30*2)</f>
        <v>0</v>
      </c>
      <c r="I30" s="24">
        <f>H30*E30</f>
        <v>0</v>
      </c>
      <c r="J30" s="24">
        <f>B30*C30*D30</f>
        <v>0</v>
      </c>
      <c r="K30" s="25">
        <f>J30*E30</f>
        <v>0</v>
      </c>
      <c r="L30" s="430" t="s">
        <v>326</v>
      </c>
    </row>
    <row r="31" spans="1:13" x14ac:dyDescent="0.2">
      <c r="A31" s="60"/>
      <c r="B31" s="16"/>
      <c r="C31" s="16"/>
      <c r="D31" s="16"/>
      <c r="E31" s="21"/>
      <c r="F31" s="22" t="s">
        <v>14</v>
      </c>
      <c r="G31" s="21">
        <v>2</v>
      </c>
      <c r="H31" s="23">
        <f>IF(F31="s",(B31+(C31*G31))*D31+C31*B31*2,C31*G31*D31+B31*C31*2)</f>
        <v>0</v>
      </c>
      <c r="I31" s="24">
        <f>H31*E31</f>
        <v>0</v>
      </c>
      <c r="J31" s="24">
        <f>B31*C31*D31</f>
        <v>0</v>
      </c>
      <c r="K31" s="25">
        <f>J31*E31</f>
        <v>0</v>
      </c>
      <c r="L31" s="430" t="s">
        <v>326</v>
      </c>
    </row>
    <row r="32" spans="1:13" ht="13.5" thickBot="1" x14ac:dyDescent="0.25">
      <c r="A32" s="8"/>
      <c r="B32" s="16"/>
      <c r="C32" s="16"/>
      <c r="D32" s="16"/>
      <c r="E32" s="21"/>
      <c r="F32" s="22"/>
      <c r="G32" s="21"/>
      <c r="H32" s="23"/>
      <c r="I32" s="24"/>
      <c r="J32" s="24"/>
      <c r="K32" s="25"/>
      <c r="L32" s="430"/>
      <c r="M32" s="51"/>
    </row>
    <row r="33" spans="1:14" ht="14.25" thickTop="1" thickBot="1" x14ac:dyDescent="0.25">
      <c r="A33" s="106" t="s">
        <v>10</v>
      </c>
      <c r="B33" s="106"/>
      <c r="C33" s="106"/>
      <c r="D33" s="106"/>
      <c r="E33" s="107"/>
      <c r="F33" s="107"/>
      <c r="G33" s="107"/>
      <c r="H33" s="107"/>
      <c r="I33" s="235">
        <f>SUM(I6:I32)</f>
        <v>0</v>
      </c>
      <c r="J33" s="235"/>
      <c r="K33" s="235">
        <f>SUM(K6:K32)</f>
        <v>0</v>
      </c>
      <c r="L33" s="432"/>
    </row>
    <row r="34" spans="1:14" ht="14.25" thickTop="1" thickBot="1" x14ac:dyDescent="0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</row>
    <row r="35" spans="1:14" ht="14.25" thickTop="1" thickBot="1" x14ac:dyDescent="0.25">
      <c r="A35" s="232"/>
      <c r="B35" s="233"/>
      <c r="C35" s="233"/>
      <c r="D35" s="233"/>
      <c r="E35" s="237" t="s">
        <v>190</v>
      </c>
      <c r="F35" s="237"/>
      <c r="G35" s="238"/>
      <c r="H35" s="237"/>
      <c r="I35" s="239">
        <f>SUM(I13:I17)</f>
        <v>0</v>
      </c>
      <c r="J35" s="237" t="s">
        <v>15</v>
      </c>
      <c r="K35" s="237"/>
      <c r="L35" s="237"/>
      <c r="M35" s="240"/>
      <c r="N35" s="241"/>
    </row>
    <row r="36" spans="1:14" ht="13.5" thickTop="1" x14ac:dyDescent="0.2"/>
  </sheetData>
  <mergeCells count="4">
    <mergeCell ref="B4:D4"/>
    <mergeCell ref="A4:A5"/>
    <mergeCell ref="N4:O4"/>
    <mergeCell ref="E4:E5"/>
  </mergeCells>
  <phoneticPr fontId="36" type="noConversion"/>
  <dataValidations disablePrompts="1" count="2">
    <dataValidation type="list" allowBlank="1" showInputMessage="1" showErrorMessage="1" sqref="L7:L32" xr:uid="{00000000-0002-0000-1F00-000000000000}">
      <formula1>$O$6:$O$12</formula1>
    </dataValidation>
    <dataValidation type="list" allowBlank="1" showInputMessage="1" showErrorMessage="1" sqref="L6" xr:uid="{00000000-0002-0000-1F00-000001000000}">
      <formula1>$N$6:$N$14</formula1>
    </dataValidation>
  </dataValidations>
  <printOptions horizontalCentered="1"/>
  <pageMargins left="0.39370078740157483" right="0" top="0.59055118110236227" bottom="0.78740157480314965" header="0.51181102362204722" footer="0.19685039370078741"/>
  <pageSetup paperSize="9" scale="65" orientation="portrait" horizontalDpi="300" verticalDpi="300" r:id="rId1"/>
  <headerFooter alignWithMargins="0">
    <oddFooter>&amp;L&amp;8&amp;F - &amp;A&amp;R&amp;8&amp;P / &amp;N</oddFoot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ilha22">
    <tabColor theme="5" tint="0.59999389629810485"/>
    <pageSetUpPr fitToPage="1"/>
  </sheetPr>
  <dimension ref="A1:V49"/>
  <sheetViews>
    <sheetView showGridLines="0" view="pageBreakPreview" zoomScaleNormal="100" zoomScaleSheetLayoutView="100" workbookViewId="0">
      <pane ySplit="5" topLeftCell="A6" activePane="bottomLeft" state="frozen"/>
      <selection activeCell="A4" sqref="A4:R6"/>
      <selection pane="bottomLeft" activeCell="A4" sqref="A4:R6"/>
    </sheetView>
  </sheetViews>
  <sheetFormatPr defaultRowHeight="12.75" x14ac:dyDescent="0.2"/>
  <cols>
    <col min="1" max="1" width="23.140625" style="12" customWidth="1"/>
    <col min="2" max="2" width="7.85546875" style="26" customWidth="1"/>
    <col min="3" max="3" width="8.5703125" style="12" customWidth="1"/>
    <col min="4" max="4" width="9.7109375" style="12" customWidth="1"/>
    <col min="5" max="8" width="7.42578125" style="12" customWidth="1"/>
    <col min="9" max="9" width="9.140625" style="12" customWidth="1"/>
    <col min="10" max="11" width="7.42578125" style="12" customWidth="1"/>
    <col min="12" max="12" width="10.28515625" style="26" bestFit="1" customWidth="1"/>
    <col min="13" max="13" width="14.5703125" style="12" customWidth="1"/>
    <col min="14" max="14" width="7.42578125" style="12" customWidth="1"/>
    <col min="15" max="15" width="8.42578125" style="12" customWidth="1"/>
    <col min="16" max="17" width="7.42578125" style="12" hidden="1" customWidth="1"/>
    <col min="18" max="18" width="17.28515625" style="12" customWidth="1"/>
    <col min="19" max="19" width="3.140625" style="12" customWidth="1"/>
    <col min="20" max="20" width="9.7109375" style="20" customWidth="1"/>
    <col min="21" max="21" width="11.28515625" style="20" customWidth="1"/>
    <col min="22" max="256" width="9.140625" style="12"/>
    <col min="257" max="257" width="18.140625" style="12" customWidth="1"/>
    <col min="258" max="258" width="15.85546875" style="12" customWidth="1"/>
    <col min="259" max="260" width="6.7109375" style="12" customWidth="1"/>
    <col min="261" max="261" width="5.7109375" style="12" customWidth="1"/>
    <col min="262" max="262" width="7" style="12" customWidth="1"/>
    <col min="263" max="263" width="5.7109375" style="12" customWidth="1"/>
    <col min="264" max="264" width="7.7109375" style="12" customWidth="1"/>
    <col min="265" max="265" width="8.7109375" style="12" customWidth="1"/>
    <col min="266" max="266" width="7.7109375" style="12" customWidth="1"/>
    <col min="267" max="267" width="8.7109375" style="12" customWidth="1"/>
    <col min="268" max="268" width="16.28515625" style="12" customWidth="1"/>
    <col min="269" max="269" width="7.7109375" style="12" customWidth="1"/>
    <col min="270" max="270" width="8" style="12" customWidth="1"/>
    <col min="271" max="271" width="7.7109375" style="12" customWidth="1"/>
    <col min="272" max="272" width="8.7109375" style="12" customWidth="1"/>
    <col min="273" max="512" width="9.140625" style="12"/>
    <col min="513" max="513" width="18.140625" style="12" customWidth="1"/>
    <col min="514" max="514" width="15.85546875" style="12" customWidth="1"/>
    <col min="515" max="516" width="6.7109375" style="12" customWidth="1"/>
    <col min="517" max="517" width="5.7109375" style="12" customWidth="1"/>
    <col min="518" max="518" width="7" style="12" customWidth="1"/>
    <col min="519" max="519" width="5.7109375" style="12" customWidth="1"/>
    <col min="520" max="520" width="7.7109375" style="12" customWidth="1"/>
    <col min="521" max="521" width="8.7109375" style="12" customWidth="1"/>
    <col min="522" max="522" width="7.7109375" style="12" customWidth="1"/>
    <col min="523" max="523" width="8.7109375" style="12" customWidth="1"/>
    <col min="524" max="524" width="16.28515625" style="12" customWidth="1"/>
    <col min="525" max="525" width="7.7109375" style="12" customWidth="1"/>
    <col min="526" max="526" width="8" style="12" customWidth="1"/>
    <col min="527" max="527" width="7.7109375" style="12" customWidth="1"/>
    <col min="528" max="528" width="8.7109375" style="12" customWidth="1"/>
    <col min="529" max="768" width="9.140625" style="12"/>
    <col min="769" max="769" width="18.140625" style="12" customWidth="1"/>
    <col min="770" max="770" width="15.85546875" style="12" customWidth="1"/>
    <col min="771" max="772" width="6.7109375" style="12" customWidth="1"/>
    <col min="773" max="773" width="5.7109375" style="12" customWidth="1"/>
    <col min="774" max="774" width="7" style="12" customWidth="1"/>
    <col min="775" max="775" width="5.7109375" style="12" customWidth="1"/>
    <col min="776" max="776" width="7.7109375" style="12" customWidth="1"/>
    <col min="777" max="777" width="8.7109375" style="12" customWidth="1"/>
    <col min="778" max="778" width="7.7109375" style="12" customWidth="1"/>
    <col min="779" max="779" width="8.7109375" style="12" customWidth="1"/>
    <col min="780" max="780" width="16.28515625" style="12" customWidth="1"/>
    <col min="781" max="781" width="7.7109375" style="12" customWidth="1"/>
    <col min="782" max="782" width="8" style="12" customWidth="1"/>
    <col min="783" max="783" width="7.7109375" style="12" customWidth="1"/>
    <col min="784" max="784" width="8.7109375" style="12" customWidth="1"/>
    <col min="785" max="1024" width="9.140625" style="12"/>
    <col min="1025" max="1025" width="18.140625" style="12" customWidth="1"/>
    <col min="1026" max="1026" width="15.85546875" style="12" customWidth="1"/>
    <col min="1027" max="1028" width="6.7109375" style="12" customWidth="1"/>
    <col min="1029" max="1029" width="5.7109375" style="12" customWidth="1"/>
    <col min="1030" max="1030" width="7" style="12" customWidth="1"/>
    <col min="1031" max="1031" width="5.7109375" style="12" customWidth="1"/>
    <col min="1032" max="1032" width="7.7109375" style="12" customWidth="1"/>
    <col min="1033" max="1033" width="8.7109375" style="12" customWidth="1"/>
    <col min="1034" max="1034" width="7.7109375" style="12" customWidth="1"/>
    <col min="1035" max="1035" width="8.7109375" style="12" customWidth="1"/>
    <col min="1036" max="1036" width="16.28515625" style="12" customWidth="1"/>
    <col min="1037" max="1037" width="7.7109375" style="12" customWidth="1"/>
    <col min="1038" max="1038" width="8" style="12" customWidth="1"/>
    <col min="1039" max="1039" width="7.7109375" style="12" customWidth="1"/>
    <col min="1040" max="1040" width="8.7109375" style="12" customWidth="1"/>
    <col min="1041" max="1280" width="9.140625" style="12"/>
    <col min="1281" max="1281" width="18.140625" style="12" customWidth="1"/>
    <col min="1282" max="1282" width="15.85546875" style="12" customWidth="1"/>
    <col min="1283" max="1284" width="6.7109375" style="12" customWidth="1"/>
    <col min="1285" max="1285" width="5.7109375" style="12" customWidth="1"/>
    <col min="1286" max="1286" width="7" style="12" customWidth="1"/>
    <col min="1287" max="1287" width="5.7109375" style="12" customWidth="1"/>
    <col min="1288" max="1288" width="7.7109375" style="12" customWidth="1"/>
    <col min="1289" max="1289" width="8.7109375" style="12" customWidth="1"/>
    <col min="1290" max="1290" width="7.7109375" style="12" customWidth="1"/>
    <col min="1291" max="1291" width="8.7109375" style="12" customWidth="1"/>
    <col min="1292" max="1292" width="16.28515625" style="12" customWidth="1"/>
    <col min="1293" max="1293" width="7.7109375" style="12" customWidth="1"/>
    <col min="1294" max="1294" width="8" style="12" customWidth="1"/>
    <col min="1295" max="1295" width="7.7109375" style="12" customWidth="1"/>
    <col min="1296" max="1296" width="8.7109375" style="12" customWidth="1"/>
    <col min="1297" max="1536" width="9.140625" style="12"/>
    <col min="1537" max="1537" width="18.140625" style="12" customWidth="1"/>
    <col min="1538" max="1538" width="15.85546875" style="12" customWidth="1"/>
    <col min="1539" max="1540" width="6.7109375" style="12" customWidth="1"/>
    <col min="1541" max="1541" width="5.7109375" style="12" customWidth="1"/>
    <col min="1542" max="1542" width="7" style="12" customWidth="1"/>
    <col min="1543" max="1543" width="5.7109375" style="12" customWidth="1"/>
    <col min="1544" max="1544" width="7.7109375" style="12" customWidth="1"/>
    <col min="1545" max="1545" width="8.7109375" style="12" customWidth="1"/>
    <col min="1546" max="1546" width="7.7109375" style="12" customWidth="1"/>
    <col min="1547" max="1547" width="8.7109375" style="12" customWidth="1"/>
    <col min="1548" max="1548" width="16.28515625" style="12" customWidth="1"/>
    <col min="1549" max="1549" width="7.7109375" style="12" customWidth="1"/>
    <col min="1550" max="1550" width="8" style="12" customWidth="1"/>
    <col min="1551" max="1551" width="7.7109375" style="12" customWidth="1"/>
    <col min="1552" max="1552" width="8.7109375" style="12" customWidth="1"/>
    <col min="1553" max="1792" width="9.140625" style="12"/>
    <col min="1793" max="1793" width="18.140625" style="12" customWidth="1"/>
    <col min="1794" max="1794" width="15.85546875" style="12" customWidth="1"/>
    <col min="1795" max="1796" width="6.7109375" style="12" customWidth="1"/>
    <col min="1797" max="1797" width="5.7109375" style="12" customWidth="1"/>
    <col min="1798" max="1798" width="7" style="12" customWidth="1"/>
    <col min="1799" max="1799" width="5.7109375" style="12" customWidth="1"/>
    <col min="1800" max="1800" width="7.7109375" style="12" customWidth="1"/>
    <col min="1801" max="1801" width="8.7109375" style="12" customWidth="1"/>
    <col min="1802" max="1802" width="7.7109375" style="12" customWidth="1"/>
    <col min="1803" max="1803" width="8.7109375" style="12" customWidth="1"/>
    <col min="1804" max="1804" width="16.28515625" style="12" customWidth="1"/>
    <col min="1805" max="1805" width="7.7109375" style="12" customWidth="1"/>
    <col min="1806" max="1806" width="8" style="12" customWidth="1"/>
    <col min="1807" max="1807" width="7.7109375" style="12" customWidth="1"/>
    <col min="1808" max="1808" width="8.7109375" style="12" customWidth="1"/>
    <col min="1809" max="2048" width="9.140625" style="12"/>
    <col min="2049" max="2049" width="18.140625" style="12" customWidth="1"/>
    <col min="2050" max="2050" width="15.85546875" style="12" customWidth="1"/>
    <col min="2051" max="2052" width="6.7109375" style="12" customWidth="1"/>
    <col min="2053" max="2053" width="5.7109375" style="12" customWidth="1"/>
    <col min="2054" max="2054" width="7" style="12" customWidth="1"/>
    <col min="2055" max="2055" width="5.7109375" style="12" customWidth="1"/>
    <col min="2056" max="2056" width="7.7109375" style="12" customWidth="1"/>
    <col min="2057" max="2057" width="8.7109375" style="12" customWidth="1"/>
    <col min="2058" max="2058" width="7.7109375" style="12" customWidth="1"/>
    <col min="2059" max="2059" width="8.7109375" style="12" customWidth="1"/>
    <col min="2060" max="2060" width="16.28515625" style="12" customWidth="1"/>
    <col min="2061" max="2061" width="7.7109375" style="12" customWidth="1"/>
    <col min="2062" max="2062" width="8" style="12" customWidth="1"/>
    <col min="2063" max="2063" width="7.7109375" style="12" customWidth="1"/>
    <col min="2064" max="2064" width="8.7109375" style="12" customWidth="1"/>
    <col min="2065" max="2304" width="9.140625" style="12"/>
    <col min="2305" max="2305" width="18.140625" style="12" customWidth="1"/>
    <col min="2306" max="2306" width="15.85546875" style="12" customWidth="1"/>
    <col min="2307" max="2308" width="6.7109375" style="12" customWidth="1"/>
    <col min="2309" max="2309" width="5.7109375" style="12" customWidth="1"/>
    <col min="2310" max="2310" width="7" style="12" customWidth="1"/>
    <col min="2311" max="2311" width="5.7109375" style="12" customWidth="1"/>
    <col min="2312" max="2312" width="7.7109375" style="12" customWidth="1"/>
    <col min="2313" max="2313" width="8.7109375" style="12" customWidth="1"/>
    <col min="2314" max="2314" width="7.7109375" style="12" customWidth="1"/>
    <col min="2315" max="2315" width="8.7109375" style="12" customWidth="1"/>
    <col min="2316" max="2316" width="16.28515625" style="12" customWidth="1"/>
    <col min="2317" max="2317" width="7.7109375" style="12" customWidth="1"/>
    <col min="2318" max="2318" width="8" style="12" customWidth="1"/>
    <col min="2319" max="2319" width="7.7109375" style="12" customWidth="1"/>
    <col min="2320" max="2320" width="8.7109375" style="12" customWidth="1"/>
    <col min="2321" max="2560" width="9.140625" style="12"/>
    <col min="2561" max="2561" width="18.140625" style="12" customWidth="1"/>
    <col min="2562" max="2562" width="15.85546875" style="12" customWidth="1"/>
    <col min="2563" max="2564" width="6.7109375" style="12" customWidth="1"/>
    <col min="2565" max="2565" width="5.7109375" style="12" customWidth="1"/>
    <col min="2566" max="2566" width="7" style="12" customWidth="1"/>
    <col min="2567" max="2567" width="5.7109375" style="12" customWidth="1"/>
    <col min="2568" max="2568" width="7.7109375" style="12" customWidth="1"/>
    <col min="2569" max="2569" width="8.7109375" style="12" customWidth="1"/>
    <col min="2570" max="2570" width="7.7109375" style="12" customWidth="1"/>
    <col min="2571" max="2571" width="8.7109375" style="12" customWidth="1"/>
    <col min="2572" max="2572" width="16.28515625" style="12" customWidth="1"/>
    <col min="2573" max="2573" width="7.7109375" style="12" customWidth="1"/>
    <col min="2574" max="2574" width="8" style="12" customWidth="1"/>
    <col min="2575" max="2575" width="7.7109375" style="12" customWidth="1"/>
    <col min="2576" max="2576" width="8.7109375" style="12" customWidth="1"/>
    <col min="2577" max="2816" width="9.140625" style="12"/>
    <col min="2817" max="2817" width="18.140625" style="12" customWidth="1"/>
    <col min="2818" max="2818" width="15.85546875" style="12" customWidth="1"/>
    <col min="2819" max="2820" width="6.7109375" style="12" customWidth="1"/>
    <col min="2821" max="2821" width="5.7109375" style="12" customWidth="1"/>
    <col min="2822" max="2822" width="7" style="12" customWidth="1"/>
    <col min="2823" max="2823" width="5.7109375" style="12" customWidth="1"/>
    <col min="2824" max="2824" width="7.7109375" style="12" customWidth="1"/>
    <col min="2825" max="2825" width="8.7109375" style="12" customWidth="1"/>
    <col min="2826" max="2826" width="7.7109375" style="12" customWidth="1"/>
    <col min="2827" max="2827" width="8.7109375" style="12" customWidth="1"/>
    <col min="2828" max="2828" width="16.28515625" style="12" customWidth="1"/>
    <col min="2829" max="2829" width="7.7109375" style="12" customWidth="1"/>
    <col min="2830" max="2830" width="8" style="12" customWidth="1"/>
    <col min="2831" max="2831" width="7.7109375" style="12" customWidth="1"/>
    <col min="2832" max="2832" width="8.7109375" style="12" customWidth="1"/>
    <col min="2833" max="3072" width="9.140625" style="12"/>
    <col min="3073" max="3073" width="18.140625" style="12" customWidth="1"/>
    <col min="3074" max="3074" width="15.85546875" style="12" customWidth="1"/>
    <col min="3075" max="3076" width="6.7109375" style="12" customWidth="1"/>
    <col min="3077" max="3077" width="5.7109375" style="12" customWidth="1"/>
    <col min="3078" max="3078" width="7" style="12" customWidth="1"/>
    <col min="3079" max="3079" width="5.7109375" style="12" customWidth="1"/>
    <col min="3080" max="3080" width="7.7109375" style="12" customWidth="1"/>
    <col min="3081" max="3081" width="8.7109375" style="12" customWidth="1"/>
    <col min="3082" max="3082" width="7.7109375" style="12" customWidth="1"/>
    <col min="3083" max="3083" width="8.7109375" style="12" customWidth="1"/>
    <col min="3084" max="3084" width="16.28515625" style="12" customWidth="1"/>
    <col min="3085" max="3085" width="7.7109375" style="12" customWidth="1"/>
    <col min="3086" max="3086" width="8" style="12" customWidth="1"/>
    <col min="3087" max="3087" width="7.7109375" style="12" customWidth="1"/>
    <col min="3088" max="3088" width="8.7109375" style="12" customWidth="1"/>
    <col min="3089" max="3328" width="9.140625" style="12"/>
    <col min="3329" max="3329" width="18.140625" style="12" customWidth="1"/>
    <col min="3330" max="3330" width="15.85546875" style="12" customWidth="1"/>
    <col min="3331" max="3332" width="6.7109375" style="12" customWidth="1"/>
    <col min="3333" max="3333" width="5.7109375" style="12" customWidth="1"/>
    <col min="3334" max="3334" width="7" style="12" customWidth="1"/>
    <col min="3335" max="3335" width="5.7109375" style="12" customWidth="1"/>
    <col min="3336" max="3336" width="7.7109375" style="12" customWidth="1"/>
    <col min="3337" max="3337" width="8.7109375" style="12" customWidth="1"/>
    <col min="3338" max="3338" width="7.7109375" style="12" customWidth="1"/>
    <col min="3339" max="3339" width="8.7109375" style="12" customWidth="1"/>
    <col min="3340" max="3340" width="16.28515625" style="12" customWidth="1"/>
    <col min="3341" max="3341" width="7.7109375" style="12" customWidth="1"/>
    <col min="3342" max="3342" width="8" style="12" customWidth="1"/>
    <col min="3343" max="3343" width="7.7109375" style="12" customWidth="1"/>
    <col min="3344" max="3344" width="8.7109375" style="12" customWidth="1"/>
    <col min="3345" max="3584" width="9.140625" style="12"/>
    <col min="3585" max="3585" width="18.140625" style="12" customWidth="1"/>
    <col min="3586" max="3586" width="15.85546875" style="12" customWidth="1"/>
    <col min="3587" max="3588" width="6.7109375" style="12" customWidth="1"/>
    <col min="3589" max="3589" width="5.7109375" style="12" customWidth="1"/>
    <col min="3590" max="3590" width="7" style="12" customWidth="1"/>
    <col min="3591" max="3591" width="5.7109375" style="12" customWidth="1"/>
    <col min="3592" max="3592" width="7.7109375" style="12" customWidth="1"/>
    <col min="3593" max="3593" width="8.7109375" style="12" customWidth="1"/>
    <col min="3594" max="3594" width="7.7109375" style="12" customWidth="1"/>
    <col min="3595" max="3595" width="8.7109375" style="12" customWidth="1"/>
    <col min="3596" max="3596" width="16.28515625" style="12" customWidth="1"/>
    <col min="3597" max="3597" width="7.7109375" style="12" customWidth="1"/>
    <col min="3598" max="3598" width="8" style="12" customWidth="1"/>
    <col min="3599" max="3599" width="7.7109375" style="12" customWidth="1"/>
    <col min="3600" max="3600" width="8.7109375" style="12" customWidth="1"/>
    <col min="3601" max="3840" width="9.140625" style="12"/>
    <col min="3841" max="3841" width="18.140625" style="12" customWidth="1"/>
    <col min="3842" max="3842" width="15.85546875" style="12" customWidth="1"/>
    <col min="3843" max="3844" width="6.7109375" style="12" customWidth="1"/>
    <col min="3845" max="3845" width="5.7109375" style="12" customWidth="1"/>
    <col min="3846" max="3846" width="7" style="12" customWidth="1"/>
    <col min="3847" max="3847" width="5.7109375" style="12" customWidth="1"/>
    <col min="3848" max="3848" width="7.7109375" style="12" customWidth="1"/>
    <col min="3849" max="3849" width="8.7109375" style="12" customWidth="1"/>
    <col min="3850" max="3850" width="7.7109375" style="12" customWidth="1"/>
    <col min="3851" max="3851" width="8.7109375" style="12" customWidth="1"/>
    <col min="3852" max="3852" width="16.28515625" style="12" customWidth="1"/>
    <col min="3853" max="3853" width="7.7109375" style="12" customWidth="1"/>
    <col min="3854" max="3854" width="8" style="12" customWidth="1"/>
    <col min="3855" max="3855" width="7.7109375" style="12" customWidth="1"/>
    <col min="3856" max="3856" width="8.7109375" style="12" customWidth="1"/>
    <col min="3857" max="4096" width="9.140625" style="12"/>
    <col min="4097" max="4097" width="18.140625" style="12" customWidth="1"/>
    <col min="4098" max="4098" width="15.85546875" style="12" customWidth="1"/>
    <col min="4099" max="4100" width="6.7109375" style="12" customWidth="1"/>
    <col min="4101" max="4101" width="5.7109375" style="12" customWidth="1"/>
    <col min="4102" max="4102" width="7" style="12" customWidth="1"/>
    <col min="4103" max="4103" width="5.7109375" style="12" customWidth="1"/>
    <col min="4104" max="4104" width="7.7109375" style="12" customWidth="1"/>
    <col min="4105" max="4105" width="8.7109375" style="12" customWidth="1"/>
    <col min="4106" max="4106" width="7.7109375" style="12" customWidth="1"/>
    <col min="4107" max="4107" width="8.7109375" style="12" customWidth="1"/>
    <col min="4108" max="4108" width="16.28515625" style="12" customWidth="1"/>
    <col min="4109" max="4109" width="7.7109375" style="12" customWidth="1"/>
    <col min="4110" max="4110" width="8" style="12" customWidth="1"/>
    <col min="4111" max="4111" width="7.7109375" style="12" customWidth="1"/>
    <col min="4112" max="4112" width="8.7109375" style="12" customWidth="1"/>
    <col min="4113" max="4352" width="9.140625" style="12"/>
    <col min="4353" max="4353" width="18.140625" style="12" customWidth="1"/>
    <col min="4354" max="4354" width="15.85546875" style="12" customWidth="1"/>
    <col min="4355" max="4356" width="6.7109375" style="12" customWidth="1"/>
    <col min="4357" max="4357" width="5.7109375" style="12" customWidth="1"/>
    <col min="4358" max="4358" width="7" style="12" customWidth="1"/>
    <col min="4359" max="4359" width="5.7109375" style="12" customWidth="1"/>
    <col min="4360" max="4360" width="7.7109375" style="12" customWidth="1"/>
    <col min="4361" max="4361" width="8.7109375" style="12" customWidth="1"/>
    <col min="4362" max="4362" width="7.7109375" style="12" customWidth="1"/>
    <col min="4363" max="4363" width="8.7109375" style="12" customWidth="1"/>
    <col min="4364" max="4364" width="16.28515625" style="12" customWidth="1"/>
    <col min="4365" max="4365" width="7.7109375" style="12" customWidth="1"/>
    <col min="4366" max="4366" width="8" style="12" customWidth="1"/>
    <col min="4367" max="4367" width="7.7109375" style="12" customWidth="1"/>
    <col min="4368" max="4368" width="8.7109375" style="12" customWidth="1"/>
    <col min="4369" max="4608" width="9.140625" style="12"/>
    <col min="4609" max="4609" width="18.140625" style="12" customWidth="1"/>
    <col min="4610" max="4610" width="15.85546875" style="12" customWidth="1"/>
    <col min="4611" max="4612" width="6.7109375" style="12" customWidth="1"/>
    <col min="4613" max="4613" width="5.7109375" style="12" customWidth="1"/>
    <col min="4614" max="4614" width="7" style="12" customWidth="1"/>
    <col min="4615" max="4615" width="5.7109375" style="12" customWidth="1"/>
    <col min="4616" max="4616" width="7.7109375" style="12" customWidth="1"/>
    <col min="4617" max="4617" width="8.7109375" style="12" customWidth="1"/>
    <col min="4618" max="4618" width="7.7109375" style="12" customWidth="1"/>
    <col min="4619" max="4619" width="8.7109375" style="12" customWidth="1"/>
    <col min="4620" max="4620" width="16.28515625" style="12" customWidth="1"/>
    <col min="4621" max="4621" width="7.7109375" style="12" customWidth="1"/>
    <col min="4622" max="4622" width="8" style="12" customWidth="1"/>
    <col min="4623" max="4623" width="7.7109375" style="12" customWidth="1"/>
    <col min="4624" max="4624" width="8.7109375" style="12" customWidth="1"/>
    <col min="4625" max="4864" width="9.140625" style="12"/>
    <col min="4865" max="4865" width="18.140625" style="12" customWidth="1"/>
    <col min="4866" max="4866" width="15.85546875" style="12" customWidth="1"/>
    <col min="4867" max="4868" width="6.7109375" style="12" customWidth="1"/>
    <col min="4869" max="4869" width="5.7109375" style="12" customWidth="1"/>
    <col min="4870" max="4870" width="7" style="12" customWidth="1"/>
    <col min="4871" max="4871" width="5.7109375" style="12" customWidth="1"/>
    <col min="4872" max="4872" width="7.7109375" style="12" customWidth="1"/>
    <col min="4873" max="4873" width="8.7109375" style="12" customWidth="1"/>
    <col min="4874" max="4874" width="7.7109375" style="12" customWidth="1"/>
    <col min="4875" max="4875" width="8.7109375" style="12" customWidth="1"/>
    <col min="4876" max="4876" width="16.28515625" style="12" customWidth="1"/>
    <col min="4877" max="4877" width="7.7109375" style="12" customWidth="1"/>
    <col min="4878" max="4878" width="8" style="12" customWidth="1"/>
    <col min="4879" max="4879" width="7.7109375" style="12" customWidth="1"/>
    <col min="4880" max="4880" width="8.7109375" style="12" customWidth="1"/>
    <col min="4881" max="5120" width="9.140625" style="12"/>
    <col min="5121" max="5121" width="18.140625" style="12" customWidth="1"/>
    <col min="5122" max="5122" width="15.85546875" style="12" customWidth="1"/>
    <col min="5123" max="5124" width="6.7109375" style="12" customWidth="1"/>
    <col min="5125" max="5125" width="5.7109375" style="12" customWidth="1"/>
    <col min="5126" max="5126" width="7" style="12" customWidth="1"/>
    <col min="5127" max="5127" width="5.7109375" style="12" customWidth="1"/>
    <col min="5128" max="5128" width="7.7109375" style="12" customWidth="1"/>
    <col min="5129" max="5129" width="8.7109375" style="12" customWidth="1"/>
    <col min="5130" max="5130" width="7.7109375" style="12" customWidth="1"/>
    <col min="5131" max="5131" width="8.7109375" style="12" customWidth="1"/>
    <col min="5132" max="5132" width="16.28515625" style="12" customWidth="1"/>
    <col min="5133" max="5133" width="7.7109375" style="12" customWidth="1"/>
    <col min="5134" max="5134" width="8" style="12" customWidth="1"/>
    <col min="5135" max="5135" width="7.7109375" style="12" customWidth="1"/>
    <col min="5136" max="5136" width="8.7109375" style="12" customWidth="1"/>
    <col min="5137" max="5376" width="9.140625" style="12"/>
    <col min="5377" max="5377" width="18.140625" style="12" customWidth="1"/>
    <col min="5378" max="5378" width="15.85546875" style="12" customWidth="1"/>
    <col min="5379" max="5380" width="6.7109375" style="12" customWidth="1"/>
    <col min="5381" max="5381" width="5.7109375" style="12" customWidth="1"/>
    <col min="5382" max="5382" width="7" style="12" customWidth="1"/>
    <col min="5383" max="5383" width="5.7109375" style="12" customWidth="1"/>
    <col min="5384" max="5384" width="7.7109375" style="12" customWidth="1"/>
    <col min="5385" max="5385" width="8.7109375" style="12" customWidth="1"/>
    <col min="5386" max="5386" width="7.7109375" style="12" customWidth="1"/>
    <col min="5387" max="5387" width="8.7109375" style="12" customWidth="1"/>
    <col min="5388" max="5388" width="16.28515625" style="12" customWidth="1"/>
    <col min="5389" max="5389" width="7.7109375" style="12" customWidth="1"/>
    <col min="5390" max="5390" width="8" style="12" customWidth="1"/>
    <col min="5391" max="5391" width="7.7109375" style="12" customWidth="1"/>
    <col min="5392" max="5392" width="8.7109375" style="12" customWidth="1"/>
    <col min="5393" max="5632" width="9.140625" style="12"/>
    <col min="5633" max="5633" width="18.140625" style="12" customWidth="1"/>
    <col min="5634" max="5634" width="15.85546875" style="12" customWidth="1"/>
    <col min="5635" max="5636" width="6.7109375" style="12" customWidth="1"/>
    <col min="5637" max="5637" width="5.7109375" style="12" customWidth="1"/>
    <col min="5638" max="5638" width="7" style="12" customWidth="1"/>
    <col min="5639" max="5639" width="5.7109375" style="12" customWidth="1"/>
    <col min="5640" max="5640" width="7.7109375" style="12" customWidth="1"/>
    <col min="5641" max="5641" width="8.7109375" style="12" customWidth="1"/>
    <col min="5642" max="5642" width="7.7109375" style="12" customWidth="1"/>
    <col min="5643" max="5643" width="8.7109375" style="12" customWidth="1"/>
    <col min="5644" max="5644" width="16.28515625" style="12" customWidth="1"/>
    <col min="5645" max="5645" width="7.7109375" style="12" customWidth="1"/>
    <col min="5646" max="5646" width="8" style="12" customWidth="1"/>
    <col min="5647" max="5647" width="7.7109375" style="12" customWidth="1"/>
    <col min="5648" max="5648" width="8.7109375" style="12" customWidth="1"/>
    <col min="5649" max="5888" width="9.140625" style="12"/>
    <col min="5889" max="5889" width="18.140625" style="12" customWidth="1"/>
    <col min="5890" max="5890" width="15.85546875" style="12" customWidth="1"/>
    <col min="5891" max="5892" width="6.7109375" style="12" customWidth="1"/>
    <col min="5893" max="5893" width="5.7109375" style="12" customWidth="1"/>
    <col min="5894" max="5894" width="7" style="12" customWidth="1"/>
    <col min="5895" max="5895" width="5.7109375" style="12" customWidth="1"/>
    <col min="5896" max="5896" width="7.7109375" style="12" customWidth="1"/>
    <col min="5897" max="5897" width="8.7109375" style="12" customWidth="1"/>
    <col min="5898" max="5898" width="7.7109375" style="12" customWidth="1"/>
    <col min="5899" max="5899" width="8.7109375" style="12" customWidth="1"/>
    <col min="5900" max="5900" width="16.28515625" style="12" customWidth="1"/>
    <col min="5901" max="5901" width="7.7109375" style="12" customWidth="1"/>
    <col min="5902" max="5902" width="8" style="12" customWidth="1"/>
    <col min="5903" max="5903" width="7.7109375" style="12" customWidth="1"/>
    <col min="5904" max="5904" width="8.7109375" style="12" customWidth="1"/>
    <col min="5905" max="6144" width="9.140625" style="12"/>
    <col min="6145" max="6145" width="18.140625" style="12" customWidth="1"/>
    <col min="6146" max="6146" width="15.85546875" style="12" customWidth="1"/>
    <col min="6147" max="6148" width="6.7109375" style="12" customWidth="1"/>
    <col min="6149" max="6149" width="5.7109375" style="12" customWidth="1"/>
    <col min="6150" max="6150" width="7" style="12" customWidth="1"/>
    <col min="6151" max="6151" width="5.7109375" style="12" customWidth="1"/>
    <col min="6152" max="6152" width="7.7109375" style="12" customWidth="1"/>
    <col min="6153" max="6153" width="8.7109375" style="12" customWidth="1"/>
    <col min="6154" max="6154" width="7.7109375" style="12" customWidth="1"/>
    <col min="6155" max="6155" width="8.7109375" style="12" customWidth="1"/>
    <col min="6156" max="6156" width="16.28515625" style="12" customWidth="1"/>
    <col min="6157" max="6157" width="7.7109375" style="12" customWidth="1"/>
    <col min="6158" max="6158" width="8" style="12" customWidth="1"/>
    <col min="6159" max="6159" width="7.7109375" style="12" customWidth="1"/>
    <col min="6160" max="6160" width="8.7109375" style="12" customWidth="1"/>
    <col min="6161" max="6400" width="9.140625" style="12"/>
    <col min="6401" max="6401" width="18.140625" style="12" customWidth="1"/>
    <col min="6402" max="6402" width="15.85546875" style="12" customWidth="1"/>
    <col min="6403" max="6404" width="6.7109375" style="12" customWidth="1"/>
    <col min="6405" max="6405" width="5.7109375" style="12" customWidth="1"/>
    <col min="6406" max="6406" width="7" style="12" customWidth="1"/>
    <col min="6407" max="6407" width="5.7109375" style="12" customWidth="1"/>
    <col min="6408" max="6408" width="7.7109375" style="12" customWidth="1"/>
    <col min="6409" max="6409" width="8.7109375" style="12" customWidth="1"/>
    <col min="6410" max="6410" width="7.7109375" style="12" customWidth="1"/>
    <col min="6411" max="6411" width="8.7109375" style="12" customWidth="1"/>
    <col min="6412" max="6412" width="16.28515625" style="12" customWidth="1"/>
    <col min="6413" max="6413" width="7.7109375" style="12" customWidth="1"/>
    <col min="6414" max="6414" width="8" style="12" customWidth="1"/>
    <col min="6415" max="6415" width="7.7109375" style="12" customWidth="1"/>
    <col min="6416" max="6416" width="8.7109375" style="12" customWidth="1"/>
    <col min="6417" max="6656" width="9.140625" style="12"/>
    <col min="6657" max="6657" width="18.140625" style="12" customWidth="1"/>
    <col min="6658" max="6658" width="15.85546875" style="12" customWidth="1"/>
    <col min="6659" max="6660" width="6.7109375" style="12" customWidth="1"/>
    <col min="6661" max="6661" width="5.7109375" style="12" customWidth="1"/>
    <col min="6662" max="6662" width="7" style="12" customWidth="1"/>
    <col min="6663" max="6663" width="5.7109375" style="12" customWidth="1"/>
    <col min="6664" max="6664" width="7.7109375" style="12" customWidth="1"/>
    <col min="6665" max="6665" width="8.7109375" style="12" customWidth="1"/>
    <col min="6666" max="6666" width="7.7109375" style="12" customWidth="1"/>
    <col min="6667" max="6667" width="8.7109375" style="12" customWidth="1"/>
    <col min="6668" max="6668" width="16.28515625" style="12" customWidth="1"/>
    <col min="6669" max="6669" width="7.7109375" style="12" customWidth="1"/>
    <col min="6670" max="6670" width="8" style="12" customWidth="1"/>
    <col min="6671" max="6671" width="7.7109375" style="12" customWidth="1"/>
    <col min="6672" max="6672" width="8.7109375" style="12" customWidth="1"/>
    <col min="6673" max="6912" width="9.140625" style="12"/>
    <col min="6913" max="6913" width="18.140625" style="12" customWidth="1"/>
    <col min="6914" max="6914" width="15.85546875" style="12" customWidth="1"/>
    <col min="6915" max="6916" width="6.7109375" style="12" customWidth="1"/>
    <col min="6917" max="6917" width="5.7109375" style="12" customWidth="1"/>
    <col min="6918" max="6918" width="7" style="12" customWidth="1"/>
    <col min="6919" max="6919" width="5.7109375" style="12" customWidth="1"/>
    <col min="6920" max="6920" width="7.7109375" style="12" customWidth="1"/>
    <col min="6921" max="6921" width="8.7109375" style="12" customWidth="1"/>
    <col min="6922" max="6922" width="7.7109375" style="12" customWidth="1"/>
    <col min="6923" max="6923" width="8.7109375" style="12" customWidth="1"/>
    <col min="6924" max="6924" width="16.28515625" style="12" customWidth="1"/>
    <col min="6925" max="6925" width="7.7109375" style="12" customWidth="1"/>
    <col min="6926" max="6926" width="8" style="12" customWidth="1"/>
    <col min="6927" max="6927" width="7.7109375" style="12" customWidth="1"/>
    <col min="6928" max="6928" width="8.7109375" style="12" customWidth="1"/>
    <col min="6929" max="7168" width="9.140625" style="12"/>
    <col min="7169" max="7169" width="18.140625" style="12" customWidth="1"/>
    <col min="7170" max="7170" width="15.85546875" style="12" customWidth="1"/>
    <col min="7171" max="7172" width="6.7109375" style="12" customWidth="1"/>
    <col min="7173" max="7173" width="5.7109375" style="12" customWidth="1"/>
    <col min="7174" max="7174" width="7" style="12" customWidth="1"/>
    <col min="7175" max="7175" width="5.7109375" style="12" customWidth="1"/>
    <col min="7176" max="7176" width="7.7109375" style="12" customWidth="1"/>
    <col min="7177" max="7177" width="8.7109375" style="12" customWidth="1"/>
    <col min="7178" max="7178" width="7.7109375" style="12" customWidth="1"/>
    <col min="7179" max="7179" width="8.7109375" style="12" customWidth="1"/>
    <col min="7180" max="7180" width="16.28515625" style="12" customWidth="1"/>
    <col min="7181" max="7181" width="7.7109375" style="12" customWidth="1"/>
    <col min="7182" max="7182" width="8" style="12" customWidth="1"/>
    <col min="7183" max="7183" width="7.7109375" style="12" customWidth="1"/>
    <col min="7184" max="7184" width="8.7109375" style="12" customWidth="1"/>
    <col min="7185" max="7424" width="9.140625" style="12"/>
    <col min="7425" max="7425" width="18.140625" style="12" customWidth="1"/>
    <col min="7426" max="7426" width="15.85546875" style="12" customWidth="1"/>
    <col min="7427" max="7428" width="6.7109375" style="12" customWidth="1"/>
    <col min="7429" max="7429" width="5.7109375" style="12" customWidth="1"/>
    <col min="7430" max="7430" width="7" style="12" customWidth="1"/>
    <col min="7431" max="7431" width="5.7109375" style="12" customWidth="1"/>
    <col min="7432" max="7432" width="7.7109375" style="12" customWidth="1"/>
    <col min="7433" max="7433" width="8.7109375" style="12" customWidth="1"/>
    <col min="7434" max="7434" width="7.7109375" style="12" customWidth="1"/>
    <col min="7435" max="7435" width="8.7109375" style="12" customWidth="1"/>
    <col min="7436" max="7436" width="16.28515625" style="12" customWidth="1"/>
    <col min="7437" max="7437" width="7.7109375" style="12" customWidth="1"/>
    <col min="7438" max="7438" width="8" style="12" customWidth="1"/>
    <col min="7439" max="7439" width="7.7109375" style="12" customWidth="1"/>
    <col min="7440" max="7440" width="8.7109375" style="12" customWidth="1"/>
    <col min="7441" max="7680" width="9.140625" style="12"/>
    <col min="7681" max="7681" width="18.140625" style="12" customWidth="1"/>
    <col min="7682" max="7682" width="15.85546875" style="12" customWidth="1"/>
    <col min="7683" max="7684" width="6.7109375" style="12" customWidth="1"/>
    <col min="7685" max="7685" width="5.7109375" style="12" customWidth="1"/>
    <col min="7686" max="7686" width="7" style="12" customWidth="1"/>
    <col min="7687" max="7687" width="5.7109375" style="12" customWidth="1"/>
    <col min="7688" max="7688" width="7.7109375" style="12" customWidth="1"/>
    <col min="7689" max="7689" width="8.7109375" style="12" customWidth="1"/>
    <col min="7690" max="7690" width="7.7109375" style="12" customWidth="1"/>
    <col min="7691" max="7691" width="8.7109375" style="12" customWidth="1"/>
    <col min="7692" max="7692" width="16.28515625" style="12" customWidth="1"/>
    <col min="7693" max="7693" width="7.7109375" style="12" customWidth="1"/>
    <col min="7694" max="7694" width="8" style="12" customWidth="1"/>
    <col min="7695" max="7695" width="7.7109375" style="12" customWidth="1"/>
    <col min="7696" max="7696" width="8.7109375" style="12" customWidth="1"/>
    <col min="7697" max="7936" width="9.140625" style="12"/>
    <col min="7937" max="7937" width="18.140625" style="12" customWidth="1"/>
    <col min="7938" max="7938" width="15.85546875" style="12" customWidth="1"/>
    <col min="7939" max="7940" width="6.7109375" style="12" customWidth="1"/>
    <col min="7941" max="7941" width="5.7109375" style="12" customWidth="1"/>
    <col min="7942" max="7942" width="7" style="12" customWidth="1"/>
    <col min="7943" max="7943" width="5.7109375" style="12" customWidth="1"/>
    <col min="7944" max="7944" width="7.7109375" style="12" customWidth="1"/>
    <col min="7945" max="7945" width="8.7109375" style="12" customWidth="1"/>
    <col min="7946" max="7946" width="7.7109375" style="12" customWidth="1"/>
    <col min="7947" max="7947" width="8.7109375" style="12" customWidth="1"/>
    <col min="7948" max="7948" width="16.28515625" style="12" customWidth="1"/>
    <col min="7949" max="7949" width="7.7109375" style="12" customWidth="1"/>
    <col min="7950" max="7950" width="8" style="12" customWidth="1"/>
    <col min="7951" max="7951" width="7.7109375" style="12" customWidth="1"/>
    <col min="7952" max="7952" width="8.7109375" style="12" customWidth="1"/>
    <col min="7953" max="8192" width="9.140625" style="12"/>
    <col min="8193" max="8193" width="18.140625" style="12" customWidth="1"/>
    <col min="8194" max="8194" width="15.85546875" style="12" customWidth="1"/>
    <col min="8195" max="8196" width="6.7109375" style="12" customWidth="1"/>
    <col min="8197" max="8197" width="5.7109375" style="12" customWidth="1"/>
    <col min="8198" max="8198" width="7" style="12" customWidth="1"/>
    <col min="8199" max="8199" width="5.7109375" style="12" customWidth="1"/>
    <col min="8200" max="8200" width="7.7109375" style="12" customWidth="1"/>
    <col min="8201" max="8201" width="8.7109375" style="12" customWidth="1"/>
    <col min="8202" max="8202" width="7.7109375" style="12" customWidth="1"/>
    <col min="8203" max="8203" width="8.7109375" style="12" customWidth="1"/>
    <col min="8204" max="8204" width="16.28515625" style="12" customWidth="1"/>
    <col min="8205" max="8205" width="7.7109375" style="12" customWidth="1"/>
    <col min="8206" max="8206" width="8" style="12" customWidth="1"/>
    <col min="8207" max="8207" width="7.7109375" style="12" customWidth="1"/>
    <col min="8208" max="8208" width="8.7109375" style="12" customWidth="1"/>
    <col min="8209" max="8448" width="9.140625" style="12"/>
    <col min="8449" max="8449" width="18.140625" style="12" customWidth="1"/>
    <col min="8450" max="8450" width="15.85546875" style="12" customWidth="1"/>
    <col min="8451" max="8452" width="6.7109375" style="12" customWidth="1"/>
    <col min="8453" max="8453" width="5.7109375" style="12" customWidth="1"/>
    <col min="8454" max="8454" width="7" style="12" customWidth="1"/>
    <col min="8455" max="8455" width="5.7109375" style="12" customWidth="1"/>
    <col min="8456" max="8456" width="7.7109375" style="12" customWidth="1"/>
    <col min="8457" max="8457" width="8.7109375" style="12" customWidth="1"/>
    <col min="8458" max="8458" width="7.7109375" style="12" customWidth="1"/>
    <col min="8459" max="8459" width="8.7109375" style="12" customWidth="1"/>
    <col min="8460" max="8460" width="16.28515625" style="12" customWidth="1"/>
    <col min="8461" max="8461" width="7.7109375" style="12" customWidth="1"/>
    <col min="8462" max="8462" width="8" style="12" customWidth="1"/>
    <col min="8463" max="8463" width="7.7109375" style="12" customWidth="1"/>
    <col min="8464" max="8464" width="8.7109375" style="12" customWidth="1"/>
    <col min="8465" max="8704" width="9.140625" style="12"/>
    <col min="8705" max="8705" width="18.140625" style="12" customWidth="1"/>
    <col min="8706" max="8706" width="15.85546875" style="12" customWidth="1"/>
    <col min="8707" max="8708" width="6.7109375" style="12" customWidth="1"/>
    <col min="8709" max="8709" width="5.7109375" style="12" customWidth="1"/>
    <col min="8710" max="8710" width="7" style="12" customWidth="1"/>
    <col min="8711" max="8711" width="5.7109375" style="12" customWidth="1"/>
    <col min="8712" max="8712" width="7.7109375" style="12" customWidth="1"/>
    <col min="8713" max="8713" width="8.7109375" style="12" customWidth="1"/>
    <col min="8714" max="8714" width="7.7109375" style="12" customWidth="1"/>
    <col min="8715" max="8715" width="8.7109375" style="12" customWidth="1"/>
    <col min="8716" max="8716" width="16.28515625" style="12" customWidth="1"/>
    <col min="8717" max="8717" width="7.7109375" style="12" customWidth="1"/>
    <col min="8718" max="8718" width="8" style="12" customWidth="1"/>
    <col min="8719" max="8719" width="7.7109375" style="12" customWidth="1"/>
    <col min="8720" max="8720" width="8.7109375" style="12" customWidth="1"/>
    <col min="8721" max="8960" width="9.140625" style="12"/>
    <col min="8961" max="8961" width="18.140625" style="12" customWidth="1"/>
    <col min="8962" max="8962" width="15.85546875" style="12" customWidth="1"/>
    <col min="8963" max="8964" width="6.7109375" style="12" customWidth="1"/>
    <col min="8965" max="8965" width="5.7109375" style="12" customWidth="1"/>
    <col min="8966" max="8966" width="7" style="12" customWidth="1"/>
    <col min="8967" max="8967" width="5.7109375" style="12" customWidth="1"/>
    <col min="8968" max="8968" width="7.7109375" style="12" customWidth="1"/>
    <col min="8969" max="8969" width="8.7109375" style="12" customWidth="1"/>
    <col min="8970" max="8970" width="7.7109375" style="12" customWidth="1"/>
    <col min="8971" max="8971" width="8.7109375" style="12" customWidth="1"/>
    <col min="8972" max="8972" width="16.28515625" style="12" customWidth="1"/>
    <col min="8973" max="8973" width="7.7109375" style="12" customWidth="1"/>
    <col min="8974" max="8974" width="8" style="12" customWidth="1"/>
    <col min="8975" max="8975" width="7.7109375" style="12" customWidth="1"/>
    <col min="8976" max="8976" width="8.7109375" style="12" customWidth="1"/>
    <col min="8977" max="9216" width="9.140625" style="12"/>
    <col min="9217" max="9217" width="18.140625" style="12" customWidth="1"/>
    <col min="9218" max="9218" width="15.85546875" style="12" customWidth="1"/>
    <col min="9219" max="9220" width="6.7109375" style="12" customWidth="1"/>
    <col min="9221" max="9221" width="5.7109375" style="12" customWidth="1"/>
    <col min="9222" max="9222" width="7" style="12" customWidth="1"/>
    <col min="9223" max="9223" width="5.7109375" style="12" customWidth="1"/>
    <col min="9224" max="9224" width="7.7109375" style="12" customWidth="1"/>
    <col min="9225" max="9225" width="8.7109375" style="12" customWidth="1"/>
    <col min="9226" max="9226" width="7.7109375" style="12" customWidth="1"/>
    <col min="9227" max="9227" width="8.7109375" style="12" customWidth="1"/>
    <col min="9228" max="9228" width="16.28515625" style="12" customWidth="1"/>
    <col min="9229" max="9229" width="7.7109375" style="12" customWidth="1"/>
    <col min="9230" max="9230" width="8" style="12" customWidth="1"/>
    <col min="9231" max="9231" width="7.7109375" style="12" customWidth="1"/>
    <col min="9232" max="9232" width="8.7109375" style="12" customWidth="1"/>
    <col min="9233" max="9472" width="9.140625" style="12"/>
    <col min="9473" max="9473" width="18.140625" style="12" customWidth="1"/>
    <col min="9474" max="9474" width="15.85546875" style="12" customWidth="1"/>
    <col min="9475" max="9476" width="6.7109375" style="12" customWidth="1"/>
    <col min="9477" max="9477" width="5.7109375" style="12" customWidth="1"/>
    <col min="9478" max="9478" width="7" style="12" customWidth="1"/>
    <col min="9479" max="9479" width="5.7109375" style="12" customWidth="1"/>
    <col min="9480" max="9480" width="7.7109375" style="12" customWidth="1"/>
    <col min="9481" max="9481" width="8.7109375" style="12" customWidth="1"/>
    <col min="9482" max="9482" width="7.7109375" style="12" customWidth="1"/>
    <col min="9483" max="9483" width="8.7109375" style="12" customWidth="1"/>
    <col min="9484" max="9484" width="16.28515625" style="12" customWidth="1"/>
    <col min="9485" max="9485" width="7.7109375" style="12" customWidth="1"/>
    <col min="9486" max="9486" width="8" style="12" customWidth="1"/>
    <col min="9487" max="9487" width="7.7109375" style="12" customWidth="1"/>
    <col min="9488" max="9488" width="8.7109375" style="12" customWidth="1"/>
    <col min="9489" max="9728" width="9.140625" style="12"/>
    <col min="9729" max="9729" width="18.140625" style="12" customWidth="1"/>
    <col min="9730" max="9730" width="15.85546875" style="12" customWidth="1"/>
    <col min="9731" max="9732" width="6.7109375" style="12" customWidth="1"/>
    <col min="9733" max="9733" width="5.7109375" style="12" customWidth="1"/>
    <col min="9734" max="9734" width="7" style="12" customWidth="1"/>
    <col min="9735" max="9735" width="5.7109375" style="12" customWidth="1"/>
    <col min="9736" max="9736" width="7.7109375" style="12" customWidth="1"/>
    <col min="9737" max="9737" width="8.7109375" style="12" customWidth="1"/>
    <col min="9738" max="9738" width="7.7109375" style="12" customWidth="1"/>
    <col min="9739" max="9739" width="8.7109375" style="12" customWidth="1"/>
    <col min="9740" max="9740" width="16.28515625" style="12" customWidth="1"/>
    <col min="9741" max="9741" width="7.7109375" style="12" customWidth="1"/>
    <col min="9742" max="9742" width="8" style="12" customWidth="1"/>
    <col min="9743" max="9743" width="7.7109375" style="12" customWidth="1"/>
    <col min="9744" max="9744" width="8.7109375" style="12" customWidth="1"/>
    <col min="9745" max="9984" width="9.140625" style="12"/>
    <col min="9985" max="9985" width="18.140625" style="12" customWidth="1"/>
    <col min="9986" max="9986" width="15.85546875" style="12" customWidth="1"/>
    <col min="9987" max="9988" width="6.7109375" style="12" customWidth="1"/>
    <col min="9989" max="9989" width="5.7109375" style="12" customWidth="1"/>
    <col min="9990" max="9990" width="7" style="12" customWidth="1"/>
    <col min="9991" max="9991" width="5.7109375" style="12" customWidth="1"/>
    <col min="9992" max="9992" width="7.7109375" style="12" customWidth="1"/>
    <col min="9993" max="9993" width="8.7109375" style="12" customWidth="1"/>
    <col min="9994" max="9994" width="7.7109375" style="12" customWidth="1"/>
    <col min="9995" max="9995" width="8.7109375" style="12" customWidth="1"/>
    <col min="9996" max="9996" width="16.28515625" style="12" customWidth="1"/>
    <col min="9997" max="9997" width="7.7109375" style="12" customWidth="1"/>
    <col min="9998" max="9998" width="8" style="12" customWidth="1"/>
    <col min="9999" max="9999" width="7.7109375" style="12" customWidth="1"/>
    <col min="10000" max="10000" width="8.7109375" style="12" customWidth="1"/>
    <col min="10001" max="10240" width="9.140625" style="12"/>
    <col min="10241" max="10241" width="18.140625" style="12" customWidth="1"/>
    <col min="10242" max="10242" width="15.85546875" style="12" customWidth="1"/>
    <col min="10243" max="10244" width="6.7109375" style="12" customWidth="1"/>
    <col min="10245" max="10245" width="5.7109375" style="12" customWidth="1"/>
    <col min="10246" max="10246" width="7" style="12" customWidth="1"/>
    <col min="10247" max="10247" width="5.7109375" style="12" customWidth="1"/>
    <col min="10248" max="10248" width="7.7109375" style="12" customWidth="1"/>
    <col min="10249" max="10249" width="8.7109375" style="12" customWidth="1"/>
    <col min="10250" max="10250" width="7.7109375" style="12" customWidth="1"/>
    <col min="10251" max="10251" width="8.7109375" style="12" customWidth="1"/>
    <col min="10252" max="10252" width="16.28515625" style="12" customWidth="1"/>
    <col min="10253" max="10253" width="7.7109375" style="12" customWidth="1"/>
    <col min="10254" max="10254" width="8" style="12" customWidth="1"/>
    <col min="10255" max="10255" width="7.7109375" style="12" customWidth="1"/>
    <col min="10256" max="10256" width="8.7109375" style="12" customWidth="1"/>
    <col min="10257" max="10496" width="9.140625" style="12"/>
    <col min="10497" max="10497" width="18.140625" style="12" customWidth="1"/>
    <col min="10498" max="10498" width="15.85546875" style="12" customWidth="1"/>
    <col min="10499" max="10500" width="6.7109375" style="12" customWidth="1"/>
    <col min="10501" max="10501" width="5.7109375" style="12" customWidth="1"/>
    <col min="10502" max="10502" width="7" style="12" customWidth="1"/>
    <col min="10503" max="10503" width="5.7109375" style="12" customWidth="1"/>
    <col min="10504" max="10504" width="7.7109375" style="12" customWidth="1"/>
    <col min="10505" max="10505" width="8.7109375" style="12" customWidth="1"/>
    <col min="10506" max="10506" width="7.7109375" style="12" customWidth="1"/>
    <col min="10507" max="10507" width="8.7109375" style="12" customWidth="1"/>
    <col min="10508" max="10508" width="16.28515625" style="12" customWidth="1"/>
    <col min="10509" max="10509" width="7.7109375" style="12" customWidth="1"/>
    <col min="10510" max="10510" width="8" style="12" customWidth="1"/>
    <col min="10511" max="10511" width="7.7109375" style="12" customWidth="1"/>
    <col min="10512" max="10512" width="8.7109375" style="12" customWidth="1"/>
    <col min="10513" max="10752" width="9.140625" style="12"/>
    <col min="10753" max="10753" width="18.140625" style="12" customWidth="1"/>
    <col min="10754" max="10754" width="15.85546875" style="12" customWidth="1"/>
    <col min="10755" max="10756" width="6.7109375" style="12" customWidth="1"/>
    <col min="10757" max="10757" width="5.7109375" style="12" customWidth="1"/>
    <col min="10758" max="10758" width="7" style="12" customWidth="1"/>
    <col min="10759" max="10759" width="5.7109375" style="12" customWidth="1"/>
    <col min="10760" max="10760" width="7.7109375" style="12" customWidth="1"/>
    <col min="10761" max="10761" width="8.7109375" style="12" customWidth="1"/>
    <col min="10762" max="10762" width="7.7109375" style="12" customWidth="1"/>
    <col min="10763" max="10763" width="8.7109375" style="12" customWidth="1"/>
    <col min="10764" max="10764" width="16.28515625" style="12" customWidth="1"/>
    <col min="10765" max="10765" width="7.7109375" style="12" customWidth="1"/>
    <col min="10766" max="10766" width="8" style="12" customWidth="1"/>
    <col min="10767" max="10767" width="7.7109375" style="12" customWidth="1"/>
    <col min="10768" max="10768" width="8.7109375" style="12" customWidth="1"/>
    <col min="10769" max="11008" width="9.140625" style="12"/>
    <col min="11009" max="11009" width="18.140625" style="12" customWidth="1"/>
    <col min="11010" max="11010" width="15.85546875" style="12" customWidth="1"/>
    <col min="11011" max="11012" width="6.7109375" style="12" customWidth="1"/>
    <col min="11013" max="11013" width="5.7109375" style="12" customWidth="1"/>
    <col min="11014" max="11014" width="7" style="12" customWidth="1"/>
    <col min="11015" max="11015" width="5.7109375" style="12" customWidth="1"/>
    <col min="11016" max="11016" width="7.7109375" style="12" customWidth="1"/>
    <col min="11017" max="11017" width="8.7109375" style="12" customWidth="1"/>
    <col min="11018" max="11018" width="7.7109375" style="12" customWidth="1"/>
    <col min="11019" max="11019" width="8.7109375" style="12" customWidth="1"/>
    <col min="11020" max="11020" width="16.28515625" style="12" customWidth="1"/>
    <col min="11021" max="11021" width="7.7109375" style="12" customWidth="1"/>
    <col min="11022" max="11022" width="8" style="12" customWidth="1"/>
    <col min="11023" max="11023" width="7.7109375" style="12" customWidth="1"/>
    <col min="11024" max="11024" width="8.7109375" style="12" customWidth="1"/>
    <col min="11025" max="11264" width="9.140625" style="12"/>
    <col min="11265" max="11265" width="18.140625" style="12" customWidth="1"/>
    <col min="11266" max="11266" width="15.85546875" style="12" customWidth="1"/>
    <col min="11267" max="11268" width="6.7109375" style="12" customWidth="1"/>
    <col min="11269" max="11269" width="5.7109375" style="12" customWidth="1"/>
    <col min="11270" max="11270" width="7" style="12" customWidth="1"/>
    <col min="11271" max="11271" width="5.7109375" style="12" customWidth="1"/>
    <col min="11272" max="11272" width="7.7109375" style="12" customWidth="1"/>
    <col min="11273" max="11273" width="8.7109375" style="12" customWidth="1"/>
    <col min="11274" max="11274" width="7.7109375" style="12" customWidth="1"/>
    <col min="11275" max="11275" width="8.7109375" style="12" customWidth="1"/>
    <col min="11276" max="11276" width="16.28515625" style="12" customWidth="1"/>
    <col min="11277" max="11277" width="7.7109375" style="12" customWidth="1"/>
    <col min="11278" max="11278" width="8" style="12" customWidth="1"/>
    <col min="11279" max="11279" width="7.7109375" style="12" customWidth="1"/>
    <col min="11280" max="11280" width="8.7109375" style="12" customWidth="1"/>
    <col min="11281" max="11520" width="9.140625" style="12"/>
    <col min="11521" max="11521" width="18.140625" style="12" customWidth="1"/>
    <col min="11522" max="11522" width="15.85546875" style="12" customWidth="1"/>
    <col min="11523" max="11524" width="6.7109375" style="12" customWidth="1"/>
    <col min="11525" max="11525" width="5.7109375" style="12" customWidth="1"/>
    <col min="11526" max="11526" width="7" style="12" customWidth="1"/>
    <col min="11527" max="11527" width="5.7109375" style="12" customWidth="1"/>
    <col min="11528" max="11528" width="7.7109375" style="12" customWidth="1"/>
    <col min="11529" max="11529" width="8.7109375" style="12" customWidth="1"/>
    <col min="11530" max="11530" width="7.7109375" style="12" customWidth="1"/>
    <col min="11531" max="11531" width="8.7109375" style="12" customWidth="1"/>
    <col min="11532" max="11532" width="16.28515625" style="12" customWidth="1"/>
    <col min="11533" max="11533" width="7.7109375" style="12" customWidth="1"/>
    <col min="11534" max="11534" width="8" style="12" customWidth="1"/>
    <col min="11535" max="11535" width="7.7109375" style="12" customWidth="1"/>
    <col min="11536" max="11536" width="8.7109375" style="12" customWidth="1"/>
    <col min="11537" max="11776" width="9.140625" style="12"/>
    <col min="11777" max="11777" width="18.140625" style="12" customWidth="1"/>
    <col min="11778" max="11778" width="15.85546875" style="12" customWidth="1"/>
    <col min="11779" max="11780" width="6.7109375" style="12" customWidth="1"/>
    <col min="11781" max="11781" width="5.7109375" style="12" customWidth="1"/>
    <col min="11782" max="11782" width="7" style="12" customWidth="1"/>
    <col min="11783" max="11783" width="5.7109375" style="12" customWidth="1"/>
    <col min="11784" max="11784" width="7.7109375" style="12" customWidth="1"/>
    <col min="11785" max="11785" width="8.7109375" style="12" customWidth="1"/>
    <col min="11786" max="11786" width="7.7109375" style="12" customWidth="1"/>
    <col min="11787" max="11787" width="8.7109375" style="12" customWidth="1"/>
    <col min="11788" max="11788" width="16.28515625" style="12" customWidth="1"/>
    <col min="11789" max="11789" width="7.7109375" style="12" customWidth="1"/>
    <col min="11790" max="11790" width="8" style="12" customWidth="1"/>
    <col min="11791" max="11791" width="7.7109375" style="12" customWidth="1"/>
    <col min="11792" max="11792" width="8.7109375" style="12" customWidth="1"/>
    <col min="11793" max="12032" width="9.140625" style="12"/>
    <col min="12033" max="12033" width="18.140625" style="12" customWidth="1"/>
    <col min="12034" max="12034" width="15.85546875" style="12" customWidth="1"/>
    <col min="12035" max="12036" width="6.7109375" style="12" customWidth="1"/>
    <col min="12037" max="12037" width="5.7109375" style="12" customWidth="1"/>
    <col min="12038" max="12038" width="7" style="12" customWidth="1"/>
    <col min="12039" max="12039" width="5.7109375" style="12" customWidth="1"/>
    <col min="12040" max="12040" width="7.7109375" style="12" customWidth="1"/>
    <col min="12041" max="12041" width="8.7109375" style="12" customWidth="1"/>
    <col min="12042" max="12042" width="7.7109375" style="12" customWidth="1"/>
    <col min="12043" max="12043" width="8.7109375" style="12" customWidth="1"/>
    <col min="12044" max="12044" width="16.28515625" style="12" customWidth="1"/>
    <col min="12045" max="12045" width="7.7109375" style="12" customWidth="1"/>
    <col min="12046" max="12046" width="8" style="12" customWidth="1"/>
    <col min="12047" max="12047" width="7.7109375" style="12" customWidth="1"/>
    <col min="12048" max="12048" width="8.7109375" style="12" customWidth="1"/>
    <col min="12049" max="12288" width="9.140625" style="12"/>
    <col min="12289" max="12289" width="18.140625" style="12" customWidth="1"/>
    <col min="12290" max="12290" width="15.85546875" style="12" customWidth="1"/>
    <col min="12291" max="12292" width="6.7109375" style="12" customWidth="1"/>
    <col min="12293" max="12293" width="5.7109375" style="12" customWidth="1"/>
    <col min="12294" max="12294" width="7" style="12" customWidth="1"/>
    <col min="12295" max="12295" width="5.7109375" style="12" customWidth="1"/>
    <col min="12296" max="12296" width="7.7109375" style="12" customWidth="1"/>
    <col min="12297" max="12297" width="8.7109375" style="12" customWidth="1"/>
    <col min="12298" max="12298" width="7.7109375" style="12" customWidth="1"/>
    <col min="12299" max="12299" width="8.7109375" style="12" customWidth="1"/>
    <col min="12300" max="12300" width="16.28515625" style="12" customWidth="1"/>
    <col min="12301" max="12301" width="7.7109375" style="12" customWidth="1"/>
    <col min="12302" max="12302" width="8" style="12" customWidth="1"/>
    <col min="12303" max="12303" width="7.7109375" style="12" customWidth="1"/>
    <col min="12304" max="12304" width="8.7109375" style="12" customWidth="1"/>
    <col min="12305" max="12544" width="9.140625" style="12"/>
    <col min="12545" max="12545" width="18.140625" style="12" customWidth="1"/>
    <col min="12546" max="12546" width="15.85546875" style="12" customWidth="1"/>
    <col min="12547" max="12548" width="6.7109375" style="12" customWidth="1"/>
    <col min="12549" max="12549" width="5.7109375" style="12" customWidth="1"/>
    <col min="12550" max="12550" width="7" style="12" customWidth="1"/>
    <col min="12551" max="12551" width="5.7109375" style="12" customWidth="1"/>
    <col min="12552" max="12552" width="7.7109375" style="12" customWidth="1"/>
    <col min="12553" max="12553" width="8.7109375" style="12" customWidth="1"/>
    <col min="12554" max="12554" width="7.7109375" style="12" customWidth="1"/>
    <col min="12555" max="12555" width="8.7109375" style="12" customWidth="1"/>
    <col min="12556" max="12556" width="16.28515625" style="12" customWidth="1"/>
    <col min="12557" max="12557" width="7.7109375" style="12" customWidth="1"/>
    <col min="12558" max="12558" width="8" style="12" customWidth="1"/>
    <col min="12559" max="12559" width="7.7109375" style="12" customWidth="1"/>
    <col min="12560" max="12560" width="8.7109375" style="12" customWidth="1"/>
    <col min="12561" max="12800" width="9.140625" style="12"/>
    <col min="12801" max="12801" width="18.140625" style="12" customWidth="1"/>
    <col min="12802" max="12802" width="15.85546875" style="12" customWidth="1"/>
    <col min="12803" max="12804" width="6.7109375" style="12" customWidth="1"/>
    <col min="12805" max="12805" width="5.7109375" style="12" customWidth="1"/>
    <col min="12806" max="12806" width="7" style="12" customWidth="1"/>
    <col min="12807" max="12807" width="5.7109375" style="12" customWidth="1"/>
    <col min="12808" max="12808" width="7.7109375" style="12" customWidth="1"/>
    <col min="12809" max="12809" width="8.7109375" style="12" customWidth="1"/>
    <col min="12810" max="12810" width="7.7109375" style="12" customWidth="1"/>
    <col min="12811" max="12811" width="8.7109375" style="12" customWidth="1"/>
    <col min="12812" max="12812" width="16.28515625" style="12" customWidth="1"/>
    <col min="12813" max="12813" width="7.7109375" style="12" customWidth="1"/>
    <col min="12814" max="12814" width="8" style="12" customWidth="1"/>
    <col min="12815" max="12815" width="7.7109375" style="12" customWidth="1"/>
    <col min="12816" max="12816" width="8.7109375" style="12" customWidth="1"/>
    <col min="12817" max="13056" width="9.140625" style="12"/>
    <col min="13057" max="13057" width="18.140625" style="12" customWidth="1"/>
    <col min="13058" max="13058" width="15.85546875" style="12" customWidth="1"/>
    <col min="13059" max="13060" width="6.7109375" style="12" customWidth="1"/>
    <col min="13061" max="13061" width="5.7109375" style="12" customWidth="1"/>
    <col min="13062" max="13062" width="7" style="12" customWidth="1"/>
    <col min="13063" max="13063" width="5.7109375" style="12" customWidth="1"/>
    <col min="13064" max="13064" width="7.7109375" style="12" customWidth="1"/>
    <col min="13065" max="13065" width="8.7109375" style="12" customWidth="1"/>
    <col min="13066" max="13066" width="7.7109375" style="12" customWidth="1"/>
    <col min="13067" max="13067" width="8.7109375" style="12" customWidth="1"/>
    <col min="13068" max="13068" width="16.28515625" style="12" customWidth="1"/>
    <col min="13069" max="13069" width="7.7109375" style="12" customWidth="1"/>
    <col min="13070" max="13070" width="8" style="12" customWidth="1"/>
    <col min="13071" max="13071" width="7.7109375" style="12" customWidth="1"/>
    <col min="13072" max="13072" width="8.7109375" style="12" customWidth="1"/>
    <col min="13073" max="13312" width="9.140625" style="12"/>
    <col min="13313" max="13313" width="18.140625" style="12" customWidth="1"/>
    <col min="13314" max="13314" width="15.85546875" style="12" customWidth="1"/>
    <col min="13315" max="13316" width="6.7109375" style="12" customWidth="1"/>
    <col min="13317" max="13317" width="5.7109375" style="12" customWidth="1"/>
    <col min="13318" max="13318" width="7" style="12" customWidth="1"/>
    <col min="13319" max="13319" width="5.7109375" style="12" customWidth="1"/>
    <col min="13320" max="13320" width="7.7109375" style="12" customWidth="1"/>
    <col min="13321" max="13321" width="8.7109375" style="12" customWidth="1"/>
    <col min="13322" max="13322" width="7.7109375" style="12" customWidth="1"/>
    <col min="13323" max="13323" width="8.7109375" style="12" customWidth="1"/>
    <col min="13324" max="13324" width="16.28515625" style="12" customWidth="1"/>
    <col min="13325" max="13325" width="7.7109375" style="12" customWidth="1"/>
    <col min="13326" max="13326" width="8" style="12" customWidth="1"/>
    <col min="13327" max="13327" width="7.7109375" style="12" customWidth="1"/>
    <col min="13328" max="13328" width="8.7109375" style="12" customWidth="1"/>
    <col min="13329" max="13568" width="9.140625" style="12"/>
    <col min="13569" max="13569" width="18.140625" style="12" customWidth="1"/>
    <col min="13570" max="13570" width="15.85546875" style="12" customWidth="1"/>
    <col min="13571" max="13572" width="6.7109375" style="12" customWidth="1"/>
    <col min="13573" max="13573" width="5.7109375" style="12" customWidth="1"/>
    <col min="13574" max="13574" width="7" style="12" customWidth="1"/>
    <col min="13575" max="13575" width="5.7109375" style="12" customWidth="1"/>
    <col min="13576" max="13576" width="7.7109375" style="12" customWidth="1"/>
    <col min="13577" max="13577" width="8.7109375" style="12" customWidth="1"/>
    <col min="13578" max="13578" width="7.7109375" style="12" customWidth="1"/>
    <col min="13579" max="13579" width="8.7109375" style="12" customWidth="1"/>
    <col min="13580" max="13580" width="16.28515625" style="12" customWidth="1"/>
    <col min="13581" max="13581" width="7.7109375" style="12" customWidth="1"/>
    <col min="13582" max="13582" width="8" style="12" customWidth="1"/>
    <col min="13583" max="13583" width="7.7109375" style="12" customWidth="1"/>
    <col min="13584" max="13584" width="8.7109375" style="12" customWidth="1"/>
    <col min="13585" max="13824" width="9.140625" style="12"/>
    <col min="13825" max="13825" width="18.140625" style="12" customWidth="1"/>
    <col min="13826" max="13826" width="15.85546875" style="12" customWidth="1"/>
    <col min="13827" max="13828" width="6.7109375" style="12" customWidth="1"/>
    <col min="13829" max="13829" width="5.7109375" style="12" customWidth="1"/>
    <col min="13830" max="13830" width="7" style="12" customWidth="1"/>
    <col min="13831" max="13831" width="5.7109375" style="12" customWidth="1"/>
    <col min="13832" max="13832" width="7.7109375" style="12" customWidth="1"/>
    <col min="13833" max="13833" width="8.7109375" style="12" customWidth="1"/>
    <col min="13834" max="13834" width="7.7109375" style="12" customWidth="1"/>
    <col min="13835" max="13835" width="8.7109375" style="12" customWidth="1"/>
    <col min="13836" max="13836" width="16.28515625" style="12" customWidth="1"/>
    <col min="13837" max="13837" width="7.7109375" style="12" customWidth="1"/>
    <col min="13838" max="13838" width="8" style="12" customWidth="1"/>
    <col min="13839" max="13839" width="7.7109375" style="12" customWidth="1"/>
    <col min="13840" max="13840" width="8.7109375" style="12" customWidth="1"/>
    <col min="13841" max="14080" width="9.140625" style="12"/>
    <col min="14081" max="14081" width="18.140625" style="12" customWidth="1"/>
    <col min="14082" max="14082" width="15.85546875" style="12" customWidth="1"/>
    <col min="14083" max="14084" width="6.7109375" style="12" customWidth="1"/>
    <col min="14085" max="14085" width="5.7109375" style="12" customWidth="1"/>
    <col min="14086" max="14086" width="7" style="12" customWidth="1"/>
    <col min="14087" max="14087" width="5.7109375" style="12" customWidth="1"/>
    <col min="14088" max="14088" width="7.7109375" style="12" customWidth="1"/>
    <col min="14089" max="14089" width="8.7109375" style="12" customWidth="1"/>
    <col min="14090" max="14090" width="7.7109375" style="12" customWidth="1"/>
    <col min="14091" max="14091" width="8.7109375" style="12" customWidth="1"/>
    <col min="14092" max="14092" width="16.28515625" style="12" customWidth="1"/>
    <col min="14093" max="14093" width="7.7109375" style="12" customWidth="1"/>
    <col min="14094" max="14094" width="8" style="12" customWidth="1"/>
    <col min="14095" max="14095" width="7.7109375" style="12" customWidth="1"/>
    <col min="14096" max="14096" width="8.7109375" style="12" customWidth="1"/>
    <col min="14097" max="14336" width="9.140625" style="12"/>
    <col min="14337" max="14337" width="18.140625" style="12" customWidth="1"/>
    <col min="14338" max="14338" width="15.85546875" style="12" customWidth="1"/>
    <col min="14339" max="14340" width="6.7109375" style="12" customWidth="1"/>
    <col min="14341" max="14341" width="5.7109375" style="12" customWidth="1"/>
    <col min="14342" max="14342" width="7" style="12" customWidth="1"/>
    <col min="14343" max="14343" width="5.7109375" style="12" customWidth="1"/>
    <col min="14344" max="14344" width="7.7109375" style="12" customWidth="1"/>
    <col min="14345" max="14345" width="8.7109375" style="12" customWidth="1"/>
    <col min="14346" max="14346" width="7.7109375" style="12" customWidth="1"/>
    <col min="14347" max="14347" width="8.7109375" style="12" customWidth="1"/>
    <col min="14348" max="14348" width="16.28515625" style="12" customWidth="1"/>
    <col min="14349" max="14349" width="7.7109375" style="12" customWidth="1"/>
    <col min="14350" max="14350" width="8" style="12" customWidth="1"/>
    <col min="14351" max="14351" width="7.7109375" style="12" customWidth="1"/>
    <col min="14352" max="14352" width="8.7109375" style="12" customWidth="1"/>
    <col min="14353" max="14592" width="9.140625" style="12"/>
    <col min="14593" max="14593" width="18.140625" style="12" customWidth="1"/>
    <col min="14594" max="14594" width="15.85546875" style="12" customWidth="1"/>
    <col min="14595" max="14596" width="6.7109375" style="12" customWidth="1"/>
    <col min="14597" max="14597" width="5.7109375" style="12" customWidth="1"/>
    <col min="14598" max="14598" width="7" style="12" customWidth="1"/>
    <col min="14599" max="14599" width="5.7109375" style="12" customWidth="1"/>
    <col min="14600" max="14600" width="7.7109375" style="12" customWidth="1"/>
    <col min="14601" max="14601" width="8.7109375" style="12" customWidth="1"/>
    <col min="14602" max="14602" width="7.7109375" style="12" customWidth="1"/>
    <col min="14603" max="14603" width="8.7109375" style="12" customWidth="1"/>
    <col min="14604" max="14604" width="16.28515625" style="12" customWidth="1"/>
    <col min="14605" max="14605" width="7.7109375" style="12" customWidth="1"/>
    <col min="14606" max="14606" width="8" style="12" customWidth="1"/>
    <col min="14607" max="14607" width="7.7109375" style="12" customWidth="1"/>
    <col min="14608" max="14608" width="8.7109375" style="12" customWidth="1"/>
    <col min="14609" max="14848" width="9.140625" style="12"/>
    <col min="14849" max="14849" width="18.140625" style="12" customWidth="1"/>
    <col min="14850" max="14850" width="15.85546875" style="12" customWidth="1"/>
    <col min="14851" max="14852" width="6.7109375" style="12" customWidth="1"/>
    <col min="14853" max="14853" width="5.7109375" style="12" customWidth="1"/>
    <col min="14854" max="14854" width="7" style="12" customWidth="1"/>
    <col min="14855" max="14855" width="5.7109375" style="12" customWidth="1"/>
    <col min="14856" max="14856" width="7.7109375" style="12" customWidth="1"/>
    <col min="14857" max="14857" width="8.7109375" style="12" customWidth="1"/>
    <col min="14858" max="14858" width="7.7109375" style="12" customWidth="1"/>
    <col min="14859" max="14859" width="8.7109375" style="12" customWidth="1"/>
    <col min="14860" max="14860" width="16.28515625" style="12" customWidth="1"/>
    <col min="14861" max="14861" width="7.7109375" style="12" customWidth="1"/>
    <col min="14862" max="14862" width="8" style="12" customWidth="1"/>
    <col min="14863" max="14863" width="7.7109375" style="12" customWidth="1"/>
    <col min="14864" max="14864" width="8.7109375" style="12" customWidth="1"/>
    <col min="14865" max="15104" width="9.140625" style="12"/>
    <col min="15105" max="15105" width="18.140625" style="12" customWidth="1"/>
    <col min="15106" max="15106" width="15.85546875" style="12" customWidth="1"/>
    <col min="15107" max="15108" width="6.7109375" style="12" customWidth="1"/>
    <col min="15109" max="15109" width="5.7109375" style="12" customWidth="1"/>
    <col min="15110" max="15110" width="7" style="12" customWidth="1"/>
    <col min="15111" max="15111" width="5.7109375" style="12" customWidth="1"/>
    <col min="15112" max="15112" width="7.7109375" style="12" customWidth="1"/>
    <col min="15113" max="15113" width="8.7109375" style="12" customWidth="1"/>
    <col min="15114" max="15114" width="7.7109375" style="12" customWidth="1"/>
    <col min="15115" max="15115" width="8.7109375" style="12" customWidth="1"/>
    <col min="15116" max="15116" width="16.28515625" style="12" customWidth="1"/>
    <col min="15117" max="15117" width="7.7109375" style="12" customWidth="1"/>
    <col min="15118" max="15118" width="8" style="12" customWidth="1"/>
    <col min="15119" max="15119" width="7.7109375" style="12" customWidth="1"/>
    <col min="15120" max="15120" width="8.7109375" style="12" customWidth="1"/>
    <col min="15121" max="15360" width="9.140625" style="12"/>
    <col min="15361" max="15361" width="18.140625" style="12" customWidth="1"/>
    <col min="15362" max="15362" width="15.85546875" style="12" customWidth="1"/>
    <col min="15363" max="15364" width="6.7109375" style="12" customWidth="1"/>
    <col min="15365" max="15365" width="5.7109375" style="12" customWidth="1"/>
    <col min="15366" max="15366" width="7" style="12" customWidth="1"/>
    <col min="15367" max="15367" width="5.7109375" style="12" customWidth="1"/>
    <col min="15368" max="15368" width="7.7109375" style="12" customWidth="1"/>
    <col min="15369" max="15369" width="8.7109375" style="12" customWidth="1"/>
    <col min="15370" max="15370" width="7.7109375" style="12" customWidth="1"/>
    <col min="15371" max="15371" width="8.7109375" style="12" customWidth="1"/>
    <col min="15372" max="15372" width="16.28515625" style="12" customWidth="1"/>
    <col min="15373" max="15373" width="7.7109375" style="12" customWidth="1"/>
    <col min="15374" max="15374" width="8" style="12" customWidth="1"/>
    <col min="15375" max="15375" width="7.7109375" style="12" customWidth="1"/>
    <col min="15376" max="15376" width="8.7109375" style="12" customWidth="1"/>
    <col min="15377" max="15616" width="9.140625" style="12"/>
    <col min="15617" max="15617" width="18.140625" style="12" customWidth="1"/>
    <col min="15618" max="15618" width="15.85546875" style="12" customWidth="1"/>
    <col min="15619" max="15620" width="6.7109375" style="12" customWidth="1"/>
    <col min="15621" max="15621" width="5.7109375" style="12" customWidth="1"/>
    <col min="15622" max="15622" width="7" style="12" customWidth="1"/>
    <col min="15623" max="15623" width="5.7109375" style="12" customWidth="1"/>
    <col min="15624" max="15624" width="7.7109375" style="12" customWidth="1"/>
    <col min="15625" max="15625" width="8.7109375" style="12" customWidth="1"/>
    <col min="15626" max="15626" width="7.7109375" style="12" customWidth="1"/>
    <col min="15627" max="15627" width="8.7109375" style="12" customWidth="1"/>
    <col min="15628" max="15628" width="16.28515625" style="12" customWidth="1"/>
    <col min="15629" max="15629" width="7.7109375" style="12" customWidth="1"/>
    <col min="15630" max="15630" width="8" style="12" customWidth="1"/>
    <col min="15631" max="15631" width="7.7109375" style="12" customWidth="1"/>
    <col min="15632" max="15632" width="8.7109375" style="12" customWidth="1"/>
    <col min="15633" max="15872" width="9.140625" style="12"/>
    <col min="15873" max="15873" width="18.140625" style="12" customWidth="1"/>
    <col min="15874" max="15874" width="15.85546875" style="12" customWidth="1"/>
    <col min="15875" max="15876" width="6.7109375" style="12" customWidth="1"/>
    <col min="15877" max="15877" width="5.7109375" style="12" customWidth="1"/>
    <col min="15878" max="15878" width="7" style="12" customWidth="1"/>
    <col min="15879" max="15879" width="5.7109375" style="12" customWidth="1"/>
    <col min="15880" max="15880" width="7.7109375" style="12" customWidth="1"/>
    <col min="15881" max="15881" width="8.7109375" style="12" customWidth="1"/>
    <col min="15882" max="15882" width="7.7109375" style="12" customWidth="1"/>
    <col min="15883" max="15883" width="8.7109375" style="12" customWidth="1"/>
    <col min="15884" max="15884" width="16.28515625" style="12" customWidth="1"/>
    <col min="15885" max="15885" width="7.7109375" style="12" customWidth="1"/>
    <col min="15886" max="15886" width="8" style="12" customWidth="1"/>
    <col min="15887" max="15887" width="7.7109375" style="12" customWidth="1"/>
    <col min="15888" max="15888" width="8.7109375" style="12" customWidth="1"/>
    <col min="15889" max="16128" width="9.140625" style="12"/>
    <col min="16129" max="16129" width="18.140625" style="12" customWidth="1"/>
    <col min="16130" max="16130" width="15.85546875" style="12" customWidth="1"/>
    <col min="16131" max="16132" width="6.7109375" style="12" customWidth="1"/>
    <col min="16133" max="16133" width="5.7109375" style="12" customWidth="1"/>
    <col min="16134" max="16134" width="7" style="12" customWidth="1"/>
    <col min="16135" max="16135" width="5.7109375" style="12" customWidth="1"/>
    <col min="16136" max="16136" width="7.7109375" style="12" customWidth="1"/>
    <col min="16137" max="16137" width="8.7109375" style="12" customWidth="1"/>
    <col min="16138" max="16138" width="7.7109375" style="12" customWidth="1"/>
    <col min="16139" max="16139" width="8.7109375" style="12" customWidth="1"/>
    <col min="16140" max="16140" width="16.28515625" style="12" customWidth="1"/>
    <col min="16141" max="16141" width="7.7109375" style="12" customWidth="1"/>
    <col min="16142" max="16142" width="8" style="12" customWidth="1"/>
    <col min="16143" max="16143" width="7.7109375" style="12" customWidth="1"/>
    <col min="16144" max="16144" width="8.7109375" style="12" customWidth="1"/>
    <col min="16145" max="16384" width="9.140625" style="12"/>
  </cols>
  <sheetData>
    <row r="1" spans="1:22" s="71" customFormat="1" ht="37.5" customHeight="1" thickBot="1" x14ac:dyDescent="0.25">
      <c r="A1" s="86"/>
      <c r="B1" s="151"/>
      <c r="C1" s="86"/>
      <c r="D1" s="86"/>
      <c r="E1" s="86"/>
      <c r="F1" s="86"/>
      <c r="G1" s="86"/>
      <c r="H1" s="86"/>
      <c r="I1" s="86"/>
      <c r="J1" s="86"/>
      <c r="K1" s="86"/>
      <c r="L1" s="151"/>
      <c r="M1" s="86"/>
      <c r="N1" s="86"/>
      <c r="O1" s="86"/>
      <c r="P1" s="86"/>
      <c r="Q1" s="86"/>
      <c r="R1" s="86"/>
      <c r="S1" s="93"/>
      <c r="T1" s="93"/>
      <c r="U1" s="93"/>
      <c r="V1" s="93"/>
    </row>
    <row r="2" spans="1:22" s="75" customFormat="1" x14ac:dyDescent="0.2">
      <c r="A2" s="342" t="s">
        <v>178</v>
      </c>
      <c r="B2" s="248"/>
      <c r="C2" s="90"/>
      <c r="D2" s="90"/>
      <c r="E2" s="90"/>
      <c r="F2" s="90"/>
      <c r="G2" s="90"/>
      <c r="H2" s="90"/>
      <c r="I2" s="90"/>
      <c r="J2" s="90"/>
      <c r="K2" s="90"/>
      <c r="L2" s="248"/>
      <c r="M2" s="90"/>
      <c r="N2" s="343" t="s">
        <v>18</v>
      </c>
      <c r="O2" s="90"/>
      <c r="P2" s="90"/>
      <c r="Q2" s="90"/>
      <c r="R2" s="346" t="s">
        <v>9</v>
      </c>
    </row>
    <row r="3" spans="1:22" s="75" customFormat="1" ht="15" customHeight="1" x14ac:dyDescent="0.2">
      <c r="A3" s="89" t="e">
        <f>#REF!</f>
        <v>#REF!</v>
      </c>
      <c r="B3" s="248"/>
      <c r="C3" s="90"/>
      <c r="D3" s="90"/>
      <c r="E3" s="90"/>
      <c r="F3" s="90"/>
      <c r="G3" s="90"/>
      <c r="H3" s="90"/>
      <c r="I3" s="90"/>
      <c r="J3" s="90"/>
      <c r="K3" s="90"/>
      <c r="L3" s="248"/>
      <c r="M3" s="90"/>
      <c r="N3" s="89" t="s">
        <v>345</v>
      </c>
      <c r="O3" s="90"/>
      <c r="P3" s="90"/>
      <c r="Q3" s="90"/>
      <c r="R3" s="92"/>
    </row>
    <row r="4" spans="1:22" ht="15" customHeight="1" x14ac:dyDescent="0.2">
      <c r="A4" s="1347" t="s">
        <v>43</v>
      </c>
      <c r="B4" s="1347" t="s">
        <v>12</v>
      </c>
      <c r="C4" s="1345" t="s">
        <v>44</v>
      </c>
      <c r="D4" s="1358"/>
      <c r="E4" s="1358"/>
      <c r="F4" s="1346"/>
      <c r="G4" s="1345" t="s">
        <v>51</v>
      </c>
      <c r="H4" s="1358"/>
      <c r="I4" s="1346"/>
      <c r="J4" s="1345" t="s">
        <v>152</v>
      </c>
      <c r="K4" s="1358"/>
      <c r="L4" s="1346"/>
      <c r="M4" s="120" t="s">
        <v>60</v>
      </c>
      <c r="N4" s="121"/>
      <c r="O4" s="120"/>
      <c r="P4" s="125" t="s">
        <v>61</v>
      </c>
      <c r="Q4" s="121"/>
      <c r="R4" s="1355" t="s">
        <v>189</v>
      </c>
      <c r="T4" s="1345" t="s">
        <v>183</v>
      </c>
      <c r="U4" s="1346"/>
    </row>
    <row r="5" spans="1:22" ht="20.45" customHeight="1" x14ac:dyDescent="0.2">
      <c r="A5" s="1359"/>
      <c r="B5" s="1359"/>
      <c r="C5" s="255" t="s">
        <v>314</v>
      </c>
      <c r="D5" s="256" t="s">
        <v>315</v>
      </c>
      <c r="E5" s="256" t="s">
        <v>316</v>
      </c>
      <c r="F5" s="215" t="s">
        <v>22</v>
      </c>
      <c r="G5" s="214" t="s">
        <v>80</v>
      </c>
      <c r="H5" s="257" t="s">
        <v>317</v>
      </c>
      <c r="I5" s="254" t="s">
        <v>318</v>
      </c>
      <c r="J5" s="257" t="s">
        <v>319</v>
      </c>
      <c r="K5" s="254" t="s">
        <v>320</v>
      </c>
      <c r="L5" s="214" t="s">
        <v>186</v>
      </c>
      <c r="M5" s="213" t="s">
        <v>11</v>
      </c>
      <c r="N5" s="257" t="s">
        <v>317</v>
      </c>
      <c r="O5" s="254" t="s">
        <v>318</v>
      </c>
      <c r="P5" s="213" t="s">
        <v>65</v>
      </c>
      <c r="Q5" s="135" t="s">
        <v>10</v>
      </c>
      <c r="R5" s="1356"/>
      <c r="T5" s="214" t="s">
        <v>4</v>
      </c>
      <c r="U5" s="213" t="s">
        <v>186</v>
      </c>
    </row>
    <row r="6" spans="1:22" s="269" customFormat="1" ht="13.15" customHeight="1" x14ac:dyDescent="0.2">
      <c r="A6" s="542" t="s">
        <v>194</v>
      </c>
      <c r="B6" s="535"/>
      <c r="C6" s="535"/>
      <c r="D6" s="535"/>
      <c r="E6" s="535"/>
      <c r="F6" s="535"/>
      <c r="G6" s="535"/>
      <c r="H6" s="270"/>
      <c r="I6" s="270"/>
      <c r="J6" s="270"/>
      <c r="K6" s="270"/>
      <c r="L6" s="433"/>
      <c r="M6" s="270"/>
      <c r="N6" s="270"/>
      <c r="O6" s="270"/>
      <c r="P6" s="270"/>
      <c r="Q6" s="270"/>
      <c r="R6" s="272"/>
      <c r="T6" s="355">
        <f t="shared" ref="T6:T12" si="0">IF(U6="","",SUMIF($L$6:$L$22,U6,$K$6:$K$22))</f>
        <v>0</v>
      </c>
      <c r="U6" s="393" t="s">
        <v>325</v>
      </c>
    </row>
    <row r="7" spans="1:22" s="269" customFormat="1" ht="13.15" customHeight="1" x14ac:dyDescent="0.2">
      <c r="A7" s="536" t="s">
        <v>101</v>
      </c>
      <c r="B7" s="537" t="s">
        <v>102</v>
      </c>
      <c r="C7" s="356"/>
      <c r="D7" s="356"/>
      <c r="E7" s="356"/>
      <c r="F7" s="357">
        <v>1</v>
      </c>
      <c r="G7" s="356">
        <v>1</v>
      </c>
      <c r="H7" s="274" t="str">
        <f>IF(C7="","",IF(F7&lt;0,-C7+(D7*(E7+0.02)),C7+(D7*(E7+0.02))))</f>
        <v/>
      </c>
      <c r="I7" s="274" t="str">
        <f>IF(C7="","",IF(F7&gt;0,F7*H7,F7*-H7))</f>
        <v/>
      </c>
      <c r="J7" s="274" t="str">
        <f>IF(C7="","",IF(F7&lt;0,-C7*E7,C7*E7))</f>
        <v/>
      </c>
      <c r="K7" s="276" t="str">
        <f>IF(C7="","",IF(F7&gt;0,J7*F7,-J7*F7))</f>
        <v/>
      </c>
      <c r="L7" s="420" t="s">
        <v>326</v>
      </c>
      <c r="M7" s="277" t="s">
        <v>68</v>
      </c>
      <c r="N7" s="274" t="str">
        <f>IF(C7="","",C7)</f>
        <v/>
      </c>
      <c r="O7" s="274" t="str">
        <f>IF(C7="","",N7*F7)</f>
        <v/>
      </c>
      <c r="P7" s="360"/>
      <c r="Q7" s="361">
        <f>(C7*D7)*P7*F7</f>
        <v>0</v>
      </c>
      <c r="R7" s="358"/>
      <c r="T7" s="359">
        <f t="shared" si="0"/>
        <v>0</v>
      </c>
      <c r="U7" s="394" t="s">
        <v>327</v>
      </c>
    </row>
    <row r="8" spans="1:22" s="269" customFormat="1" ht="13.15" customHeight="1" x14ac:dyDescent="0.2">
      <c r="A8" s="538" t="s">
        <v>79</v>
      </c>
      <c r="B8" s="539" t="s">
        <v>102</v>
      </c>
      <c r="C8" s="273"/>
      <c r="D8" s="273"/>
      <c r="E8" s="273"/>
      <c r="F8" s="283">
        <v>-1</v>
      </c>
      <c r="G8" s="273">
        <v>1</v>
      </c>
      <c r="H8" s="275" t="str">
        <f t="shared" ref="H8:H22" si="1">IF(C8="","",IF(F8&lt;0,-C8+(D8*(E8+0.02)),C8+(D8*(E8+0.02))))</f>
        <v/>
      </c>
      <c r="I8" s="275" t="str">
        <f t="shared" ref="I8:I22" si="2">IF(C8="","",IF(F8&gt;0,F8*H8,F8*-H8))</f>
        <v/>
      </c>
      <c r="J8" s="275" t="str">
        <f t="shared" ref="J8:J22" si="3">IF(C8="","",IF(F8&lt;0,-C8*E8,C8*E8))</f>
        <v/>
      </c>
      <c r="K8" s="279" t="str">
        <f t="shared" ref="K8:K22" si="4">IF(C8="","",IF(F8&gt;0,J8*F8,-J8*F8))</f>
        <v/>
      </c>
      <c r="L8" s="420" t="s">
        <v>326</v>
      </c>
      <c r="M8" s="277" t="s">
        <v>68</v>
      </c>
      <c r="N8" s="275" t="str">
        <f t="shared" ref="N8:N22" si="5">IF(C8="","",C8)</f>
        <v/>
      </c>
      <c r="O8" s="275" t="str">
        <f t="shared" ref="O8:O22" si="6">IF(C8="","",N8*F8)</f>
        <v/>
      </c>
      <c r="P8" s="365"/>
      <c r="Q8" s="361">
        <f>(C8*D8)*P8*F8</f>
        <v>0</v>
      </c>
      <c r="R8" s="358"/>
      <c r="T8" s="359">
        <f t="shared" si="0"/>
        <v>0</v>
      </c>
      <c r="U8" s="394" t="s">
        <v>328</v>
      </c>
    </row>
    <row r="9" spans="1:22" s="269" customFormat="1" ht="13.15" customHeight="1" x14ac:dyDescent="0.2">
      <c r="A9" s="538"/>
      <c r="B9" s="539"/>
      <c r="C9" s="273"/>
      <c r="D9" s="273"/>
      <c r="E9" s="273"/>
      <c r="F9" s="283"/>
      <c r="G9" s="273"/>
      <c r="H9" s="386" t="str">
        <f t="shared" si="1"/>
        <v/>
      </c>
      <c r="I9" s="386" t="str">
        <f t="shared" si="2"/>
        <v/>
      </c>
      <c r="J9" s="386" t="str">
        <f t="shared" si="3"/>
        <v/>
      </c>
      <c r="K9" s="387" t="str">
        <f t="shared" si="4"/>
        <v/>
      </c>
      <c r="L9" s="434"/>
      <c r="M9" s="364"/>
      <c r="N9" s="386" t="str">
        <f t="shared" si="5"/>
        <v/>
      </c>
      <c r="O9" s="386" t="str">
        <f t="shared" si="6"/>
        <v/>
      </c>
      <c r="P9" s="365"/>
      <c r="Q9" s="361">
        <f>(C9*D9)*P9*F9</f>
        <v>0</v>
      </c>
      <c r="R9" s="358"/>
      <c r="T9" s="359">
        <f t="shared" si="0"/>
        <v>0</v>
      </c>
      <c r="U9" s="394" t="s">
        <v>329</v>
      </c>
    </row>
    <row r="10" spans="1:22" s="269" customFormat="1" ht="13.15" customHeight="1" x14ac:dyDescent="0.2">
      <c r="A10" s="542" t="s">
        <v>194</v>
      </c>
      <c r="B10" s="535"/>
      <c r="C10" s="535"/>
      <c r="D10" s="535"/>
      <c r="E10" s="535"/>
      <c r="F10" s="535"/>
      <c r="G10" s="535"/>
      <c r="H10" s="270" t="str">
        <f t="shared" si="1"/>
        <v/>
      </c>
      <c r="I10" s="270" t="str">
        <f t="shared" si="2"/>
        <v/>
      </c>
      <c r="J10" s="270" t="str">
        <f t="shared" si="3"/>
        <v/>
      </c>
      <c r="K10" s="270" t="str">
        <f t="shared" si="4"/>
        <v/>
      </c>
      <c r="L10" s="433"/>
      <c r="M10" s="270"/>
      <c r="N10" s="270" t="str">
        <f t="shared" si="5"/>
        <v/>
      </c>
      <c r="O10" s="270" t="str">
        <f t="shared" si="6"/>
        <v/>
      </c>
      <c r="P10" s="270"/>
      <c r="Q10" s="270"/>
      <c r="R10" s="272"/>
      <c r="T10" s="359">
        <f t="shared" si="0"/>
        <v>0</v>
      </c>
      <c r="U10" s="394" t="s">
        <v>326</v>
      </c>
    </row>
    <row r="11" spans="1:22" s="269" customFormat="1" ht="13.15" customHeight="1" x14ac:dyDescent="0.2">
      <c r="A11" s="538" t="s">
        <v>109</v>
      </c>
      <c r="B11" s="539" t="s">
        <v>102</v>
      </c>
      <c r="C11" s="273"/>
      <c r="D11" s="273"/>
      <c r="E11" s="273"/>
      <c r="F11" s="283">
        <v>20</v>
      </c>
      <c r="G11" s="273">
        <v>1</v>
      </c>
      <c r="H11" s="275" t="str">
        <f>IF(C11="","",IF(F11&lt;0,-C11+(D11*(E11+0.02)),C11+(D11*(E11+0.02))))</f>
        <v/>
      </c>
      <c r="I11" s="275" t="str">
        <f>IF(C11="","",IF(F11&gt;0,F11*H11,F11*-H11))</f>
        <v/>
      </c>
      <c r="J11" s="275" t="str">
        <f>IF(C11="","",IF(F11&lt;0,-C11*E11,C11*E11))</f>
        <v/>
      </c>
      <c r="K11" s="279" t="str">
        <f>IF(C11="","",IF(F11&gt;0,J11*F11,-J11*F11))</f>
        <v/>
      </c>
      <c r="L11" s="420" t="s">
        <v>327</v>
      </c>
      <c r="M11" s="379" t="s">
        <v>68</v>
      </c>
      <c r="N11" s="275" t="str">
        <f>IF(C11="","",C11)</f>
        <v/>
      </c>
      <c r="O11" s="275" t="str">
        <f>IF(C11="","",N11*F11)</f>
        <v/>
      </c>
      <c r="P11" s="370"/>
      <c r="Q11" s="371">
        <f>(C11*D11)*P11*F11</f>
        <v>0</v>
      </c>
      <c r="R11" s="358"/>
      <c r="T11" s="359" t="str">
        <f t="shared" si="0"/>
        <v/>
      </c>
      <c r="U11" s="393"/>
    </row>
    <row r="12" spans="1:22" s="269" customFormat="1" ht="13.15" customHeight="1" x14ac:dyDescent="0.2">
      <c r="A12" s="538" t="s">
        <v>79</v>
      </c>
      <c r="B12" s="539" t="s">
        <v>102</v>
      </c>
      <c r="C12" s="273"/>
      <c r="D12" s="273"/>
      <c r="E12" s="273"/>
      <c r="F12" s="283">
        <v>-20</v>
      </c>
      <c r="G12" s="273">
        <v>1</v>
      </c>
      <c r="H12" s="275" t="str">
        <f t="shared" si="1"/>
        <v/>
      </c>
      <c r="I12" s="275" t="str">
        <f t="shared" si="2"/>
        <v/>
      </c>
      <c r="J12" s="275" t="str">
        <f t="shared" si="3"/>
        <v/>
      </c>
      <c r="K12" s="279" t="str">
        <f t="shared" si="4"/>
        <v/>
      </c>
      <c r="L12" s="420" t="s">
        <v>327</v>
      </c>
      <c r="M12" s="379" t="s">
        <v>68</v>
      </c>
      <c r="N12" s="275" t="str">
        <f t="shared" si="5"/>
        <v/>
      </c>
      <c r="O12" s="275" t="str">
        <f t="shared" si="6"/>
        <v/>
      </c>
      <c r="P12" s="372"/>
      <c r="Q12" s="361">
        <f>(C12*D12)*P12*F12</f>
        <v>0</v>
      </c>
      <c r="R12" s="358"/>
      <c r="T12" s="366" t="str">
        <f t="shared" si="0"/>
        <v/>
      </c>
      <c r="U12" s="394"/>
    </row>
    <row r="13" spans="1:22" s="269" customFormat="1" ht="13.15" customHeight="1" x14ac:dyDescent="0.2">
      <c r="A13" s="367"/>
      <c r="B13" s="368"/>
      <c r="C13" s="273"/>
      <c r="D13" s="273"/>
      <c r="E13" s="273"/>
      <c r="F13" s="283"/>
      <c r="G13" s="273"/>
      <c r="H13" s="388" t="str">
        <f t="shared" si="1"/>
        <v/>
      </c>
      <c r="I13" s="388" t="str">
        <f t="shared" si="2"/>
        <v/>
      </c>
      <c r="J13" s="388" t="str">
        <f t="shared" si="3"/>
        <v/>
      </c>
      <c r="K13" s="389" t="str">
        <f t="shared" si="4"/>
        <v/>
      </c>
      <c r="L13" s="434"/>
      <c r="M13" s="390"/>
      <c r="N13" s="388" t="str">
        <f t="shared" si="5"/>
        <v/>
      </c>
      <c r="O13" s="388" t="str">
        <f t="shared" si="6"/>
        <v/>
      </c>
      <c r="P13" s="370"/>
      <c r="Q13" s="361">
        <f>(C13*D13)*P13*F13</f>
        <v>0</v>
      </c>
      <c r="R13" s="376"/>
      <c r="T13" s="435">
        <f>SUM(T6:T12)</f>
        <v>0</v>
      </c>
      <c r="U13" s="419" t="str">
        <f>IF(K23=T13,"OK","Conferir")</f>
        <v>OK</v>
      </c>
    </row>
    <row r="14" spans="1:22" s="269" customFormat="1" ht="13.15" customHeight="1" x14ac:dyDescent="0.2">
      <c r="A14" s="542" t="s">
        <v>194</v>
      </c>
      <c r="B14" s="535"/>
      <c r="C14" s="535"/>
      <c r="D14" s="535"/>
      <c r="E14" s="535"/>
      <c r="F14" s="535"/>
      <c r="G14" s="535"/>
      <c r="H14" s="270" t="str">
        <f t="shared" si="1"/>
        <v/>
      </c>
      <c r="I14" s="270" t="str">
        <f t="shared" si="2"/>
        <v/>
      </c>
      <c r="J14" s="270" t="str">
        <f t="shared" si="3"/>
        <v/>
      </c>
      <c r="K14" s="270" t="str">
        <f t="shared" si="4"/>
        <v/>
      </c>
      <c r="L14" s="433"/>
      <c r="M14" s="270"/>
      <c r="N14" s="270" t="str">
        <f t="shared" si="5"/>
        <v/>
      </c>
      <c r="O14" s="270" t="str">
        <f t="shared" si="6"/>
        <v/>
      </c>
      <c r="P14" s="270"/>
      <c r="Q14" s="270"/>
      <c r="R14" s="272"/>
      <c r="T14" s="328"/>
      <c r="U14" s="328"/>
    </row>
    <row r="15" spans="1:22" s="269" customFormat="1" ht="13.15" customHeight="1" x14ac:dyDescent="0.2">
      <c r="A15" s="538" t="s">
        <v>104</v>
      </c>
      <c r="B15" s="539" t="s">
        <v>102</v>
      </c>
      <c r="C15" s="273"/>
      <c r="D15" s="273"/>
      <c r="E15" s="273"/>
      <c r="F15" s="283">
        <v>1</v>
      </c>
      <c r="G15" s="369">
        <v>1</v>
      </c>
      <c r="H15" s="275" t="str">
        <f t="shared" si="1"/>
        <v/>
      </c>
      <c r="I15" s="275" t="str">
        <f t="shared" si="2"/>
        <v/>
      </c>
      <c r="J15" s="275" t="str">
        <f t="shared" si="3"/>
        <v/>
      </c>
      <c r="K15" s="279" t="str">
        <f t="shared" si="4"/>
        <v/>
      </c>
      <c r="L15" s="420" t="s">
        <v>327</v>
      </c>
      <c r="M15" s="379" t="s">
        <v>68</v>
      </c>
      <c r="N15" s="275" t="str">
        <f t="shared" si="5"/>
        <v/>
      </c>
      <c r="O15" s="275" t="str">
        <f t="shared" si="6"/>
        <v/>
      </c>
      <c r="P15" s="372"/>
      <c r="Q15" s="361">
        <f>(C15*D15)*P15*F15</f>
        <v>0</v>
      </c>
      <c r="R15" s="358"/>
      <c r="T15" s="328"/>
      <c r="U15" s="328"/>
    </row>
    <row r="16" spans="1:22" s="269" customFormat="1" ht="13.15" customHeight="1" x14ac:dyDescent="0.2">
      <c r="A16" s="538" t="s">
        <v>104</v>
      </c>
      <c r="B16" s="539" t="s">
        <v>153</v>
      </c>
      <c r="C16" s="273"/>
      <c r="D16" s="273"/>
      <c r="E16" s="273"/>
      <c r="F16" s="283">
        <v>1</v>
      </c>
      <c r="G16" s="369">
        <v>1</v>
      </c>
      <c r="H16" s="275" t="str">
        <f>IF(C16="","",IF(F16&lt;0,-C16+(D16*(E16+0.02)),C16+(D16*(E16+0.02))))</f>
        <v/>
      </c>
      <c r="I16" s="275" t="str">
        <f>IF(C16="","",IF(F16&gt;0,F16*H16,F16*-H16))</f>
        <v/>
      </c>
      <c r="J16" s="275" t="str">
        <f>IF(C16="","",IF(F16&lt;0,-C16*E16,C16*E16))</f>
        <v/>
      </c>
      <c r="K16" s="279" t="str">
        <f>IF(C16="","",IF(F16&gt;0,J16*F16,-J16*F16))</f>
        <v/>
      </c>
      <c r="L16" s="420" t="s">
        <v>327</v>
      </c>
      <c r="M16" s="379" t="s">
        <v>68</v>
      </c>
      <c r="N16" s="275" t="str">
        <f>IF(C16="","",C16)</f>
        <v/>
      </c>
      <c r="O16" s="275" t="str">
        <f>IF(C16="","",N16*F16)</f>
        <v/>
      </c>
      <c r="P16" s="372"/>
      <c r="Q16" s="361">
        <f>(C16*D16)*P16*F16</f>
        <v>0</v>
      </c>
      <c r="R16" s="376"/>
      <c r="T16" s="328"/>
      <c r="U16" s="328"/>
    </row>
    <row r="17" spans="1:22" s="269" customFormat="1" ht="13.15" customHeight="1" x14ac:dyDescent="0.2">
      <c r="A17" s="538" t="s">
        <v>79</v>
      </c>
      <c r="B17" s="539" t="s">
        <v>153</v>
      </c>
      <c r="C17" s="273"/>
      <c r="D17" s="273"/>
      <c r="E17" s="273"/>
      <c r="F17" s="283">
        <v>-1</v>
      </c>
      <c r="G17" s="369">
        <v>1</v>
      </c>
      <c r="H17" s="275" t="str">
        <f t="shared" si="1"/>
        <v/>
      </c>
      <c r="I17" s="275" t="str">
        <f t="shared" si="2"/>
        <v/>
      </c>
      <c r="J17" s="275" t="str">
        <f t="shared" si="3"/>
        <v/>
      </c>
      <c r="K17" s="279" t="str">
        <f t="shared" si="4"/>
        <v/>
      </c>
      <c r="L17" s="420" t="s">
        <v>327</v>
      </c>
      <c r="M17" s="379" t="s">
        <v>68</v>
      </c>
      <c r="N17" s="275" t="str">
        <f t="shared" si="5"/>
        <v/>
      </c>
      <c r="O17" s="275" t="str">
        <f t="shared" si="6"/>
        <v/>
      </c>
      <c r="P17" s="372"/>
      <c r="Q17" s="361">
        <f>(C17*D17)*P17*F17</f>
        <v>0</v>
      </c>
      <c r="R17" s="376"/>
      <c r="T17" s="328"/>
      <c r="U17" s="328"/>
    </row>
    <row r="18" spans="1:22" s="377" customFormat="1" ht="13.15" customHeight="1" x14ac:dyDescent="0.2">
      <c r="A18" s="391"/>
      <c r="B18" s="373"/>
      <c r="C18" s="374"/>
      <c r="D18" s="374"/>
      <c r="E18" s="374"/>
      <c r="F18" s="375"/>
      <c r="G18" s="374"/>
      <c r="H18" s="386" t="str">
        <f t="shared" si="1"/>
        <v/>
      </c>
      <c r="I18" s="386" t="str">
        <f t="shared" si="2"/>
        <v/>
      </c>
      <c r="J18" s="386" t="str">
        <f t="shared" si="3"/>
        <v/>
      </c>
      <c r="K18" s="387" t="str">
        <f t="shared" si="4"/>
        <v/>
      </c>
      <c r="L18" s="434"/>
      <c r="M18" s="380"/>
      <c r="N18" s="386" t="str">
        <f t="shared" si="5"/>
        <v/>
      </c>
      <c r="O18" s="386" t="str">
        <f t="shared" si="6"/>
        <v/>
      </c>
      <c r="P18" s="372"/>
      <c r="Q18" s="361">
        <f>(C18*D18)*P18*F18</f>
        <v>0</v>
      </c>
      <c r="R18" s="376"/>
      <c r="T18" s="328"/>
      <c r="U18" s="328"/>
    </row>
    <row r="19" spans="1:22" s="269" customFormat="1" ht="13.15" customHeight="1" x14ac:dyDescent="0.2">
      <c r="A19" s="542" t="s">
        <v>194</v>
      </c>
      <c r="B19" s="535"/>
      <c r="C19" s="535"/>
      <c r="D19" s="535"/>
      <c r="E19" s="535"/>
      <c r="F19" s="535"/>
      <c r="G19" s="535"/>
      <c r="H19" s="270" t="str">
        <f t="shared" si="1"/>
        <v/>
      </c>
      <c r="I19" s="270" t="str">
        <f t="shared" si="2"/>
        <v/>
      </c>
      <c r="J19" s="270" t="str">
        <f t="shared" si="3"/>
        <v/>
      </c>
      <c r="K19" s="270" t="str">
        <f t="shared" si="4"/>
        <v/>
      </c>
      <c r="L19" s="433"/>
      <c r="M19" s="270"/>
      <c r="N19" s="270" t="str">
        <f t="shared" si="5"/>
        <v/>
      </c>
      <c r="O19" s="270" t="str">
        <f t="shared" si="6"/>
        <v/>
      </c>
      <c r="P19" s="270"/>
      <c r="Q19" s="270"/>
      <c r="R19" s="272"/>
      <c r="T19" s="328"/>
      <c r="U19" s="328"/>
    </row>
    <row r="20" spans="1:22" s="269" customFormat="1" ht="13.15" customHeight="1" x14ac:dyDescent="0.2">
      <c r="A20" s="538" t="s">
        <v>103</v>
      </c>
      <c r="B20" s="540" t="s">
        <v>102</v>
      </c>
      <c r="C20" s="369"/>
      <c r="D20" s="369"/>
      <c r="E20" s="369"/>
      <c r="F20" s="378">
        <v>1</v>
      </c>
      <c r="G20" s="369">
        <v>1</v>
      </c>
      <c r="H20" s="275" t="str">
        <f t="shared" si="1"/>
        <v/>
      </c>
      <c r="I20" s="275" t="str">
        <f t="shared" si="2"/>
        <v/>
      </c>
      <c r="J20" s="275" t="str">
        <f t="shared" si="3"/>
        <v/>
      </c>
      <c r="K20" s="279" t="str">
        <f t="shared" si="4"/>
        <v/>
      </c>
      <c r="L20" s="420" t="s">
        <v>327</v>
      </c>
      <c r="M20" s="379" t="s">
        <v>68</v>
      </c>
      <c r="N20" s="275" t="str">
        <f t="shared" si="5"/>
        <v/>
      </c>
      <c r="O20" s="275" t="str">
        <f t="shared" si="6"/>
        <v/>
      </c>
      <c r="P20" s="372"/>
      <c r="Q20" s="361">
        <f>(C20*D20)*P20*F20</f>
        <v>0</v>
      </c>
      <c r="R20" s="358"/>
      <c r="T20" s="328"/>
      <c r="U20" s="328"/>
    </row>
    <row r="21" spans="1:22" s="269" customFormat="1" ht="13.15" customHeight="1" x14ac:dyDescent="0.2">
      <c r="A21" s="538"/>
      <c r="B21" s="540" t="s">
        <v>116</v>
      </c>
      <c r="C21" s="369"/>
      <c r="D21" s="369"/>
      <c r="E21" s="369"/>
      <c r="F21" s="378">
        <v>1</v>
      </c>
      <c r="G21" s="369">
        <v>1</v>
      </c>
      <c r="H21" s="275" t="str">
        <f t="shared" si="1"/>
        <v/>
      </c>
      <c r="I21" s="275" t="str">
        <f t="shared" si="2"/>
        <v/>
      </c>
      <c r="J21" s="275" t="str">
        <f t="shared" si="3"/>
        <v/>
      </c>
      <c r="K21" s="279" t="str">
        <f t="shared" si="4"/>
        <v/>
      </c>
      <c r="L21" s="420" t="s">
        <v>327</v>
      </c>
      <c r="M21" s="379" t="s">
        <v>68</v>
      </c>
      <c r="N21" s="275" t="str">
        <f t="shared" si="5"/>
        <v/>
      </c>
      <c r="O21" s="275" t="str">
        <f t="shared" si="6"/>
        <v/>
      </c>
      <c r="P21" s="370"/>
      <c r="Q21" s="361">
        <f>(C21*D21)*P21*F21</f>
        <v>0</v>
      </c>
      <c r="R21" s="358"/>
      <c r="T21" s="328"/>
      <c r="U21" s="328"/>
    </row>
    <row r="22" spans="1:22" s="377" customFormat="1" ht="13.15" customHeight="1" thickBot="1" x14ac:dyDescent="0.25">
      <c r="A22" s="541"/>
      <c r="B22" s="540"/>
      <c r="C22" s="369"/>
      <c r="D22" s="369"/>
      <c r="E22" s="369"/>
      <c r="F22" s="378"/>
      <c r="G22" s="369"/>
      <c r="H22" s="362" t="str">
        <f t="shared" si="1"/>
        <v/>
      </c>
      <c r="I22" s="362" t="str">
        <f t="shared" si="2"/>
        <v/>
      </c>
      <c r="J22" s="362" t="str">
        <f t="shared" si="3"/>
        <v/>
      </c>
      <c r="K22" s="363" t="str">
        <f t="shared" si="4"/>
        <v/>
      </c>
      <c r="L22" s="420"/>
      <c r="M22" s="392"/>
      <c r="N22" s="362" t="str">
        <f t="shared" si="5"/>
        <v/>
      </c>
      <c r="O22" s="362" t="str">
        <f t="shared" si="6"/>
        <v/>
      </c>
      <c r="P22" s="370"/>
      <c r="Q22" s="363"/>
      <c r="R22" s="382"/>
      <c r="S22" s="381"/>
      <c r="T22" s="328"/>
      <c r="U22" s="328"/>
    </row>
    <row r="23" spans="1:22" s="377" customFormat="1" ht="13.15" customHeight="1" thickTop="1" thickBot="1" x14ac:dyDescent="0.25">
      <c r="A23" s="383"/>
      <c r="B23" s="384" t="s">
        <v>10</v>
      </c>
      <c r="C23" s="245">
        <f>SUMPRODUCT(C6:C22,F6:F22)</f>
        <v>0</v>
      </c>
      <c r="D23" s="245"/>
      <c r="E23" s="245"/>
      <c r="F23" s="245"/>
      <c r="G23" s="245"/>
      <c r="H23" s="245"/>
      <c r="I23" s="245">
        <f>SUM(I6:I22)</f>
        <v>0</v>
      </c>
      <c r="J23" s="245"/>
      <c r="K23" s="245">
        <f>SUM(K6:K22)</f>
        <v>0</v>
      </c>
      <c r="L23" s="329"/>
      <c r="M23" s="245"/>
      <c r="N23" s="245"/>
      <c r="O23" s="245">
        <f>SUM(O6:O22)</f>
        <v>0</v>
      </c>
      <c r="P23" s="245"/>
      <c r="Q23" s="245"/>
      <c r="R23" s="330"/>
      <c r="T23" s="328"/>
      <c r="U23" s="328"/>
    </row>
    <row r="24" spans="1:22" s="377" customFormat="1" ht="13.15" customHeight="1" thickTop="1" thickBot="1" x14ac:dyDescent="0.25">
      <c r="A24" s="282"/>
      <c r="B24" s="333"/>
      <c r="C24" s="282"/>
      <c r="D24" s="282"/>
      <c r="E24" s="282"/>
      <c r="F24" s="282"/>
      <c r="G24" s="282"/>
      <c r="H24" s="282"/>
      <c r="I24" s="331"/>
      <c r="J24" s="331"/>
      <c r="K24" s="331"/>
      <c r="L24" s="332"/>
      <c r="M24" s="331"/>
      <c r="N24" s="331"/>
      <c r="O24" s="331"/>
      <c r="P24" s="331"/>
      <c r="Q24" s="331"/>
      <c r="R24" s="331"/>
      <c r="T24" s="328"/>
      <c r="U24" s="328"/>
    </row>
    <row r="25" spans="1:22" s="269" customFormat="1" ht="13.15" customHeight="1" thickTop="1" thickBot="1" x14ac:dyDescent="0.25">
      <c r="A25" s="326"/>
      <c r="B25" s="327"/>
      <c r="C25" s="242"/>
      <c r="D25" s="242"/>
      <c r="E25" s="243" t="s">
        <v>190</v>
      </c>
      <c r="F25" s="242"/>
      <c r="G25" s="244"/>
      <c r="H25" s="243"/>
      <c r="I25" s="245">
        <f>SUM(H11:H12,H20:H21,H7:H8)</f>
        <v>0</v>
      </c>
      <c r="J25" s="243" t="s">
        <v>15</v>
      </c>
      <c r="K25" s="242"/>
      <c r="L25" s="327"/>
      <c r="M25" s="243"/>
      <c r="N25" s="243"/>
      <c r="O25" s="243"/>
      <c r="P25" s="243"/>
      <c r="Q25" s="243"/>
      <c r="R25" s="246"/>
      <c r="T25" s="328"/>
      <c r="U25" s="328"/>
    </row>
    <row r="26" spans="1:22" s="269" customFormat="1" ht="13.15" customHeight="1" thickTop="1" x14ac:dyDescent="0.2">
      <c r="A26" s="12"/>
      <c r="B26" s="26"/>
      <c r="C26" s="12"/>
      <c r="D26" s="43"/>
      <c r="E26" s="1357"/>
      <c r="F26" s="17"/>
      <c r="G26" s="17"/>
      <c r="H26" s="17"/>
      <c r="I26" s="113"/>
      <c r="J26" s="113"/>
      <c r="K26" s="113"/>
      <c r="L26" s="258"/>
      <c r="M26" s="113"/>
      <c r="N26" s="113"/>
      <c r="O26" s="113"/>
      <c r="P26" s="113"/>
      <c r="Q26" s="113"/>
      <c r="R26" s="113"/>
      <c r="T26" s="328"/>
      <c r="U26" s="328"/>
    </row>
    <row r="27" spans="1:22" s="269" customFormat="1" ht="13.15" customHeight="1" x14ac:dyDescent="0.2">
      <c r="A27" s="12"/>
      <c r="B27" s="26"/>
      <c r="C27" s="12"/>
      <c r="D27" s="43"/>
      <c r="E27" s="1357"/>
      <c r="F27" s="17"/>
      <c r="G27" s="17"/>
      <c r="H27" s="17"/>
      <c r="I27" s="113"/>
      <c r="J27" s="113"/>
      <c r="K27" s="12"/>
      <c r="L27" s="258"/>
      <c r="M27" s="113"/>
      <c r="N27" s="113"/>
      <c r="O27" s="113"/>
      <c r="P27" s="113"/>
      <c r="Q27" s="113"/>
      <c r="R27" s="113"/>
      <c r="S27" s="288"/>
      <c r="T27" s="328"/>
      <c r="U27" s="328"/>
    </row>
    <row r="28" spans="1:22" s="269" customFormat="1" ht="13.15" customHeight="1" x14ac:dyDescent="0.2">
      <c r="A28" s="12"/>
      <c r="B28" s="26"/>
      <c r="C28" s="12"/>
      <c r="D28" s="12"/>
      <c r="E28" s="12"/>
      <c r="F28" s="12"/>
      <c r="G28" s="12"/>
      <c r="H28" s="12"/>
      <c r="I28" s="17"/>
      <c r="J28" s="17"/>
      <c r="K28" s="17"/>
      <c r="L28" s="259"/>
      <c r="M28" s="17"/>
      <c r="N28" s="17"/>
      <c r="O28" s="12"/>
      <c r="P28" s="12"/>
      <c r="Q28" s="12"/>
      <c r="R28" s="12"/>
      <c r="T28" s="328"/>
      <c r="U28" s="328"/>
    </row>
    <row r="29" spans="1:22" s="269" customFormat="1" ht="13.15" customHeight="1" x14ac:dyDescent="0.2">
      <c r="A29" s="12"/>
      <c r="B29" s="26"/>
      <c r="C29" s="12"/>
      <c r="D29" s="52"/>
      <c r="E29" s="12"/>
      <c r="F29" s="12"/>
      <c r="G29" s="12"/>
      <c r="H29" s="12"/>
      <c r="I29" s="17"/>
      <c r="J29" s="17"/>
      <c r="K29" s="17"/>
      <c r="L29" s="259"/>
      <c r="M29" s="17"/>
      <c r="N29" s="17"/>
      <c r="O29" s="12"/>
      <c r="P29" s="12"/>
      <c r="Q29" s="12"/>
      <c r="R29" s="63"/>
      <c r="S29" s="328"/>
      <c r="T29" s="328"/>
    </row>
    <row r="30" spans="1:22" ht="13.15" customHeight="1" x14ac:dyDescent="0.2">
      <c r="A30" s="52"/>
      <c r="B30" s="12"/>
      <c r="G30" s="18"/>
      <c r="H30" s="17"/>
      <c r="I30" s="55"/>
      <c r="J30" s="56"/>
      <c r="K30" s="55"/>
      <c r="L30" s="259"/>
      <c r="M30" s="17"/>
      <c r="N30" s="17"/>
      <c r="O30" s="63"/>
      <c r="Q30" s="20"/>
      <c r="R30" s="20"/>
    </row>
    <row r="31" spans="1:22" ht="15" customHeight="1" x14ac:dyDescent="0.2">
      <c r="A31" s="52"/>
      <c r="B31" s="12"/>
      <c r="F31" s="17"/>
      <c r="G31" s="18"/>
      <c r="H31" s="17"/>
      <c r="Q31" s="20"/>
      <c r="R31" s="20"/>
      <c r="S31" s="113"/>
      <c r="T31" s="12"/>
      <c r="V31" s="20"/>
    </row>
    <row r="32" spans="1:22" x14ac:dyDescent="0.2">
      <c r="B32" s="12"/>
      <c r="F32" s="17"/>
      <c r="G32" s="18"/>
      <c r="H32" s="55"/>
      <c r="Q32" s="20"/>
      <c r="R32" s="20"/>
    </row>
    <row r="33" spans="2:21" x14ac:dyDescent="0.2">
      <c r="B33" s="12"/>
      <c r="F33" s="17"/>
      <c r="G33" s="18"/>
      <c r="Q33" s="20"/>
      <c r="R33" s="20"/>
    </row>
    <row r="34" spans="2:21" x14ac:dyDescent="0.2">
      <c r="B34" s="12"/>
      <c r="F34" s="17"/>
      <c r="G34" s="18"/>
      <c r="Q34" s="20"/>
      <c r="R34" s="20"/>
    </row>
    <row r="35" spans="2:21" x14ac:dyDescent="0.2">
      <c r="B35" s="12"/>
      <c r="Q35" s="20"/>
      <c r="R35" s="20"/>
    </row>
    <row r="36" spans="2:21" x14ac:dyDescent="0.2">
      <c r="B36" s="12"/>
      <c r="Q36" s="20"/>
      <c r="R36" s="20"/>
    </row>
    <row r="37" spans="2:21" x14ac:dyDescent="0.2">
      <c r="B37" s="12"/>
      <c r="Q37" s="20"/>
      <c r="R37" s="20"/>
      <c r="T37" s="12"/>
      <c r="U37" s="12"/>
    </row>
    <row r="38" spans="2:21" x14ac:dyDescent="0.2">
      <c r="B38" s="12"/>
      <c r="Q38" s="20"/>
      <c r="R38" s="20"/>
      <c r="T38" s="12"/>
      <c r="U38" s="12"/>
    </row>
    <row r="39" spans="2:21" x14ac:dyDescent="0.2">
      <c r="B39" s="12"/>
      <c r="Q39" s="20"/>
      <c r="R39" s="20"/>
      <c r="T39" s="12"/>
      <c r="U39" s="12"/>
    </row>
    <row r="40" spans="2:21" x14ac:dyDescent="0.2">
      <c r="B40" s="12"/>
      <c r="Q40" s="20"/>
      <c r="R40" s="20"/>
      <c r="T40" s="12"/>
      <c r="U40" s="12"/>
    </row>
    <row r="41" spans="2:21" x14ac:dyDescent="0.2">
      <c r="B41" s="12"/>
      <c r="Q41" s="20"/>
      <c r="R41" s="20"/>
      <c r="T41" s="12"/>
      <c r="U41" s="12"/>
    </row>
    <row r="42" spans="2:21" x14ac:dyDescent="0.2">
      <c r="B42" s="12"/>
      <c r="Q42" s="20"/>
      <c r="R42" s="20"/>
      <c r="T42" s="12"/>
      <c r="U42" s="12"/>
    </row>
    <row r="43" spans="2:21" x14ac:dyDescent="0.2">
      <c r="T43" s="12"/>
      <c r="U43" s="12"/>
    </row>
    <row r="44" spans="2:21" x14ac:dyDescent="0.2">
      <c r="T44" s="12"/>
      <c r="U44" s="12"/>
    </row>
    <row r="45" spans="2:21" x14ac:dyDescent="0.2">
      <c r="T45" s="12"/>
      <c r="U45" s="12"/>
    </row>
    <row r="46" spans="2:21" x14ac:dyDescent="0.2">
      <c r="T46" s="12"/>
      <c r="U46" s="12"/>
    </row>
    <row r="47" spans="2:21" x14ac:dyDescent="0.2">
      <c r="T47" s="12"/>
      <c r="U47" s="12"/>
    </row>
    <row r="48" spans="2:21" x14ac:dyDescent="0.2">
      <c r="T48" s="12"/>
      <c r="U48" s="12"/>
    </row>
    <row r="49" spans="20:21" x14ac:dyDescent="0.2">
      <c r="T49" s="12"/>
      <c r="U49" s="12"/>
    </row>
  </sheetData>
  <mergeCells count="8">
    <mergeCell ref="T4:U4"/>
    <mergeCell ref="R4:R5"/>
    <mergeCell ref="E26:E27"/>
    <mergeCell ref="C4:F4"/>
    <mergeCell ref="A4:A5"/>
    <mergeCell ref="B4:B5"/>
    <mergeCell ref="G4:I4"/>
    <mergeCell ref="J4:L4"/>
  </mergeCells>
  <dataValidations disablePrompts="1" count="1">
    <dataValidation type="list" allowBlank="1" showInputMessage="1" showErrorMessage="1" sqref="L6:L22" xr:uid="{C9062B78-9111-4336-91A8-7668A1FF3175}">
      <formula1>$U$6:$U$12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55" orientation="portrait" r:id="rId1"/>
  <headerFooter alignWithMargins="0">
    <oddFooter>&amp;L&amp;8&amp;F - &amp;A&amp;R&amp;8&amp;P / &amp;N</oddFooter>
  </headerFooter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ilha24">
    <tabColor theme="5" tint="0.59999389629810485"/>
    <pageSetUpPr fitToPage="1"/>
  </sheetPr>
  <dimension ref="A1:V43"/>
  <sheetViews>
    <sheetView showGridLines="0" view="pageBreakPreview" zoomScaleNormal="100" zoomScaleSheetLayoutView="100" workbookViewId="0">
      <pane ySplit="6" topLeftCell="A7" activePane="bottomLeft" state="frozen"/>
      <selection activeCell="A4" sqref="A4:R6"/>
      <selection pane="bottomLeft" activeCell="A4" sqref="A4:R6"/>
    </sheetView>
  </sheetViews>
  <sheetFormatPr defaultColWidth="9.140625" defaultRowHeight="12.75" x14ac:dyDescent="0.2"/>
  <cols>
    <col min="1" max="1" width="17.7109375" style="12" customWidth="1"/>
    <col min="2" max="2" width="15" style="12" customWidth="1"/>
    <col min="3" max="11" width="7.140625" style="12" customWidth="1"/>
    <col min="12" max="17" width="9.7109375" style="12" customWidth="1"/>
    <col min="18" max="18" width="11" style="26" customWidth="1"/>
    <col min="19" max="19" width="3" style="12" customWidth="1"/>
    <col min="20" max="20" width="7.7109375" style="20" customWidth="1"/>
    <col min="21" max="21" width="11.140625" style="20" customWidth="1"/>
    <col min="22" max="256" width="9.140625" style="12"/>
    <col min="257" max="257" width="12.7109375" style="12" bestFit="1" customWidth="1"/>
    <col min="258" max="258" width="14.5703125" style="12" customWidth="1"/>
    <col min="259" max="267" width="6.7109375" style="12" customWidth="1"/>
    <col min="268" max="269" width="9.140625" style="12"/>
    <col min="270" max="270" width="9.85546875" style="12" bestFit="1" customWidth="1"/>
    <col min="271" max="271" width="9.140625" style="12"/>
    <col min="272" max="272" width="10.140625" style="12" bestFit="1" customWidth="1"/>
    <col min="273" max="512" width="9.140625" style="12"/>
    <col min="513" max="513" width="12.7109375" style="12" bestFit="1" customWidth="1"/>
    <col min="514" max="514" width="14.5703125" style="12" customWidth="1"/>
    <col min="515" max="523" width="6.7109375" style="12" customWidth="1"/>
    <col min="524" max="525" width="9.140625" style="12"/>
    <col min="526" max="526" width="9.85546875" style="12" bestFit="1" customWidth="1"/>
    <col min="527" max="527" width="9.140625" style="12"/>
    <col min="528" max="528" width="10.140625" style="12" bestFit="1" customWidth="1"/>
    <col min="529" max="768" width="9.140625" style="12"/>
    <col min="769" max="769" width="12.7109375" style="12" bestFit="1" customWidth="1"/>
    <col min="770" max="770" width="14.5703125" style="12" customWidth="1"/>
    <col min="771" max="779" width="6.7109375" style="12" customWidth="1"/>
    <col min="780" max="781" width="9.140625" style="12"/>
    <col min="782" max="782" width="9.85546875" style="12" bestFit="1" customWidth="1"/>
    <col min="783" max="783" width="9.140625" style="12"/>
    <col min="784" max="784" width="10.140625" style="12" bestFit="1" customWidth="1"/>
    <col min="785" max="1024" width="9.140625" style="12"/>
    <col min="1025" max="1025" width="12.7109375" style="12" bestFit="1" customWidth="1"/>
    <col min="1026" max="1026" width="14.5703125" style="12" customWidth="1"/>
    <col min="1027" max="1035" width="6.7109375" style="12" customWidth="1"/>
    <col min="1036" max="1037" width="9.140625" style="12"/>
    <col min="1038" max="1038" width="9.85546875" style="12" bestFit="1" customWidth="1"/>
    <col min="1039" max="1039" width="9.140625" style="12"/>
    <col min="1040" max="1040" width="10.140625" style="12" bestFit="1" customWidth="1"/>
    <col min="1041" max="1280" width="9.140625" style="12"/>
    <col min="1281" max="1281" width="12.7109375" style="12" bestFit="1" customWidth="1"/>
    <col min="1282" max="1282" width="14.5703125" style="12" customWidth="1"/>
    <col min="1283" max="1291" width="6.7109375" style="12" customWidth="1"/>
    <col min="1292" max="1293" width="9.140625" style="12"/>
    <col min="1294" max="1294" width="9.85546875" style="12" bestFit="1" customWidth="1"/>
    <col min="1295" max="1295" width="9.140625" style="12"/>
    <col min="1296" max="1296" width="10.140625" style="12" bestFit="1" customWidth="1"/>
    <col min="1297" max="1536" width="9.140625" style="12"/>
    <col min="1537" max="1537" width="12.7109375" style="12" bestFit="1" customWidth="1"/>
    <col min="1538" max="1538" width="14.5703125" style="12" customWidth="1"/>
    <col min="1539" max="1547" width="6.7109375" style="12" customWidth="1"/>
    <col min="1548" max="1549" width="9.140625" style="12"/>
    <col min="1550" max="1550" width="9.85546875" style="12" bestFit="1" customWidth="1"/>
    <col min="1551" max="1551" width="9.140625" style="12"/>
    <col min="1552" max="1552" width="10.140625" style="12" bestFit="1" customWidth="1"/>
    <col min="1553" max="1792" width="9.140625" style="12"/>
    <col min="1793" max="1793" width="12.7109375" style="12" bestFit="1" customWidth="1"/>
    <col min="1794" max="1794" width="14.5703125" style="12" customWidth="1"/>
    <col min="1795" max="1803" width="6.7109375" style="12" customWidth="1"/>
    <col min="1804" max="1805" width="9.140625" style="12"/>
    <col min="1806" max="1806" width="9.85546875" style="12" bestFit="1" customWidth="1"/>
    <col min="1807" max="1807" width="9.140625" style="12"/>
    <col min="1808" max="1808" width="10.140625" style="12" bestFit="1" customWidth="1"/>
    <col min="1809" max="2048" width="9.140625" style="12"/>
    <col min="2049" max="2049" width="12.7109375" style="12" bestFit="1" customWidth="1"/>
    <col min="2050" max="2050" width="14.5703125" style="12" customWidth="1"/>
    <col min="2051" max="2059" width="6.7109375" style="12" customWidth="1"/>
    <col min="2060" max="2061" width="9.140625" style="12"/>
    <col min="2062" max="2062" width="9.85546875" style="12" bestFit="1" customWidth="1"/>
    <col min="2063" max="2063" width="9.140625" style="12"/>
    <col min="2064" max="2064" width="10.140625" style="12" bestFit="1" customWidth="1"/>
    <col min="2065" max="2304" width="9.140625" style="12"/>
    <col min="2305" max="2305" width="12.7109375" style="12" bestFit="1" customWidth="1"/>
    <col min="2306" max="2306" width="14.5703125" style="12" customWidth="1"/>
    <col min="2307" max="2315" width="6.7109375" style="12" customWidth="1"/>
    <col min="2316" max="2317" width="9.140625" style="12"/>
    <col min="2318" max="2318" width="9.85546875" style="12" bestFit="1" customWidth="1"/>
    <col min="2319" max="2319" width="9.140625" style="12"/>
    <col min="2320" max="2320" width="10.140625" style="12" bestFit="1" customWidth="1"/>
    <col min="2321" max="2560" width="9.140625" style="12"/>
    <col min="2561" max="2561" width="12.7109375" style="12" bestFit="1" customWidth="1"/>
    <col min="2562" max="2562" width="14.5703125" style="12" customWidth="1"/>
    <col min="2563" max="2571" width="6.7109375" style="12" customWidth="1"/>
    <col min="2572" max="2573" width="9.140625" style="12"/>
    <col min="2574" max="2574" width="9.85546875" style="12" bestFit="1" customWidth="1"/>
    <col min="2575" max="2575" width="9.140625" style="12"/>
    <col min="2576" max="2576" width="10.140625" style="12" bestFit="1" customWidth="1"/>
    <col min="2577" max="2816" width="9.140625" style="12"/>
    <col min="2817" max="2817" width="12.7109375" style="12" bestFit="1" customWidth="1"/>
    <col min="2818" max="2818" width="14.5703125" style="12" customWidth="1"/>
    <col min="2819" max="2827" width="6.7109375" style="12" customWidth="1"/>
    <col min="2828" max="2829" width="9.140625" style="12"/>
    <col min="2830" max="2830" width="9.85546875" style="12" bestFit="1" customWidth="1"/>
    <col min="2831" max="2831" width="9.140625" style="12"/>
    <col min="2832" max="2832" width="10.140625" style="12" bestFit="1" customWidth="1"/>
    <col min="2833" max="3072" width="9.140625" style="12"/>
    <col min="3073" max="3073" width="12.7109375" style="12" bestFit="1" customWidth="1"/>
    <col min="3074" max="3074" width="14.5703125" style="12" customWidth="1"/>
    <col min="3075" max="3083" width="6.7109375" style="12" customWidth="1"/>
    <col min="3084" max="3085" width="9.140625" style="12"/>
    <col min="3086" max="3086" width="9.85546875" style="12" bestFit="1" customWidth="1"/>
    <col min="3087" max="3087" width="9.140625" style="12"/>
    <col min="3088" max="3088" width="10.140625" style="12" bestFit="1" customWidth="1"/>
    <col min="3089" max="3328" width="9.140625" style="12"/>
    <col min="3329" max="3329" width="12.7109375" style="12" bestFit="1" customWidth="1"/>
    <col min="3330" max="3330" width="14.5703125" style="12" customWidth="1"/>
    <col min="3331" max="3339" width="6.7109375" style="12" customWidth="1"/>
    <col min="3340" max="3341" width="9.140625" style="12"/>
    <col min="3342" max="3342" width="9.85546875" style="12" bestFit="1" customWidth="1"/>
    <col min="3343" max="3343" width="9.140625" style="12"/>
    <col min="3344" max="3344" width="10.140625" style="12" bestFit="1" customWidth="1"/>
    <col min="3345" max="3584" width="9.140625" style="12"/>
    <col min="3585" max="3585" width="12.7109375" style="12" bestFit="1" customWidth="1"/>
    <col min="3586" max="3586" width="14.5703125" style="12" customWidth="1"/>
    <col min="3587" max="3595" width="6.7109375" style="12" customWidth="1"/>
    <col min="3596" max="3597" width="9.140625" style="12"/>
    <col min="3598" max="3598" width="9.85546875" style="12" bestFit="1" customWidth="1"/>
    <col min="3599" max="3599" width="9.140625" style="12"/>
    <col min="3600" max="3600" width="10.140625" style="12" bestFit="1" customWidth="1"/>
    <col min="3601" max="3840" width="9.140625" style="12"/>
    <col min="3841" max="3841" width="12.7109375" style="12" bestFit="1" customWidth="1"/>
    <col min="3842" max="3842" width="14.5703125" style="12" customWidth="1"/>
    <col min="3843" max="3851" width="6.7109375" style="12" customWidth="1"/>
    <col min="3852" max="3853" width="9.140625" style="12"/>
    <col min="3854" max="3854" width="9.85546875" style="12" bestFit="1" customWidth="1"/>
    <col min="3855" max="3855" width="9.140625" style="12"/>
    <col min="3856" max="3856" width="10.140625" style="12" bestFit="1" customWidth="1"/>
    <col min="3857" max="4096" width="9.140625" style="12"/>
    <col min="4097" max="4097" width="12.7109375" style="12" bestFit="1" customWidth="1"/>
    <col min="4098" max="4098" width="14.5703125" style="12" customWidth="1"/>
    <col min="4099" max="4107" width="6.7109375" style="12" customWidth="1"/>
    <col min="4108" max="4109" width="9.140625" style="12"/>
    <col min="4110" max="4110" width="9.85546875" style="12" bestFit="1" customWidth="1"/>
    <col min="4111" max="4111" width="9.140625" style="12"/>
    <col min="4112" max="4112" width="10.140625" style="12" bestFit="1" customWidth="1"/>
    <col min="4113" max="4352" width="9.140625" style="12"/>
    <col min="4353" max="4353" width="12.7109375" style="12" bestFit="1" customWidth="1"/>
    <col min="4354" max="4354" width="14.5703125" style="12" customWidth="1"/>
    <col min="4355" max="4363" width="6.7109375" style="12" customWidth="1"/>
    <col min="4364" max="4365" width="9.140625" style="12"/>
    <col min="4366" max="4366" width="9.85546875" style="12" bestFit="1" customWidth="1"/>
    <col min="4367" max="4367" width="9.140625" style="12"/>
    <col min="4368" max="4368" width="10.140625" style="12" bestFit="1" customWidth="1"/>
    <col min="4369" max="4608" width="9.140625" style="12"/>
    <col min="4609" max="4609" width="12.7109375" style="12" bestFit="1" customWidth="1"/>
    <col min="4610" max="4610" width="14.5703125" style="12" customWidth="1"/>
    <col min="4611" max="4619" width="6.7109375" style="12" customWidth="1"/>
    <col min="4620" max="4621" width="9.140625" style="12"/>
    <col min="4622" max="4622" width="9.85546875" style="12" bestFit="1" customWidth="1"/>
    <col min="4623" max="4623" width="9.140625" style="12"/>
    <col min="4624" max="4624" width="10.140625" style="12" bestFit="1" customWidth="1"/>
    <col min="4625" max="4864" width="9.140625" style="12"/>
    <col min="4865" max="4865" width="12.7109375" style="12" bestFit="1" customWidth="1"/>
    <col min="4866" max="4866" width="14.5703125" style="12" customWidth="1"/>
    <col min="4867" max="4875" width="6.7109375" style="12" customWidth="1"/>
    <col min="4876" max="4877" width="9.140625" style="12"/>
    <col min="4878" max="4878" width="9.85546875" style="12" bestFit="1" customWidth="1"/>
    <col min="4879" max="4879" width="9.140625" style="12"/>
    <col min="4880" max="4880" width="10.140625" style="12" bestFit="1" customWidth="1"/>
    <col min="4881" max="5120" width="9.140625" style="12"/>
    <col min="5121" max="5121" width="12.7109375" style="12" bestFit="1" customWidth="1"/>
    <col min="5122" max="5122" width="14.5703125" style="12" customWidth="1"/>
    <col min="5123" max="5131" width="6.7109375" style="12" customWidth="1"/>
    <col min="5132" max="5133" width="9.140625" style="12"/>
    <col min="5134" max="5134" width="9.85546875" style="12" bestFit="1" customWidth="1"/>
    <col min="5135" max="5135" width="9.140625" style="12"/>
    <col min="5136" max="5136" width="10.140625" style="12" bestFit="1" customWidth="1"/>
    <col min="5137" max="5376" width="9.140625" style="12"/>
    <col min="5377" max="5377" width="12.7109375" style="12" bestFit="1" customWidth="1"/>
    <col min="5378" max="5378" width="14.5703125" style="12" customWidth="1"/>
    <col min="5379" max="5387" width="6.7109375" style="12" customWidth="1"/>
    <col min="5388" max="5389" width="9.140625" style="12"/>
    <col min="5390" max="5390" width="9.85546875" style="12" bestFit="1" customWidth="1"/>
    <col min="5391" max="5391" width="9.140625" style="12"/>
    <col min="5392" max="5392" width="10.140625" style="12" bestFit="1" customWidth="1"/>
    <col min="5393" max="5632" width="9.140625" style="12"/>
    <col min="5633" max="5633" width="12.7109375" style="12" bestFit="1" customWidth="1"/>
    <col min="5634" max="5634" width="14.5703125" style="12" customWidth="1"/>
    <col min="5635" max="5643" width="6.7109375" style="12" customWidth="1"/>
    <col min="5644" max="5645" width="9.140625" style="12"/>
    <col min="5646" max="5646" width="9.85546875" style="12" bestFit="1" customWidth="1"/>
    <col min="5647" max="5647" width="9.140625" style="12"/>
    <col min="5648" max="5648" width="10.140625" style="12" bestFit="1" customWidth="1"/>
    <col min="5649" max="5888" width="9.140625" style="12"/>
    <col min="5889" max="5889" width="12.7109375" style="12" bestFit="1" customWidth="1"/>
    <col min="5890" max="5890" width="14.5703125" style="12" customWidth="1"/>
    <col min="5891" max="5899" width="6.7109375" style="12" customWidth="1"/>
    <col min="5900" max="5901" width="9.140625" style="12"/>
    <col min="5902" max="5902" width="9.85546875" style="12" bestFit="1" customWidth="1"/>
    <col min="5903" max="5903" width="9.140625" style="12"/>
    <col min="5904" max="5904" width="10.140625" style="12" bestFit="1" customWidth="1"/>
    <col min="5905" max="6144" width="9.140625" style="12"/>
    <col min="6145" max="6145" width="12.7109375" style="12" bestFit="1" customWidth="1"/>
    <col min="6146" max="6146" width="14.5703125" style="12" customWidth="1"/>
    <col min="6147" max="6155" width="6.7109375" style="12" customWidth="1"/>
    <col min="6156" max="6157" width="9.140625" style="12"/>
    <col min="6158" max="6158" width="9.85546875" style="12" bestFit="1" customWidth="1"/>
    <col min="6159" max="6159" width="9.140625" style="12"/>
    <col min="6160" max="6160" width="10.140625" style="12" bestFit="1" customWidth="1"/>
    <col min="6161" max="6400" width="9.140625" style="12"/>
    <col min="6401" max="6401" width="12.7109375" style="12" bestFit="1" customWidth="1"/>
    <col min="6402" max="6402" width="14.5703125" style="12" customWidth="1"/>
    <col min="6403" max="6411" width="6.7109375" style="12" customWidth="1"/>
    <col min="6412" max="6413" width="9.140625" style="12"/>
    <col min="6414" max="6414" width="9.85546875" style="12" bestFit="1" customWidth="1"/>
    <col min="6415" max="6415" width="9.140625" style="12"/>
    <col min="6416" max="6416" width="10.140625" style="12" bestFit="1" customWidth="1"/>
    <col min="6417" max="6656" width="9.140625" style="12"/>
    <col min="6657" max="6657" width="12.7109375" style="12" bestFit="1" customWidth="1"/>
    <col min="6658" max="6658" width="14.5703125" style="12" customWidth="1"/>
    <col min="6659" max="6667" width="6.7109375" style="12" customWidth="1"/>
    <col min="6668" max="6669" width="9.140625" style="12"/>
    <col min="6670" max="6670" width="9.85546875" style="12" bestFit="1" customWidth="1"/>
    <col min="6671" max="6671" width="9.140625" style="12"/>
    <col min="6672" max="6672" width="10.140625" style="12" bestFit="1" customWidth="1"/>
    <col min="6673" max="6912" width="9.140625" style="12"/>
    <col min="6913" max="6913" width="12.7109375" style="12" bestFit="1" customWidth="1"/>
    <col min="6914" max="6914" width="14.5703125" style="12" customWidth="1"/>
    <col min="6915" max="6923" width="6.7109375" style="12" customWidth="1"/>
    <col min="6924" max="6925" width="9.140625" style="12"/>
    <col min="6926" max="6926" width="9.85546875" style="12" bestFit="1" customWidth="1"/>
    <col min="6927" max="6927" width="9.140625" style="12"/>
    <col min="6928" max="6928" width="10.140625" style="12" bestFit="1" customWidth="1"/>
    <col min="6929" max="7168" width="9.140625" style="12"/>
    <col min="7169" max="7169" width="12.7109375" style="12" bestFit="1" customWidth="1"/>
    <col min="7170" max="7170" width="14.5703125" style="12" customWidth="1"/>
    <col min="7171" max="7179" width="6.7109375" style="12" customWidth="1"/>
    <col min="7180" max="7181" width="9.140625" style="12"/>
    <col min="7182" max="7182" width="9.85546875" style="12" bestFit="1" customWidth="1"/>
    <col min="7183" max="7183" width="9.140625" style="12"/>
    <col min="7184" max="7184" width="10.140625" style="12" bestFit="1" customWidth="1"/>
    <col min="7185" max="7424" width="9.140625" style="12"/>
    <col min="7425" max="7425" width="12.7109375" style="12" bestFit="1" customWidth="1"/>
    <col min="7426" max="7426" width="14.5703125" style="12" customWidth="1"/>
    <col min="7427" max="7435" width="6.7109375" style="12" customWidth="1"/>
    <col min="7436" max="7437" width="9.140625" style="12"/>
    <col min="7438" max="7438" width="9.85546875" style="12" bestFit="1" customWidth="1"/>
    <col min="7439" max="7439" width="9.140625" style="12"/>
    <col min="7440" max="7440" width="10.140625" style="12" bestFit="1" customWidth="1"/>
    <col min="7441" max="7680" width="9.140625" style="12"/>
    <col min="7681" max="7681" width="12.7109375" style="12" bestFit="1" customWidth="1"/>
    <col min="7682" max="7682" width="14.5703125" style="12" customWidth="1"/>
    <col min="7683" max="7691" width="6.7109375" style="12" customWidth="1"/>
    <col min="7692" max="7693" width="9.140625" style="12"/>
    <col min="7694" max="7694" width="9.85546875" style="12" bestFit="1" customWidth="1"/>
    <col min="7695" max="7695" width="9.140625" style="12"/>
    <col min="7696" max="7696" width="10.140625" style="12" bestFit="1" customWidth="1"/>
    <col min="7697" max="7936" width="9.140625" style="12"/>
    <col min="7937" max="7937" width="12.7109375" style="12" bestFit="1" customWidth="1"/>
    <col min="7938" max="7938" width="14.5703125" style="12" customWidth="1"/>
    <col min="7939" max="7947" width="6.7109375" style="12" customWidth="1"/>
    <col min="7948" max="7949" width="9.140625" style="12"/>
    <col min="7950" max="7950" width="9.85546875" style="12" bestFit="1" customWidth="1"/>
    <col min="7951" max="7951" width="9.140625" style="12"/>
    <col min="7952" max="7952" width="10.140625" style="12" bestFit="1" customWidth="1"/>
    <col min="7953" max="8192" width="9.140625" style="12"/>
    <col min="8193" max="8193" width="12.7109375" style="12" bestFit="1" customWidth="1"/>
    <col min="8194" max="8194" width="14.5703125" style="12" customWidth="1"/>
    <col min="8195" max="8203" width="6.7109375" style="12" customWidth="1"/>
    <col min="8204" max="8205" width="9.140625" style="12"/>
    <col min="8206" max="8206" width="9.85546875" style="12" bestFit="1" customWidth="1"/>
    <col min="8207" max="8207" width="9.140625" style="12"/>
    <col min="8208" max="8208" width="10.140625" style="12" bestFit="1" customWidth="1"/>
    <col min="8209" max="8448" width="9.140625" style="12"/>
    <col min="8449" max="8449" width="12.7109375" style="12" bestFit="1" customWidth="1"/>
    <col min="8450" max="8450" width="14.5703125" style="12" customWidth="1"/>
    <col min="8451" max="8459" width="6.7109375" style="12" customWidth="1"/>
    <col min="8460" max="8461" width="9.140625" style="12"/>
    <col min="8462" max="8462" width="9.85546875" style="12" bestFit="1" customWidth="1"/>
    <col min="8463" max="8463" width="9.140625" style="12"/>
    <col min="8464" max="8464" width="10.140625" style="12" bestFit="1" customWidth="1"/>
    <col min="8465" max="8704" width="9.140625" style="12"/>
    <col min="8705" max="8705" width="12.7109375" style="12" bestFit="1" customWidth="1"/>
    <col min="8706" max="8706" width="14.5703125" style="12" customWidth="1"/>
    <col min="8707" max="8715" width="6.7109375" style="12" customWidth="1"/>
    <col min="8716" max="8717" width="9.140625" style="12"/>
    <col min="8718" max="8718" width="9.85546875" style="12" bestFit="1" customWidth="1"/>
    <col min="8719" max="8719" width="9.140625" style="12"/>
    <col min="8720" max="8720" width="10.140625" style="12" bestFit="1" customWidth="1"/>
    <col min="8721" max="8960" width="9.140625" style="12"/>
    <col min="8961" max="8961" width="12.7109375" style="12" bestFit="1" customWidth="1"/>
    <col min="8962" max="8962" width="14.5703125" style="12" customWidth="1"/>
    <col min="8963" max="8971" width="6.7109375" style="12" customWidth="1"/>
    <col min="8972" max="8973" width="9.140625" style="12"/>
    <col min="8974" max="8974" width="9.85546875" style="12" bestFit="1" customWidth="1"/>
    <col min="8975" max="8975" width="9.140625" style="12"/>
    <col min="8976" max="8976" width="10.140625" style="12" bestFit="1" customWidth="1"/>
    <col min="8977" max="9216" width="9.140625" style="12"/>
    <col min="9217" max="9217" width="12.7109375" style="12" bestFit="1" customWidth="1"/>
    <col min="9218" max="9218" width="14.5703125" style="12" customWidth="1"/>
    <col min="9219" max="9227" width="6.7109375" style="12" customWidth="1"/>
    <col min="9228" max="9229" width="9.140625" style="12"/>
    <col min="9230" max="9230" width="9.85546875" style="12" bestFit="1" customWidth="1"/>
    <col min="9231" max="9231" width="9.140625" style="12"/>
    <col min="9232" max="9232" width="10.140625" style="12" bestFit="1" customWidth="1"/>
    <col min="9233" max="9472" width="9.140625" style="12"/>
    <col min="9473" max="9473" width="12.7109375" style="12" bestFit="1" customWidth="1"/>
    <col min="9474" max="9474" width="14.5703125" style="12" customWidth="1"/>
    <col min="9475" max="9483" width="6.7109375" style="12" customWidth="1"/>
    <col min="9484" max="9485" width="9.140625" style="12"/>
    <col min="9486" max="9486" width="9.85546875" style="12" bestFit="1" customWidth="1"/>
    <col min="9487" max="9487" width="9.140625" style="12"/>
    <col min="9488" max="9488" width="10.140625" style="12" bestFit="1" customWidth="1"/>
    <col min="9489" max="9728" width="9.140625" style="12"/>
    <col min="9729" max="9729" width="12.7109375" style="12" bestFit="1" customWidth="1"/>
    <col min="9730" max="9730" width="14.5703125" style="12" customWidth="1"/>
    <col min="9731" max="9739" width="6.7109375" style="12" customWidth="1"/>
    <col min="9740" max="9741" width="9.140625" style="12"/>
    <col min="9742" max="9742" width="9.85546875" style="12" bestFit="1" customWidth="1"/>
    <col min="9743" max="9743" width="9.140625" style="12"/>
    <col min="9744" max="9744" width="10.140625" style="12" bestFit="1" customWidth="1"/>
    <col min="9745" max="9984" width="9.140625" style="12"/>
    <col min="9985" max="9985" width="12.7109375" style="12" bestFit="1" customWidth="1"/>
    <col min="9986" max="9986" width="14.5703125" style="12" customWidth="1"/>
    <col min="9987" max="9995" width="6.7109375" style="12" customWidth="1"/>
    <col min="9996" max="9997" width="9.140625" style="12"/>
    <col min="9998" max="9998" width="9.85546875" style="12" bestFit="1" customWidth="1"/>
    <col min="9999" max="9999" width="9.140625" style="12"/>
    <col min="10000" max="10000" width="10.140625" style="12" bestFit="1" customWidth="1"/>
    <col min="10001" max="10240" width="9.140625" style="12"/>
    <col min="10241" max="10241" width="12.7109375" style="12" bestFit="1" customWidth="1"/>
    <col min="10242" max="10242" width="14.5703125" style="12" customWidth="1"/>
    <col min="10243" max="10251" width="6.7109375" style="12" customWidth="1"/>
    <col min="10252" max="10253" width="9.140625" style="12"/>
    <col min="10254" max="10254" width="9.85546875" style="12" bestFit="1" customWidth="1"/>
    <col min="10255" max="10255" width="9.140625" style="12"/>
    <col min="10256" max="10256" width="10.140625" style="12" bestFit="1" customWidth="1"/>
    <col min="10257" max="10496" width="9.140625" style="12"/>
    <col min="10497" max="10497" width="12.7109375" style="12" bestFit="1" customWidth="1"/>
    <col min="10498" max="10498" width="14.5703125" style="12" customWidth="1"/>
    <col min="10499" max="10507" width="6.7109375" style="12" customWidth="1"/>
    <col min="10508" max="10509" width="9.140625" style="12"/>
    <col min="10510" max="10510" width="9.85546875" style="12" bestFit="1" customWidth="1"/>
    <col min="10511" max="10511" width="9.140625" style="12"/>
    <col min="10512" max="10512" width="10.140625" style="12" bestFit="1" customWidth="1"/>
    <col min="10513" max="10752" width="9.140625" style="12"/>
    <col min="10753" max="10753" width="12.7109375" style="12" bestFit="1" customWidth="1"/>
    <col min="10754" max="10754" width="14.5703125" style="12" customWidth="1"/>
    <col min="10755" max="10763" width="6.7109375" style="12" customWidth="1"/>
    <col min="10764" max="10765" width="9.140625" style="12"/>
    <col min="10766" max="10766" width="9.85546875" style="12" bestFit="1" customWidth="1"/>
    <col min="10767" max="10767" width="9.140625" style="12"/>
    <col min="10768" max="10768" width="10.140625" style="12" bestFit="1" customWidth="1"/>
    <col min="10769" max="11008" width="9.140625" style="12"/>
    <col min="11009" max="11009" width="12.7109375" style="12" bestFit="1" customWidth="1"/>
    <col min="11010" max="11010" width="14.5703125" style="12" customWidth="1"/>
    <col min="11011" max="11019" width="6.7109375" style="12" customWidth="1"/>
    <col min="11020" max="11021" width="9.140625" style="12"/>
    <col min="11022" max="11022" width="9.85546875" style="12" bestFit="1" customWidth="1"/>
    <col min="11023" max="11023" width="9.140625" style="12"/>
    <col min="11024" max="11024" width="10.140625" style="12" bestFit="1" customWidth="1"/>
    <col min="11025" max="11264" width="9.140625" style="12"/>
    <col min="11265" max="11265" width="12.7109375" style="12" bestFit="1" customWidth="1"/>
    <col min="11266" max="11266" width="14.5703125" style="12" customWidth="1"/>
    <col min="11267" max="11275" width="6.7109375" style="12" customWidth="1"/>
    <col min="11276" max="11277" width="9.140625" style="12"/>
    <col min="11278" max="11278" width="9.85546875" style="12" bestFit="1" customWidth="1"/>
    <col min="11279" max="11279" width="9.140625" style="12"/>
    <col min="11280" max="11280" width="10.140625" style="12" bestFit="1" customWidth="1"/>
    <col min="11281" max="11520" width="9.140625" style="12"/>
    <col min="11521" max="11521" width="12.7109375" style="12" bestFit="1" customWidth="1"/>
    <col min="11522" max="11522" width="14.5703125" style="12" customWidth="1"/>
    <col min="11523" max="11531" width="6.7109375" style="12" customWidth="1"/>
    <col min="11532" max="11533" width="9.140625" style="12"/>
    <col min="11534" max="11534" width="9.85546875" style="12" bestFit="1" customWidth="1"/>
    <col min="11535" max="11535" width="9.140625" style="12"/>
    <col min="11536" max="11536" width="10.140625" style="12" bestFit="1" customWidth="1"/>
    <col min="11537" max="11776" width="9.140625" style="12"/>
    <col min="11777" max="11777" width="12.7109375" style="12" bestFit="1" customWidth="1"/>
    <col min="11778" max="11778" width="14.5703125" style="12" customWidth="1"/>
    <col min="11779" max="11787" width="6.7109375" style="12" customWidth="1"/>
    <col min="11788" max="11789" width="9.140625" style="12"/>
    <col min="11790" max="11790" width="9.85546875" style="12" bestFit="1" customWidth="1"/>
    <col min="11791" max="11791" width="9.140625" style="12"/>
    <col min="11792" max="11792" width="10.140625" style="12" bestFit="1" customWidth="1"/>
    <col min="11793" max="12032" width="9.140625" style="12"/>
    <col min="12033" max="12033" width="12.7109375" style="12" bestFit="1" customWidth="1"/>
    <col min="12034" max="12034" width="14.5703125" style="12" customWidth="1"/>
    <col min="12035" max="12043" width="6.7109375" style="12" customWidth="1"/>
    <col min="12044" max="12045" width="9.140625" style="12"/>
    <col min="12046" max="12046" width="9.85546875" style="12" bestFit="1" customWidth="1"/>
    <col min="12047" max="12047" width="9.140625" style="12"/>
    <col min="12048" max="12048" width="10.140625" style="12" bestFit="1" customWidth="1"/>
    <col min="12049" max="12288" width="9.140625" style="12"/>
    <col min="12289" max="12289" width="12.7109375" style="12" bestFit="1" customWidth="1"/>
    <col min="12290" max="12290" width="14.5703125" style="12" customWidth="1"/>
    <col min="12291" max="12299" width="6.7109375" style="12" customWidth="1"/>
    <col min="12300" max="12301" width="9.140625" style="12"/>
    <col min="12302" max="12302" width="9.85546875" style="12" bestFit="1" customWidth="1"/>
    <col min="12303" max="12303" width="9.140625" style="12"/>
    <col min="12304" max="12304" width="10.140625" style="12" bestFit="1" customWidth="1"/>
    <col min="12305" max="12544" width="9.140625" style="12"/>
    <col min="12545" max="12545" width="12.7109375" style="12" bestFit="1" customWidth="1"/>
    <col min="12546" max="12546" width="14.5703125" style="12" customWidth="1"/>
    <col min="12547" max="12555" width="6.7109375" style="12" customWidth="1"/>
    <col min="12556" max="12557" width="9.140625" style="12"/>
    <col min="12558" max="12558" width="9.85546875" style="12" bestFit="1" customWidth="1"/>
    <col min="12559" max="12559" width="9.140625" style="12"/>
    <col min="12560" max="12560" width="10.140625" style="12" bestFit="1" customWidth="1"/>
    <col min="12561" max="12800" width="9.140625" style="12"/>
    <col min="12801" max="12801" width="12.7109375" style="12" bestFit="1" customWidth="1"/>
    <col min="12802" max="12802" width="14.5703125" style="12" customWidth="1"/>
    <col min="12803" max="12811" width="6.7109375" style="12" customWidth="1"/>
    <col min="12812" max="12813" width="9.140625" style="12"/>
    <col min="12814" max="12814" width="9.85546875" style="12" bestFit="1" customWidth="1"/>
    <col min="12815" max="12815" width="9.140625" style="12"/>
    <col min="12816" max="12816" width="10.140625" style="12" bestFit="1" customWidth="1"/>
    <col min="12817" max="13056" width="9.140625" style="12"/>
    <col min="13057" max="13057" width="12.7109375" style="12" bestFit="1" customWidth="1"/>
    <col min="13058" max="13058" width="14.5703125" style="12" customWidth="1"/>
    <col min="13059" max="13067" width="6.7109375" style="12" customWidth="1"/>
    <col min="13068" max="13069" width="9.140625" style="12"/>
    <col min="13070" max="13070" width="9.85546875" style="12" bestFit="1" customWidth="1"/>
    <col min="13071" max="13071" width="9.140625" style="12"/>
    <col min="13072" max="13072" width="10.140625" style="12" bestFit="1" customWidth="1"/>
    <col min="13073" max="13312" width="9.140625" style="12"/>
    <col min="13313" max="13313" width="12.7109375" style="12" bestFit="1" customWidth="1"/>
    <col min="13314" max="13314" width="14.5703125" style="12" customWidth="1"/>
    <col min="13315" max="13323" width="6.7109375" style="12" customWidth="1"/>
    <col min="13324" max="13325" width="9.140625" style="12"/>
    <col min="13326" max="13326" width="9.85546875" style="12" bestFit="1" customWidth="1"/>
    <col min="13327" max="13327" width="9.140625" style="12"/>
    <col min="13328" max="13328" width="10.140625" style="12" bestFit="1" customWidth="1"/>
    <col min="13329" max="13568" width="9.140625" style="12"/>
    <col min="13569" max="13569" width="12.7109375" style="12" bestFit="1" customWidth="1"/>
    <col min="13570" max="13570" width="14.5703125" style="12" customWidth="1"/>
    <col min="13571" max="13579" width="6.7109375" style="12" customWidth="1"/>
    <col min="13580" max="13581" width="9.140625" style="12"/>
    <col min="13582" max="13582" width="9.85546875" style="12" bestFit="1" customWidth="1"/>
    <col min="13583" max="13583" width="9.140625" style="12"/>
    <col min="13584" max="13584" width="10.140625" style="12" bestFit="1" customWidth="1"/>
    <col min="13585" max="13824" width="9.140625" style="12"/>
    <col min="13825" max="13825" width="12.7109375" style="12" bestFit="1" customWidth="1"/>
    <col min="13826" max="13826" width="14.5703125" style="12" customWidth="1"/>
    <col min="13827" max="13835" width="6.7109375" style="12" customWidth="1"/>
    <col min="13836" max="13837" width="9.140625" style="12"/>
    <col min="13838" max="13838" width="9.85546875" style="12" bestFit="1" customWidth="1"/>
    <col min="13839" max="13839" width="9.140625" style="12"/>
    <col min="13840" max="13840" width="10.140625" style="12" bestFit="1" customWidth="1"/>
    <col min="13841" max="14080" width="9.140625" style="12"/>
    <col min="14081" max="14081" width="12.7109375" style="12" bestFit="1" customWidth="1"/>
    <col min="14082" max="14082" width="14.5703125" style="12" customWidth="1"/>
    <col min="14083" max="14091" width="6.7109375" style="12" customWidth="1"/>
    <col min="14092" max="14093" width="9.140625" style="12"/>
    <col min="14094" max="14094" width="9.85546875" style="12" bestFit="1" customWidth="1"/>
    <col min="14095" max="14095" width="9.140625" style="12"/>
    <col min="14096" max="14096" width="10.140625" style="12" bestFit="1" customWidth="1"/>
    <col min="14097" max="14336" width="9.140625" style="12"/>
    <col min="14337" max="14337" width="12.7109375" style="12" bestFit="1" customWidth="1"/>
    <col min="14338" max="14338" width="14.5703125" style="12" customWidth="1"/>
    <col min="14339" max="14347" width="6.7109375" style="12" customWidth="1"/>
    <col min="14348" max="14349" width="9.140625" style="12"/>
    <col min="14350" max="14350" width="9.85546875" style="12" bestFit="1" customWidth="1"/>
    <col min="14351" max="14351" width="9.140625" style="12"/>
    <col min="14352" max="14352" width="10.140625" style="12" bestFit="1" customWidth="1"/>
    <col min="14353" max="14592" width="9.140625" style="12"/>
    <col min="14593" max="14593" width="12.7109375" style="12" bestFit="1" customWidth="1"/>
    <col min="14594" max="14594" width="14.5703125" style="12" customWidth="1"/>
    <col min="14595" max="14603" width="6.7109375" style="12" customWidth="1"/>
    <col min="14604" max="14605" width="9.140625" style="12"/>
    <col min="14606" max="14606" width="9.85546875" style="12" bestFit="1" customWidth="1"/>
    <col min="14607" max="14607" width="9.140625" style="12"/>
    <col min="14608" max="14608" width="10.140625" style="12" bestFit="1" customWidth="1"/>
    <col min="14609" max="14848" width="9.140625" style="12"/>
    <col min="14849" max="14849" width="12.7109375" style="12" bestFit="1" customWidth="1"/>
    <col min="14850" max="14850" width="14.5703125" style="12" customWidth="1"/>
    <col min="14851" max="14859" width="6.7109375" style="12" customWidth="1"/>
    <col min="14860" max="14861" width="9.140625" style="12"/>
    <col min="14862" max="14862" width="9.85546875" style="12" bestFit="1" customWidth="1"/>
    <col min="14863" max="14863" width="9.140625" style="12"/>
    <col min="14864" max="14864" width="10.140625" style="12" bestFit="1" customWidth="1"/>
    <col min="14865" max="15104" width="9.140625" style="12"/>
    <col min="15105" max="15105" width="12.7109375" style="12" bestFit="1" customWidth="1"/>
    <col min="15106" max="15106" width="14.5703125" style="12" customWidth="1"/>
    <col min="15107" max="15115" width="6.7109375" style="12" customWidth="1"/>
    <col min="15116" max="15117" width="9.140625" style="12"/>
    <col min="15118" max="15118" width="9.85546875" style="12" bestFit="1" customWidth="1"/>
    <col min="15119" max="15119" width="9.140625" style="12"/>
    <col min="15120" max="15120" width="10.140625" style="12" bestFit="1" customWidth="1"/>
    <col min="15121" max="15360" width="9.140625" style="12"/>
    <col min="15361" max="15361" width="12.7109375" style="12" bestFit="1" customWidth="1"/>
    <col min="15362" max="15362" width="14.5703125" style="12" customWidth="1"/>
    <col min="15363" max="15371" width="6.7109375" style="12" customWidth="1"/>
    <col min="15372" max="15373" width="9.140625" style="12"/>
    <col min="15374" max="15374" width="9.85546875" style="12" bestFit="1" customWidth="1"/>
    <col min="15375" max="15375" width="9.140625" style="12"/>
    <col min="15376" max="15376" width="10.140625" style="12" bestFit="1" customWidth="1"/>
    <col min="15377" max="15616" width="9.140625" style="12"/>
    <col min="15617" max="15617" width="12.7109375" style="12" bestFit="1" customWidth="1"/>
    <col min="15618" max="15618" width="14.5703125" style="12" customWidth="1"/>
    <col min="15619" max="15627" width="6.7109375" style="12" customWidth="1"/>
    <col min="15628" max="15629" width="9.140625" style="12"/>
    <col min="15630" max="15630" width="9.85546875" style="12" bestFit="1" customWidth="1"/>
    <col min="15631" max="15631" width="9.140625" style="12"/>
    <col min="15632" max="15632" width="10.140625" style="12" bestFit="1" customWidth="1"/>
    <col min="15633" max="15872" width="9.140625" style="12"/>
    <col min="15873" max="15873" width="12.7109375" style="12" bestFit="1" customWidth="1"/>
    <col min="15874" max="15874" width="14.5703125" style="12" customWidth="1"/>
    <col min="15875" max="15883" width="6.7109375" style="12" customWidth="1"/>
    <col min="15884" max="15885" width="9.140625" style="12"/>
    <col min="15886" max="15886" width="9.85546875" style="12" bestFit="1" customWidth="1"/>
    <col min="15887" max="15887" width="9.140625" style="12"/>
    <col min="15888" max="15888" width="10.140625" style="12" bestFit="1" customWidth="1"/>
    <col min="15889" max="16128" width="9.140625" style="12"/>
    <col min="16129" max="16129" width="12.7109375" style="12" bestFit="1" customWidth="1"/>
    <col min="16130" max="16130" width="14.5703125" style="12" customWidth="1"/>
    <col min="16131" max="16139" width="6.7109375" style="12" customWidth="1"/>
    <col min="16140" max="16141" width="9.140625" style="12"/>
    <col min="16142" max="16142" width="9.85546875" style="12" bestFit="1" customWidth="1"/>
    <col min="16143" max="16143" width="9.140625" style="12"/>
    <col min="16144" max="16144" width="10.140625" style="12" bestFit="1" customWidth="1"/>
    <col min="16145" max="16384" width="9.140625" style="12"/>
  </cols>
  <sheetData>
    <row r="1" spans="1:22" s="71" customFormat="1" ht="37.5" customHeight="1" thickBot="1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151"/>
      <c r="S1" s="93"/>
      <c r="T1" s="93"/>
      <c r="U1" s="93"/>
      <c r="V1" s="93"/>
    </row>
    <row r="2" spans="1:22" s="75" customFormat="1" x14ac:dyDescent="0.2">
      <c r="A2" s="87" t="s">
        <v>178</v>
      </c>
      <c r="P2" s="88" t="s">
        <v>18</v>
      </c>
      <c r="R2" s="325" t="s">
        <v>9</v>
      </c>
    </row>
    <row r="3" spans="1:22" s="75" customFormat="1" ht="15" customHeight="1" x14ac:dyDescent="0.2">
      <c r="A3" s="89" t="e">
        <f>#REF!</f>
        <v>#REF!</v>
      </c>
      <c r="B3" s="90"/>
      <c r="C3" s="90"/>
      <c r="D3" s="90"/>
      <c r="P3" s="89" t="s">
        <v>345</v>
      </c>
      <c r="R3" s="92"/>
    </row>
    <row r="4" spans="1:22" ht="12" customHeight="1" x14ac:dyDescent="0.2">
      <c r="A4" s="1347" t="s">
        <v>43</v>
      </c>
      <c r="B4" s="1347" t="s">
        <v>12</v>
      </c>
      <c r="C4" s="136" t="s">
        <v>69</v>
      </c>
      <c r="D4" s="137"/>
      <c r="E4" s="137"/>
      <c r="F4" s="137"/>
      <c r="G4" s="121" t="s">
        <v>70</v>
      </c>
      <c r="H4" s="121"/>
      <c r="I4" s="121"/>
      <c r="J4" s="121"/>
      <c r="K4" s="1347" t="s">
        <v>22</v>
      </c>
      <c r="L4" s="120" t="s">
        <v>51</v>
      </c>
      <c r="M4" s="120"/>
      <c r="N4" s="120"/>
      <c r="O4" s="1367" t="s">
        <v>152</v>
      </c>
      <c r="P4" s="1367"/>
      <c r="Q4" s="1367"/>
      <c r="R4" s="1367"/>
      <c r="T4" s="1360" t="s">
        <v>183</v>
      </c>
      <c r="U4" s="1361"/>
    </row>
    <row r="5" spans="1:22" ht="12.6" customHeight="1" x14ac:dyDescent="0.2">
      <c r="A5" s="1359"/>
      <c r="B5" s="1359"/>
      <c r="C5" s="126" t="s">
        <v>62</v>
      </c>
      <c r="D5" s="138" t="s">
        <v>63</v>
      </c>
      <c r="E5" s="119" t="s">
        <v>87</v>
      </c>
      <c r="F5" s="119" t="s">
        <v>22</v>
      </c>
      <c r="G5" s="135" t="s">
        <v>62</v>
      </c>
      <c r="H5" s="214" t="s">
        <v>64</v>
      </c>
      <c r="I5" s="135" t="s">
        <v>88</v>
      </c>
      <c r="J5" s="135" t="s">
        <v>22</v>
      </c>
      <c r="K5" s="1359"/>
      <c r="L5" s="122" t="s">
        <v>69</v>
      </c>
      <c r="M5" s="122" t="s">
        <v>89</v>
      </c>
      <c r="N5" s="122" t="s">
        <v>10</v>
      </c>
      <c r="O5" s="122" t="s">
        <v>69</v>
      </c>
      <c r="P5" s="122" t="s">
        <v>89</v>
      </c>
      <c r="Q5" s="122" t="s">
        <v>10</v>
      </c>
      <c r="R5" s="1367" t="s">
        <v>186</v>
      </c>
      <c r="T5" s="1362"/>
      <c r="U5" s="1363"/>
    </row>
    <row r="6" spans="1:22" ht="12.6" customHeight="1" x14ac:dyDescent="0.2">
      <c r="A6" s="1348"/>
      <c r="B6" s="1348"/>
      <c r="C6" s="293" t="s">
        <v>54</v>
      </c>
      <c r="D6" s="292" t="s">
        <v>55</v>
      </c>
      <c r="E6" s="291" t="s">
        <v>56</v>
      </c>
      <c r="F6" s="291" t="s">
        <v>71</v>
      </c>
      <c r="G6" s="292" t="s">
        <v>72</v>
      </c>
      <c r="H6" s="291" t="s">
        <v>73</v>
      </c>
      <c r="I6" s="292" t="s">
        <v>74</v>
      </c>
      <c r="J6" s="292" t="s">
        <v>8</v>
      </c>
      <c r="K6" s="1348"/>
      <c r="L6" s="122" t="s">
        <v>1</v>
      </c>
      <c r="M6" s="122" t="s">
        <v>1</v>
      </c>
      <c r="N6" s="122" t="s">
        <v>1</v>
      </c>
      <c r="O6" s="122" t="s">
        <v>4</v>
      </c>
      <c r="P6" s="122" t="s">
        <v>4</v>
      </c>
      <c r="Q6" s="122" t="s">
        <v>4</v>
      </c>
      <c r="R6" s="1367"/>
      <c r="T6" s="122" t="s">
        <v>4</v>
      </c>
      <c r="U6" s="123" t="s">
        <v>186</v>
      </c>
    </row>
    <row r="7" spans="1:22" ht="13.15" customHeight="1" x14ac:dyDescent="0.2">
      <c r="A7" s="203" t="s">
        <v>350</v>
      </c>
      <c r="B7" s="204"/>
      <c r="C7" s="203"/>
      <c r="D7" s="203"/>
      <c r="E7" s="204"/>
      <c r="F7" s="203"/>
      <c r="G7" s="203"/>
      <c r="H7" s="204"/>
      <c r="I7" s="203"/>
      <c r="J7" s="203"/>
      <c r="K7" s="204"/>
      <c r="L7" s="203"/>
      <c r="M7" s="203"/>
      <c r="N7" s="204"/>
      <c r="O7" s="204"/>
      <c r="P7" s="204"/>
      <c r="Q7" s="204"/>
      <c r="R7" s="436"/>
      <c r="T7" s="108">
        <f t="shared" ref="T7:T13" si="0">IF(U7="","",SUMIF($R$7:$R$20,U7,$Q$7:$Q$20))</f>
        <v>0</v>
      </c>
      <c r="U7" s="224" t="s">
        <v>325</v>
      </c>
    </row>
    <row r="8" spans="1:22" ht="13.15" customHeight="1" x14ac:dyDescent="0.2">
      <c r="A8" s="529" t="s">
        <v>94</v>
      </c>
      <c r="B8" s="530" t="s">
        <v>93</v>
      </c>
      <c r="C8" s="273">
        <v>1.26</v>
      </c>
      <c r="D8" s="273">
        <v>1.147</v>
      </c>
      <c r="E8" s="531">
        <v>0.14000000000000001</v>
      </c>
      <c r="F8" s="273">
        <v>1</v>
      </c>
      <c r="G8" s="273">
        <v>0.28000000000000003</v>
      </c>
      <c r="H8" s="277">
        <v>0.18</v>
      </c>
      <c r="I8" s="275">
        <f>SQRT((G8^2)+(H8^2))</f>
        <v>0.33286633954186479</v>
      </c>
      <c r="J8" s="273">
        <v>3</v>
      </c>
      <c r="K8" s="277">
        <v>1</v>
      </c>
      <c r="L8" s="275">
        <f>(((C8*D8)+(((C8+D8)*2)*E8))*F8)*K8</f>
        <v>2.1191800000000001</v>
      </c>
      <c r="M8" s="275">
        <f>(((H8*C8)+(((G8*H8)/2)*2))*J8)*K8</f>
        <v>0.83160000000000001</v>
      </c>
      <c r="N8" s="275">
        <f>SUM(L8:M8)</f>
        <v>2.95078</v>
      </c>
      <c r="O8" s="275">
        <f>(((C8*D8)*E8)*F8)*K8</f>
        <v>0.20233080000000001</v>
      </c>
      <c r="P8" s="275">
        <f>((((G8*H8)/2)*C8)*J8)*K8</f>
        <v>9.5256000000000007E-2</v>
      </c>
      <c r="Q8" s="275">
        <f>SUM(O8:P8)</f>
        <v>0.29758680000000004</v>
      </c>
      <c r="R8" s="437" t="s">
        <v>326</v>
      </c>
      <c r="T8" s="108">
        <f t="shared" si="0"/>
        <v>28.085494500000003</v>
      </c>
      <c r="U8" s="225" t="s">
        <v>327</v>
      </c>
    </row>
    <row r="9" spans="1:22" ht="13.15" customHeight="1" x14ac:dyDescent="0.2">
      <c r="A9" s="529"/>
      <c r="B9" s="530" t="s">
        <v>98</v>
      </c>
      <c r="C9" s="273">
        <v>1.35</v>
      </c>
      <c r="D9" s="273">
        <v>1.31</v>
      </c>
      <c r="E9" s="531">
        <v>0.14000000000000001</v>
      </c>
      <c r="F9" s="273">
        <v>1</v>
      </c>
      <c r="G9" s="273"/>
      <c r="H9" s="277"/>
      <c r="I9" s="275">
        <f>SQRT((G9^2)+(H9^2))</f>
        <v>0</v>
      </c>
      <c r="J9" s="273"/>
      <c r="K9" s="277">
        <v>1</v>
      </c>
      <c r="L9" s="275">
        <f>(((C9*D9)+(((C9+D9)*2)*E9))*F9)*K9</f>
        <v>2.5133000000000001</v>
      </c>
      <c r="M9" s="275">
        <f>(((H9*C9)+(((G9*H9)/2)*2))*J9)*K9</f>
        <v>0</v>
      </c>
      <c r="N9" s="275">
        <f>SUM(L9:M9)</f>
        <v>2.5133000000000001</v>
      </c>
      <c r="O9" s="275">
        <f>(((C9*D9)*E9)*F9)*K9</f>
        <v>0.24759000000000006</v>
      </c>
      <c r="P9" s="275">
        <f>((((G9*H9)/2)*C9)*J9)*K9</f>
        <v>0</v>
      </c>
      <c r="Q9" s="275">
        <f>SUM(O9:P9)</f>
        <v>0.24759000000000006</v>
      </c>
      <c r="R9" s="437" t="s">
        <v>326</v>
      </c>
      <c r="T9" s="108">
        <f t="shared" si="0"/>
        <v>0</v>
      </c>
      <c r="U9" s="225" t="s">
        <v>328</v>
      </c>
    </row>
    <row r="10" spans="1:22" ht="13.15" customHeight="1" x14ac:dyDescent="0.2">
      <c r="A10" s="529"/>
      <c r="B10" s="530" t="s">
        <v>99</v>
      </c>
      <c r="C10" s="273">
        <v>1.26</v>
      </c>
      <c r="D10" s="273">
        <v>3.66</v>
      </c>
      <c r="E10" s="531">
        <v>0.14000000000000001</v>
      </c>
      <c r="F10" s="273">
        <v>1</v>
      </c>
      <c r="G10" s="273">
        <v>0.28000000000000003</v>
      </c>
      <c r="H10" s="277">
        <v>0.18</v>
      </c>
      <c r="I10" s="275">
        <f>SQRT((G10^2)+(H10^2))</f>
        <v>0.33286633954186479</v>
      </c>
      <c r="J10" s="273">
        <v>10</v>
      </c>
      <c r="K10" s="277">
        <v>1</v>
      </c>
      <c r="L10" s="386">
        <f>(((C10*D10)+(((C10+D10)*2)*E10))*F10)*K10</f>
        <v>5.9892000000000003</v>
      </c>
      <c r="M10" s="386">
        <f>(((H10*C10)+(((G10*H10)/2)*2))*J10)*K10</f>
        <v>2.7720000000000002</v>
      </c>
      <c r="N10" s="386">
        <f>SUM(L10:M10)</f>
        <v>8.7612000000000005</v>
      </c>
      <c r="O10" s="386">
        <f>(((C10*D10)*E10)*F10)*K10</f>
        <v>0.64562400000000009</v>
      </c>
      <c r="P10" s="386">
        <f>((((G10*H10)/2)*C10)*J10)*K10</f>
        <v>0.31752000000000002</v>
      </c>
      <c r="Q10" s="275">
        <f>SUM(O10:P10)</f>
        <v>0.96314400000000011</v>
      </c>
      <c r="R10" s="437" t="s">
        <v>326</v>
      </c>
      <c r="T10" s="108">
        <f t="shared" si="0"/>
        <v>0</v>
      </c>
      <c r="U10" s="225" t="s">
        <v>329</v>
      </c>
    </row>
    <row r="11" spans="1:22" ht="13.15" customHeight="1" x14ac:dyDescent="0.2">
      <c r="A11" s="529"/>
      <c r="B11" s="530" t="s">
        <v>98</v>
      </c>
      <c r="C11" s="273">
        <v>2.66</v>
      </c>
      <c r="D11" s="273">
        <v>1.26</v>
      </c>
      <c r="E11" s="531">
        <v>0.14000000000000001</v>
      </c>
      <c r="F11" s="273">
        <v>1</v>
      </c>
      <c r="G11" s="273"/>
      <c r="H11" s="277"/>
      <c r="I11" s="275">
        <f>SQRT((G11^2)+(H11^2))</f>
        <v>0</v>
      </c>
      <c r="J11" s="273"/>
      <c r="K11" s="277">
        <v>1</v>
      </c>
      <c r="L11" s="386">
        <f>(((C11*D11)+(((C11+D11)*2)*E11))*F11)*K11</f>
        <v>4.4492000000000003</v>
      </c>
      <c r="M11" s="386">
        <f>(((H11*C11)+(((G11*H11)/2)*2))*J11)*K11</f>
        <v>0</v>
      </c>
      <c r="N11" s="386">
        <f>SUM(L11:M11)</f>
        <v>4.4492000000000003</v>
      </c>
      <c r="O11" s="386">
        <f>(((C11*D11)*E11)*F11)*K11</f>
        <v>0.46922400000000009</v>
      </c>
      <c r="P11" s="386">
        <f>((((G11*H11)/2)*C11)*J11)*K11</f>
        <v>0</v>
      </c>
      <c r="Q11" s="275">
        <f>SUM(O11:P11)</f>
        <v>0.46922400000000009</v>
      </c>
      <c r="R11" s="437" t="s">
        <v>326</v>
      </c>
      <c r="T11" s="108">
        <f t="shared" si="0"/>
        <v>2.6231688000000006</v>
      </c>
      <c r="U11" s="225" t="s">
        <v>326</v>
      </c>
    </row>
    <row r="12" spans="1:22" ht="13.15" customHeight="1" x14ac:dyDescent="0.2">
      <c r="A12" s="532"/>
      <c r="B12" s="533" t="s">
        <v>100</v>
      </c>
      <c r="C12" s="385">
        <v>1.26</v>
      </c>
      <c r="D12" s="385">
        <v>2.4</v>
      </c>
      <c r="E12" s="534">
        <v>0.14000000000000001</v>
      </c>
      <c r="F12" s="385">
        <v>1</v>
      </c>
      <c r="G12" s="385">
        <v>0.28000000000000003</v>
      </c>
      <c r="H12" s="364">
        <v>0.18</v>
      </c>
      <c r="I12" s="386">
        <f>SQRT((G12^2)+(H12^2))</f>
        <v>0.33286633954186479</v>
      </c>
      <c r="J12" s="385">
        <v>7</v>
      </c>
      <c r="K12" s="364">
        <v>1</v>
      </c>
      <c r="L12" s="386">
        <f>(((C12*D12)+(((C12+D12)*2)*E12))*F12)*K12</f>
        <v>4.0488</v>
      </c>
      <c r="M12" s="386">
        <f>(((H12*C12)+(((G12*H12)/2)*2))*J12)*K12</f>
        <v>1.9403999999999999</v>
      </c>
      <c r="N12" s="386">
        <f>SUM(L12:M12)</f>
        <v>5.9892000000000003</v>
      </c>
      <c r="O12" s="386">
        <f>(((C12*D12)*E12)*F12)*K12</f>
        <v>0.42336000000000007</v>
      </c>
      <c r="P12" s="386">
        <f>((((G12*H12)/2)*C12)*J12)*K12</f>
        <v>0.22226400000000002</v>
      </c>
      <c r="Q12" s="275">
        <f>SUM(O12:P12)</f>
        <v>0.64562400000000009</v>
      </c>
      <c r="R12" s="437" t="s">
        <v>326</v>
      </c>
      <c r="T12" s="108" t="str">
        <f t="shared" si="0"/>
        <v/>
      </c>
      <c r="U12" s="224"/>
    </row>
    <row r="13" spans="1:22" ht="13.15" customHeight="1" x14ac:dyDescent="0.2">
      <c r="A13" s="203" t="s">
        <v>351</v>
      </c>
      <c r="B13" s="204"/>
      <c r="C13" s="203"/>
      <c r="D13" s="203"/>
      <c r="E13" s="204"/>
      <c r="F13" s="203"/>
      <c r="G13" s="203"/>
      <c r="H13" s="204"/>
      <c r="I13" s="203"/>
      <c r="J13" s="203"/>
      <c r="K13" s="204"/>
      <c r="L13" s="203"/>
      <c r="M13" s="203"/>
      <c r="N13" s="204"/>
      <c r="O13" s="204"/>
      <c r="P13" s="204"/>
      <c r="Q13" s="204"/>
      <c r="R13" s="438"/>
      <c r="T13" s="108" t="str">
        <f t="shared" si="0"/>
        <v/>
      </c>
      <c r="U13" s="225"/>
    </row>
    <row r="14" spans="1:22" ht="13.15" customHeight="1" x14ac:dyDescent="0.2">
      <c r="A14" s="529" t="s">
        <v>154</v>
      </c>
      <c r="B14" s="530" t="s">
        <v>93</v>
      </c>
      <c r="C14" s="273">
        <v>1.26</v>
      </c>
      <c r="D14" s="273">
        <v>2.6629999999999998</v>
      </c>
      <c r="E14" s="531">
        <v>0.1</v>
      </c>
      <c r="F14" s="273">
        <v>1</v>
      </c>
      <c r="G14" s="273">
        <v>0.28000000000000003</v>
      </c>
      <c r="H14" s="277">
        <v>0.18</v>
      </c>
      <c r="I14" s="275">
        <f>SQRT((G14^2)+(H14^2))</f>
        <v>0.33286633954186479</v>
      </c>
      <c r="J14" s="273">
        <v>7</v>
      </c>
      <c r="K14" s="277">
        <v>1</v>
      </c>
      <c r="L14" s="275">
        <f>(((C14*D14)+(((C14+D14)*2)*E14))*F14)*K14</f>
        <v>4.1399799999999995</v>
      </c>
      <c r="M14" s="275">
        <f>(((H14*C14)+(((G14*H14)/2)*2))*J14)*K14</f>
        <v>1.9403999999999999</v>
      </c>
      <c r="N14" s="275">
        <f>SUM(L14:M14)</f>
        <v>6.0803799999999999</v>
      </c>
      <c r="O14" s="275">
        <f>(((C14*D14)*E14)*F14)*K14</f>
        <v>0.335538</v>
      </c>
      <c r="P14" s="275">
        <f>((((G14*H14)/2)*C14)*J14)*K14</f>
        <v>0.22226400000000002</v>
      </c>
      <c r="Q14" s="275">
        <f>SUM(O14:P14)</f>
        <v>0.55780200000000002</v>
      </c>
      <c r="R14" s="437" t="s">
        <v>327</v>
      </c>
      <c r="T14" s="145">
        <f>SUM(T7:T13)</f>
        <v>30.708663300000005</v>
      </c>
      <c r="U14" s="442" t="str">
        <f>IF(Q21=T14,"OK","Conferir")</f>
        <v>OK</v>
      </c>
    </row>
    <row r="15" spans="1:22" ht="13.15" customHeight="1" x14ac:dyDescent="0.2">
      <c r="A15" s="529"/>
      <c r="B15" s="530" t="s">
        <v>98</v>
      </c>
      <c r="C15" s="273">
        <v>2.66</v>
      </c>
      <c r="D15" s="273">
        <v>1.26</v>
      </c>
      <c r="E15" s="531">
        <v>0.1</v>
      </c>
      <c r="F15" s="273">
        <v>1</v>
      </c>
      <c r="G15" s="273"/>
      <c r="H15" s="277"/>
      <c r="I15" s="275">
        <f>SQRT((G15^2)+(H15^2))</f>
        <v>0</v>
      </c>
      <c r="J15" s="273"/>
      <c r="K15" s="277">
        <v>1</v>
      </c>
      <c r="L15" s="275">
        <f>(((C15*D15)+(((C15+D15)*2)*E15))*F15)*K15</f>
        <v>4.1356000000000002</v>
      </c>
      <c r="M15" s="275">
        <f>(((H15*C15)+(((G15*H15)/2)*2))*J15)*K15</f>
        <v>0</v>
      </c>
      <c r="N15" s="275">
        <f>SUM(L15:M15)</f>
        <v>4.1356000000000002</v>
      </c>
      <c r="O15" s="275">
        <f>(((C15*D15)*E15)*F15)*K15</f>
        <v>0.33516000000000007</v>
      </c>
      <c r="P15" s="275">
        <f>((((G15*H15)/2)*C15)*J15)*K15</f>
        <v>0</v>
      </c>
      <c r="Q15" s="275">
        <f>SUM(O15:P15)</f>
        <v>0.33516000000000007</v>
      </c>
      <c r="R15" s="437" t="s">
        <v>327</v>
      </c>
      <c r="T15" s="397"/>
      <c r="U15" s="397"/>
    </row>
    <row r="16" spans="1:22" ht="13.15" customHeight="1" x14ac:dyDescent="0.2">
      <c r="A16" s="529"/>
      <c r="B16" s="530" t="s">
        <v>99</v>
      </c>
      <c r="C16" s="273">
        <v>1.26</v>
      </c>
      <c r="D16" s="273">
        <v>2.33</v>
      </c>
      <c r="E16" s="531">
        <v>0.1</v>
      </c>
      <c r="F16" s="273">
        <v>1</v>
      </c>
      <c r="G16" s="273">
        <v>0.28000000000000003</v>
      </c>
      <c r="H16" s="277">
        <v>0.18124999999999999</v>
      </c>
      <c r="I16" s="275">
        <f>SQRT((G16^2)+(H16^2))</f>
        <v>0.33354394388146219</v>
      </c>
      <c r="J16" s="273">
        <v>7</v>
      </c>
      <c r="K16" s="277">
        <v>1</v>
      </c>
      <c r="L16" s="275">
        <f>(((C16*D16)+(((C16+D16)*2)*E16))*F16)*K16</f>
        <v>3.6537999999999999</v>
      </c>
      <c r="M16" s="275">
        <f>(((H16*C16)+(((G16*H16)/2)*2))*J16)*K16</f>
        <v>1.953875</v>
      </c>
      <c r="N16" s="275">
        <f>SUM(L16:M16)</f>
        <v>5.6076750000000004</v>
      </c>
      <c r="O16" s="275">
        <f>(((C16*D16)*E16)*F16)*K16</f>
        <v>0.29358000000000001</v>
      </c>
      <c r="P16" s="275">
        <f>((((G16*H16)/2)*C16)*J16)*K16</f>
        <v>0.22380749999999999</v>
      </c>
      <c r="Q16" s="275">
        <f>SUM(O16:P16)</f>
        <v>0.5173875</v>
      </c>
      <c r="R16" s="437" t="s">
        <v>327</v>
      </c>
    </row>
    <row r="17" spans="1:20" ht="13.15" customHeight="1" x14ac:dyDescent="0.2">
      <c r="A17" s="203" t="s">
        <v>352</v>
      </c>
      <c r="B17" s="204"/>
      <c r="C17" s="203"/>
      <c r="D17" s="203"/>
      <c r="E17" s="204"/>
      <c r="F17" s="204"/>
      <c r="G17" s="204"/>
      <c r="H17" s="204"/>
      <c r="I17" s="203"/>
      <c r="J17" s="203"/>
      <c r="K17" s="204"/>
      <c r="L17" s="203"/>
      <c r="M17" s="203"/>
      <c r="N17" s="203"/>
      <c r="O17" s="203"/>
      <c r="P17" s="203"/>
      <c r="Q17" s="203"/>
      <c r="R17" s="438"/>
    </row>
    <row r="18" spans="1:20" ht="13.15" customHeight="1" x14ac:dyDescent="0.2">
      <c r="A18" s="529" t="s">
        <v>95</v>
      </c>
      <c r="B18" s="530" t="s">
        <v>93</v>
      </c>
      <c r="C18" s="273">
        <v>1.26</v>
      </c>
      <c r="D18" s="273">
        <v>2.6629999999999998</v>
      </c>
      <c r="E18" s="531">
        <v>0.1</v>
      </c>
      <c r="F18" s="273">
        <v>1</v>
      </c>
      <c r="G18" s="273">
        <v>0.28000000000000003</v>
      </c>
      <c r="H18" s="277">
        <v>0.18</v>
      </c>
      <c r="I18" s="275">
        <f>SQRT((G18^2)+(H18^2))</f>
        <v>0.33286633954186479</v>
      </c>
      <c r="J18" s="273">
        <v>7</v>
      </c>
      <c r="K18" s="277">
        <v>19</v>
      </c>
      <c r="L18" s="275">
        <f>(((C18*D18)+(((C18+D18)*2)*E18))*F18)*K18</f>
        <v>78.65961999999999</v>
      </c>
      <c r="M18" s="275">
        <f>(((H18*C18)+(((G18*H18)/2)*2))*J18)*K18</f>
        <v>36.867599999999996</v>
      </c>
      <c r="N18" s="275">
        <f>SUM(L18:M18)</f>
        <v>115.52721999999999</v>
      </c>
      <c r="O18" s="275">
        <f>(((C18*D18)*E18)*F18)*K18</f>
        <v>6.3752219999999999</v>
      </c>
      <c r="P18" s="275">
        <f>((((G18*H18)/2)*C18)*J18)*K18</f>
        <v>4.2230160000000003</v>
      </c>
      <c r="Q18" s="275">
        <f>SUM(O18:P18)</f>
        <v>10.598238</v>
      </c>
      <c r="R18" s="437" t="s">
        <v>327</v>
      </c>
    </row>
    <row r="19" spans="1:20" ht="13.15" customHeight="1" x14ac:dyDescent="0.2">
      <c r="A19" s="529"/>
      <c r="B19" s="530" t="s">
        <v>98</v>
      </c>
      <c r="C19" s="273">
        <v>2.66</v>
      </c>
      <c r="D19" s="273">
        <v>1.26</v>
      </c>
      <c r="E19" s="531">
        <v>0.1</v>
      </c>
      <c r="F19" s="273">
        <v>1</v>
      </c>
      <c r="G19" s="273"/>
      <c r="H19" s="277"/>
      <c r="I19" s="275">
        <f>SQRT((G19^2)+(H19^2))</f>
        <v>0</v>
      </c>
      <c r="J19" s="273"/>
      <c r="K19" s="277">
        <v>19</v>
      </c>
      <c r="L19" s="275">
        <f>(((C19*D19)+(((C19+D19)*2)*E19))*F19)*K19</f>
        <v>78.576400000000007</v>
      </c>
      <c r="M19" s="275">
        <f>(((H19*C19)+(((G19*H19)/2)*2))*J19)*K19</f>
        <v>0</v>
      </c>
      <c r="N19" s="275">
        <f>SUM(L19:M19)</f>
        <v>78.576400000000007</v>
      </c>
      <c r="O19" s="275">
        <f>(((C19*D19)*E19)*F19)*K19</f>
        <v>6.3680400000000015</v>
      </c>
      <c r="P19" s="275">
        <f>((((G19*H19)/2)*C19)*J19)*K19</f>
        <v>0</v>
      </c>
      <c r="Q19" s="275">
        <f>SUM(O19:P19)</f>
        <v>6.3680400000000015</v>
      </c>
      <c r="R19" s="437" t="s">
        <v>327</v>
      </c>
    </row>
    <row r="20" spans="1:20" ht="13.15" customHeight="1" thickBot="1" x14ac:dyDescent="0.25">
      <c r="A20" s="529"/>
      <c r="B20" s="530" t="s">
        <v>99</v>
      </c>
      <c r="C20" s="273">
        <v>1.26</v>
      </c>
      <c r="D20" s="273">
        <v>2.33</v>
      </c>
      <c r="E20" s="531">
        <v>0.1</v>
      </c>
      <c r="F20" s="273">
        <v>1</v>
      </c>
      <c r="G20" s="273">
        <v>0.28999999999999998</v>
      </c>
      <c r="H20" s="277">
        <v>0.17</v>
      </c>
      <c r="I20" s="275">
        <f>SQRT((G20^2)+(H20^2))</f>
        <v>0.33615472627943221</v>
      </c>
      <c r="J20" s="273">
        <v>7</v>
      </c>
      <c r="K20" s="277">
        <v>19</v>
      </c>
      <c r="L20" s="275">
        <f>(((C20*D20)+(((C20+D20)*2)*E20))*F20)*K20</f>
        <v>69.422200000000004</v>
      </c>
      <c r="M20" s="275">
        <f>(((H20*C20)+(((G20*H20)/2)*2))*J20)*K20</f>
        <v>35.045500000000004</v>
      </c>
      <c r="N20" s="275">
        <f>SUM(L20:M20)</f>
        <v>104.46770000000001</v>
      </c>
      <c r="O20" s="275">
        <f>(((C20*D20)*E20)*F20)*K20</f>
        <v>5.5780200000000004</v>
      </c>
      <c r="P20" s="275">
        <f>((((G20*H20)/2)*C20)*J20)*K20</f>
        <v>4.1308470000000002</v>
      </c>
      <c r="Q20" s="275">
        <f>SUM(O20:P20)</f>
        <v>9.7088670000000015</v>
      </c>
      <c r="R20" s="439" t="s">
        <v>327</v>
      </c>
    </row>
    <row r="21" spans="1:20" ht="13.15" customHeight="1" thickTop="1" thickBot="1" x14ac:dyDescent="0.25">
      <c r="A21" s="396"/>
      <c r="B21" s="396" t="s">
        <v>23</v>
      </c>
      <c r="C21" s="396"/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5">
        <f>SUM(N7:N20)</f>
        <v>339.05865499999999</v>
      </c>
      <c r="O21" s="395"/>
      <c r="P21" s="395"/>
      <c r="Q21" s="395">
        <f>SUM(Q7:Q20)</f>
        <v>30.708663300000005</v>
      </c>
      <c r="R21" s="440"/>
    </row>
    <row r="22" spans="1:20" ht="13.15" customHeight="1" thickTop="1" thickBot="1" x14ac:dyDescent="0.25">
      <c r="A22" s="242"/>
      <c r="B22" s="242" t="s">
        <v>77</v>
      </c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3"/>
      <c r="O22" s="242"/>
      <c r="P22" s="242"/>
      <c r="Q22" s="243"/>
      <c r="R22" s="441"/>
    </row>
    <row r="23" spans="1:20" ht="13.15" customHeight="1" thickTop="1" thickBot="1" x14ac:dyDescent="0.25">
      <c r="A23" s="443"/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3"/>
      <c r="N23" s="444"/>
      <c r="O23" s="443"/>
      <c r="P23" s="443"/>
      <c r="Q23" s="444"/>
      <c r="R23" s="445"/>
    </row>
    <row r="24" spans="1:20" ht="13.15" customHeight="1" thickTop="1" thickBot="1" x14ac:dyDescent="0.25">
      <c r="A24" s="326"/>
      <c r="B24" s="242"/>
      <c r="C24" s="242"/>
      <c r="D24" s="242"/>
      <c r="E24" s="242"/>
      <c r="F24" s="242"/>
      <c r="G24" s="242"/>
      <c r="H24" s="242"/>
      <c r="I24" s="242"/>
      <c r="J24" s="243" t="s">
        <v>190</v>
      </c>
      <c r="K24" s="242"/>
      <c r="L24" s="244"/>
      <c r="M24" s="243"/>
      <c r="N24" s="243">
        <f>SUM(N8:N12)</f>
        <v>24.663680000000003</v>
      </c>
      <c r="O24" s="242" t="s">
        <v>15</v>
      </c>
      <c r="P24" s="242"/>
      <c r="Q24" s="242"/>
      <c r="R24" s="441"/>
    </row>
    <row r="25" spans="1:20" ht="13.15" customHeight="1" thickTop="1" x14ac:dyDescent="0.2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5"/>
      <c r="O25" s="116"/>
      <c r="P25" s="116"/>
      <c r="Q25" s="115"/>
      <c r="R25" s="200"/>
    </row>
    <row r="26" spans="1:20" ht="13.15" customHeight="1" x14ac:dyDescent="0.2">
      <c r="B26" s="28" t="s">
        <v>75</v>
      </c>
      <c r="N26" s="27"/>
      <c r="P26" s="27"/>
    </row>
    <row r="27" spans="1:20" ht="14.1" customHeight="1" x14ac:dyDescent="0.2">
      <c r="B27" s="28"/>
      <c r="L27" s="1364"/>
      <c r="M27" s="1364"/>
      <c r="T27" s="12"/>
    </row>
    <row r="28" spans="1:20" ht="13.9" customHeight="1" x14ac:dyDescent="0.2">
      <c r="A28" s="29"/>
      <c r="B28" s="29"/>
      <c r="N28" s="27"/>
    </row>
    <row r="29" spans="1:20" ht="14.1" customHeight="1" x14ac:dyDescent="0.2">
      <c r="A29" s="29"/>
      <c r="E29" s="30" t="s">
        <v>72</v>
      </c>
      <c r="H29" s="26" t="s">
        <v>56</v>
      </c>
    </row>
    <row r="30" spans="1:20" ht="14.1" customHeight="1" x14ac:dyDescent="0.2"/>
    <row r="31" spans="1:20" ht="14.1" customHeight="1" thickBot="1" x14ac:dyDescent="0.25">
      <c r="F31" s="31"/>
      <c r="G31" s="31"/>
      <c r="H31" s="31"/>
    </row>
    <row r="32" spans="1:20" x14ac:dyDescent="0.2">
      <c r="E32" s="32"/>
    </row>
    <row r="33" spans="1:18" ht="13.5" thickBot="1" x14ac:dyDescent="0.25">
      <c r="E33" s="33"/>
      <c r="G33" s="31"/>
      <c r="H33" s="31"/>
    </row>
    <row r="34" spans="1:18" x14ac:dyDescent="0.2">
      <c r="C34" s="1365" t="s">
        <v>73</v>
      </c>
      <c r="D34" s="32"/>
    </row>
    <row r="35" spans="1:18" ht="13.5" thickBot="1" x14ac:dyDescent="0.25">
      <c r="C35" s="1366"/>
      <c r="D35" s="33"/>
    </row>
    <row r="36" spans="1:18" ht="20.100000000000001" customHeight="1" x14ac:dyDescent="0.2"/>
    <row r="37" spans="1:18" ht="20.100000000000001" customHeight="1" thickBot="1" x14ac:dyDescent="0.25">
      <c r="C37" s="31"/>
      <c r="D37" s="31"/>
      <c r="F37" s="30" t="s">
        <v>55</v>
      </c>
    </row>
    <row r="40" spans="1:18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1"/>
    </row>
    <row r="43" spans="1:18" x14ac:dyDescent="0.2">
      <c r="L43" s="27"/>
    </row>
  </sheetData>
  <mergeCells count="8">
    <mergeCell ref="A4:A6"/>
    <mergeCell ref="B4:B6"/>
    <mergeCell ref="T4:U5"/>
    <mergeCell ref="L27:M27"/>
    <mergeCell ref="C34:C35"/>
    <mergeCell ref="R5:R6"/>
    <mergeCell ref="O4:R4"/>
    <mergeCell ref="K4:K6"/>
  </mergeCells>
  <dataValidations disablePrompts="1" count="1">
    <dataValidation type="list" allowBlank="1" showInputMessage="1" showErrorMessage="1" sqref="L7 L17 L13 R8:R20" xr:uid="{00000000-0002-0000-2300-000000000000}">
      <formula1>$U$7:$U$13</formula1>
    </dataValidation>
  </dataValidations>
  <printOptions horizontalCentered="1"/>
  <pageMargins left="0.19685039370078741" right="0.19685039370078741" top="0.39370078740157483" bottom="0.39370078740157483" header="0.51181102362204722" footer="0.19685039370078741"/>
  <pageSetup paperSize="9" scale="78" orientation="landscape" r:id="rId1"/>
  <headerFooter alignWithMargins="0">
    <oddFooter>&amp;L&amp;8&amp;F - &amp;A&amp;R&amp;8&amp;P / &amp;N</oddFooter>
  </headerFooter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Planilha37">
    <tabColor theme="4" tint="0.39997558519241921"/>
    <pageSetUpPr fitToPage="1"/>
  </sheetPr>
  <dimension ref="A1:O41"/>
  <sheetViews>
    <sheetView showGridLines="0" workbookViewId="0">
      <pane ySplit="6" topLeftCell="A7" activePane="bottomLeft" state="frozen"/>
      <selection activeCell="A4" sqref="A4:R6"/>
      <selection pane="bottomLeft" activeCell="A4" sqref="A4:R6"/>
    </sheetView>
  </sheetViews>
  <sheetFormatPr defaultRowHeight="12.75" x14ac:dyDescent="0.2"/>
  <cols>
    <col min="1" max="1" width="18.140625" customWidth="1"/>
    <col min="2" max="2" width="12.28515625" customWidth="1"/>
    <col min="3" max="3" width="10.7109375" customWidth="1"/>
    <col min="4" max="4" width="10.28515625" customWidth="1"/>
    <col min="6" max="6" width="9" customWidth="1"/>
    <col min="7" max="7" width="14.42578125" customWidth="1"/>
    <col min="9" max="9" width="18.140625" customWidth="1"/>
    <col min="10" max="10" width="12.28515625" customWidth="1"/>
    <col min="11" max="11" width="10.7109375" customWidth="1"/>
    <col min="12" max="12" width="10.28515625" customWidth="1"/>
    <col min="15" max="15" width="14.42578125" customWidth="1"/>
  </cols>
  <sheetData>
    <row r="1" spans="1:15" s="79" customFormat="1" ht="30" customHeight="1" thickBot="1" x14ac:dyDescent="0.25">
      <c r="A1" s="476"/>
      <c r="B1" s="78"/>
      <c r="C1" s="78"/>
      <c r="D1" s="78"/>
      <c r="E1" s="117"/>
      <c r="F1" s="117"/>
      <c r="G1" s="117"/>
    </row>
    <row r="2" spans="1:15" s="90" customFormat="1" ht="13.15" customHeight="1" x14ac:dyDescent="0.2">
      <c r="A2" s="347" t="s">
        <v>178</v>
      </c>
      <c r="B2" s="345"/>
      <c r="C2" s="345"/>
      <c r="D2" s="345"/>
      <c r="E2" s="349"/>
      <c r="F2" s="349"/>
      <c r="G2" s="349"/>
      <c r="H2" s="345"/>
      <c r="I2" s="345"/>
      <c r="J2" s="345"/>
      <c r="K2" s="345"/>
      <c r="L2" s="344" t="s">
        <v>18</v>
      </c>
      <c r="M2" s="350"/>
      <c r="N2" s="344" t="s">
        <v>9</v>
      </c>
      <c r="O2" s="350"/>
    </row>
    <row r="3" spans="1:15" s="90" customFormat="1" ht="13.15" customHeight="1" x14ac:dyDescent="0.2">
      <c r="A3" s="139" t="e">
        <f>#REF!</f>
        <v>#REF!</v>
      </c>
      <c r="B3" s="140"/>
      <c r="C3" s="140"/>
      <c r="D3" s="140"/>
      <c r="E3" s="351"/>
      <c r="F3" s="351"/>
      <c r="G3" s="351"/>
      <c r="H3" s="140"/>
      <c r="J3" s="140"/>
      <c r="L3" s="139" t="s">
        <v>345</v>
      </c>
      <c r="M3" s="140"/>
      <c r="N3" s="1368"/>
      <c r="O3" s="1368"/>
    </row>
    <row r="4" spans="1:15" s="74" customFormat="1" ht="6" customHeight="1" thickBot="1" x14ac:dyDescent="0.3">
      <c r="A4" s="80"/>
      <c r="B4" s="80"/>
      <c r="C4" s="81"/>
      <c r="D4" s="80"/>
      <c r="E4" s="118"/>
      <c r="F4" s="118"/>
      <c r="G4" s="118"/>
      <c r="H4" s="82"/>
      <c r="I4" s="82"/>
      <c r="J4" s="83"/>
      <c r="K4" s="83"/>
      <c r="L4" s="83"/>
      <c r="M4" s="83"/>
      <c r="N4" s="83"/>
      <c r="O4" s="83"/>
    </row>
    <row r="5" spans="1:15" s="446" customFormat="1" ht="32.25" customHeight="1" thickBot="1" x14ac:dyDescent="0.25">
      <c r="A5" s="1369" t="s">
        <v>143</v>
      </c>
      <c r="B5" s="1370"/>
      <c r="C5" s="1370"/>
      <c r="D5" s="1370"/>
      <c r="E5" s="1370"/>
      <c r="F5" s="1370"/>
      <c r="G5" s="1371"/>
      <c r="I5" s="1369" t="s">
        <v>151</v>
      </c>
      <c r="J5" s="1370"/>
      <c r="K5" s="1370"/>
      <c r="L5" s="1370"/>
      <c r="M5" s="1370"/>
      <c r="N5" s="1370"/>
      <c r="O5" s="1371"/>
    </row>
    <row r="6" spans="1:15" s="446" customFormat="1" ht="24" customHeight="1" thickBot="1" x14ac:dyDescent="0.25">
      <c r="A6" s="447" t="s">
        <v>95</v>
      </c>
      <c r="B6" s="448" t="s">
        <v>113</v>
      </c>
      <c r="C6" s="448" t="s">
        <v>110</v>
      </c>
      <c r="D6" s="448" t="s">
        <v>78</v>
      </c>
      <c r="E6" s="448" t="s">
        <v>114</v>
      </c>
      <c r="F6" s="448" t="s">
        <v>123</v>
      </c>
      <c r="G6" s="449" t="s">
        <v>115</v>
      </c>
      <c r="H6" s="450"/>
      <c r="I6" s="447" t="s">
        <v>95</v>
      </c>
      <c r="J6" s="448" t="s">
        <v>113</v>
      </c>
      <c r="K6" s="448" t="s">
        <v>110</v>
      </c>
      <c r="L6" s="448" t="s">
        <v>78</v>
      </c>
      <c r="M6" s="448" t="s">
        <v>114</v>
      </c>
      <c r="N6" s="448" t="s">
        <v>123</v>
      </c>
      <c r="O6" s="449" t="s">
        <v>115</v>
      </c>
    </row>
    <row r="7" spans="1:15" s="446" customFormat="1" ht="12" x14ac:dyDescent="0.2">
      <c r="A7" s="451" t="s">
        <v>111</v>
      </c>
      <c r="B7" s="452" t="s">
        <v>119</v>
      </c>
      <c r="C7" s="453">
        <v>335</v>
      </c>
      <c r="D7" s="454" t="e">
        <f>(SUM(#REF!)/21)</f>
        <v>#REF!</v>
      </c>
      <c r="E7" s="455" t="e">
        <f>C7/D7</f>
        <v>#REF!</v>
      </c>
      <c r="F7" s="456">
        <v>0.03</v>
      </c>
      <c r="G7" s="457" t="e">
        <f t="shared" ref="G7:G17" si="0">E7*(1+F7)</f>
        <v>#REF!</v>
      </c>
      <c r="I7" s="451" t="s">
        <v>111</v>
      </c>
      <c r="J7" s="452" t="s">
        <v>119</v>
      </c>
      <c r="K7" s="453">
        <v>335</v>
      </c>
      <c r="L7" s="454" t="e">
        <f>SUM(#REF!)/21</f>
        <v>#REF!</v>
      </c>
      <c r="M7" s="455" t="e">
        <f>K7/L7</f>
        <v>#REF!</v>
      </c>
      <c r="N7" s="456">
        <v>0.03</v>
      </c>
      <c r="O7" s="457" t="e">
        <f t="shared" ref="O7:O17" si="1">M7*(1+N7)</f>
        <v>#REF!</v>
      </c>
    </row>
    <row r="8" spans="1:15" s="446" customFormat="1" ht="12" x14ac:dyDescent="0.2">
      <c r="A8" s="458" t="s">
        <v>111</v>
      </c>
      <c r="B8" s="459" t="s">
        <v>120</v>
      </c>
      <c r="C8" s="460">
        <v>4</v>
      </c>
      <c r="D8" s="454" t="e">
        <f>$D$7</f>
        <v>#REF!</v>
      </c>
      <c r="E8" s="461" t="e">
        <f>C8/D8</f>
        <v>#REF!</v>
      </c>
      <c r="F8" s="462">
        <v>0.03</v>
      </c>
      <c r="G8" s="463" t="e">
        <f t="shared" si="0"/>
        <v>#REF!</v>
      </c>
      <c r="I8" s="458" t="s">
        <v>111</v>
      </c>
      <c r="J8" s="459" t="s">
        <v>120</v>
      </c>
      <c r="K8" s="460">
        <v>4</v>
      </c>
      <c r="L8" s="454" t="e">
        <f>$D$7</f>
        <v>#REF!</v>
      </c>
      <c r="M8" s="461" t="e">
        <f>K8/L8</f>
        <v>#REF!</v>
      </c>
      <c r="N8" s="462">
        <v>0.03</v>
      </c>
      <c r="O8" s="463" t="e">
        <f t="shared" si="1"/>
        <v>#REF!</v>
      </c>
    </row>
    <row r="9" spans="1:15" s="446" customFormat="1" ht="12" x14ac:dyDescent="0.2">
      <c r="A9" s="458" t="s">
        <v>111</v>
      </c>
      <c r="B9" s="459" t="s">
        <v>121</v>
      </c>
      <c r="C9" s="460">
        <v>951</v>
      </c>
      <c r="D9" s="454" t="e">
        <f t="shared" ref="D9:D17" si="2">$D$7</f>
        <v>#REF!</v>
      </c>
      <c r="E9" s="461" t="e">
        <f t="shared" ref="E9:E17" si="3">C9/D9</f>
        <v>#REF!</v>
      </c>
      <c r="F9" s="462">
        <v>0.03</v>
      </c>
      <c r="G9" s="463" t="e">
        <f t="shared" si="0"/>
        <v>#REF!</v>
      </c>
      <c r="I9" s="458" t="s">
        <v>111</v>
      </c>
      <c r="J9" s="459" t="s">
        <v>121</v>
      </c>
      <c r="K9" s="460">
        <v>951</v>
      </c>
      <c r="L9" s="454" t="e">
        <f t="shared" ref="L9:L17" si="4">$D$7</f>
        <v>#REF!</v>
      </c>
      <c r="M9" s="461" t="e">
        <f t="shared" ref="M9:M17" si="5">K9/L9</f>
        <v>#REF!</v>
      </c>
      <c r="N9" s="462">
        <v>0.03</v>
      </c>
      <c r="O9" s="463" t="e">
        <f t="shared" si="1"/>
        <v>#REF!</v>
      </c>
    </row>
    <row r="10" spans="1:15" s="446" customFormat="1" ht="12" x14ac:dyDescent="0.2">
      <c r="A10" s="458" t="s">
        <v>111</v>
      </c>
      <c r="B10" s="459" t="s">
        <v>118</v>
      </c>
      <c r="C10" s="460">
        <v>3125</v>
      </c>
      <c r="D10" s="454" t="e">
        <f t="shared" si="2"/>
        <v>#REF!</v>
      </c>
      <c r="E10" s="461" t="e">
        <f t="shared" si="3"/>
        <v>#REF!</v>
      </c>
      <c r="F10" s="462">
        <v>0.03</v>
      </c>
      <c r="G10" s="463" t="e">
        <f t="shared" si="0"/>
        <v>#REF!</v>
      </c>
      <c r="I10" s="458" t="s">
        <v>111</v>
      </c>
      <c r="J10" s="459" t="s">
        <v>118</v>
      </c>
      <c r="K10" s="460">
        <v>3125</v>
      </c>
      <c r="L10" s="454" t="e">
        <f t="shared" si="4"/>
        <v>#REF!</v>
      </c>
      <c r="M10" s="461" t="e">
        <f t="shared" si="5"/>
        <v>#REF!</v>
      </c>
      <c r="N10" s="462">
        <v>0.03</v>
      </c>
      <c r="O10" s="463" t="e">
        <f t="shared" si="1"/>
        <v>#REF!</v>
      </c>
    </row>
    <row r="11" spans="1:15" s="446" customFormat="1" ht="12" x14ac:dyDescent="0.2">
      <c r="A11" s="458" t="s">
        <v>111</v>
      </c>
      <c r="B11" s="459" t="s">
        <v>117</v>
      </c>
      <c r="C11" s="460">
        <v>6608</v>
      </c>
      <c r="D11" s="454" t="e">
        <f t="shared" si="2"/>
        <v>#REF!</v>
      </c>
      <c r="E11" s="461" t="e">
        <f t="shared" si="3"/>
        <v>#REF!</v>
      </c>
      <c r="F11" s="462">
        <v>0.03</v>
      </c>
      <c r="G11" s="463" t="e">
        <f t="shared" si="0"/>
        <v>#REF!</v>
      </c>
      <c r="I11" s="458" t="s">
        <v>111</v>
      </c>
      <c r="J11" s="459" t="s">
        <v>117</v>
      </c>
      <c r="K11" s="460">
        <v>6608</v>
      </c>
      <c r="L11" s="454" t="e">
        <f t="shared" si="4"/>
        <v>#REF!</v>
      </c>
      <c r="M11" s="461" t="e">
        <f t="shared" si="5"/>
        <v>#REF!</v>
      </c>
      <c r="N11" s="462">
        <v>0.03</v>
      </c>
      <c r="O11" s="463" t="e">
        <f t="shared" si="1"/>
        <v>#REF!</v>
      </c>
    </row>
    <row r="12" spans="1:15" s="446" customFormat="1" ht="12" x14ac:dyDescent="0.2">
      <c r="A12" s="458" t="s">
        <v>111</v>
      </c>
      <c r="B12" s="459" t="s">
        <v>122</v>
      </c>
      <c r="C12" s="460">
        <v>479</v>
      </c>
      <c r="D12" s="454" t="e">
        <f t="shared" si="2"/>
        <v>#REF!</v>
      </c>
      <c r="E12" s="461" t="e">
        <f t="shared" si="3"/>
        <v>#REF!</v>
      </c>
      <c r="F12" s="462">
        <v>0.03</v>
      </c>
      <c r="G12" s="463" t="e">
        <f t="shared" si="0"/>
        <v>#REF!</v>
      </c>
      <c r="I12" s="458" t="s">
        <v>111</v>
      </c>
      <c r="J12" s="459" t="s">
        <v>122</v>
      </c>
      <c r="K12" s="460">
        <v>479</v>
      </c>
      <c r="L12" s="454" t="e">
        <f t="shared" si="4"/>
        <v>#REF!</v>
      </c>
      <c r="M12" s="461" t="e">
        <f t="shared" si="5"/>
        <v>#REF!</v>
      </c>
      <c r="N12" s="462">
        <v>0.03</v>
      </c>
      <c r="O12" s="463" t="e">
        <f t="shared" si="1"/>
        <v>#REF!</v>
      </c>
    </row>
    <row r="13" spans="1:15" s="446" customFormat="1" ht="12" x14ac:dyDescent="0.2">
      <c r="A13" s="458" t="s">
        <v>112</v>
      </c>
      <c r="B13" s="459" t="s">
        <v>119</v>
      </c>
      <c r="C13" s="460">
        <v>2</v>
      </c>
      <c r="D13" s="464" t="e">
        <f t="shared" si="2"/>
        <v>#REF!</v>
      </c>
      <c r="E13" s="461" t="e">
        <f t="shared" si="3"/>
        <v>#REF!</v>
      </c>
      <c r="F13" s="462">
        <v>0.05</v>
      </c>
      <c r="G13" s="463" t="e">
        <f t="shared" si="0"/>
        <v>#REF!</v>
      </c>
      <c r="I13" s="458" t="s">
        <v>112</v>
      </c>
      <c r="J13" s="459" t="s">
        <v>119</v>
      </c>
      <c r="K13" s="460">
        <v>2</v>
      </c>
      <c r="L13" s="464" t="e">
        <f t="shared" si="4"/>
        <v>#REF!</v>
      </c>
      <c r="M13" s="461" t="e">
        <f t="shared" si="5"/>
        <v>#REF!</v>
      </c>
      <c r="N13" s="462">
        <v>0.05</v>
      </c>
      <c r="O13" s="463" t="e">
        <f t="shared" si="1"/>
        <v>#REF!</v>
      </c>
    </row>
    <row r="14" spans="1:15" s="446" customFormat="1" ht="12" x14ac:dyDescent="0.2">
      <c r="A14" s="458" t="s">
        <v>112</v>
      </c>
      <c r="B14" s="459" t="s">
        <v>191</v>
      </c>
      <c r="C14" s="460">
        <v>15</v>
      </c>
      <c r="D14" s="464" t="e">
        <f t="shared" si="2"/>
        <v>#REF!</v>
      </c>
      <c r="E14" s="461" t="e">
        <f>C14/D14</f>
        <v>#REF!</v>
      </c>
      <c r="F14" s="462">
        <v>0.05</v>
      </c>
      <c r="G14" s="463" t="e">
        <f>E14*(1+F14)</f>
        <v>#REF!</v>
      </c>
      <c r="I14" s="458" t="s">
        <v>112</v>
      </c>
      <c r="J14" s="459" t="s">
        <v>191</v>
      </c>
      <c r="K14" s="460">
        <v>15</v>
      </c>
      <c r="L14" s="464" t="e">
        <f t="shared" si="4"/>
        <v>#REF!</v>
      </c>
      <c r="M14" s="461" t="e">
        <f t="shared" si="5"/>
        <v>#REF!</v>
      </c>
      <c r="N14" s="462">
        <v>0.05</v>
      </c>
      <c r="O14" s="463" t="e">
        <f t="shared" si="1"/>
        <v>#REF!</v>
      </c>
    </row>
    <row r="15" spans="1:15" s="446" customFormat="1" ht="12" x14ac:dyDescent="0.2">
      <c r="A15" s="458" t="s">
        <v>112</v>
      </c>
      <c r="B15" s="459" t="s">
        <v>118</v>
      </c>
      <c r="C15" s="460">
        <v>540</v>
      </c>
      <c r="D15" s="464" t="e">
        <f t="shared" si="2"/>
        <v>#REF!</v>
      </c>
      <c r="E15" s="461" t="e">
        <f t="shared" si="3"/>
        <v>#REF!</v>
      </c>
      <c r="F15" s="462">
        <v>0.05</v>
      </c>
      <c r="G15" s="463" t="e">
        <f t="shared" si="0"/>
        <v>#REF!</v>
      </c>
      <c r="I15" s="458" t="s">
        <v>112</v>
      </c>
      <c r="J15" s="459" t="s">
        <v>118</v>
      </c>
      <c r="K15" s="460">
        <v>540</v>
      </c>
      <c r="L15" s="464" t="e">
        <f t="shared" si="4"/>
        <v>#REF!</v>
      </c>
      <c r="M15" s="461" t="e">
        <f t="shared" si="5"/>
        <v>#REF!</v>
      </c>
      <c r="N15" s="462">
        <v>0.05</v>
      </c>
      <c r="O15" s="463" t="e">
        <f t="shared" si="1"/>
        <v>#REF!</v>
      </c>
    </row>
    <row r="16" spans="1:15" s="446" customFormat="1" ht="12" x14ac:dyDescent="0.2">
      <c r="A16" s="458" t="s">
        <v>112</v>
      </c>
      <c r="B16" s="459" t="s">
        <v>121</v>
      </c>
      <c r="C16" s="460">
        <v>206</v>
      </c>
      <c r="D16" s="464" t="e">
        <f t="shared" si="2"/>
        <v>#REF!</v>
      </c>
      <c r="E16" s="461" t="e">
        <f t="shared" si="3"/>
        <v>#REF!</v>
      </c>
      <c r="F16" s="462">
        <v>0.05</v>
      </c>
      <c r="G16" s="463" t="e">
        <f t="shared" si="0"/>
        <v>#REF!</v>
      </c>
      <c r="I16" s="458" t="s">
        <v>112</v>
      </c>
      <c r="J16" s="459" t="s">
        <v>121</v>
      </c>
      <c r="K16" s="460">
        <v>206</v>
      </c>
      <c r="L16" s="464" t="e">
        <f t="shared" si="4"/>
        <v>#REF!</v>
      </c>
      <c r="M16" s="461" t="e">
        <f t="shared" si="5"/>
        <v>#REF!</v>
      </c>
      <c r="N16" s="462">
        <v>0.05</v>
      </c>
      <c r="O16" s="463" t="e">
        <f t="shared" si="1"/>
        <v>#REF!</v>
      </c>
    </row>
    <row r="17" spans="1:15" s="446" customFormat="1" thickBot="1" x14ac:dyDescent="0.25">
      <c r="A17" s="465" t="s">
        <v>112</v>
      </c>
      <c r="B17" s="466" t="s">
        <v>117</v>
      </c>
      <c r="C17" s="467">
        <v>1222</v>
      </c>
      <c r="D17" s="468" t="e">
        <f t="shared" si="2"/>
        <v>#REF!</v>
      </c>
      <c r="E17" s="469" t="e">
        <f t="shared" si="3"/>
        <v>#REF!</v>
      </c>
      <c r="F17" s="470">
        <v>0.05</v>
      </c>
      <c r="G17" s="471" t="e">
        <f t="shared" si="0"/>
        <v>#REF!</v>
      </c>
      <c r="I17" s="465" t="s">
        <v>112</v>
      </c>
      <c r="J17" s="466" t="s">
        <v>117</v>
      </c>
      <c r="K17" s="467">
        <v>1222</v>
      </c>
      <c r="L17" s="468" t="e">
        <f t="shared" si="4"/>
        <v>#REF!</v>
      </c>
      <c r="M17" s="469" t="e">
        <f t="shared" si="5"/>
        <v>#REF!</v>
      </c>
      <c r="N17" s="470">
        <v>0.05</v>
      </c>
      <c r="O17" s="471" t="e">
        <f t="shared" si="1"/>
        <v>#REF!</v>
      </c>
    </row>
    <row r="18" spans="1:15" s="446" customFormat="1" thickBot="1" x14ac:dyDescent="0.25">
      <c r="A18" s="472"/>
      <c r="B18" s="473"/>
      <c r="C18" s="473"/>
      <c r="D18" s="473"/>
      <c r="E18" s="474" t="e">
        <f>SUM(E7:E17)</f>
        <v>#REF!</v>
      </c>
      <c r="F18" s="473"/>
      <c r="G18" s="475" t="e">
        <f>SUM(G7:G17)</f>
        <v>#REF!</v>
      </c>
      <c r="I18" s="472"/>
      <c r="J18" s="473"/>
      <c r="K18" s="473"/>
      <c r="L18" s="473"/>
      <c r="M18" s="474" t="e">
        <f>SUM(M7:M17)</f>
        <v>#REF!</v>
      </c>
      <c r="N18" s="473"/>
      <c r="O18" s="475" t="e">
        <f>SUM(O7:O17)</f>
        <v>#REF!</v>
      </c>
    </row>
    <row r="19" spans="1:15" ht="32.25" customHeight="1" x14ac:dyDescent="0.2"/>
    <row r="20" spans="1:15" ht="24" customHeight="1" x14ac:dyDescent="0.2">
      <c r="H20" s="59"/>
    </row>
    <row r="31" spans="1:15" ht="12.75" customHeight="1" x14ac:dyDescent="0.2"/>
    <row r="32" spans="1:15" ht="12.75" customHeight="1" x14ac:dyDescent="0.2"/>
    <row r="41" ht="12" customHeight="1" x14ac:dyDescent="0.2"/>
  </sheetData>
  <mergeCells count="3">
    <mergeCell ref="N3:O3"/>
    <mergeCell ref="A5:G5"/>
    <mergeCell ref="I5:O5"/>
  </mergeCells>
  <pageMargins left="0.511811024" right="0.511811024" top="0.78740157499999996" bottom="0.78740157499999996" header="0.31496062000000002" footer="0.31496062000000002"/>
  <pageSetup paperSize="9" scale="5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Planilha42">
    <tabColor theme="4" tint="0.39997558519241921"/>
    <pageSetUpPr fitToPage="1"/>
  </sheetPr>
  <dimension ref="A1:P152"/>
  <sheetViews>
    <sheetView showGridLines="0" showZeros="0" zoomScale="90" zoomScaleNormal="90" workbookViewId="0">
      <pane ySplit="5" topLeftCell="A6" activePane="bottomLeft" state="frozen"/>
      <selection activeCell="A4" sqref="A4:R6"/>
      <selection pane="bottomLeft" activeCell="A4" sqref="A4:R6"/>
    </sheetView>
  </sheetViews>
  <sheetFormatPr defaultColWidth="10.28515625" defaultRowHeight="12.75" x14ac:dyDescent="0.2"/>
  <cols>
    <col min="1" max="1" width="9.7109375" style="144" customWidth="1"/>
    <col min="2" max="2" width="7.7109375" style="144" customWidth="1"/>
    <col min="3" max="3" width="67.5703125" style="144" customWidth="1"/>
    <col min="4" max="4" width="51.140625" style="144" customWidth="1"/>
    <col min="5" max="5" width="4.7109375" style="144" customWidth="1"/>
    <col min="6" max="6" width="6.140625" style="144" customWidth="1"/>
    <col min="7" max="7" width="2.28515625" style="144" customWidth="1"/>
    <col min="8" max="8" width="6" style="144" customWidth="1"/>
    <col min="9" max="9" width="3.28515625" style="144" customWidth="1"/>
    <col min="10" max="10" width="15" style="141" customWidth="1"/>
    <col min="11" max="11" width="3.5703125" style="178" customWidth="1"/>
    <col min="12" max="12" width="15" style="141" customWidth="1"/>
    <col min="13" max="13" width="10.28515625" style="144"/>
    <col min="14" max="14" width="4.42578125" style="144" customWidth="1"/>
    <col min="15" max="16" width="10.5703125" style="144" bestFit="1" customWidth="1"/>
    <col min="17" max="258" width="10.28515625" style="144"/>
    <col min="259" max="259" width="9.7109375" style="144" customWidth="1"/>
    <col min="260" max="260" width="7.7109375" style="144" customWidth="1"/>
    <col min="261" max="261" width="67.140625" style="144" customWidth="1"/>
    <col min="262" max="262" width="4.7109375" style="144" customWidth="1"/>
    <col min="263" max="263" width="6.85546875" style="144" customWidth="1"/>
    <col min="264" max="264" width="2.28515625" style="144" customWidth="1"/>
    <col min="265" max="265" width="6.85546875" style="144" customWidth="1"/>
    <col min="266" max="266" width="3.28515625" style="144" customWidth="1"/>
    <col min="267" max="267" width="15" style="144" customWidth="1"/>
    <col min="268" max="514" width="10.28515625" style="144"/>
    <col min="515" max="515" width="9.7109375" style="144" customWidth="1"/>
    <col min="516" max="516" width="7.7109375" style="144" customWidth="1"/>
    <col min="517" max="517" width="67.140625" style="144" customWidth="1"/>
    <col min="518" max="518" width="4.7109375" style="144" customWidth="1"/>
    <col min="519" max="519" width="6.85546875" style="144" customWidth="1"/>
    <col min="520" max="520" width="2.28515625" style="144" customWidth="1"/>
    <col min="521" max="521" width="6.85546875" style="144" customWidth="1"/>
    <col min="522" max="522" width="3.28515625" style="144" customWidth="1"/>
    <col min="523" max="523" width="15" style="144" customWidth="1"/>
    <col min="524" max="770" width="10.28515625" style="144"/>
    <col min="771" max="771" width="9.7109375" style="144" customWidth="1"/>
    <col min="772" max="772" width="7.7109375" style="144" customWidth="1"/>
    <col min="773" max="773" width="67.140625" style="144" customWidth="1"/>
    <col min="774" max="774" width="4.7109375" style="144" customWidth="1"/>
    <col min="775" max="775" width="6.85546875" style="144" customWidth="1"/>
    <col min="776" max="776" width="2.28515625" style="144" customWidth="1"/>
    <col min="777" max="777" width="6.85546875" style="144" customWidth="1"/>
    <col min="778" max="778" width="3.28515625" style="144" customWidth="1"/>
    <col min="779" max="779" width="15" style="144" customWidth="1"/>
    <col min="780" max="1026" width="10.28515625" style="144"/>
    <col min="1027" max="1027" width="9.7109375" style="144" customWidth="1"/>
    <col min="1028" max="1028" width="7.7109375" style="144" customWidth="1"/>
    <col min="1029" max="1029" width="67.140625" style="144" customWidth="1"/>
    <col min="1030" max="1030" width="4.7109375" style="144" customWidth="1"/>
    <col min="1031" max="1031" width="6.85546875" style="144" customWidth="1"/>
    <col min="1032" max="1032" width="2.28515625" style="144" customWidth="1"/>
    <col min="1033" max="1033" width="6.85546875" style="144" customWidth="1"/>
    <col min="1034" max="1034" width="3.28515625" style="144" customWidth="1"/>
    <col min="1035" max="1035" width="15" style="144" customWidth="1"/>
    <col min="1036" max="1282" width="10.28515625" style="144"/>
    <col min="1283" max="1283" width="9.7109375" style="144" customWidth="1"/>
    <col min="1284" max="1284" width="7.7109375" style="144" customWidth="1"/>
    <col min="1285" max="1285" width="67.140625" style="144" customWidth="1"/>
    <col min="1286" max="1286" width="4.7109375" style="144" customWidth="1"/>
    <col min="1287" max="1287" width="6.85546875" style="144" customWidth="1"/>
    <col min="1288" max="1288" width="2.28515625" style="144" customWidth="1"/>
    <col min="1289" max="1289" width="6.85546875" style="144" customWidth="1"/>
    <col min="1290" max="1290" width="3.28515625" style="144" customWidth="1"/>
    <col min="1291" max="1291" width="15" style="144" customWidth="1"/>
    <col min="1292" max="1538" width="10.28515625" style="144"/>
    <col min="1539" max="1539" width="9.7109375" style="144" customWidth="1"/>
    <col min="1540" max="1540" width="7.7109375" style="144" customWidth="1"/>
    <col min="1541" max="1541" width="67.140625" style="144" customWidth="1"/>
    <col min="1542" max="1542" width="4.7109375" style="144" customWidth="1"/>
    <col min="1543" max="1543" width="6.85546875" style="144" customWidth="1"/>
    <col min="1544" max="1544" width="2.28515625" style="144" customWidth="1"/>
    <col min="1545" max="1545" width="6.85546875" style="144" customWidth="1"/>
    <col min="1546" max="1546" width="3.28515625" style="144" customWidth="1"/>
    <col min="1547" max="1547" width="15" style="144" customWidth="1"/>
    <col min="1548" max="1794" width="10.28515625" style="144"/>
    <col min="1795" max="1795" width="9.7109375" style="144" customWidth="1"/>
    <col min="1796" max="1796" width="7.7109375" style="144" customWidth="1"/>
    <col min="1797" max="1797" width="67.140625" style="144" customWidth="1"/>
    <col min="1798" max="1798" width="4.7109375" style="144" customWidth="1"/>
    <col min="1799" max="1799" width="6.85546875" style="144" customWidth="1"/>
    <col min="1800" max="1800" width="2.28515625" style="144" customWidth="1"/>
    <col min="1801" max="1801" width="6.85546875" style="144" customWidth="1"/>
    <col min="1802" max="1802" width="3.28515625" style="144" customWidth="1"/>
    <col min="1803" max="1803" width="15" style="144" customWidth="1"/>
    <col min="1804" max="2050" width="10.28515625" style="144"/>
    <col min="2051" max="2051" width="9.7109375" style="144" customWidth="1"/>
    <col min="2052" max="2052" width="7.7109375" style="144" customWidth="1"/>
    <col min="2053" max="2053" width="67.140625" style="144" customWidth="1"/>
    <col min="2054" max="2054" width="4.7109375" style="144" customWidth="1"/>
    <col min="2055" max="2055" width="6.85546875" style="144" customWidth="1"/>
    <col min="2056" max="2056" width="2.28515625" style="144" customWidth="1"/>
    <col min="2057" max="2057" width="6.85546875" style="144" customWidth="1"/>
    <col min="2058" max="2058" width="3.28515625" style="144" customWidth="1"/>
    <col min="2059" max="2059" width="15" style="144" customWidth="1"/>
    <col min="2060" max="2306" width="10.28515625" style="144"/>
    <col min="2307" max="2307" width="9.7109375" style="144" customWidth="1"/>
    <col min="2308" max="2308" width="7.7109375" style="144" customWidth="1"/>
    <col min="2309" max="2309" width="67.140625" style="144" customWidth="1"/>
    <col min="2310" max="2310" width="4.7109375" style="144" customWidth="1"/>
    <col min="2311" max="2311" width="6.85546875" style="144" customWidth="1"/>
    <col min="2312" max="2312" width="2.28515625" style="144" customWidth="1"/>
    <col min="2313" max="2313" width="6.85546875" style="144" customWidth="1"/>
    <col min="2314" max="2314" width="3.28515625" style="144" customWidth="1"/>
    <col min="2315" max="2315" width="15" style="144" customWidth="1"/>
    <col min="2316" max="2562" width="10.28515625" style="144"/>
    <col min="2563" max="2563" width="9.7109375" style="144" customWidth="1"/>
    <col min="2564" max="2564" width="7.7109375" style="144" customWidth="1"/>
    <col min="2565" max="2565" width="67.140625" style="144" customWidth="1"/>
    <col min="2566" max="2566" width="4.7109375" style="144" customWidth="1"/>
    <col min="2567" max="2567" width="6.85546875" style="144" customWidth="1"/>
    <col min="2568" max="2568" width="2.28515625" style="144" customWidth="1"/>
    <col min="2569" max="2569" width="6.85546875" style="144" customWidth="1"/>
    <col min="2570" max="2570" width="3.28515625" style="144" customWidth="1"/>
    <col min="2571" max="2571" width="15" style="144" customWidth="1"/>
    <col min="2572" max="2818" width="10.28515625" style="144"/>
    <col min="2819" max="2819" width="9.7109375" style="144" customWidth="1"/>
    <col min="2820" max="2820" width="7.7109375" style="144" customWidth="1"/>
    <col min="2821" max="2821" width="67.140625" style="144" customWidth="1"/>
    <col min="2822" max="2822" width="4.7109375" style="144" customWidth="1"/>
    <col min="2823" max="2823" width="6.85546875" style="144" customWidth="1"/>
    <col min="2824" max="2824" width="2.28515625" style="144" customWidth="1"/>
    <col min="2825" max="2825" width="6.85546875" style="144" customWidth="1"/>
    <col min="2826" max="2826" width="3.28515625" style="144" customWidth="1"/>
    <col min="2827" max="2827" width="15" style="144" customWidth="1"/>
    <col min="2828" max="3074" width="10.28515625" style="144"/>
    <col min="3075" max="3075" width="9.7109375" style="144" customWidth="1"/>
    <col min="3076" max="3076" width="7.7109375" style="144" customWidth="1"/>
    <col min="3077" max="3077" width="67.140625" style="144" customWidth="1"/>
    <col min="3078" max="3078" width="4.7109375" style="144" customWidth="1"/>
    <col min="3079" max="3079" width="6.85546875" style="144" customWidth="1"/>
    <col min="3080" max="3080" width="2.28515625" style="144" customWidth="1"/>
    <col min="3081" max="3081" width="6.85546875" style="144" customWidth="1"/>
    <col min="3082" max="3082" width="3.28515625" style="144" customWidth="1"/>
    <col min="3083" max="3083" width="15" style="144" customWidth="1"/>
    <col min="3084" max="3330" width="10.28515625" style="144"/>
    <col min="3331" max="3331" width="9.7109375" style="144" customWidth="1"/>
    <col min="3332" max="3332" width="7.7109375" style="144" customWidth="1"/>
    <col min="3333" max="3333" width="67.140625" style="144" customWidth="1"/>
    <col min="3334" max="3334" width="4.7109375" style="144" customWidth="1"/>
    <col min="3335" max="3335" width="6.85546875" style="144" customWidth="1"/>
    <col min="3336" max="3336" width="2.28515625" style="144" customWidth="1"/>
    <col min="3337" max="3337" width="6.85546875" style="144" customWidth="1"/>
    <col min="3338" max="3338" width="3.28515625" style="144" customWidth="1"/>
    <col min="3339" max="3339" width="15" style="144" customWidth="1"/>
    <col min="3340" max="3586" width="10.28515625" style="144"/>
    <col min="3587" max="3587" width="9.7109375" style="144" customWidth="1"/>
    <col min="3588" max="3588" width="7.7109375" style="144" customWidth="1"/>
    <col min="3589" max="3589" width="67.140625" style="144" customWidth="1"/>
    <col min="3590" max="3590" width="4.7109375" style="144" customWidth="1"/>
    <col min="3591" max="3591" width="6.85546875" style="144" customWidth="1"/>
    <col min="3592" max="3592" width="2.28515625" style="144" customWidth="1"/>
    <col min="3593" max="3593" width="6.85546875" style="144" customWidth="1"/>
    <col min="3594" max="3594" width="3.28515625" style="144" customWidth="1"/>
    <col min="3595" max="3595" width="15" style="144" customWidth="1"/>
    <col min="3596" max="3842" width="10.28515625" style="144"/>
    <col min="3843" max="3843" width="9.7109375" style="144" customWidth="1"/>
    <col min="3844" max="3844" width="7.7109375" style="144" customWidth="1"/>
    <col min="3845" max="3845" width="67.140625" style="144" customWidth="1"/>
    <col min="3846" max="3846" width="4.7109375" style="144" customWidth="1"/>
    <col min="3847" max="3847" width="6.85546875" style="144" customWidth="1"/>
    <col min="3848" max="3848" width="2.28515625" style="144" customWidth="1"/>
    <col min="3849" max="3849" width="6.85546875" style="144" customWidth="1"/>
    <col min="3850" max="3850" width="3.28515625" style="144" customWidth="1"/>
    <col min="3851" max="3851" width="15" style="144" customWidth="1"/>
    <col min="3852" max="4098" width="10.28515625" style="144"/>
    <col min="4099" max="4099" width="9.7109375" style="144" customWidth="1"/>
    <col min="4100" max="4100" width="7.7109375" style="144" customWidth="1"/>
    <col min="4101" max="4101" width="67.140625" style="144" customWidth="1"/>
    <col min="4102" max="4102" width="4.7109375" style="144" customWidth="1"/>
    <col min="4103" max="4103" width="6.85546875" style="144" customWidth="1"/>
    <col min="4104" max="4104" width="2.28515625" style="144" customWidth="1"/>
    <col min="4105" max="4105" width="6.85546875" style="144" customWidth="1"/>
    <col min="4106" max="4106" width="3.28515625" style="144" customWidth="1"/>
    <col min="4107" max="4107" width="15" style="144" customWidth="1"/>
    <col min="4108" max="4354" width="10.28515625" style="144"/>
    <col min="4355" max="4355" width="9.7109375" style="144" customWidth="1"/>
    <col min="4356" max="4356" width="7.7109375" style="144" customWidth="1"/>
    <col min="4357" max="4357" width="67.140625" style="144" customWidth="1"/>
    <col min="4358" max="4358" width="4.7109375" style="144" customWidth="1"/>
    <col min="4359" max="4359" width="6.85546875" style="144" customWidth="1"/>
    <col min="4360" max="4360" width="2.28515625" style="144" customWidth="1"/>
    <col min="4361" max="4361" width="6.85546875" style="144" customWidth="1"/>
    <col min="4362" max="4362" width="3.28515625" style="144" customWidth="1"/>
    <col min="4363" max="4363" width="15" style="144" customWidth="1"/>
    <col min="4364" max="4610" width="10.28515625" style="144"/>
    <col min="4611" max="4611" width="9.7109375" style="144" customWidth="1"/>
    <col min="4612" max="4612" width="7.7109375" style="144" customWidth="1"/>
    <col min="4613" max="4613" width="67.140625" style="144" customWidth="1"/>
    <col min="4614" max="4614" width="4.7109375" style="144" customWidth="1"/>
    <col min="4615" max="4615" width="6.85546875" style="144" customWidth="1"/>
    <col min="4616" max="4616" width="2.28515625" style="144" customWidth="1"/>
    <col min="4617" max="4617" width="6.85546875" style="144" customWidth="1"/>
    <col min="4618" max="4618" width="3.28515625" style="144" customWidth="1"/>
    <col min="4619" max="4619" width="15" style="144" customWidth="1"/>
    <col min="4620" max="4866" width="10.28515625" style="144"/>
    <col min="4867" max="4867" width="9.7109375" style="144" customWidth="1"/>
    <col min="4868" max="4868" width="7.7109375" style="144" customWidth="1"/>
    <col min="4869" max="4869" width="67.140625" style="144" customWidth="1"/>
    <col min="4870" max="4870" width="4.7109375" style="144" customWidth="1"/>
    <col min="4871" max="4871" width="6.85546875" style="144" customWidth="1"/>
    <col min="4872" max="4872" width="2.28515625" style="144" customWidth="1"/>
    <col min="4873" max="4873" width="6.85546875" style="144" customWidth="1"/>
    <col min="4874" max="4874" width="3.28515625" style="144" customWidth="1"/>
    <col min="4875" max="4875" width="15" style="144" customWidth="1"/>
    <col min="4876" max="5122" width="10.28515625" style="144"/>
    <col min="5123" max="5123" width="9.7109375" style="144" customWidth="1"/>
    <col min="5124" max="5124" width="7.7109375" style="144" customWidth="1"/>
    <col min="5125" max="5125" width="67.140625" style="144" customWidth="1"/>
    <col min="5126" max="5126" width="4.7109375" style="144" customWidth="1"/>
    <col min="5127" max="5127" width="6.85546875" style="144" customWidth="1"/>
    <col min="5128" max="5128" width="2.28515625" style="144" customWidth="1"/>
    <col min="5129" max="5129" width="6.85546875" style="144" customWidth="1"/>
    <col min="5130" max="5130" width="3.28515625" style="144" customWidth="1"/>
    <col min="5131" max="5131" width="15" style="144" customWidth="1"/>
    <col min="5132" max="5378" width="10.28515625" style="144"/>
    <col min="5379" max="5379" width="9.7109375" style="144" customWidth="1"/>
    <col min="5380" max="5380" width="7.7109375" style="144" customWidth="1"/>
    <col min="5381" max="5381" width="67.140625" style="144" customWidth="1"/>
    <col min="5382" max="5382" width="4.7109375" style="144" customWidth="1"/>
    <col min="5383" max="5383" width="6.85546875" style="144" customWidth="1"/>
    <col min="5384" max="5384" width="2.28515625" style="144" customWidth="1"/>
    <col min="5385" max="5385" width="6.85546875" style="144" customWidth="1"/>
    <col min="5386" max="5386" width="3.28515625" style="144" customWidth="1"/>
    <col min="5387" max="5387" width="15" style="144" customWidth="1"/>
    <col min="5388" max="5634" width="10.28515625" style="144"/>
    <col min="5635" max="5635" width="9.7109375" style="144" customWidth="1"/>
    <col min="5636" max="5636" width="7.7109375" style="144" customWidth="1"/>
    <col min="5637" max="5637" width="67.140625" style="144" customWidth="1"/>
    <col min="5638" max="5638" width="4.7109375" style="144" customWidth="1"/>
    <col min="5639" max="5639" width="6.85546875" style="144" customWidth="1"/>
    <col min="5640" max="5640" width="2.28515625" style="144" customWidth="1"/>
    <col min="5641" max="5641" width="6.85546875" style="144" customWidth="1"/>
    <col min="5642" max="5642" width="3.28515625" style="144" customWidth="1"/>
    <col min="5643" max="5643" width="15" style="144" customWidth="1"/>
    <col min="5644" max="5890" width="10.28515625" style="144"/>
    <col min="5891" max="5891" width="9.7109375" style="144" customWidth="1"/>
    <col min="5892" max="5892" width="7.7109375" style="144" customWidth="1"/>
    <col min="5893" max="5893" width="67.140625" style="144" customWidth="1"/>
    <col min="5894" max="5894" width="4.7109375" style="144" customWidth="1"/>
    <col min="5895" max="5895" width="6.85546875" style="144" customWidth="1"/>
    <col min="5896" max="5896" width="2.28515625" style="144" customWidth="1"/>
    <col min="5897" max="5897" width="6.85546875" style="144" customWidth="1"/>
    <col min="5898" max="5898" width="3.28515625" style="144" customWidth="1"/>
    <col min="5899" max="5899" width="15" style="144" customWidth="1"/>
    <col min="5900" max="6146" width="10.28515625" style="144"/>
    <col min="6147" max="6147" width="9.7109375" style="144" customWidth="1"/>
    <col min="6148" max="6148" width="7.7109375" style="144" customWidth="1"/>
    <col min="6149" max="6149" width="67.140625" style="144" customWidth="1"/>
    <col min="6150" max="6150" width="4.7109375" style="144" customWidth="1"/>
    <col min="6151" max="6151" width="6.85546875" style="144" customWidth="1"/>
    <col min="6152" max="6152" width="2.28515625" style="144" customWidth="1"/>
    <col min="6153" max="6153" width="6.85546875" style="144" customWidth="1"/>
    <col min="6154" max="6154" width="3.28515625" style="144" customWidth="1"/>
    <col min="6155" max="6155" width="15" style="144" customWidth="1"/>
    <col min="6156" max="6402" width="10.28515625" style="144"/>
    <col min="6403" max="6403" width="9.7109375" style="144" customWidth="1"/>
    <col min="6404" max="6404" width="7.7109375" style="144" customWidth="1"/>
    <col min="6405" max="6405" width="67.140625" style="144" customWidth="1"/>
    <col min="6406" max="6406" width="4.7109375" style="144" customWidth="1"/>
    <col min="6407" max="6407" width="6.85546875" style="144" customWidth="1"/>
    <col min="6408" max="6408" width="2.28515625" style="144" customWidth="1"/>
    <col min="6409" max="6409" width="6.85546875" style="144" customWidth="1"/>
    <col min="6410" max="6410" width="3.28515625" style="144" customWidth="1"/>
    <col min="6411" max="6411" width="15" style="144" customWidth="1"/>
    <col min="6412" max="6658" width="10.28515625" style="144"/>
    <col min="6659" max="6659" width="9.7109375" style="144" customWidth="1"/>
    <col min="6660" max="6660" width="7.7109375" style="144" customWidth="1"/>
    <col min="6661" max="6661" width="67.140625" style="144" customWidth="1"/>
    <col min="6662" max="6662" width="4.7109375" style="144" customWidth="1"/>
    <col min="6663" max="6663" width="6.85546875" style="144" customWidth="1"/>
    <col min="6664" max="6664" width="2.28515625" style="144" customWidth="1"/>
    <col min="6665" max="6665" width="6.85546875" style="144" customWidth="1"/>
    <col min="6666" max="6666" width="3.28515625" style="144" customWidth="1"/>
    <col min="6667" max="6667" width="15" style="144" customWidth="1"/>
    <col min="6668" max="6914" width="10.28515625" style="144"/>
    <col min="6915" max="6915" width="9.7109375" style="144" customWidth="1"/>
    <col min="6916" max="6916" width="7.7109375" style="144" customWidth="1"/>
    <col min="6917" max="6917" width="67.140625" style="144" customWidth="1"/>
    <col min="6918" max="6918" width="4.7109375" style="144" customWidth="1"/>
    <col min="6919" max="6919" width="6.85546875" style="144" customWidth="1"/>
    <col min="6920" max="6920" width="2.28515625" style="144" customWidth="1"/>
    <col min="6921" max="6921" width="6.85546875" style="144" customWidth="1"/>
    <col min="6922" max="6922" width="3.28515625" style="144" customWidth="1"/>
    <col min="6923" max="6923" width="15" style="144" customWidth="1"/>
    <col min="6924" max="7170" width="10.28515625" style="144"/>
    <col min="7171" max="7171" width="9.7109375" style="144" customWidth="1"/>
    <col min="7172" max="7172" width="7.7109375" style="144" customWidth="1"/>
    <col min="7173" max="7173" width="67.140625" style="144" customWidth="1"/>
    <col min="7174" max="7174" width="4.7109375" style="144" customWidth="1"/>
    <col min="7175" max="7175" width="6.85546875" style="144" customWidth="1"/>
    <col min="7176" max="7176" width="2.28515625" style="144" customWidth="1"/>
    <col min="7177" max="7177" width="6.85546875" style="144" customWidth="1"/>
    <col min="7178" max="7178" width="3.28515625" style="144" customWidth="1"/>
    <col min="7179" max="7179" width="15" style="144" customWidth="1"/>
    <col min="7180" max="7426" width="10.28515625" style="144"/>
    <col min="7427" max="7427" width="9.7109375" style="144" customWidth="1"/>
    <col min="7428" max="7428" width="7.7109375" style="144" customWidth="1"/>
    <col min="7429" max="7429" width="67.140625" style="144" customWidth="1"/>
    <col min="7430" max="7430" width="4.7109375" style="144" customWidth="1"/>
    <col min="7431" max="7431" width="6.85546875" style="144" customWidth="1"/>
    <col min="7432" max="7432" width="2.28515625" style="144" customWidth="1"/>
    <col min="7433" max="7433" width="6.85546875" style="144" customWidth="1"/>
    <col min="7434" max="7434" width="3.28515625" style="144" customWidth="1"/>
    <col min="7435" max="7435" width="15" style="144" customWidth="1"/>
    <col min="7436" max="7682" width="10.28515625" style="144"/>
    <col min="7683" max="7683" width="9.7109375" style="144" customWidth="1"/>
    <col min="7684" max="7684" width="7.7109375" style="144" customWidth="1"/>
    <col min="7685" max="7685" width="67.140625" style="144" customWidth="1"/>
    <col min="7686" max="7686" width="4.7109375" style="144" customWidth="1"/>
    <col min="7687" max="7687" width="6.85546875" style="144" customWidth="1"/>
    <col min="7688" max="7688" width="2.28515625" style="144" customWidth="1"/>
    <col min="7689" max="7689" width="6.85546875" style="144" customWidth="1"/>
    <col min="7690" max="7690" width="3.28515625" style="144" customWidth="1"/>
    <col min="7691" max="7691" width="15" style="144" customWidth="1"/>
    <col min="7692" max="7938" width="10.28515625" style="144"/>
    <col min="7939" max="7939" width="9.7109375" style="144" customWidth="1"/>
    <col min="7940" max="7940" width="7.7109375" style="144" customWidth="1"/>
    <col min="7941" max="7941" width="67.140625" style="144" customWidth="1"/>
    <col min="7942" max="7942" width="4.7109375" style="144" customWidth="1"/>
    <col min="7943" max="7943" width="6.85546875" style="144" customWidth="1"/>
    <col min="7944" max="7944" width="2.28515625" style="144" customWidth="1"/>
    <col min="7945" max="7945" width="6.85546875" style="144" customWidth="1"/>
    <col min="7946" max="7946" width="3.28515625" style="144" customWidth="1"/>
    <col min="7947" max="7947" width="15" style="144" customWidth="1"/>
    <col min="7948" max="8194" width="10.28515625" style="144"/>
    <col min="8195" max="8195" width="9.7109375" style="144" customWidth="1"/>
    <col min="8196" max="8196" width="7.7109375" style="144" customWidth="1"/>
    <col min="8197" max="8197" width="67.140625" style="144" customWidth="1"/>
    <col min="8198" max="8198" width="4.7109375" style="144" customWidth="1"/>
    <col min="8199" max="8199" width="6.85546875" style="144" customWidth="1"/>
    <col min="8200" max="8200" width="2.28515625" style="144" customWidth="1"/>
    <col min="8201" max="8201" width="6.85546875" style="144" customWidth="1"/>
    <col min="8202" max="8202" width="3.28515625" style="144" customWidth="1"/>
    <col min="8203" max="8203" width="15" style="144" customWidth="1"/>
    <col min="8204" max="8450" width="10.28515625" style="144"/>
    <col min="8451" max="8451" width="9.7109375" style="144" customWidth="1"/>
    <col min="8452" max="8452" width="7.7109375" style="144" customWidth="1"/>
    <col min="8453" max="8453" width="67.140625" style="144" customWidth="1"/>
    <col min="8454" max="8454" width="4.7109375" style="144" customWidth="1"/>
    <col min="8455" max="8455" width="6.85546875" style="144" customWidth="1"/>
    <col min="8456" max="8456" width="2.28515625" style="144" customWidth="1"/>
    <col min="8457" max="8457" width="6.85546875" style="144" customWidth="1"/>
    <col min="8458" max="8458" width="3.28515625" style="144" customWidth="1"/>
    <col min="8459" max="8459" width="15" style="144" customWidth="1"/>
    <col min="8460" max="8706" width="10.28515625" style="144"/>
    <col min="8707" max="8707" width="9.7109375" style="144" customWidth="1"/>
    <col min="8708" max="8708" width="7.7109375" style="144" customWidth="1"/>
    <col min="8709" max="8709" width="67.140625" style="144" customWidth="1"/>
    <col min="8710" max="8710" width="4.7109375" style="144" customWidth="1"/>
    <col min="8711" max="8711" width="6.85546875" style="144" customWidth="1"/>
    <col min="8712" max="8712" width="2.28515625" style="144" customWidth="1"/>
    <col min="8713" max="8713" width="6.85546875" style="144" customWidth="1"/>
    <col min="8714" max="8714" width="3.28515625" style="144" customWidth="1"/>
    <col min="8715" max="8715" width="15" style="144" customWidth="1"/>
    <col min="8716" max="8962" width="10.28515625" style="144"/>
    <col min="8963" max="8963" width="9.7109375" style="144" customWidth="1"/>
    <col min="8964" max="8964" width="7.7109375" style="144" customWidth="1"/>
    <col min="8965" max="8965" width="67.140625" style="144" customWidth="1"/>
    <col min="8966" max="8966" width="4.7109375" style="144" customWidth="1"/>
    <col min="8967" max="8967" width="6.85546875" style="144" customWidth="1"/>
    <col min="8968" max="8968" width="2.28515625" style="144" customWidth="1"/>
    <col min="8969" max="8969" width="6.85546875" style="144" customWidth="1"/>
    <col min="8970" max="8970" width="3.28515625" style="144" customWidth="1"/>
    <col min="8971" max="8971" width="15" style="144" customWidth="1"/>
    <col min="8972" max="9218" width="10.28515625" style="144"/>
    <col min="9219" max="9219" width="9.7109375" style="144" customWidth="1"/>
    <col min="9220" max="9220" width="7.7109375" style="144" customWidth="1"/>
    <col min="9221" max="9221" width="67.140625" style="144" customWidth="1"/>
    <col min="9222" max="9222" width="4.7109375" style="144" customWidth="1"/>
    <col min="9223" max="9223" width="6.85546875" style="144" customWidth="1"/>
    <col min="9224" max="9224" width="2.28515625" style="144" customWidth="1"/>
    <col min="9225" max="9225" width="6.85546875" style="144" customWidth="1"/>
    <col min="9226" max="9226" width="3.28515625" style="144" customWidth="1"/>
    <col min="9227" max="9227" width="15" style="144" customWidth="1"/>
    <col min="9228" max="9474" width="10.28515625" style="144"/>
    <col min="9475" max="9475" width="9.7109375" style="144" customWidth="1"/>
    <col min="9476" max="9476" width="7.7109375" style="144" customWidth="1"/>
    <col min="9477" max="9477" width="67.140625" style="144" customWidth="1"/>
    <col min="9478" max="9478" width="4.7109375" style="144" customWidth="1"/>
    <col min="9479" max="9479" width="6.85546875" style="144" customWidth="1"/>
    <col min="9480" max="9480" width="2.28515625" style="144" customWidth="1"/>
    <col min="9481" max="9481" width="6.85546875" style="144" customWidth="1"/>
    <col min="9482" max="9482" width="3.28515625" style="144" customWidth="1"/>
    <col min="9483" max="9483" width="15" style="144" customWidth="1"/>
    <col min="9484" max="9730" width="10.28515625" style="144"/>
    <col min="9731" max="9731" width="9.7109375" style="144" customWidth="1"/>
    <col min="9732" max="9732" width="7.7109375" style="144" customWidth="1"/>
    <col min="9733" max="9733" width="67.140625" style="144" customWidth="1"/>
    <col min="9734" max="9734" width="4.7109375" style="144" customWidth="1"/>
    <col min="9735" max="9735" width="6.85546875" style="144" customWidth="1"/>
    <col min="9736" max="9736" width="2.28515625" style="144" customWidth="1"/>
    <col min="9737" max="9737" width="6.85546875" style="144" customWidth="1"/>
    <col min="9738" max="9738" width="3.28515625" style="144" customWidth="1"/>
    <col min="9739" max="9739" width="15" style="144" customWidth="1"/>
    <col min="9740" max="9986" width="10.28515625" style="144"/>
    <col min="9987" max="9987" width="9.7109375" style="144" customWidth="1"/>
    <col min="9988" max="9988" width="7.7109375" style="144" customWidth="1"/>
    <col min="9989" max="9989" width="67.140625" style="144" customWidth="1"/>
    <col min="9990" max="9990" width="4.7109375" style="144" customWidth="1"/>
    <col min="9991" max="9991" width="6.85546875" style="144" customWidth="1"/>
    <col min="9992" max="9992" width="2.28515625" style="144" customWidth="1"/>
    <col min="9993" max="9993" width="6.85546875" style="144" customWidth="1"/>
    <col min="9994" max="9994" width="3.28515625" style="144" customWidth="1"/>
    <col min="9995" max="9995" width="15" style="144" customWidth="1"/>
    <col min="9996" max="10242" width="10.28515625" style="144"/>
    <col min="10243" max="10243" width="9.7109375" style="144" customWidth="1"/>
    <col min="10244" max="10244" width="7.7109375" style="144" customWidth="1"/>
    <col min="10245" max="10245" width="67.140625" style="144" customWidth="1"/>
    <col min="10246" max="10246" width="4.7109375" style="144" customWidth="1"/>
    <col min="10247" max="10247" width="6.85546875" style="144" customWidth="1"/>
    <col min="10248" max="10248" width="2.28515625" style="144" customWidth="1"/>
    <col min="10249" max="10249" width="6.85546875" style="144" customWidth="1"/>
    <col min="10250" max="10250" width="3.28515625" style="144" customWidth="1"/>
    <col min="10251" max="10251" width="15" style="144" customWidth="1"/>
    <col min="10252" max="10498" width="10.28515625" style="144"/>
    <col min="10499" max="10499" width="9.7109375" style="144" customWidth="1"/>
    <col min="10500" max="10500" width="7.7109375" style="144" customWidth="1"/>
    <col min="10501" max="10501" width="67.140625" style="144" customWidth="1"/>
    <col min="10502" max="10502" width="4.7109375" style="144" customWidth="1"/>
    <col min="10503" max="10503" width="6.85546875" style="144" customWidth="1"/>
    <col min="10504" max="10504" width="2.28515625" style="144" customWidth="1"/>
    <col min="10505" max="10505" width="6.85546875" style="144" customWidth="1"/>
    <col min="10506" max="10506" width="3.28515625" style="144" customWidth="1"/>
    <col min="10507" max="10507" width="15" style="144" customWidth="1"/>
    <col min="10508" max="10754" width="10.28515625" style="144"/>
    <col min="10755" max="10755" width="9.7109375" style="144" customWidth="1"/>
    <col min="10756" max="10756" width="7.7109375" style="144" customWidth="1"/>
    <col min="10757" max="10757" width="67.140625" style="144" customWidth="1"/>
    <col min="10758" max="10758" width="4.7109375" style="144" customWidth="1"/>
    <col min="10759" max="10759" width="6.85546875" style="144" customWidth="1"/>
    <col min="10760" max="10760" width="2.28515625" style="144" customWidth="1"/>
    <col min="10761" max="10761" width="6.85546875" style="144" customWidth="1"/>
    <col min="10762" max="10762" width="3.28515625" style="144" customWidth="1"/>
    <col min="10763" max="10763" width="15" style="144" customWidth="1"/>
    <col min="10764" max="11010" width="10.28515625" style="144"/>
    <col min="11011" max="11011" width="9.7109375" style="144" customWidth="1"/>
    <col min="11012" max="11012" width="7.7109375" style="144" customWidth="1"/>
    <col min="11013" max="11013" width="67.140625" style="144" customWidth="1"/>
    <col min="11014" max="11014" width="4.7109375" style="144" customWidth="1"/>
    <col min="11015" max="11015" width="6.85546875" style="144" customWidth="1"/>
    <col min="11016" max="11016" width="2.28515625" style="144" customWidth="1"/>
    <col min="11017" max="11017" width="6.85546875" style="144" customWidth="1"/>
    <col min="11018" max="11018" width="3.28515625" style="144" customWidth="1"/>
    <col min="11019" max="11019" width="15" style="144" customWidth="1"/>
    <col min="11020" max="11266" width="10.28515625" style="144"/>
    <col min="11267" max="11267" width="9.7109375" style="144" customWidth="1"/>
    <col min="11268" max="11268" width="7.7109375" style="144" customWidth="1"/>
    <col min="11269" max="11269" width="67.140625" style="144" customWidth="1"/>
    <col min="11270" max="11270" width="4.7109375" style="144" customWidth="1"/>
    <col min="11271" max="11271" width="6.85546875" style="144" customWidth="1"/>
    <col min="11272" max="11272" width="2.28515625" style="144" customWidth="1"/>
    <col min="11273" max="11273" width="6.85546875" style="144" customWidth="1"/>
    <col min="11274" max="11274" width="3.28515625" style="144" customWidth="1"/>
    <col min="11275" max="11275" width="15" style="144" customWidth="1"/>
    <col min="11276" max="11522" width="10.28515625" style="144"/>
    <col min="11523" max="11523" width="9.7109375" style="144" customWidth="1"/>
    <col min="11524" max="11524" width="7.7109375" style="144" customWidth="1"/>
    <col min="11525" max="11525" width="67.140625" style="144" customWidth="1"/>
    <col min="11526" max="11526" width="4.7109375" style="144" customWidth="1"/>
    <col min="11527" max="11527" width="6.85546875" style="144" customWidth="1"/>
    <col min="11528" max="11528" width="2.28515625" style="144" customWidth="1"/>
    <col min="11529" max="11529" width="6.85546875" style="144" customWidth="1"/>
    <col min="11530" max="11530" width="3.28515625" style="144" customWidth="1"/>
    <col min="11531" max="11531" width="15" style="144" customWidth="1"/>
    <col min="11532" max="11778" width="10.28515625" style="144"/>
    <col min="11779" max="11779" width="9.7109375" style="144" customWidth="1"/>
    <col min="11780" max="11780" width="7.7109375" style="144" customWidth="1"/>
    <col min="11781" max="11781" width="67.140625" style="144" customWidth="1"/>
    <col min="11782" max="11782" width="4.7109375" style="144" customWidth="1"/>
    <col min="11783" max="11783" width="6.85546875" style="144" customWidth="1"/>
    <col min="11784" max="11784" width="2.28515625" style="144" customWidth="1"/>
    <col min="11785" max="11785" width="6.85546875" style="144" customWidth="1"/>
    <col min="11786" max="11786" width="3.28515625" style="144" customWidth="1"/>
    <col min="11787" max="11787" width="15" style="144" customWidth="1"/>
    <col min="11788" max="12034" width="10.28515625" style="144"/>
    <col min="12035" max="12035" width="9.7109375" style="144" customWidth="1"/>
    <col min="12036" max="12036" width="7.7109375" style="144" customWidth="1"/>
    <col min="12037" max="12037" width="67.140625" style="144" customWidth="1"/>
    <col min="12038" max="12038" width="4.7109375" style="144" customWidth="1"/>
    <col min="12039" max="12039" width="6.85546875" style="144" customWidth="1"/>
    <col min="12040" max="12040" width="2.28515625" style="144" customWidth="1"/>
    <col min="12041" max="12041" width="6.85546875" style="144" customWidth="1"/>
    <col min="12042" max="12042" width="3.28515625" style="144" customWidth="1"/>
    <col min="12043" max="12043" width="15" style="144" customWidth="1"/>
    <col min="12044" max="12290" width="10.28515625" style="144"/>
    <col min="12291" max="12291" width="9.7109375" style="144" customWidth="1"/>
    <col min="12292" max="12292" width="7.7109375" style="144" customWidth="1"/>
    <col min="12293" max="12293" width="67.140625" style="144" customWidth="1"/>
    <col min="12294" max="12294" width="4.7109375" style="144" customWidth="1"/>
    <col min="12295" max="12295" width="6.85546875" style="144" customWidth="1"/>
    <col min="12296" max="12296" width="2.28515625" style="144" customWidth="1"/>
    <col min="12297" max="12297" width="6.85546875" style="144" customWidth="1"/>
    <col min="12298" max="12298" width="3.28515625" style="144" customWidth="1"/>
    <col min="12299" max="12299" width="15" style="144" customWidth="1"/>
    <col min="12300" max="12546" width="10.28515625" style="144"/>
    <col min="12547" max="12547" width="9.7109375" style="144" customWidth="1"/>
    <col min="12548" max="12548" width="7.7109375" style="144" customWidth="1"/>
    <col min="12549" max="12549" width="67.140625" style="144" customWidth="1"/>
    <col min="12550" max="12550" width="4.7109375" style="144" customWidth="1"/>
    <col min="12551" max="12551" width="6.85546875" style="144" customWidth="1"/>
    <col min="12552" max="12552" width="2.28515625" style="144" customWidth="1"/>
    <col min="12553" max="12553" width="6.85546875" style="144" customWidth="1"/>
    <col min="12554" max="12554" width="3.28515625" style="144" customWidth="1"/>
    <col min="12555" max="12555" width="15" style="144" customWidth="1"/>
    <col min="12556" max="12802" width="10.28515625" style="144"/>
    <col min="12803" max="12803" width="9.7109375" style="144" customWidth="1"/>
    <col min="12804" max="12804" width="7.7109375" style="144" customWidth="1"/>
    <col min="12805" max="12805" width="67.140625" style="144" customWidth="1"/>
    <col min="12806" max="12806" width="4.7109375" style="144" customWidth="1"/>
    <col min="12807" max="12807" width="6.85546875" style="144" customWidth="1"/>
    <col min="12808" max="12808" width="2.28515625" style="144" customWidth="1"/>
    <col min="12809" max="12809" width="6.85546875" style="144" customWidth="1"/>
    <col min="12810" max="12810" width="3.28515625" style="144" customWidth="1"/>
    <col min="12811" max="12811" width="15" style="144" customWidth="1"/>
    <col min="12812" max="13058" width="10.28515625" style="144"/>
    <col min="13059" max="13059" width="9.7109375" style="144" customWidth="1"/>
    <col min="13060" max="13060" width="7.7109375" style="144" customWidth="1"/>
    <col min="13061" max="13061" width="67.140625" style="144" customWidth="1"/>
    <col min="13062" max="13062" width="4.7109375" style="144" customWidth="1"/>
    <col min="13063" max="13063" width="6.85546875" style="144" customWidth="1"/>
    <col min="13064" max="13064" width="2.28515625" style="144" customWidth="1"/>
    <col min="13065" max="13065" width="6.85546875" style="144" customWidth="1"/>
    <col min="13066" max="13066" width="3.28515625" style="144" customWidth="1"/>
    <col min="13067" max="13067" width="15" style="144" customWidth="1"/>
    <col min="13068" max="13314" width="10.28515625" style="144"/>
    <col min="13315" max="13315" width="9.7109375" style="144" customWidth="1"/>
    <col min="13316" max="13316" width="7.7109375" style="144" customWidth="1"/>
    <col min="13317" max="13317" width="67.140625" style="144" customWidth="1"/>
    <col min="13318" max="13318" width="4.7109375" style="144" customWidth="1"/>
    <col min="13319" max="13319" width="6.85546875" style="144" customWidth="1"/>
    <col min="13320" max="13320" width="2.28515625" style="144" customWidth="1"/>
    <col min="13321" max="13321" width="6.85546875" style="144" customWidth="1"/>
    <col min="13322" max="13322" width="3.28515625" style="144" customWidth="1"/>
    <col min="13323" max="13323" width="15" style="144" customWidth="1"/>
    <col min="13324" max="13570" width="10.28515625" style="144"/>
    <col min="13571" max="13571" width="9.7109375" style="144" customWidth="1"/>
    <col min="13572" max="13572" width="7.7109375" style="144" customWidth="1"/>
    <col min="13573" max="13573" width="67.140625" style="144" customWidth="1"/>
    <col min="13574" max="13574" width="4.7109375" style="144" customWidth="1"/>
    <col min="13575" max="13575" width="6.85546875" style="144" customWidth="1"/>
    <col min="13576" max="13576" width="2.28515625" style="144" customWidth="1"/>
    <col min="13577" max="13577" width="6.85546875" style="144" customWidth="1"/>
    <col min="13578" max="13578" width="3.28515625" style="144" customWidth="1"/>
    <col min="13579" max="13579" width="15" style="144" customWidth="1"/>
    <col min="13580" max="13826" width="10.28515625" style="144"/>
    <col min="13827" max="13827" width="9.7109375" style="144" customWidth="1"/>
    <col min="13828" max="13828" width="7.7109375" style="144" customWidth="1"/>
    <col min="13829" max="13829" width="67.140625" style="144" customWidth="1"/>
    <col min="13830" max="13830" width="4.7109375" style="144" customWidth="1"/>
    <col min="13831" max="13831" width="6.85546875" style="144" customWidth="1"/>
    <col min="13832" max="13832" width="2.28515625" style="144" customWidth="1"/>
    <col min="13833" max="13833" width="6.85546875" style="144" customWidth="1"/>
    <col min="13834" max="13834" width="3.28515625" style="144" customWidth="1"/>
    <col min="13835" max="13835" width="15" style="144" customWidth="1"/>
    <col min="13836" max="14082" width="10.28515625" style="144"/>
    <col min="14083" max="14083" width="9.7109375" style="144" customWidth="1"/>
    <col min="14084" max="14084" width="7.7109375" style="144" customWidth="1"/>
    <col min="14085" max="14085" width="67.140625" style="144" customWidth="1"/>
    <col min="14086" max="14086" width="4.7109375" style="144" customWidth="1"/>
    <col min="14087" max="14087" width="6.85546875" style="144" customWidth="1"/>
    <col min="14088" max="14088" width="2.28515625" style="144" customWidth="1"/>
    <col min="14089" max="14089" width="6.85546875" style="144" customWidth="1"/>
    <col min="14090" max="14090" width="3.28515625" style="144" customWidth="1"/>
    <col min="14091" max="14091" width="15" style="144" customWidth="1"/>
    <col min="14092" max="14338" width="10.28515625" style="144"/>
    <col min="14339" max="14339" width="9.7109375" style="144" customWidth="1"/>
    <col min="14340" max="14340" width="7.7109375" style="144" customWidth="1"/>
    <col min="14341" max="14341" width="67.140625" style="144" customWidth="1"/>
    <col min="14342" max="14342" width="4.7109375" style="144" customWidth="1"/>
    <col min="14343" max="14343" width="6.85546875" style="144" customWidth="1"/>
    <col min="14344" max="14344" width="2.28515625" style="144" customWidth="1"/>
    <col min="14345" max="14345" width="6.85546875" style="144" customWidth="1"/>
    <col min="14346" max="14346" width="3.28515625" style="144" customWidth="1"/>
    <col min="14347" max="14347" width="15" style="144" customWidth="1"/>
    <col min="14348" max="14594" width="10.28515625" style="144"/>
    <col min="14595" max="14595" width="9.7109375" style="144" customWidth="1"/>
    <col min="14596" max="14596" width="7.7109375" style="144" customWidth="1"/>
    <col min="14597" max="14597" width="67.140625" style="144" customWidth="1"/>
    <col min="14598" max="14598" width="4.7109375" style="144" customWidth="1"/>
    <col min="14599" max="14599" width="6.85546875" style="144" customWidth="1"/>
    <col min="14600" max="14600" width="2.28515625" style="144" customWidth="1"/>
    <col min="14601" max="14601" width="6.85546875" style="144" customWidth="1"/>
    <col min="14602" max="14602" width="3.28515625" style="144" customWidth="1"/>
    <col min="14603" max="14603" width="15" style="144" customWidth="1"/>
    <col min="14604" max="14850" width="10.28515625" style="144"/>
    <col min="14851" max="14851" width="9.7109375" style="144" customWidth="1"/>
    <col min="14852" max="14852" width="7.7109375" style="144" customWidth="1"/>
    <col min="14853" max="14853" width="67.140625" style="144" customWidth="1"/>
    <col min="14854" max="14854" width="4.7109375" style="144" customWidth="1"/>
    <col min="14855" max="14855" width="6.85546875" style="144" customWidth="1"/>
    <col min="14856" max="14856" width="2.28515625" style="144" customWidth="1"/>
    <col min="14857" max="14857" width="6.85546875" style="144" customWidth="1"/>
    <col min="14858" max="14858" width="3.28515625" style="144" customWidth="1"/>
    <col min="14859" max="14859" width="15" style="144" customWidth="1"/>
    <col min="14860" max="15106" width="10.28515625" style="144"/>
    <col min="15107" max="15107" width="9.7109375" style="144" customWidth="1"/>
    <col min="15108" max="15108" width="7.7109375" style="144" customWidth="1"/>
    <col min="15109" max="15109" width="67.140625" style="144" customWidth="1"/>
    <col min="15110" max="15110" width="4.7109375" style="144" customWidth="1"/>
    <col min="15111" max="15111" width="6.85546875" style="144" customWidth="1"/>
    <col min="15112" max="15112" width="2.28515625" style="144" customWidth="1"/>
    <col min="15113" max="15113" width="6.85546875" style="144" customWidth="1"/>
    <col min="15114" max="15114" width="3.28515625" style="144" customWidth="1"/>
    <col min="15115" max="15115" width="15" style="144" customWidth="1"/>
    <col min="15116" max="15362" width="10.28515625" style="144"/>
    <col min="15363" max="15363" width="9.7109375" style="144" customWidth="1"/>
    <col min="15364" max="15364" width="7.7109375" style="144" customWidth="1"/>
    <col min="15365" max="15365" width="67.140625" style="144" customWidth="1"/>
    <col min="15366" max="15366" width="4.7109375" style="144" customWidth="1"/>
    <col min="15367" max="15367" width="6.85546875" style="144" customWidth="1"/>
    <col min="15368" max="15368" width="2.28515625" style="144" customWidth="1"/>
    <col min="15369" max="15369" width="6.85546875" style="144" customWidth="1"/>
    <col min="15370" max="15370" width="3.28515625" style="144" customWidth="1"/>
    <col min="15371" max="15371" width="15" style="144" customWidth="1"/>
    <col min="15372" max="15618" width="10.28515625" style="144"/>
    <col min="15619" max="15619" width="9.7109375" style="144" customWidth="1"/>
    <col min="15620" max="15620" width="7.7109375" style="144" customWidth="1"/>
    <col min="15621" max="15621" width="67.140625" style="144" customWidth="1"/>
    <col min="15622" max="15622" width="4.7109375" style="144" customWidth="1"/>
    <col min="15623" max="15623" width="6.85546875" style="144" customWidth="1"/>
    <col min="15624" max="15624" width="2.28515625" style="144" customWidth="1"/>
    <col min="15625" max="15625" width="6.85546875" style="144" customWidth="1"/>
    <col min="15626" max="15626" width="3.28515625" style="144" customWidth="1"/>
    <col min="15627" max="15627" width="15" style="144" customWidth="1"/>
    <col min="15628" max="15874" width="10.28515625" style="144"/>
    <col min="15875" max="15875" width="9.7109375" style="144" customWidth="1"/>
    <col min="15876" max="15876" width="7.7109375" style="144" customWidth="1"/>
    <col min="15877" max="15877" width="67.140625" style="144" customWidth="1"/>
    <col min="15878" max="15878" width="4.7109375" style="144" customWidth="1"/>
    <col min="15879" max="15879" width="6.85546875" style="144" customWidth="1"/>
    <col min="15880" max="15880" width="2.28515625" style="144" customWidth="1"/>
    <col min="15881" max="15881" width="6.85546875" style="144" customWidth="1"/>
    <col min="15882" max="15882" width="3.28515625" style="144" customWidth="1"/>
    <col min="15883" max="15883" width="15" style="144" customWidth="1"/>
    <col min="15884" max="16130" width="10.28515625" style="144"/>
    <col min="16131" max="16131" width="9.7109375" style="144" customWidth="1"/>
    <col min="16132" max="16132" width="7.7109375" style="144" customWidth="1"/>
    <col min="16133" max="16133" width="67.140625" style="144" customWidth="1"/>
    <col min="16134" max="16134" width="4.7109375" style="144" customWidth="1"/>
    <col min="16135" max="16135" width="6.85546875" style="144" customWidth="1"/>
    <col min="16136" max="16136" width="2.28515625" style="144" customWidth="1"/>
    <col min="16137" max="16137" width="6.85546875" style="144" customWidth="1"/>
    <col min="16138" max="16138" width="3.28515625" style="144" customWidth="1"/>
    <col min="16139" max="16139" width="15" style="144" customWidth="1"/>
    <col min="16140" max="16384" width="10.28515625" style="144"/>
  </cols>
  <sheetData>
    <row r="1" spans="1:16" s="70" customFormat="1" ht="36" customHeight="1" thickBot="1" x14ac:dyDescent="0.25">
      <c r="A1" s="156"/>
      <c r="B1" s="156"/>
      <c r="C1" s="156"/>
      <c r="D1" s="156"/>
      <c r="E1" s="156"/>
      <c r="F1" s="156"/>
      <c r="G1" s="156"/>
      <c r="H1" s="156"/>
      <c r="J1" s="152"/>
      <c r="K1" s="172"/>
      <c r="L1" s="152"/>
    </row>
    <row r="2" spans="1:16" s="77" customFormat="1" ht="15" x14ac:dyDescent="0.25">
      <c r="A2" s="85" t="s">
        <v>178</v>
      </c>
      <c r="B2" s="150"/>
      <c r="C2" s="72"/>
      <c r="D2" s="72"/>
      <c r="E2" s="72"/>
      <c r="F2" s="73" t="s">
        <v>18</v>
      </c>
      <c r="G2" s="84"/>
      <c r="H2" s="84"/>
      <c r="I2" s="84"/>
      <c r="J2" s="181" t="s">
        <v>9</v>
      </c>
      <c r="K2" s="173"/>
      <c r="L2" s="325"/>
      <c r="P2" s="336"/>
    </row>
    <row r="3" spans="1:16" s="149" customFormat="1" ht="15" thickBot="1" x14ac:dyDescent="0.3">
      <c r="A3" s="162" t="e">
        <f>#REF!</f>
        <v>#REF!</v>
      </c>
      <c r="B3" s="163"/>
      <c r="C3" s="164"/>
      <c r="D3" s="164"/>
      <c r="E3" s="164"/>
      <c r="F3" s="164" t="s">
        <v>345</v>
      </c>
      <c r="G3" s="165"/>
      <c r="H3" s="165"/>
      <c r="I3" s="165"/>
      <c r="J3" s="335"/>
      <c r="K3" s="174"/>
      <c r="L3" s="334"/>
    </row>
    <row r="4" spans="1:16" s="75" customFormat="1" ht="6" customHeight="1" thickBot="1" x14ac:dyDescent="0.25">
      <c r="A4" s="157"/>
      <c r="B4" s="157"/>
      <c r="C4" s="157"/>
      <c r="D4" s="157"/>
      <c r="E4" s="157"/>
      <c r="F4" s="157"/>
      <c r="G4" s="158"/>
      <c r="H4" s="159"/>
      <c r="I4" s="159"/>
      <c r="J4" s="170"/>
      <c r="K4" s="175"/>
      <c r="L4" s="341"/>
    </row>
    <row r="5" spans="1:16" s="141" customFormat="1" ht="28.5" customHeight="1" x14ac:dyDescent="0.2">
      <c r="A5" s="166" t="s">
        <v>199</v>
      </c>
      <c r="B5" s="167" t="s">
        <v>200</v>
      </c>
      <c r="C5" s="166" t="s">
        <v>0</v>
      </c>
      <c r="D5" s="166" t="s">
        <v>179</v>
      </c>
      <c r="E5" s="166" t="s">
        <v>2</v>
      </c>
      <c r="F5" s="168" t="s">
        <v>180</v>
      </c>
      <c r="G5" s="169" t="s">
        <v>19</v>
      </c>
      <c r="H5" s="169" t="s">
        <v>181</v>
      </c>
      <c r="I5" s="167" t="s">
        <v>3</v>
      </c>
      <c r="J5" s="168" t="s">
        <v>10</v>
      </c>
      <c r="K5" s="176"/>
      <c r="L5" s="340" t="s">
        <v>346</v>
      </c>
    </row>
    <row r="6" spans="1:16" s="202" customFormat="1" ht="12" x14ac:dyDescent="0.2">
      <c r="A6" s="205"/>
      <c r="B6" s="206" t="s">
        <v>201</v>
      </c>
      <c r="C6" s="206" t="s">
        <v>202</v>
      </c>
      <c r="D6" s="206"/>
      <c r="E6" s="206"/>
      <c r="F6" s="206"/>
      <c r="G6" s="206"/>
      <c r="H6" s="206"/>
      <c r="I6" s="206"/>
      <c r="J6" s="489"/>
      <c r="K6" s="504"/>
      <c r="L6" s="490"/>
    </row>
    <row r="7" spans="1:16" s="143" customFormat="1" ht="24" x14ac:dyDescent="0.2">
      <c r="A7" s="491"/>
      <c r="B7" s="492" t="s">
        <v>107</v>
      </c>
      <c r="C7" s="493" t="s">
        <v>208</v>
      </c>
      <c r="D7" s="515" t="s">
        <v>209</v>
      </c>
      <c r="E7" s="518" t="str">
        <f>IF(B7="","","UN")</f>
        <v>UN</v>
      </c>
      <c r="F7" s="519">
        <v>0.91</v>
      </c>
      <c r="G7" s="520" t="str">
        <f t="shared" ref="G7:G33" si="0">IF(F7=0,0,"x")</f>
        <v>x</v>
      </c>
      <c r="H7" s="521">
        <v>2.21</v>
      </c>
      <c r="I7" s="522" t="str">
        <f t="shared" ref="I7:I33" si="1">IF(H7=0,0,"m")</f>
        <v>m</v>
      </c>
      <c r="J7" s="497" t="e">
        <f>SUMIF(#REF!,'Resumo Esquadrias - T1'!$B7,#REF!)</f>
        <v>#REF!</v>
      </c>
      <c r="K7" s="505"/>
      <c r="L7" s="498"/>
    </row>
    <row r="8" spans="1:16" s="143" customFormat="1" ht="36" x14ac:dyDescent="0.2">
      <c r="A8" s="491"/>
      <c r="B8" s="492" t="s">
        <v>76</v>
      </c>
      <c r="C8" s="493" t="s">
        <v>210</v>
      </c>
      <c r="D8" s="494" t="s">
        <v>211</v>
      </c>
      <c r="E8" s="486" t="str">
        <f t="shared" ref="E8:E68" si="2">IF(B8="","","UN")</f>
        <v>UN</v>
      </c>
      <c r="F8" s="495">
        <v>0.81</v>
      </c>
      <c r="G8" s="513" t="str">
        <f t="shared" si="0"/>
        <v>x</v>
      </c>
      <c r="H8" s="496">
        <v>2.21</v>
      </c>
      <c r="I8" s="511" t="str">
        <f t="shared" si="1"/>
        <v>m</v>
      </c>
      <c r="J8" s="497" t="e">
        <f>SUMIF(#REF!,'Resumo Esquadrias - T1'!$B8,#REF!)</f>
        <v>#REF!</v>
      </c>
      <c r="K8" s="505"/>
      <c r="L8" s="498"/>
    </row>
    <row r="9" spans="1:16" s="143" customFormat="1" ht="12" x14ac:dyDescent="0.2">
      <c r="A9" s="491"/>
      <c r="B9" s="492" t="s">
        <v>108</v>
      </c>
      <c r="C9" s="493" t="s">
        <v>210</v>
      </c>
      <c r="D9" s="494" t="s">
        <v>212</v>
      </c>
      <c r="E9" s="486" t="str">
        <f t="shared" si="2"/>
        <v>UN</v>
      </c>
      <c r="F9" s="495">
        <v>0.91</v>
      </c>
      <c r="G9" s="513" t="str">
        <f t="shared" si="0"/>
        <v>x</v>
      </c>
      <c r="H9" s="496">
        <v>2.21</v>
      </c>
      <c r="I9" s="511" t="str">
        <f t="shared" si="1"/>
        <v>m</v>
      </c>
      <c r="J9" s="497" t="e">
        <f>SUMIF(#REF!,'Resumo Esquadrias - T1'!$B9,#REF!)</f>
        <v>#REF!</v>
      </c>
      <c r="K9" s="505"/>
      <c r="L9" s="498"/>
    </row>
    <row r="10" spans="1:16" s="143" customFormat="1" ht="24" x14ac:dyDescent="0.2">
      <c r="A10" s="491"/>
      <c r="B10" s="492" t="s">
        <v>144</v>
      </c>
      <c r="C10" s="493" t="s">
        <v>213</v>
      </c>
      <c r="D10" s="494" t="s">
        <v>214</v>
      </c>
      <c r="E10" s="486" t="str">
        <f t="shared" si="2"/>
        <v>UN</v>
      </c>
      <c r="F10" s="495">
        <v>0.71</v>
      </c>
      <c r="G10" s="513" t="str">
        <f t="shared" si="0"/>
        <v>x</v>
      </c>
      <c r="H10" s="496">
        <v>2.21</v>
      </c>
      <c r="I10" s="511" t="str">
        <f t="shared" si="1"/>
        <v>m</v>
      </c>
      <c r="J10" s="497" t="e">
        <f>SUMIF(#REF!,'Resumo Esquadrias - T1'!$B10,#REF!)</f>
        <v>#REF!</v>
      </c>
      <c r="K10" s="505"/>
      <c r="L10" s="498"/>
    </row>
    <row r="11" spans="1:16" s="143" customFormat="1" ht="24" x14ac:dyDescent="0.2">
      <c r="A11" s="491"/>
      <c r="B11" s="492" t="s">
        <v>145</v>
      </c>
      <c r="C11" s="493" t="s">
        <v>213</v>
      </c>
      <c r="D11" s="494" t="s">
        <v>215</v>
      </c>
      <c r="E11" s="486" t="str">
        <f t="shared" si="2"/>
        <v>UN</v>
      </c>
      <c r="F11" s="495">
        <v>0.91</v>
      </c>
      <c r="G11" s="513" t="str">
        <f t="shared" si="0"/>
        <v>x</v>
      </c>
      <c r="H11" s="496">
        <v>2.21</v>
      </c>
      <c r="I11" s="511" t="str">
        <f t="shared" si="1"/>
        <v>m</v>
      </c>
      <c r="J11" s="497" t="e">
        <f>SUMIF(#REF!,'Resumo Esquadrias - T1'!$B11,#REF!)</f>
        <v>#REF!</v>
      </c>
      <c r="K11" s="505"/>
      <c r="L11" s="498"/>
    </row>
    <row r="12" spans="1:16" s="143" customFormat="1" ht="24" x14ac:dyDescent="0.2">
      <c r="A12" s="506" t="s">
        <v>283</v>
      </c>
      <c r="B12" s="492" t="s">
        <v>146</v>
      </c>
      <c r="C12" s="493" t="s">
        <v>302</v>
      </c>
      <c r="D12" s="494" t="s">
        <v>297</v>
      </c>
      <c r="E12" s="486" t="str">
        <f t="shared" si="2"/>
        <v>UN</v>
      </c>
      <c r="F12" s="495">
        <v>1.36</v>
      </c>
      <c r="G12" s="513" t="str">
        <f t="shared" si="0"/>
        <v>x</v>
      </c>
      <c r="H12" s="496">
        <f>2.63-0.2+0.06</f>
        <v>2.4899999999999998</v>
      </c>
      <c r="I12" s="511" t="str">
        <f t="shared" si="1"/>
        <v>m</v>
      </c>
      <c r="J12" s="497" t="e">
        <f>SUMIF(#REF!,'Resumo Esquadrias - T1'!$B12,#REF!)</f>
        <v>#REF!</v>
      </c>
      <c r="K12" s="505"/>
      <c r="L12" s="498"/>
    </row>
    <row r="13" spans="1:16" s="143" customFormat="1" ht="24" x14ac:dyDescent="0.2">
      <c r="A13" s="506" t="s">
        <v>284</v>
      </c>
      <c r="B13" s="492" t="s">
        <v>147</v>
      </c>
      <c r="C13" s="493" t="s">
        <v>302</v>
      </c>
      <c r="D13" s="494" t="s">
        <v>298</v>
      </c>
      <c r="E13" s="486" t="str">
        <f t="shared" si="2"/>
        <v>UN</v>
      </c>
      <c r="F13" s="495">
        <v>1.36</v>
      </c>
      <c r="G13" s="513" t="str">
        <f t="shared" si="0"/>
        <v>x</v>
      </c>
      <c r="H13" s="496">
        <f>2.63-0.2+0.06</f>
        <v>2.4899999999999998</v>
      </c>
      <c r="I13" s="511" t="str">
        <f t="shared" si="1"/>
        <v>m</v>
      </c>
      <c r="J13" s="497" t="e">
        <f>SUMIF(#REF!,'Resumo Esquadrias - T1'!$B13,#REF!)</f>
        <v>#REF!</v>
      </c>
      <c r="K13" s="505"/>
      <c r="L13" s="498"/>
    </row>
    <row r="14" spans="1:16" s="143" customFormat="1" ht="24" x14ac:dyDescent="0.2">
      <c r="A14" s="506" t="s">
        <v>285</v>
      </c>
      <c r="B14" s="492" t="s">
        <v>148</v>
      </c>
      <c r="C14" s="493" t="s">
        <v>303</v>
      </c>
      <c r="D14" s="494" t="s">
        <v>298</v>
      </c>
      <c r="E14" s="486" t="str">
        <f t="shared" si="2"/>
        <v>UN</v>
      </c>
      <c r="F14" s="495">
        <v>0.8</v>
      </c>
      <c r="G14" s="513" t="str">
        <f t="shared" si="0"/>
        <v>x</v>
      </c>
      <c r="H14" s="496">
        <f>2.63-0.2+0.06</f>
        <v>2.4899999999999998</v>
      </c>
      <c r="I14" s="511" t="str">
        <f t="shared" si="1"/>
        <v>m</v>
      </c>
      <c r="J14" s="497" t="e">
        <f>SUMIF(#REF!,'Resumo Esquadrias - T1'!$B14,#REF!)</f>
        <v>#REF!</v>
      </c>
      <c r="K14" s="505"/>
      <c r="L14" s="498"/>
    </row>
    <row r="15" spans="1:16" s="143" customFormat="1" ht="24" x14ac:dyDescent="0.2">
      <c r="A15" s="506" t="s">
        <v>286</v>
      </c>
      <c r="B15" s="492" t="s">
        <v>149</v>
      </c>
      <c r="C15" s="493" t="s">
        <v>310</v>
      </c>
      <c r="D15" s="494" t="s">
        <v>299</v>
      </c>
      <c r="E15" s="486" t="str">
        <f t="shared" si="2"/>
        <v>UN</v>
      </c>
      <c r="F15" s="495">
        <v>0.71</v>
      </c>
      <c r="G15" s="513" t="str">
        <f t="shared" si="0"/>
        <v>x</v>
      </c>
      <c r="H15" s="496">
        <f>2.63-0.2+0.06</f>
        <v>2.4899999999999998</v>
      </c>
      <c r="I15" s="511" t="str">
        <f t="shared" si="1"/>
        <v>m</v>
      </c>
      <c r="J15" s="497" t="e">
        <f>SUMIF(#REF!,'Resumo Esquadrias - T1'!$B15,#REF!)</f>
        <v>#REF!</v>
      </c>
      <c r="K15" s="505"/>
      <c r="L15" s="498"/>
    </row>
    <row r="16" spans="1:16" s="143" customFormat="1" ht="24" x14ac:dyDescent="0.2">
      <c r="A16" s="506" t="s">
        <v>287</v>
      </c>
      <c r="B16" s="492" t="s">
        <v>150</v>
      </c>
      <c r="C16" s="493" t="s">
        <v>310</v>
      </c>
      <c r="D16" s="494" t="s">
        <v>300</v>
      </c>
      <c r="E16" s="486" t="str">
        <f t="shared" si="2"/>
        <v>UN</v>
      </c>
      <c r="F16" s="495">
        <v>0.61</v>
      </c>
      <c r="G16" s="513" t="str">
        <f t="shared" si="0"/>
        <v>x</v>
      </c>
      <c r="H16" s="496">
        <f>2.63-0.2+0.06</f>
        <v>2.4899999999999998</v>
      </c>
      <c r="I16" s="511" t="str">
        <f t="shared" si="1"/>
        <v>m</v>
      </c>
      <c r="J16" s="497" t="e">
        <f>SUMIF(#REF!,'Resumo Esquadrias - T1'!$B16,#REF!)</f>
        <v>#REF!</v>
      </c>
      <c r="K16" s="505"/>
      <c r="L16" s="498"/>
    </row>
    <row r="17" spans="1:12" s="143" customFormat="1" ht="24" x14ac:dyDescent="0.2">
      <c r="A17" s="506" t="s">
        <v>283</v>
      </c>
      <c r="B17" s="492" t="s">
        <v>291</v>
      </c>
      <c r="C17" s="493" t="s">
        <v>302</v>
      </c>
      <c r="D17" s="494" t="s">
        <v>305</v>
      </c>
      <c r="E17" s="486" t="str">
        <f t="shared" ref="E17:E22" si="3">IF(B17="","","UN")</f>
        <v>UN</v>
      </c>
      <c r="F17" s="495">
        <v>1.36</v>
      </c>
      <c r="G17" s="513" t="str">
        <f t="shared" ref="G17:G22" si="4">IF(F17=0,0,"x")</f>
        <v>x</v>
      </c>
      <c r="H17" s="496">
        <f>2.6-0.2+0.06</f>
        <v>2.46</v>
      </c>
      <c r="I17" s="511" t="str">
        <f t="shared" ref="I17:I22" si="5">IF(H17=0,0,"m")</f>
        <v>m</v>
      </c>
      <c r="J17" s="497" t="e">
        <f>SUMIF(#REF!,'Resumo Esquadrias - T1'!$B17,#REF!)</f>
        <v>#REF!</v>
      </c>
      <c r="K17" s="505"/>
      <c r="L17" s="498"/>
    </row>
    <row r="18" spans="1:12" s="143" customFormat="1" ht="24" x14ac:dyDescent="0.2">
      <c r="A18" s="506" t="s">
        <v>284</v>
      </c>
      <c r="B18" s="492" t="s">
        <v>292</v>
      </c>
      <c r="C18" s="493" t="s">
        <v>302</v>
      </c>
      <c r="D18" s="494" t="s">
        <v>306</v>
      </c>
      <c r="E18" s="486" t="str">
        <f t="shared" si="3"/>
        <v>UN</v>
      </c>
      <c r="F18" s="495">
        <v>1.36</v>
      </c>
      <c r="G18" s="513" t="str">
        <f t="shared" si="4"/>
        <v>x</v>
      </c>
      <c r="H18" s="496">
        <f>2.6-0.2+0.06</f>
        <v>2.46</v>
      </c>
      <c r="I18" s="511" t="str">
        <f t="shared" si="5"/>
        <v>m</v>
      </c>
      <c r="J18" s="497" t="e">
        <f>SUMIF(#REF!,'Resumo Esquadrias - T1'!$B18,#REF!)</f>
        <v>#REF!</v>
      </c>
      <c r="K18" s="505"/>
      <c r="L18" s="498"/>
    </row>
    <row r="19" spans="1:12" s="143" customFormat="1" ht="24" x14ac:dyDescent="0.2">
      <c r="A19" s="506" t="s">
        <v>285</v>
      </c>
      <c r="B19" s="492" t="s">
        <v>293</v>
      </c>
      <c r="C19" s="493" t="s">
        <v>303</v>
      </c>
      <c r="D19" s="494" t="s">
        <v>307</v>
      </c>
      <c r="E19" s="486" t="str">
        <f t="shared" si="3"/>
        <v>UN</v>
      </c>
      <c r="F19" s="495">
        <v>0.8</v>
      </c>
      <c r="G19" s="513" t="str">
        <f t="shared" si="4"/>
        <v>x</v>
      </c>
      <c r="H19" s="496">
        <f>2.6-0.2+0.06</f>
        <v>2.46</v>
      </c>
      <c r="I19" s="511" t="str">
        <f t="shared" si="5"/>
        <v>m</v>
      </c>
      <c r="J19" s="497" t="e">
        <f>SUMIF(#REF!,'Resumo Esquadrias - T1'!$B19,#REF!)</f>
        <v>#REF!</v>
      </c>
      <c r="K19" s="505"/>
      <c r="L19" s="498"/>
    </row>
    <row r="20" spans="1:12" s="143" customFormat="1" ht="24" x14ac:dyDescent="0.2">
      <c r="A20" s="506" t="s">
        <v>286</v>
      </c>
      <c r="B20" s="492" t="s">
        <v>294</v>
      </c>
      <c r="C20" s="493" t="s">
        <v>310</v>
      </c>
      <c r="D20" s="494" t="s">
        <v>308</v>
      </c>
      <c r="E20" s="486" t="str">
        <f t="shared" si="3"/>
        <v>UN</v>
      </c>
      <c r="F20" s="495">
        <v>0.71</v>
      </c>
      <c r="G20" s="513" t="str">
        <f t="shared" si="4"/>
        <v>x</v>
      </c>
      <c r="H20" s="496">
        <f>2.6-0.2+0.06</f>
        <v>2.46</v>
      </c>
      <c r="I20" s="511" t="str">
        <f t="shared" si="5"/>
        <v>m</v>
      </c>
      <c r="J20" s="497" t="e">
        <f>SUMIF(#REF!,'Resumo Esquadrias - T1'!$B20,#REF!)</f>
        <v>#REF!</v>
      </c>
      <c r="K20" s="505"/>
      <c r="L20" s="498"/>
    </row>
    <row r="21" spans="1:12" s="143" customFormat="1" ht="24" x14ac:dyDescent="0.2">
      <c r="A21" s="506" t="s">
        <v>287</v>
      </c>
      <c r="B21" s="492" t="s">
        <v>295</v>
      </c>
      <c r="C21" s="493" t="s">
        <v>310</v>
      </c>
      <c r="D21" s="494" t="s">
        <v>309</v>
      </c>
      <c r="E21" s="486" t="str">
        <f t="shared" si="3"/>
        <v>UN</v>
      </c>
      <c r="F21" s="495">
        <v>0.61</v>
      </c>
      <c r="G21" s="513" t="str">
        <f t="shared" si="4"/>
        <v>x</v>
      </c>
      <c r="H21" s="496">
        <f>2.6-0.2+0.06</f>
        <v>2.46</v>
      </c>
      <c r="I21" s="511" t="str">
        <f t="shared" si="5"/>
        <v>m</v>
      </c>
      <c r="J21" s="497" t="e">
        <f>SUMIF(#REF!,'Resumo Esquadrias - T1'!$B21,#REF!)</f>
        <v>#REF!</v>
      </c>
      <c r="K21" s="505"/>
      <c r="L21" s="498"/>
    </row>
    <row r="22" spans="1:12" s="143" customFormat="1" ht="24" x14ac:dyDescent="0.2">
      <c r="A22" s="506" t="s">
        <v>285</v>
      </c>
      <c r="B22" s="492" t="s">
        <v>296</v>
      </c>
      <c r="C22" s="493" t="s">
        <v>304</v>
      </c>
      <c r="D22" s="494" t="s">
        <v>301</v>
      </c>
      <c r="E22" s="486" t="str">
        <f t="shared" si="3"/>
        <v>UN</v>
      </c>
      <c r="F22" s="495">
        <v>0.8</v>
      </c>
      <c r="G22" s="513" t="str">
        <f t="shared" si="4"/>
        <v>x</v>
      </c>
      <c r="H22" s="496">
        <f>2.8-0.2+0.06</f>
        <v>2.6599999999999997</v>
      </c>
      <c r="I22" s="511" t="str">
        <f t="shared" si="5"/>
        <v>m</v>
      </c>
      <c r="J22" s="497" t="e">
        <f>SUMIF(#REF!,'Resumo Esquadrias - T1'!$B22,#REF!)</f>
        <v>#REF!</v>
      </c>
      <c r="K22" s="505"/>
      <c r="L22" s="498"/>
    </row>
    <row r="23" spans="1:12" s="143" customFormat="1" ht="12" x14ac:dyDescent="0.2">
      <c r="A23" s="491"/>
      <c r="B23" s="492"/>
      <c r="C23" s="493"/>
      <c r="D23" s="494"/>
      <c r="E23" s="486" t="str">
        <f t="shared" si="2"/>
        <v/>
      </c>
      <c r="F23" s="495"/>
      <c r="G23" s="513">
        <f t="shared" si="0"/>
        <v>0</v>
      </c>
      <c r="H23" s="496"/>
      <c r="I23" s="511">
        <f t="shared" si="1"/>
        <v>0</v>
      </c>
      <c r="J23" s="497" t="e">
        <f>SUMIF(#REF!,'Resumo Esquadrias - T1'!$B23,#REF!)</f>
        <v>#REF!</v>
      </c>
      <c r="K23" s="499"/>
      <c r="L23" s="498"/>
    </row>
    <row r="24" spans="1:12" s="143" customFormat="1" ht="12" x14ac:dyDescent="0.2">
      <c r="A24" s="491"/>
      <c r="B24" s="492"/>
      <c r="C24" s="493"/>
      <c r="D24" s="494"/>
      <c r="E24" s="486" t="str">
        <f t="shared" si="2"/>
        <v/>
      </c>
      <c r="F24" s="495"/>
      <c r="G24" s="513">
        <f t="shared" si="0"/>
        <v>0</v>
      </c>
      <c r="H24" s="496"/>
      <c r="I24" s="511">
        <f t="shared" si="1"/>
        <v>0</v>
      </c>
      <c r="J24" s="497" t="e">
        <f>SUMIF(#REF!,'Resumo Esquadrias - T1'!$B24,#REF!)</f>
        <v>#REF!</v>
      </c>
      <c r="K24" s="499"/>
      <c r="L24" s="498"/>
    </row>
    <row r="25" spans="1:12" s="143" customFormat="1" ht="12" x14ac:dyDescent="0.2">
      <c r="A25" s="491"/>
      <c r="B25" s="492"/>
      <c r="C25" s="493"/>
      <c r="D25" s="494"/>
      <c r="E25" s="486" t="str">
        <f t="shared" si="2"/>
        <v/>
      </c>
      <c r="F25" s="495"/>
      <c r="G25" s="513">
        <f t="shared" si="0"/>
        <v>0</v>
      </c>
      <c r="H25" s="496"/>
      <c r="I25" s="511">
        <f t="shared" si="1"/>
        <v>0</v>
      </c>
      <c r="J25" s="497" t="e">
        <f>SUMIF(#REF!,'Resumo Esquadrias - T1'!$B25,#REF!)</f>
        <v>#REF!</v>
      </c>
      <c r="K25" s="499"/>
      <c r="L25" s="498"/>
    </row>
    <row r="26" spans="1:12" s="143" customFormat="1" ht="12" x14ac:dyDescent="0.2">
      <c r="A26" s="491"/>
      <c r="B26" s="492"/>
      <c r="C26" s="493"/>
      <c r="D26" s="494"/>
      <c r="E26" s="486" t="str">
        <f t="shared" si="2"/>
        <v/>
      </c>
      <c r="F26" s="495"/>
      <c r="G26" s="513">
        <f t="shared" si="0"/>
        <v>0</v>
      </c>
      <c r="H26" s="496"/>
      <c r="I26" s="511">
        <f t="shared" si="1"/>
        <v>0</v>
      </c>
      <c r="J26" s="497" t="e">
        <f>SUMIF(#REF!,'Resumo Esquadrias - T1'!$B26,#REF!)</f>
        <v>#REF!</v>
      </c>
      <c r="K26" s="499"/>
      <c r="L26" s="498"/>
    </row>
    <row r="27" spans="1:12" s="143" customFormat="1" ht="12" x14ac:dyDescent="0.2">
      <c r="A27" s="491"/>
      <c r="B27" s="492"/>
      <c r="C27" s="493"/>
      <c r="D27" s="494"/>
      <c r="E27" s="486" t="str">
        <f t="shared" si="2"/>
        <v/>
      </c>
      <c r="F27" s="495"/>
      <c r="G27" s="513">
        <f t="shared" si="0"/>
        <v>0</v>
      </c>
      <c r="H27" s="496"/>
      <c r="I27" s="511">
        <f t="shared" si="1"/>
        <v>0</v>
      </c>
      <c r="J27" s="497" t="e">
        <f>SUMIF(#REF!,'Resumo Esquadrias - T1'!$B27,#REF!)</f>
        <v>#REF!</v>
      </c>
      <c r="K27" s="499"/>
      <c r="L27" s="498"/>
    </row>
    <row r="28" spans="1:12" s="143" customFormat="1" ht="12" x14ac:dyDescent="0.2">
      <c r="A28" s="491"/>
      <c r="B28" s="492"/>
      <c r="C28" s="493"/>
      <c r="D28" s="494"/>
      <c r="E28" s="486" t="str">
        <f t="shared" si="2"/>
        <v/>
      </c>
      <c r="F28" s="495"/>
      <c r="G28" s="513">
        <f t="shared" si="0"/>
        <v>0</v>
      </c>
      <c r="H28" s="496"/>
      <c r="I28" s="511">
        <f t="shared" si="1"/>
        <v>0</v>
      </c>
      <c r="J28" s="497" t="e">
        <f>SUMIF(#REF!,'Resumo Esquadrias - T1'!$B28,#REF!)</f>
        <v>#REF!</v>
      </c>
      <c r="K28" s="499"/>
      <c r="L28" s="498"/>
    </row>
    <row r="29" spans="1:12" s="143" customFormat="1" ht="12" x14ac:dyDescent="0.2">
      <c r="A29" s="491"/>
      <c r="B29" s="492"/>
      <c r="C29" s="493"/>
      <c r="D29" s="494"/>
      <c r="E29" s="486" t="str">
        <f t="shared" si="2"/>
        <v/>
      </c>
      <c r="F29" s="495"/>
      <c r="G29" s="513">
        <f t="shared" si="0"/>
        <v>0</v>
      </c>
      <c r="H29" s="496"/>
      <c r="I29" s="511">
        <f t="shared" si="1"/>
        <v>0</v>
      </c>
      <c r="J29" s="497" t="e">
        <f>SUMIF(#REF!,'Resumo Esquadrias - T1'!$B29,#REF!)</f>
        <v>#REF!</v>
      </c>
      <c r="K29" s="499"/>
      <c r="L29" s="498"/>
    </row>
    <row r="30" spans="1:12" s="143" customFormat="1" ht="12" x14ac:dyDescent="0.2">
      <c r="A30" s="491"/>
      <c r="B30" s="492"/>
      <c r="C30" s="493"/>
      <c r="D30" s="494"/>
      <c r="E30" s="486" t="str">
        <f t="shared" si="2"/>
        <v/>
      </c>
      <c r="F30" s="495"/>
      <c r="G30" s="513">
        <f t="shared" si="0"/>
        <v>0</v>
      </c>
      <c r="H30" s="496"/>
      <c r="I30" s="511">
        <f t="shared" si="1"/>
        <v>0</v>
      </c>
      <c r="J30" s="497" t="e">
        <f>SUMIF(#REF!,'Resumo Esquadrias - T1'!$B30,#REF!)</f>
        <v>#REF!</v>
      </c>
      <c r="K30" s="499"/>
      <c r="L30" s="498"/>
    </row>
    <row r="31" spans="1:12" s="143" customFormat="1" ht="12" x14ac:dyDescent="0.2">
      <c r="A31" s="491"/>
      <c r="B31" s="492"/>
      <c r="C31" s="493"/>
      <c r="D31" s="494"/>
      <c r="E31" s="486" t="str">
        <f t="shared" si="2"/>
        <v/>
      </c>
      <c r="F31" s="495"/>
      <c r="G31" s="513">
        <f t="shared" si="0"/>
        <v>0</v>
      </c>
      <c r="H31" s="496"/>
      <c r="I31" s="511">
        <f t="shared" si="1"/>
        <v>0</v>
      </c>
      <c r="J31" s="497" t="e">
        <f>SUMIF(#REF!,'Resumo Esquadrias - T1'!$B31,#REF!)</f>
        <v>#REF!</v>
      </c>
      <c r="K31" s="499"/>
      <c r="L31" s="498"/>
    </row>
    <row r="32" spans="1:12" s="143" customFormat="1" ht="12" x14ac:dyDescent="0.2">
      <c r="A32" s="491"/>
      <c r="B32" s="492"/>
      <c r="C32" s="142"/>
      <c r="D32" s="500"/>
      <c r="E32" s="486" t="str">
        <f t="shared" si="2"/>
        <v/>
      </c>
      <c r="F32" s="495"/>
      <c r="G32" s="513">
        <f t="shared" si="0"/>
        <v>0</v>
      </c>
      <c r="H32" s="496"/>
      <c r="I32" s="511">
        <f t="shared" si="1"/>
        <v>0</v>
      </c>
      <c r="J32" s="497" t="e">
        <f>SUMIF(#REF!,'Resumo Esquadrias - T1'!$B32,#REF!)</f>
        <v>#REF!</v>
      </c>
      <c r="K32" s="499"/>
      <c r="L32" s="498"/>
    </row>
    <row r="33" spans="1:16" s="143" customFormat="1" ht="12" x14ac:dyDescent="0.2">
      <c r="A33" s="491"/>
      <c r="B33" s="492"/>
      <c r="C33" s="142"/>
      <c r="D33" s="500"/>
      <c r="E33" s="486" t="str">
        <f t="shared" si="2"/>
        <v/>
      </c>
      <c r="F33" s="495"/>
      <c r="G33" s="513">
        <f t="shared" si="0"/>
        <v>0</v>
      </c>
      <c r="H33" s="496"/>
      <c r="I33" s="511">
        <f t="shared" si="1"/>
        <v>0</v>
      </c>
      <c r="J33" s="497" t="e">
        <f>SUMIF(#REF!,'Resumo Esquadrias - T1'!$B33,#REF!)</f>
        <v>#REF!</v>
      </c>
      <c r="K33" s="499"/>
      <c r="L33" s="498"/>
    </row>
    <row r="34" spans="1:16" ht="14.25" customHeight="1" x14ac:dyDescent="0.2">
      <c r="A34" s="188" t="s">
        <v>278</v>
      </c>
      <c r="B34" s="185"/>
      <c r="C34" s="186"/>
      <c r="D34" s="186"/>
      <c r="E34" s="187"/>
      <c r="F34" s="183"/>
      <c r="G34" s="184"/>
      <c r="H34" s="183"/>
      <c r="I34" s="523">
        <f>IF(H34=0,0,"m")</f>
        <v>0</v>
      </c>
      <c r="J34" s="526" t="e">
        <f>SUMIF(#REF!,'Resumo Esquadrias - T1'!$B34,#REF!)</f>
        <v>#REF!</v>
      </c>
      <c r="K34" s="177"/>
      <c r="L34" s="527"/>
    </row>
    <row r="35" spans="1:16" s="202" customFormat="1" ht="12" x14ac:dyDescent="0.2">
      <c r="A35" s="205"/>
      <c r="B35" s="206" t="s">
        <v>201</v>
      </c>
      <c r="C35" s="206" t="s">
        <v>97</v>
      </c>
      <c r="D35" s="206"/>
      <c r="E35" s="206"/>
      <c r="F35" s="206"/>
      <c r="G35" s="206"/>
      <c r="H35" s="206"/>
      <c r="I35" s="206"/>
      <c r="J35" s="489"/>
      <c r="K35" s="504"/>
      <c r="L35" s="490"/>
    </row>
    <row r="36" spans="1:16" s="143" customFormat="1" ht="12" x14ac:dyDescent="0.2">
      <c r="A36" s="491"/>
      <c r="B36" s="492" t="s">
        <v>223</v>
      </c>
      <c r="C36" s="142" t="s">
        <v>226</v>
      </c>
      <c r="D36" s="500"/>
      <c r="E36" s="516" t="str">
        <f t="shared" si="2"/>
        <v>UN</v>
      </c>
      <c r="F36" s="512"/>
      <c r="G36" s="487"/>
      <c r="H36" s="514"/>
      <c r="I36" s="517"/>
      <c r="J36" s="497" t="e">
        <f>SUMIF(#REF!,'Resumo Esquadrias - T1'!$B36,#REF!)</f>
        <v>#REF!</v>
      </c>
      <c r="K36" s="505"/>
      <c r="L36" s="498"/>
    </row>
    <row r="37" spans="1:16" s="143" customFormat="1" ht="12" x14ac:dyDescent="0.2">
      <c r="A37" s="491"/>
      <c r="B37" s="492" t="s">
        <v>224</v>
      </c>
      <c r="C37" s="142" t="s">
        <v>227</v>
      </c>
      <c r="D37" s="500"/>
      <c r="E37" s="486" t="str">
        <f t="shared" si="2"/>
        <v>UN</v>
      </c>
      <c r="F37" s="495"/>
      <c r="G37" s="513"/>
      <c r="H37" s="496"/>
      <c r="I37" s="511"/>
      <c r="J37" s="497" t="e">
        <f>SUMIF(#REF!,'Resumo Esquadrias - T1'!$B37,#REF!)</f>
        <v>#REF!</v>
      </c>
      <c r="K37" s="505"/>
      <c r="L37" s="498"/>
    </row>
    <row r="38" spans="1:16" s="143" customFormat="1" ht="12" x14ac:dyDescent="0.2">
      <c r="A38" s="491"/>
      <c r="B38" s="492" t="s">
        <v>225</v>
      </c>
      <c r="C38" s="142" t="s">
        <v>228</v>
      </c>
      <c r="D38" s="500"/>
      <c r="E38" s="486" t="str">
        <f t="shared" si="2"/>
        <v>UN</v>
      </c>
      <c r="F38" s="495"/>
      <c r="G38" s="513"/>
      <c r="H38" s="496"/>
      <c r="I38" s="511"/>
      <c r="J38" s="497" t="e">
        <f>SUMIF(#REF!,'Resumo Esquadrias - T1'!$B38,#REF!)</f>
        <v>#REF!</v>
      </c>
      <c r="K38" s="505"/>
      <c r="L38" s="498"/>
    </row>
    <row r="39" spans="1:16" s="143" customFormat="1" ht="12" x14ac:dyDescent="0.2">
      <c r="A39" s="491"/>
      <c r="B39" s="492"/>
      <c r="C39" s="142"/>
      <c r="D39" s="500"/>
      <c r="E39" s="486" t="str">
        <f t="shared" si="2"/>
        <v/>
      </c>
      <c r="F39" s="495"/>
      <c r="G39" s="513"/>
      <c r="H39" s="496"/>
      <c r="I39" s="511"/>
      <c r="J39" s="497" t="e">
        <f>SUMIF(#REF!,'Resumo Esquadrias - T1'!$B39,#REF!)</f>
        <v>#REF!</v>
      </c>
      <c r="K39" s="499"/>
      <c r="L39" s="498"/>
    </row>
    <row r="40" spans="1:16" s="143" customFormat="1" ht="12" x14ac:dyDescent="0.2">
      <c r="A40" s="491"/>
      <c r="B40" s="492"/>
      <c r="C40" s="142"/>
      <c r="D40" s="500"/>
      <c r="E40" s="486" t="str">
        <f t="shared" si="2"/>
        <v/>
      </c>
      <c r="F40" s="495"/>
      <c r="G40" s="513"/>
      <c r="H40" s="496"/>
      <c r="I40" s="511"/>
      <c r="J40" s="497" t="e">
        <f>SUMIF(#REF!,'Resumo Esquadrias - T1'!$B40,#REF!)</f>
        <v>#REF!</v>
      </c>
      <c r="K40" s="499"/>
      <c r="L40" s="498"/>
    </row>
    <row r="41" spans="1:16" ht="14.25" customHeight="1" x14ac:dyDescent="0.2">
      <c r="A41" s="188" t="s">
        <v>278</v>
      </c>
      <c r="B41" s="185"/>
      <c r="C41" s="186"/>
      <c r="D41" s="186"/>
      <c r="E41" s="187"/>
      <c r="F41" s="183"/>
      <c r="G41" s="184"/>
      <c r="H41" s="183"/>
      <c r="I41" s="523"/>
      <c r="J41" s="526" t="e">
        <f>SUMIF(#REF!,'Resumo Esquadrias - T1'!$B41,#REF!)</f>
        <v>#REF!</v>
      </c>
      <c r="K41" s="177"/>
      <c r="L41" s="527"/>
    </row>
    <row r="42" spans="1:16" s="202" customFormat="1" ht="12" x14ac:dyDescent="0.2">
      <c r="A42" s="205"/>
      <c r="B42" s="206" t="s">
        <v>201</v>
      </c>
      <c r="C42" s="206" t="s">
        <v>203</v>
      </c>
      <c r="D42" s="206"/>
      <c r="E42" s="206"/>
      <c r="F42" s="206"/>
      <c r="G42" s="206"/>
      <c r="H42" s="206"/>
      <c r="I42" s="206"/>
      <c r="J42" s="489"/>
      <c r="K42" s="504"/>
      <c r="L42" s="490"/>
    </row>
    <row r="43" spans="1:16" s="143" customFormat="1" ht="12" x14ac:dyDescent="0.2">
      <c r="A43" s="491"/>
      <c r="B43" s="492" t="s">
        <v>124</v>
      </c>
      <c r="C43" s="142" t="s">
        <v>155</v>
      </c>
      <c r="D43" s="500" t="s">
        <v>216</v>
      </c>
      <c r="E43" s="518" t="str">
        <f t="shared" si="2"/>
        <v>UN</v>
      </c>
      <c r="F43" s="519">
        <v>1.21</v>
      </c>
      <c r="G43" s="520" t="str">
        <f t="shared" ref="G43:G101" si="6">IF(F43=0,0,"x")</f>
        <v>x</v>
      </c>
      <c r="H43" s="521">
        <v>1.41</v>
      </c>
      <c r="I43" s="522" t="str">
        <f t="shared" ref="I43:I101" si="7">IF(H43=0,0,"m")</f>
        <v>m</v>
      </c>
      <c r="J43" s="497" t="e">
        <f>SUMIF(#REF!,'Resumo Esquadrias - T1'!$B43,#REF!)</f>
        <v>#REF!</v>
      </c>
      <c r="K43" s="505"/>
      <c r="L43" s="498"/>
    </row>
    <row r="44" spans="1:16" s="143" customFormat="1" ht="12" x14ac:dyDescent="0.2">
      <c r="A44" s="491"/>
      <c r="B44" s="492" t="s">
        <v>125</v>
      </c>
      <c r="C44" s="142" t="s">
        <v>156</v>
      </c>
      <c r="D44" s="500" t="s">
        <v>217</v>
      </c>
      <c r="E44" s="486" t="str">
        <f t="shared" si="2"/>
        <v>UN</v>
      </c>
      <c r="F44" s="495">
        <v>1.61</v>
      </c>
      <c r="G44" s="513" t="str">
        <f t="shared" si="6"/>
        <v>x</v>
      </c>
      <c r="H44" s="496">
        <v>1.41</v>
      </c>
      <c r="I44" s="511" t="str">
        <f t="shared" si="7"/>
        <v>m</v>
      </c>
      <c r="J44" s="497" t="e">
        <f>SUMIF(#REF!,'Resumo Esquadrias - T1'!$B44,#REF!)</f>
        <v>#REF!</v>
      </c>
      <c r="K44" s="505"/>
      <c r="L44" s="498"/>
    </row>
    <row r="45" spans="1:16" s="143" customFormat="1" ht="12" x14ac:dyDescent="0.2">
      <c r="A45" s="491"/>
      <c r="B45" s="492" t="s">
        <v>126</v>
      </c>
      <c r="C45" s="142" t="s">
        <v>157</v>
      </c>
      <c r="D45" s="500" t="s">
        <v>218</v>
      </c>
      <c r="E45" s="486" t="str">
        <f t="shared" si="2"/>
        <v>UN</v>
      </c>
      <c r="F45" s="495">
        <v>1.21</v>
      </c>
      <c r="G45" s="513" t="str">
        <f t="shared" si="6"/>
        <v>x</v>
      </c>
      <c r="H45" s="496">
        <v>1.21</v>
      </c>
      <c r="I45" s="511" t="str">
        <f t="shared" si="7"/>
        <v>m</v>
      </c>
      <c r="J45" s="497" t="e">
        <f>SUMIF(#REF!,'Resumo Esquadrias - T1'!$B45,#REF!)</f>
        <v>#REF!</v>
      </c>
      <c r="K45" s="505"/>
      <c r="L45" s="498"/>
    </row>
    <row r="46" spans="1:16" s="143" customFormat="1" ht="12" x14ac:dyDescent="0.2">
      <c r="A46" s="491"/>
      <c r="B46" s="492" t="s">
        <v>127</v>
      </c>
      <c r="C46" s="142" t="s">
        <v>158</v>
      </c>
      <c r="D46" s="500" t="s">
        <v>219</v>
      </c>
      <c r="E46" s="486" t="str">
        <f t="shared" si="2"/>
        <v>UN</v>
      </c>
      <c r="F46" s="495">
        <v>1.61</v>
      </c>
      <c r="G46" s="513" t="str">
        <f t="shared" si="6"/>
        <v>x</v>
      </c>
      <c r="H46" s="496">
        <v>2.41</v>
      </c>
      <c r="I46" s="511" t="str">
        <f t="shared" si="7"/>
        <v>m</v>
      </c>
      <c r="J46" s="497" t="e">
        <f>SUMIF(#REF!,'Resumo Esquadrias - T1'!$B46,#REF!)</f>
        <v>#REF!</v>
      </c>
      <c r="K46" s="505"/>
      <c r="L46" s="498"/>
    </row>
    <row r="47" spans="1:16" s="143" customFormat="1" ht="24" x14ac:dyDescent="0.2">
      <c r="A47" s="491"/>
      <c r="B47" s="492" t="s">
        <v>128</v>
      </c>
      <c r="C47" s="493" t="s">
        <v>159</v>
      </c>
      <c r="D47" s="494" t="s">
        <v>212</v>
      </c>
      <c r="E47" s="486" t="str">
        <f t="shared" si="2"/>
        <v>UN</v>
      </c>
      <c r="F47" s="495">
        <v>0.61</v>
      </c>
      <c r="G47" s="513" t="str">
        <f t="shared" si="6"/>
        <v>x</v>
      </c>
      <c r="H47" s="496">
        <v>1.01</v>
      </c>
      <c r="I47" s="511" t="str">
        <f t="shared" si="7"/>
        <v>m</v>
      </c>
      <c r="J47" s="497" t="e">
        <f>SUMIF(#REF!,'Resumo Esquadrias - T1'!$B47,#REF!)</f>
        <v>#REF!</v>
      </c>
      <c r="K47" s="505"/>
      <c r="L47" s="498"/>
      <c r="M47" s="501"/>
      <c r="P47" s="507"/>
    </row>
    <row r="48" spans="1:16" s="143" customFormat="1" ht="12" x14ac:dyDescent="0.2">
      <c r="A48" s="491"/>
      <c r="B48" s="492" t="s">
        <v>129</v>
      </c>
      <c r="C48" s="493" t="s">
        <v>160</v>
      </c>
      <c r="D48" s="494" t="s">
        <v>220</v>
      </c>
      <c r="E48" s="486" t="str">
        <f t="shared" si="2"/>
        <v>UN</v>
      </c>
      <c r="F48" s="495">
        <v>1.61</v>
      </c>
      <c r="G48" s="513" t="str">
        <f t="shared" si="6"/>
        <v>x</v>
      </c>
      <c r="H48" s="496">
        <v>2.41</v>
      </c>
      <c r="I48" s="511" t="str">
        <f t="shared" si="7"/>
        <v>m</v>
      </c>
      <c r="J48" s="497" t="e">
        <f>SUMIF(#REF!,'Resumo Esquadrias - T1'!$B48,#REF!)</f>
        <v>#REF!</v>
      </c>
      <c r="K48" s="505"/>
      <c r="L48" s="498"/>
    </row>
    <row r="49" spans="1:15" s="143" customFormat="1" ht="36" x14ac:dyDescent="0.2">
      <c r="A49" s="491"/>
      <c r="B49" s="492" t="s">
        <v>130</v>
      </c>
      <c r="C49" s="493" t="s">
        <v>161</v>
      </c>
      <c r="D49" s="494" t="s">
        <v>229</v>
      </c>
      <c r="E49" s="486" t="str">
        <f t="shared" si="2"/>
        <v>UN</v>
      </c>
      <c r="F49" s="495">
        <v>0.91</v>
      </c>
      <c r="G49" s="513" t="str">
        <f t="shared" si="6"/>
        <v>x</v>
      </c>
      <c r="H49" s="496">
        <v>2.41</v>
      </c>
      <c r="I49" s="511" t="str">
        <f t="shared" si="7"/>
        <v>m</v>
      </c>
      <c r="J49" s="497" t="e">
        <f>SUMIF(#REF!,'Resumo Esquadrias - T1'!$B49,#REF!)</f>
        <v>#REF!</v>
      </c>
      <c r="K49" s="505"/>
      <c r="L49" s="498"/>
      <c r="M49" s="501"/>
    </row>
    <row r="50" spans="1:15" s="143" customFormat="1" ht="24" x14ac:dyDescent="0.2">
      <c r="A50" s="491"/>
      <c r="B50" s="492" t="s">
        <v>131</v>
      </c>
      <c r="C50" s="493" t="s">
        <v>161</v>
      </c>
      <c r="D50" s="494" t="s">
        <v>282</v>
      </c>
      <c r="E50" s="486" t="str">
        <f t="shared" si="2"/>
        <v>UN</v>
      </c>
      <c r="F50" s="495">
        <v>0.91</v>
      </c>
      <c r="G50" s="513" t="str">
        <f t="shared" si="6"/>
        <v>x</v>
      </c>
      <c r="H50" s="496">
        <v>2.21</v>
      </c>
      <c r="I50" s="511" t="str">
        <f t="shared" si="7"/>
        <v>m</v>
      </c>
      <c r="J50" s="497" t="e">
        <f>SUMIF(#REF!,'Resumo Esquadrias - T1'!$B50,#REF!)</f>
        <v>#REF!</v>
      </c>
      <c r="K50" s="505"/>
      <c r="L50" s="498"/>
      <c r="M50" s="502"/>
    </row>
    <row r="51" spans="1:15" s="143" customFormat="1" ht="24" x14ac:dyDescent="0.2">
      <c r="A51" s="491"/>
      <c r="B51" s="492" t="s">
        <v>132</v>
      </c>
      <c r="C51" s="493" t="s">
        <v>162</v>
      </c>
      <c r="D51" s="494" t="s">
        <v>230</v>
      </c>
      <c r="E51" s="486" t="str">
        <f t="shared" si="2"/>
        <v>UN</v>
      </c>
      <c r="F51" s="495">
        <v>1.41</v>
      </c>
      <c r="G51" s="513" t="str">
        <f t="shared" si="6"/>
        <v>x</v>
      </c>
      <c r="H51" s="496">
        <v>2.41</v>
      </c>
      <c r="I51" s="511" t="str">
        <f t="shared" si="7"/>
        <v>m</v>
      </c>
      <c r="J51" s="497" t="e">
        <f>SUMIF(#REF!,'Resumo Esquadrias - T1'!$B51,#REF!)</f>
        <v>#REF!</v>
      </c>
      <c r="K51" s="505"/>
      <c r="L51" s="498"/>
      <c r="M51" s="508"/>
      <c r="N51" s="509"/>
      <c r="O51" s="509"/>
    </row>
    <row r="52" spans="1:15" s="143" customFormat="1" ht="24" x14ac:dyDescent="0.2">
      <c r="A52" s="491"/>
      <c r="B52" s="492" t="s">
        <v>289</v>
      </c>
      <c r="C52" s="493" t="s">
        <v>162</v>
      </c>
      <c r="D52" s="494" t="s">
        <v>290</v>
      </c>
      <c r="E52" s="486" t="str">
        <f>IF(B52="","","UN")</f>
        <v>UN</v>
      </c>
      <c r="F52" s="495">
        <v>1.81</v>
      </c>
      <c r="G52" s="513" t="str">
        <f>IF(F52=0,0,"x")</f>
        <v>x</v>
      </c>
      <c r="H52" s="496">
        <v>2.41</v>
      </c>
      <c r="I52" s="511" t="str">
        <f>IF(H52=0,0,"m")</f>
        <v>m</v>
      </c>
      <c r="J52" s="497" t="e">
        <f>SUMIF(#REF!,'Resumo Esquadrias - T1'!$B52,#REF!)</f>
        <v>#REF!</v>
      </c>
      <c r="K52" s="505"/>
      <c r="L52" s="498"/>
      <c r="M52" s="508"/>
      <c r="N52" s="509"/>
      <c r="O52" s="509"/>
    </row>
    <row r="53" spans="1:15" s="143" customFormat="1" ht="12" x14ac:dyDescent="0.2">
      <c r="A53" s="491"/>
      <c r="B53" s="492" t="s">
        <v>133</v>
      </c>
      <c r="C53" s="493" t="s">
        <v>156</v>
      </c>
      <c r="D53" s="494" t="s">
        <v>231</v>
      </c>
      <c r="E53" s="486" t="str">
        <f t="shared" si="2"/>
        <v>UN</v>
      </c>
      <c r="F53" s="495">
        <v>1.21</v>
      </c>
      <c r="G53" s="513" t="str">
        <f>IF(F53=0,0,"x")</f>
        <v>x</v>
      </c>
      <c r="H53" s="496">
        <v>1.41</v>
      </c>
      <c r="I53" s="511" t="str">
        <f t="shared" si="7"/>
        <v>m</v>
      </c>
      <c r="J53" s="497" t="e">
        <f>SUMIF(#REF!,'Resumo Esquadrias - T1'!$B53,#REF!)</f>
        <v>#REF!</v>
      </c>
      <c r="K53" s="505"/>
      <c r="L53" s="498"/>
      <c r="M53" s="501"/>
      <c r="O53" s="508"/>
    </row>
    <row r="54" spans="1:15" s="143" customFormat="1" ht="24" x14ac:dyDescent="0.2">
      <c r="A54" s="491"/>
      <c r="B54" s="492" t="s">
        <v>134</v>
      </c>
      <c r="C54" s="493" t="s">
        <v>163</v>
      </c>
      <c r="D54" s="494" t="s">
        <v>232</v>
      </c>
      <c r="E54" s="486" t="str">
        <f t="shared" si="2"/>
        <v>UN</v>
      </c>
      <c r="F54" s="495">
        <v>1.61</v>
      </c>
      <c r="G54" s="513" t="str">
        <f>IF(F54=0,0,"x")</f>
        <v>x</v>
      </c>
      <c r="H54" s="496">
        <v>2.41</v>
      </c>
      <c r="I54" s="511" t="str">
        <f t="shared" si="7"/>
        <v>m</v>
      </c>
      <c r="J54" s="497" t="e">
        <f>SUMIF(#REF!,'Resumo Esquadrias - T1'!$B54,#REF!)</f>
        <v>#REF!</v>
      </c>
      <c r="K54" s="505"/>
      <c r="L54" s="498"/>
    </row>
    <row r="55" spans="1:15" s="143" customFormat="1" ht="12" x14ac:dyDescent="0.2">
      <c r="A55" s="491"/>
      <c r="B55" s="492" t="s">
        <v>135</v>
      </c>
      <c r="C55" s="493" t="s">
        <v>164</v>
      </c>
      <c r="D55" s="494" t="s">
        <v>221</v>
      </c>
      <c r="E55" s="486" t="str">
        <f t="shared" si="2"/>
        <v>UN</v>
      </c>
      <c r="F55" s="495">
        <v>3.91</v>
      </c>
      <c r="G55" s="513" t="str">
        <f t="shared" si="6"/>
        <v>x</v>
      </c>
      <c r="H55" s="496">
        <v>1.41</v>
      </c>
      <c r="I55" s="511" t="str">
        <f t="shared" si="7"/>
        <v>m</v>
      </c>
      <c r="J55" s="497" t="e">
        <f>SUMIF(#REF!,'Resumo Esquadrias - T1'!$B55,#REF!)</f>
        <v>#REF!</v>
      </c>
      <c r="K55" s="505"/>
      <c r="L55" s="498"/>
    </row>
    <row r="56" spans="1:15" s="143" customFormat="1" ht="12" x14ac:dyDescent="0.2">
      <c r="A56" s="491"/>
      <c r="B56" s="492" t="s">
        <v>136</v>
      </c>
      <c r="C56" s="493" t="s">
        <v>164</v>
      </c>
      <c r="D56" s="494" t="s">
        <v>221</v>
      </c>
      <c r="E56" s="486" t="str">
        <f t="shared" si="2"/>
        <v>UN</v>
      </c>
      <c r="F56" s="495">
        <v>1.1100000000000001</v>
      </c>
      <c r="G56" s="513" t="str">
        <f t="shared" si="6"/>
        <v>x</v>
      </c>
      <c r="H56" s="496">
        <v>1.41</v>
      </c>
      <c r="I56" s="511" t="str">
        <f t="shared" si="7"/>
        <v>m</v>
      </c>
      <c r="J56" s="497" t="e">
        <f>SUMIF(#REF!,'Resumo Esquadrias - T1'!$B56,#REF!)</f>
        <v>#REF!</v>
      </c>
      <c r="K56" s="505"/>
      <c r="L56" s="498"/>
    </row>
    <row r="57" spans="1:15" s="143" customFormat="1" ht="12" x14ac:dyDescent="0.2">
      <c r="A57" s="491"/>
      <c r="B57" s="492" t="s">
        <v>137</v>
      </c>
      <c r="C57" s="493" t="s">
        <v>164</v>
      </c>
      <c r="D57" s="494" t="s">
        <v>221</v>
      </c>
      <c r="E57" s="486" t="str">
        <f t="shared" si="2"/>
        <v>UN</v>
      </c>
      <c r="F57" s="495">
        <v>1.01</v>
      </c>
      <c r="G57" s="513" t="str">
        <f t="shared" si="6"/>
        <v>x</v>
      </c>
      <c r="H57" s="496">
        <v>1.41</v>
      </c>
      <c r="I57" s="511" t="str">
        <f t="shared" si="7"/>
        <v>m</v>
      </c>
      <c r="J57" s="497" t="e">
        <f>SUMIF(#REF!,'Resumo Esquadrias - T1'!$B57,#REF!)</f>
        <v>#REF!</v>
      </c>
      <c r="K57" s="505"/>
      <c r="L57" s="498"/>
    </row>
    <row r="58" spans="1:15" s="143" customFormat="1" ht="24" x14ac:dyDescent="0.2">
      <c r="A58" s="491"/>
      <c r="B58" s="492" t="s">
        <v>138</v>
      </c>
      <c r="C58" s="493" t="s">
        <v>163</v>
      </c>
      <c r="D58" s="494" t="s">
        <v>222</v>
      </c>
      <c r="E58" s="486" t="str">
        <f t="shared" si="2"/>
        <v>UN</v>
      </c>
      <c r="F58" s="495">
        <v>1.61</v>
      </c>
      <c r="G58" s="513" t="str">
        <f>IF(F58=0,0,"x")</f>
        <v>x</v>
      </c>
      <c r="H58" s="496">
        <v>2.41</v>
      </c>
      <c r="I58" s="511" t="str">
        <f t="shared" si="7"/>
        <v>m</v>
      </c>
      <c r="J58" s="497" t="e">
        <f>SUMIF(#REF!,'Resumo Esquadrias - T1'!$B58,#REF!)</f>
        <v>#REF!</v>
      </c>
      <c r="K58" s="505"/>
      <c r="L58" s="498"/>
    </row>
    <row r="59" spans="1:15" s="143" customFormat="1" ht="12" x14ac:dyDescent="0.2">
      <c r="A59" s="491"/>
      <c r="B59" s="492" t="s">
        <v>139</v>
      </c>
      <c r="C59" s="493" t="s">
        <v>161</v>
      </c>
      <c r="D59" s="494" t="s">
        <v>105</v>
      </c>
      <c r="E59" s="486" t="str">
        <f t="shared" si="2"/>
        <v>UN</v>
      </c>
      <c r="F59" s="495">
        <v>0.81</v>
      </c>
      <c r="G59" s="513" t="str">
        <f t="shared" si="6"/>
        <v>x</v>
      </c>
      <c r="H59" s="496">
        <v>1.61</v>
      </c>
      <c r="I59" s="511" t="str">
        <f t="shared" si="7"/>
        <v>m</v>
      </c>
      <c r="J59" s="497" t="e">
        <f>SUMIF(#REF!,'Resumo Esquadrias - T1'!$B59,#REF!)</f>
        <v>#REF!</v>
      </c>
      <c r="K59" s="505"/>
      <c r="L59" s="498"/>
    </row>
    <row r="60" spans="1:15" s="143" customFormat="1" ht="12" x14ac:dyDescent="0.2">
      <c r="A60" s="491"/>
      <c r="B60" s="492" t="s">
        <v>140</v>
      </c>
      <c r="C60" s="493" t="s">
        <v>165</v>
      </c>
      <c r="D60" s="494" t="s">
        <v>105</v>
      </c>
      <c r="E60" s="486" t="str">
        <f t="shared" si="2"/>
        <v>UN</v>
      </c>
      <c r="F60" s="495">
        <v>1.21</v>
      </c>
      <c r="G60" s="513" t="str">
        <f>IF(F60=0,0,"x")</f>
        <v>x</v>
      </c>
      <c r="H60" s="496">
        <v>1.01</v>
      </c>
      <c r="I60" s="511" t="str">
        <f t="shared" si="7"/>
        <v>m</v>
      </c>
      <c r="J60" s="497" t="e">
        <f>SUMIF(#REF!,'Resumo Esquadrias - T1'!$B60,#REF!)</f>
        <v>#REF!</v>
      </c>
      <c r="K60" s="505"/>
      <c r="L60" s="498"/>
    </row>
    <row r="61" spans="1:15" s="143" customFormat="1" ht="12" x14ac:dyDescent="0.2">
      <c r="A61" s="491"/>
      <c r="B61" s="492" t="s">
        <v>141</v>
      </c>
      <c r="C61" s="493" t="s">
        <v>166</v>
      </c>
      <c r="D61" s="494" t="s">
        <v>222</v>
      </c>
      <c r="E61" s="486" t="str">
        <f t="shared" si="2"/>
        <v>UN</v>
      </c>
      <c r="F61" s="495">
        <v>2.41</v>
      </c>
      <c r="G61" s="513" t="str">
        <f>IF(F61=0,0,"x")</f>
        <v>x</v>
      </c>
      <c r="H61" s="496">
        <v>1.41</v>
      </c>
      <c r="I61" s="511" t="str">
        <f t="shared" si="7"/>
        <v>m</v>
      </c>
      <c r="J61" s="497" t="e">
        <f>SUMIF(#REF!,'Resumo Esquadrias - T1'!$B61,#REF!)</f>
        <v>#REF!</v>
      </c>
      <c r="K61" s="505"/>
      <c r="L61" s="498"/>
    </row>
    <row r="62" spans="1:15" s="143" customFormat="1" ht="12" x14ac:dyDescent="0.2">
      <c r="A62" s="491"/>
      <c r="B62" s="492" t="s">
        <v>167</v>
      </c>
      <c r="C62" s="493" t="s">
        <v>168</v>
      </c>
      <c r="D62" s="494" t="s">
        <v>233</v>
      </c>
      <c r="E62" s="486" t="str">
        <f t="shared" si="2"/>
        <v>UN</v>
      </c>
      <c r="F62" s="495">
        <v>0.61</v>
      </c>
      <c r="G62" s="513" t="str">
        <f>IF(F62=0,0,"x")</f>
        <v>x</v>
      </c>
      <c r="H62" s="496">
        <v>0.61</v>
      </c>
      <c r="I62" s="511" t="str">
        <f t="shared" si="7"/>
        <v>m</v>
      </c>
      <c r="J62" s="497" t="e">
        <f>SUMIF(#REF!,'Resumo Esquadrias - T1'!$B62,#REF!)</f>
        <v>#REF!</v>
      </c>
      <c r="K62" s="505"/>
      <c r="L62" s="498"/>
    </row>
    <row r="63" spans="1:15" s="143" customFormat="1" ht="12" x14ac:dyDescent="0.2">
      <c r="A63" s="491"/>
      <c r="B63" s="492" t="s">
        <v>169</v>
      </c>
      <c r="C63" s="493" t="s">
        <v>168</v>
      </c>
      <c r="D63" s="494" t="s">
        <v>234</v>
      </c>
      <c r="E63" s="486" t="str">
        <f t="shared" si="2"/>
        <v>UN</v>
      </c>
      <c r="F63" s="495">
        <v>1.21</v>
      </c>
      <c r="G63" s="513" t="str">
        <f>IF(F63=0,0,"x")</f>
        <v>x</v>
      </c>
      <c r="H63" s="496">
        <v>1.01</v>
      </c>
      <c r="I63" s="511" t="str">
        <f t="shared" si="7"/>
        <v>m</v>
      </c>
      <c r="J63" s="497" t="e">
        <f>SUMIF(#REF!,'Resumo Esquadrias - T1'!$B63,#REF!)</f>
        <v>#REF!</v>
      </c>
      <c r="K63" s="505"/>
      <c r="L63" s="498"/>
    </row>
    <row r="64" spans="1:15" s="143" customFormat="1" ht="12" x14ac:dyDescent="0.2">
      <c r="A64" s="491"/>
      <c r="B64" s="492" t="s">
        <v>170</v>
      </c>
      <c r="C64" s="493" t="s">
        <v>168</v>
      </c>
      <c r="D64" s="494" t="s">
        <v>235</v>
      </c>
      <c r="E64" s="486" t="str">
        <f t="shared" si="2"/>
        <v>UN</v>
      </c>
      <c r="F64" s="495">
        <v>1.21</v>
      </c>
      <c r="G64" s="513" t="str">
        <f t="shared" si="6"/>
        <v>x</v>
      </c>
      <c r="H64" s="496">
        <v>0.71</v>
      </c>
      <c r="I64" s="511" t="str">
        <f t="shared" si="7"/>
        <v>m</v>
      </c>
      <c r="J64" s="497" t="e">
        <f>SUMIF(#REF!,'Resumo Esquadrias - T1'!$B64,#REF!)</f>
        <v>#REF!</v>
      </c>
      <c r="K64" s="505"/>
      <c r="L64" s="498"/>
    </row>
    <row r="65" spans="1:12" s="143" customFormat="1" ht="12" x14ac:dyDescent="0.2">
      <c r="A65" s="491"/>
      <c r="B65" s="492" t="s">
        <v>171</v>
      </c>
      <c r="C65" s="493" t="s">
        <v>172</v>
      </c>
      <c r="D65" s="494" t="s">
        <v>236</v>
      </c>
      <c r="E65" s="486" t="str">
        <f t="shared" si="2"/>
        <v>UN</v>
      </c>
      <c r="F65" s="495">
        <v>1.81</v>
      </c>
      <c r="G65" s="513" t="str">
        <f t="shared" si="6"/>
        <v>x</v>
      </c>
      <c r="H65" s="496">
        <v>2.21</v>
      </c>
      <c r="I65" s="511" t="str">
        <f t="shared" si="7"/>
        <v>m</v>
      </c>
      <c r="J65" s="497" t="e">
        <f>SUMIF(#REF!,'Resumo Esquadrias - T1'!$B65,#REF!)</f>
        <v>#REF!</v>
      </c>
      <c r="K65" s="505"/>
      <c r="L65" s="498"/>
    </row>
    <row r="66" spans="1:12" s="143" customFormat="1" ht="12" x14ac:dyDescent="0.2">
      <c r="A66" s="491"/>
      <c r="B66" s="492" t="s">
        <v>173</v>
      </c>
      <c r="C66" s="493" t="s">
        <v>168</v>
      </c>
      <c r="D66" s="494" t="s">
        <v>237</v>
      </c>
      <c r="E66" s="486" t="str">
        <f t="shared" si="2"/>
        <v>UN</v>
      </c>
      <c r="F66" s="495">
        <v>0.21</v>
      </c>
      <c r="G66" s="513" t="str">
        <f>IF(F66=0,0,"x")</f>
        <v>x</v>
      </c>
      <c r="H66" s="496">
        <v>0.21</v>
      </c>
      <c r="I66" s="511" t="str">
        <f>IF(H66=0,0,"m")</f>
        <v>m</v>
      </c>
      <c r="J66" s="497" t="e">
        <f>SUMIF(#REF!,'Resumo Esquadrias - T1'!$B66,#REF!)</f>
        <v>#REF!</v>
      </c>
      <c r="K66" s="505"/>
      <c r="L66" s="498"/>
    </row>
    <row r="67" spans="1:12" s="143" customFormat="1" ht="12" x14ac:dyDescent="0.2">
      <c r="A67" s="491"/>
      <c r="B67" s="492" t="s">
        <v>311</v>
      </c>
      <c r="C67" s="493" t="s">
        <v>168</v>
      </c>
      <c r="D67" s="494"/>
      <c r="E67" s="486" t="str">
        <f>IF(B67="","","UN")</f>
        <v>UN</v>
      </c>
      <c r="F67" s="495">
        <v>0.21</v>
      </c>
      <c r="G67" s="513" t="str">
        <f>IF(F67=0,0,"x")</f>
        <v>x</v>
      </c>
      <c r="H67" s="496">
        <v>0.21</v>
      </c>
      <c r="I67" s="511" t="str">
        <f>IF(H67=0,0,"m")</f>
        <v>m</v>
      </c>
      <c r="J67" s="497" t="e">
        <f>SUMIF(#REF!,'Resumo Esquadrias - T1'!$B67,#REF!)</f>
        <v>#REF!</v>
      </c>
      <c r="K67" s="505"/>
      <c r="L67" s="498"/>
    </row>
    <row r="68" spans="1:12" s="143" customFormat="1" ht="12" x14ac:dyDescent="0.2">
      <c r="A68" s="491"/>
      <c r="B68" s="492" t="s">
        <v>174</v>
      </c>
      <c r="C68" s="493" t="s">
        <v>168</v>
      </c>
      <c r="D68" s="494" t="s">
        <v>238</v>
      </c>
      <c r="E68" s="486" t="str">
        <f t="shared" si="2"/>
        <v>UN</v>
      </c>
      <c r="F68" s="495">
        <v>2.0099999999999998</v>
      </c>
      <c r="G68" s="513" t="str">
        <f t="shared" si="6"/>
        <v>x</v>
      </c>
      <c r="H68" s="496">
        <v>1.01</v>
      </c>
      <c r="I68" s="511" t="str">
        <f t="shared" si="7"/>
        <v>m</v>
      </c>
      <c r="J68" s="497" t="e">
        <f>SUMIF(#REF!,'Resumo Esquadrias - T1'!$B68,#REF!)</f>
        <v>#REF!</v>
      </c>
      <c r="K68" s="505"/>
      <c r="L68" s="498"/>
    </row>
    <row r="69" spans="1:12" s="143" customFormat="1" ht="12" x14ac:dyDescent="0.2">
      <c r="A69" s="491"/>
      <c r="B69" s="492" t="s">
        <v>175</v>
      </c>
      <c r="C69" s="493" t="s">
        <v>168</v>
      </c>
      <c r="D69" s="494" t="s">
        <v>239</v>
      </c>
      <c r="E69" s="486" t="str">
        <f t="shared" ref="E69:E104" si="8">IF(B69="","","UN")</f>
        <v>UN</v>
      </c>
      <c r="F69" s="495">
        <v>0.9</v>
      </c>
      <c r="G69" s="513" t="str">
        <f t="shared" si="6"/>
        <v>x</v>
      </c>
      <c r="H69" s="496">
        <v>2.2200000000000002</v>
      </c>
      <c r="I69" s="511" t="str">
        <f t="shared" si="7"/>
        <v>m</v>
      </c>
      <c r="J69" s="497" t="e">
        <f>SUMIF(#REF!,'Resumo Esquadrias - T1'!$B69,#REF!)</f>
        <v>#REF!</v>
      </c>
      <c r="K69" s="505"/>
      <c r="L69" s="498"/>
    </row>
    <row r="70" spans="1:12" s="143" customFormat="1" ht="12" x14ac:dyDescent="0.2">
      <c r="A70" s="491"/>
      <c r="B70" s="492" t="s">
        <v>176</v>
      </c>
      <c r="C70" s="493" t="s">
        <v>168</v>
      </c>
      <c r="D70" s="494" t="s">
        <v>105</v>
      </c>
      <c r="E70" s="486" t="str">
        <f t="shared" si="8"/>
        <v>UN</v>
      </c>
      <c r="F70" s="495">
        <v>0.71</v>
      </c>
      <c r="G70" s="513" t="str">
        <f>IF(F70=0,0,"x")</f>
        <v>x</v>
      </c>
      <c r="H70" s="496">
        <v>1.41</v>
      </c>
      <c r="I70" s="511" t="str">
        <f t="shared" si="7"/>
        <v>m</v>
      </c>
      <c r="J70" s="497" t="e">
        <f>SUMIF(#REF!,'Resumo Esquadrias - T1'!$B70,#REF!)</f>
        <v>#REF!</v>
      </c>
      <c r="K70" s="505"/>
      <c r="L70" s="498"/>
    </row>
    <row r="71" spans="1:12" s="143" customFormat="1" ht="12" x14ac:dyDescent="0.2">
      <c r="A71" s="491"/>
      <c r="B71" s="492" t="s">
        <v>177</v>
      </c>
      <c r="C71" s="493" t="s">
        <v>168</v>
      </c>
      <c r="D71" s="494" t="s">
        <v>105</v>
      </c>
      <c r="E71" s="486" t="str">
        <f t="shared" si="8"/>
        <v>UN</v>
      </c>
      <c r="F71" s="495">
        <v>0.81</v>
      </c>
      <c r="G71" s="513" t="str">
        <f>IF(F71=0,0,"x")</f>
        <v>x</v>
      </c>
      <c r="H71" s="496">
        <v>1.21</v>
      </c>
      <c r="I71" s="511" t="str">
        <f t="shared" si="7"/>
        <v>m</v>
      </c>
      <c r="J71" s="497" t="e">
        <f>SUMIF(#REF!,'Resumo Esquadrias - T1'!$B71,#REF!)</f>
        <v>#REF!</v>
      </c>
      <c r="K71" s="505"/>
      <c r="L71" s="498"/>
    </row>
    <row r="72" spans="1:12" s="143" customFormat="1" ht="12" x14ac:dyDescent="0.2">
      <c r="A72" s="491"/>
      <c r="B72" s="492" t="s">
        <v>272</v>
      </c>
      <c r="C72" s="493" t="s">
        <v>272</v>
      </c>
      <c r="E72" s="486" t="str">
        <f t="shared" si="8"/>
        <v>UN</v>
      </c>
      <c r="F72" s="495">
        <v>0.4</v>
      </c>
      <c r="G72" s="513" t="str">
        <f t="shared" si="6"/>
        <v>x</v>
      </c>
      <c r="H72" s="496">
        <v>0.21</v>
      </c>
      <c r="I72" s="511" t="str">
        <f t="shared" si="7"/>
        <v>m</v>
      </c>
      <c r="J72" s="497" t="e">
        <f>SUMIF(#REF!,'Resumo Esquadrias - T1'!$B72,#REF!)</f>
        <v>#REF!</v>
      </c>
      <c r="K72" s="505"/>
      <c r="L72" s="498"/>
    </row>
    <row r="73" spans="1:12" s="143" customFormat="1" ht="24" x14ac:dyDescent="0.2">
      <c r="A73" s="491"/>
      <c r="B73" s="492" t="s">
        <v>275</v>
      </c>
      <c r="C73" s="493" t="s">
        <v>274</v>
      </c>
      <c r="D73" s="494" t="s">
        <v>241</v>
      </c>
      <c r="E73" s="486" t="str">
        <f>IF(B73="","","UN")</f>
        <v>UN</v>
      </c>
      <c r="F73" s="495">
        <v>1.7</v>
      </c>
      <c r="G73" s="513" t="str">
        <f>IF(F73=0,0,"x")</f>
        <v>x</v>
      </c>
      <c r="H73" s="496">
        <v>1.5</v>
      </c>
      <c r="I73" s="511" t="str">
        <f>IF(H73=0,0,"m")</f>
        <v>m</v>
      </c>
      <c r="J73" s="497" t="e">
        <f>SUMIF(#REF!,'Resumo Esquadrias - T1'!$B73,#REF!)</f>
        <v>#REF!</v>
      </c>
      <c r="K73" s="503"/>
      <c r="L73" s="498"/>
    </row>
    <row r="74" spans="1:12" s="143" customFormat="1" ht="12" x14ac:dyDescent="0.2">
      <c r="A74" s="491"/>
      <c r="B74" s="492" t="s">
        <v>276</v>
      </c>
      <c r="C74" s="493" t="s">
        <v>277</v>
      </c>
      <c r="D74" s="494" t="s">
        <v>312</v>
      </c>
      <c r="E74" s="486" t="str">
        <f>IF(B74="","","UN")</f>
        <v>UN</v>
      </c>
      <c r="F74" s="495">
        <v>0.9</v>
      </c>
      <c r="G74" s="513" t="str">
        <f>IF(F74=0,0,"x")</f>
        <v>x</v>
      </c>
      <c r="H74" s="496">
        <v>1.5</v>
      </c>
      <c r="I74" s="511" t="str">
        <f>IF(H74=0,0,"m")</f>
        <v>m</v>
      </c>
      <c r="J74" s="497" t="e">
        <f>SUMIF(#REF!,'Resumo Esquadrias - T1'!$B74,#REF!)</f>
        <v>#REF!</v>
      </c>
      <c r="K74" s="503"/>
      <c r="L74" s="498"/>
    </row>
    <row r="75" spans="1:12" s="143" customFormat="1" ht="12" x14ac:dyDescent="0.2">
      <c r="A75" s="491"/>
      <c r="B75" s="492"/>
      <c r="C75" s="493"/>
      <c r="D75" s="494"/>
      <c r="E75" s="486" t="str">
        <f t="shared" si="8"/>
        <v/>
      </c>
      <c r="F75" s="495"/>
      <c r="G75" s="513">
        <f t="shared" si="6"/>
        <v>0</v>
      </c>
      <c r="H75" s="496"/>
      <c r="I75" s="511">
        <f t="shared" si="7"/>
        <v>0</v>
      </c>
      <c r="J75" s="497" t="e">
        <f>SUMIF(#REF!,'Resumo Esquadrias - T1'!$B75,#REF!)</f>
        <v>#REF!</v>
      </c>
      <c r="K75" s="499"/>
      <c r="L75" s="498"/>
    </row>
    <row r="76" spans="1:12" s="143" customFormat="1" ht="12" x14ac:dyDescent="0.2">
      <c r="A76" s="491"/>
      <c r="B76" s="492"/>
      <c r="C76" s="493"/>
      <c r="D76" s="494"/>
      <c r="E76" s="486" t="str">
        <f t="shared" si="8"/>
        <v/>
      </c>
      <c r="F76" s="495"/>
      <c r="G76" s="513">
        <f t="shared" si="6"/>
        <v>0</v>
      </c>
      <c r="H76" s="496"/>
      <c r="I76" s="511">
        <f t="shared" si="7"/>
        <v>0</v>
      </c>
      <c r="J76" s="497" t="e">
        <f>SUMIF(#REF!,'Resumo Esquadrias - T1'!$B76,#REF!)</f>
        <v>#REF!</v>
      </c>
      <c r="K76" s="499"/>
      <c r="L76" s="498"/>
    </row>
    <row r="77" spans="1:12" s="143" customFormat="1" ht="12" x14ac:dyDescent="0.2">
      <c r="A77" s="491"/>
      <c r="B77" s="492"/>
      <c r="C77" s="142"/>
      <c r="D77" s="500"/>
      <c r="E77" s="486" t="str">
        <f t="shared" si="8"/>
        <v/>
      </c>
      <c r="F77" s="495"/>
      <c r="G77" s="513">
        <f t="shared" si="6"/>
        <v>0</v>
      </c>
      <c r="H77" s="496"/>
      <c r="I77" s="511">
        <f t="shared" si="7"/>
        <v>0</v>
      </c>
      <c r="J77" s="497" t="e">
        <f>SUMIF(#REF!,'Resumo Esquadrias - T1'!$B77,#REF!)</f>
        <v>#REF!</v>
      </c>
      <c r="K77" s="499"/>
      <c r="L77" s="498"/>
    </row>
    <row r="78" spans="1:12" s="143" customFormat="1" ht="12" x14ac:dyDescent="0.2">
      <c r="A78" s="491"/>
      <c r="B78" s="492"/>
      <c r="C78" s="142"/>
      <c r="D78" s="500"/>
      <c r="E78" s="486" t="str">
        <f t="shared" si="8"/>
        <v/>
      </c>
      <c r="F78" s="495"/>
      <c r="G78" s="513">
        <f t="shared" si="6"/>
        <v>0</v>
      </c>
      <c r="H78" s="496"/>
      <c r="I78" s="511">
        <f t="shared" si="7"/>
        <v>0</v>
      </c>
      <c r="J78" s="497" t="e">
        <f>SUMIF(#REF!,'Resumo Esquadrias - T1'!$B78,#REF!)</f>
        <v>#REF!</v>
      </c>
      <c r="K78" s="499"/>
      <c r="L78" s="498"/>
    </row>
    <row r="79" spans="1:12" s="143" customFormat="1" ht="12" x14ac:dyDescent="0.2">
      <c r="A79" s="491"/>
      <c r="B79" s="492"/>
      <c r="C79" s="142"/>
      <c r="D79" s="500"/>
      <c r="E79" s="486" t="str">
        <f t="shared" si="8"/>
        <v/>
      </c>
      <c r="F79" s="495"/>
      <c r="G79" s="513">
        <f t="shared" si="6"/>
        <v>0</v>
      </c>
      <c r="H79" s="496"/>
      <c r="I79" s="511">
        <f t="shared" si="7"/>
        <v>0</v>
      </c>
      <c r="J79" s="497" t="e">
        <f>SUMIF(#REF!,'Resumo Esquadrias - T1'!$B79,#REF!)</f>
        <v>#REF!</v>
      </c>
      <c r="K79" s="499"/>
      <c r="L79" s="498"/>
    </row>
    <row r="80" spans="1:12" s="143" customFormat="1" ht="12" x14ac:dyDescent="0.2">
      <c r="A80" s="491"/>
      <c r="B80" s="492"/>
      <c r="C80" s="142"/>
      <c r="D80" s="500"/>
      <c r="E80" s="486" t="str">
        <f t="shared" si="8"/>
        <v/>
      </c>
      <c r="F80" s="495"/>
      <c r="G80" s="513">
        <f t="shared" si="6"/>
        <v>0</v>
      </c>
      <c r="H80" s="496"/>
      <c r="I80" s="511">
        <f t="shared" si="7"/>
        <v>0</v>
      </c>
      <c r="J80" s="497" t="e">
        <f>SUMIF(#REF!,'Resumo Esquadrias - T1'!$B80,#REF!)</f>
        <v>#REF!</v>
      </c>
      <c r="K80" s="499"/>
      <c r="L80" s="498"/>
    </row>
    <row r="81" spans="1:12" s="143" customFormat="1" ht="12" x14ac:dyDescent="0.2">
      <c r="A81" s="491"/>
      <c r="B81" s="492"/>
      <c r="C81" s="142"/>
      <c r="D81" s="500"/>
      <c r="E81" s="486" t="str">
        <f t="shared" si="8"/>
        <v/>
      </c>
      <c r="F81" s="495"/>
      <c r="G81" s="513">
        <f t="shared" si="6"/>
        <v>0</v>
      </c>
      <c r="H81" s="496"/>
      <c r="I81" s="511">
        <f t="shared" si="7"/>
        <v>0</v>
      </c>
      <c r="J81" s="497" t="e">
        <f>SUMIF(#REF!,'Resumo Esquadrias - T1'!$B81,#REF!)</f>
        <v>#REF!</v>
      </c>
      <c r="K81" s="499"/>
      <c r="L81" s="498"/>
    </row>
    <row r="82" spans="1:12" s="143" customFormat="1" ht="12" x14ac:dyDescent="0.2">
      <c r="A82" s="491"/>
      <c r="B82" s="492"/>
      <c r="C82" s="142"/>
      <c r="D82" s="500"/>
      <c r="E82" s="486" t="str">
        <f t="shared" si="8"/>
        <v/>
      </c>
      <c r="F82" s="495"/>
      <c r="G82" s="513">
        <f t="shared" si="6"/>
        <v>0</v>
      </c>
      <c r="H82" s="496"/>
      <c r="I82" s="511">
        <f t="shared" si="7"/>
        <v>0</v>
      </c>
      <c r="J82" s="497" t="e">
        <f>SUMIF(#REF!,'Resumo Esquadrias - T1'!$B82,#REF!)</f>
        <v>#REF!</v>
      </c>
      <c r="K82" s="499"/>
      <c r="L82" s="498"/>
    </row>
    <row r="83" spans="1:12" s="143" customFormat="1" ht="12" x14ac:dyDescent="0.2">
      <c r="A83" s="491"/>
      <c r="B83" s="492"/>
      <c r="C83" s="493"/>
      <c r="D83" s="494"/>
      <c r="E83" s="486" t="str">
        <f t="shared" si="8"/>
        <v/>
      </c>
      <c r="F83" s="495"/>
      <c r="G83" s="513">
        <f t="shared" si="6"/>
        <v>0</v>
      </c>
      <c r="H83" s="496"/>
      <c r="I83" s="511">
        <f t="shared" si="7"/>
        <v>0</v>
      </c>
      <c r="J83" s="497" t="e">
        <f>SUMIF(#REF!,'Resumo Esquadrias - T1'!$B83,#REF!)</f>
        <v>#REF!</v>
      </c>
      <c r="K83" s="499"/>
      <c r="L83" s="498"/>
    </row>
    <row r="84" spans="1:12" s="143" customFormat="1" ht="12" x14ac:dyDescent="0.2">
      <c r="A84" s="491"/>
      <c r="B84" s="492"/>
      <c r="C84" s="493"/>
      <c r="D84" s="494"/>
      <c r="E84" s="486" t="str">
        <f t="shared" si="8"/>
        <v/>
      </c>
      <c r="F84" s="495"/>
      <c r="G84" s="513">
        <f t="shared" si="6"/>
        <v>0</v>
      </c>
      <c r="H84" s="496"/>
      <c r="I84" s="511">
        <f t="shared" si="7"/>
        <v>0</v>
      </c>
      <c r="J84" s="497" t="e">
        <f>SUMIF(#REF!,'Resumo Esquadrias - T1'!$B84,#REF!)</f>
        <v>#REF!</v>
      </c>
      <c r="K84" s="499"/>
      <c r="L84" s="498"/>
    </row>
    <row r="85" spans="1:12" s="143" customFormat="1" ht="12" x14ac:dyDescent="0.2">
      <c r="A85" s="491"/>
      <c r="B85" s="492"/>
      <c r="C85" s="142"/>
      <c r="D85" s="500"/>
      <c r="E85" s="486" t="str">
        <f t="shared" si="8"/>
        <v/>
      </c>
      <c r="F85" s="495"/>
      <c r="G85" s="513">
        <f t="shared" si="6"/>
        <v>0</v>
      </c>
      <c r="H85" s="496"/>
      <c r="I85" s="511">
        <f t="shared" si="7"/>
        <v>0</v>
      </c>
      <c r="J85" s="497" t="e">
        <f>SUMIF(#REF!,'Resumo Esquadrias - T1'!$B85,#REF!)</f>
        <v>#REF!</v>
      </c>
      <c r="K85" s="499"/>
      <c r="L85" s="498"/>
    </row>
    <row r="86" spans="1:12" s="143" customFormat="1" ht="12" x14ac:dyDescent="0.2">
      <c r="A86" s="491"/>
      <c r="B86" s="492"/>
      <c r="C86" s="142"/>
      <c r="D86" s="500"/>
      <c r="E86" s="486" t="str">
        <f t="shared" si="8"/>
        <v/>
      </c>
      <c r="F86" s="495"/>
      <c r="G86" s="513">
        <f t="shared" si="6"/>
        <v>0</v>
      </c>
      <c r="H86" s="496"/>
      <c r="I86" s="511">
        <f t="shared" si="7"/>
        <v>0</v>
      </c>
      <c r="J86" s="497" t="e">
        <f>SUMIF(#REF!,'Resumo Esquadrias - T1'!$B86,#REF!)</f>
        <v>#REF!</v>
      </c>
      <c r="K86" s="499"/>
      <c r="L86" s="498"/>
    </row>
    <row r="87" spans="1:12" s="143" customFormat="1" ht="12" x14ac:dyDescent="0.2">
      <c r="A87" s="491"/>
      <c r="B87" s="492"/>
      <c r="C87" s="493"/>
      <c r="D87" s="494"/>
      <c r="E87" s="486" t="str">
        <f t="shared" si="8"/>
        <v/>
      </c>
      <c r="F87" s="495"/>
      <c r="G87" s="513">
        <f t="shared" si="6"/>
        <v>0</v>
      </c>
      <c r="H87" s="496"/>
      <c r="I87" s="511">
        <f t="shared" si="7"/>
        <v>0</v>
      </c>
      <c r="J87" s="497" t="e">
        <f>SUMIF(#REF!,'Resumo Esquadrias - T1'!$B87,#REF!)</f>
        <v>#REF!</v>
      </c>
      <c r="K87" s="499"/>
      <c r="L87" s="498"/>
    </row>
    <row r="88" spans="1:12" s="143" customFormat="1" ht="12" x14ac:dyDescent="0.2">
      <c r="A88" s="491"/>
      <c r="B88" s="492"/>
      <c r="C88" s="493"/>
      <c r="D88" s="494"/>
      <c r="E88" s="486" t="str">
        <f t="shared" si="8"/>
        <v/>
      </c>
      <c r="F88" s="495"/>
      <c r="G88" s="513">
        <f t="shared" si="6"/>
        <v>0</v>
      </c>
      <c r="H88" s="496"/>
      <c r="I88" s="511">
        <f t="shared" si="7"/>
        <v>0</v>
      </c>
      <c r="J88" s="497" t="e">
        <f>SUMIF(#REF!,'Resumo Esquadrias - T1'!$B88,#REF!)</f>
        <v>#REF!</v>
      </c>
      <c r="K88" s="499"/>
      <c r="L88" s="498"/>
    </row>
    <row r="89" spans="1:12" s="143" customFormat="1" ht="12" x14ac:dyDescent="0.2">
      <c r="A89" s="491"/>
      <c r="B89" s="492"/>
      <c r="C89" s="493"/>
      <c r="D89" s="494"/>
      <c r="E89" s="486" t="str">
        <f t="shared" si="8"/>
        <v/>
      </c>
      <c r="F89" s="495"/>
      <c r="G89" s="513">
        <f t="shared" si="6"/>
        <v>0</v>
      </c>
      <c r="H89" s="496"/>
      <c r="I89" s="511">
        <f t="shared" si="7"/>
        <v>0</v>
      </c>
      <c r="J89" s="497" t="e">
        <f>SUMIF(#REF!,'Resumo Esquadrias - T1'!$B89,#REF!)</f>
        <v>#REF!</v>
      </c>
      <c r="K89" s="499"/>
      <c r="L89" s="498"/>
    </row>
    <row r="90" spans="1:12" s="143" customFormat="1" ht="12" x14ac:dyDescent="0.2">
      <c r="A90" s="491"/>
      <c r="B90" s="492"/>
      <c r="C90" s="493"/>
      <c r="D90" s="494"/>
      <c r="E90" s="486" t="str">
        <f t="shared" si="8"/>
        <v/>
      </c>
      <c r="F90" s="495"/>
      <c r="G90" s="513">
        <f t="shared" si="6"/>
        <v>0</v>
      </c>
      <c r="H90" s="496"/>
      <c r="I90" s="511">
        <f t="shared" si="7"/>
        <v>0</v>
      </c>
      <c r="J90" s="497" t="e">
        <f>SUMIF(#REF!,'Resumo Esquadrias - T1'!$B90,#REF!)</f>
        <v>#REF!</v>
      </c>
      <c r="K90" s="499"/>
      <c r="L90" s="498"/>
    </row>
    <row r="91" spans="1:12" s="143" customFormat="1" ht="12" x14ac:dyDescent="0.2">
      <c r="A91" s="491"/>
      <c r="B91" s="492"/>
      <c r="C91" s="493"/>
      <c r="D91" s="494"/>
      <c r="E91" s="486" t="str">
        <f t="shared" si="8"/>
        <v/>
      </c>
      <c r="F91" s="495"/>
      <c r="G91" s="513">
        <f t="shared" si="6"/>
        <v>0</v>
      </c>
      <c r="H91" s="496"/>
      <c r="I91" s="511">
        <f t="shared" si="7"/>
        <v>0</v>
      </c>
      <c r="J91" s="497" t="e">
        <f>SUMIF(#REF!,'Resumo Esquadrias - T1'!$B91,#REF!)</f>
        <v>#REF!</v>
      </c>
      <c r="K91" s="499"/>
      <c r="L91" s="498"/>
    </row>
    <row r="92" spans="1:12" s="143" customFormat="1" ht="12" x14ac:dyDescent="0.2">
      <c r="A92" s="491"/>
      <c r="B92" s="492"/>
      <c r="C92" s="493"/>
      <c r="D92" s="494"/>
      <c r="E92" s="486" t="str">
        <f t="shared" si="8"/>
        <v/>
      </c>
      <c r="F92" s="495"/>
      <c r="G92" s="513">
        <f t="shared" si="6"/>
        <v>0</v>
      </c>
      <c r="H92" s="496"/>
      <c r="I92" s="511">
        <f t="shared" si="7"/>
        <v>0</v>
      </c>
      <c r="J92" s="497" t="e">
        <f>SUMIF(#REF!,'Resumo Esquadrias - T1'!$B92,#REF!)</f>
        <v>#REF!</v>
      </c>
      <c r="K92" s="499"/>
      <c r="L92" s="498"/>
    </row>
    <row r="93" spans="1:12" s="143" customFormat="1" ht="12" x14ac:dyDescent="0.2">
      <c r="A93" s="491"/>
      <c r="B93" s="492"/>
      <c r="C93" s="493"/>
      <c r="D93" s="494"/>
      <c r="E93" s="486" t="str">
        <f t="shared" si="8"/>
        <v/>
      </c>
      <c r="F93" s="495"/>
      <c r="G93" s="513">
        <f t="shared" si="6"/>
        <v>0</v>
      </c>
      <c r="H93" s="496"/>
      <c r="I93" s="511">
        <f t="shared" si="7"/>
        <v>0</v>
      </c>
      <c r="J93" s="497" t="e">
        <f>SUMIF(#REF!,'Resumo Esquadrias - T1'!$B93,#REF!)</f>
        <v>#REF!</v>
      </c>
      <c r="K93" s="499"/>
      <c r="L93" s="498"/>
    </row>
    <row r="94" spans="1:12" s="143" customFormat="1" ht="12" x14ac:dyDescent="0.2">
      <c r="A94" s="491"/>
      <c r="B94" s="492"/>
      <c r="C94" s="493"/>
      <c r="D94" s="494"/>
      <c r="E94" s="486" t="str">
        <f t="shared" si="8"/>
        <v/>
      </c>
      <c r="F94" s="495"/>
      <c r="G94" s="513">
        <f t="shared" si="6"/>
        <v>0</v>
      </c>
      <c r="H94" s="496"/>
      <c r="I94" s="511">
        <f t="shared" si="7"/>
        <v>0</v>
      </c>
      <c r="J94" s="497" t="e">
        <f>SUMIF(#REF!,'Resumo Esquadrias - T1'!$B94,#REF!)</f>
        <v>#REF!</v>
      </c>
      <c r="K94" s="499"/>
      <c r="L94" s="498"/>
    </row>
    <row r="95" spans="1:12" s="143" customFormat="1" ht="12" x14ac:dyDescent="0.2">
      <c r="A95" s="491"/>
      <c r="B95" s="492"/>
      <c r="C95" s="493"/>
      <c r="D95" s="494"/>
      <c r="E95" s="486" t="str">
        <f t="shared" si="8"/>
        <v/>
      </c>
      <c r="F95" s="495"/>
      <c r="G95" s="513">
        <f t="shared" si="6"/>
        <v>0</v>
      </c>
      <c r="H95" s="496"/>
      <c r="I95" s="511">
        <f t="shared" si="7"/>
        <v>0</v>
      </c>
      <c r="J95" s="497" t="e">
        <f>SUMIF(#REF!,'Resumo Esquadrias - T1'!$B95,#REF!)</f>
        <v>#REF!</v>
      </c>
      <c r="K95" s="499"/>
      <c r="L95" s="498"/>
    </row>
    <row r="96" spans="1:12" s="143" customFormat="1" ht="12" x14ac:dyDescent="0.2">
      <c r="A96" s="491"/>
      <c r="B96" s="492"/>
      <c r="C96" s="493"/>
      <c r="D96" s="494"/>
      <c r="E96" s="486" t="str">
        <f t="shared" si="8"/>
        <v/>
      </c>
      <c r="F96" s="495"/>
      <c r="G96" s="513">
        <f t="shared" si="6"/>
        <v>0</v>
      </c>
      <c r="H96" s="496"/>
      <c r="I96" s="511">
        <f t="shared" si="7"/>
        <v>0</v>
      </c>
      <c r="J96" s="497" t="e">
        <f>SUMIF(#REF!,'Resumo Esquadrias - T1'!$B96,#REF!)</f>
        <v>#REF!</v>
      </c>
      <c r="K96" s="499"/>
      <c r="L96" s="498"/>
    </row>
    <row r="97" spans="1:15" s="143" customFormat="1" ht="12" x14ac:dyDescent="0.2">
      <c r="A97" s="491"/>
      <c r="B97" s="492"/>
      <c r="C97" s="493"/>
      <c r="D97" s="494"/>
      <c r="E97" s="486" t="str">
        <f t="shared" si="8"/>
        <v/>
      </c>
      <c r="F97" s="495"/>
      <c r="G97" s="513">
        <f t="shared" si="6"/>
        <v>0</v>
      </c>
      <c r="H97" s="496"/>
      <c r="I97" s="511">
        <f t="shared" si="7"/>
        <v>0</v>
      </c>
      <c r="J97" s="497" t="e">
        <f>SUMIF(#REF!,'Resumo Esquadrias - T1'!$B97,#REF!)</f>
        <v>#REF!</v>
      </c>
      <c r="K97" s="499"/>
      <c r="L97" s="498"/>
    </row>
    <row r="98" spans="1:15" s="143" customFormat="1" ht="12" x14ac:dyDescent="0.2">
      <c r="A98" s="491"/>
      <c r="B98" s="492"/>
      <c r="C98" s="493"/>
      <c r="D98" s="494"/>
      <c r="E98" s="486" t="str">
        <f t="shared" si="8"/>
        <v/>
      </c>
      <c r="F98" s="495"/>
      <c r="G98" s="513">
        <f t="shared" si="6"/>
        <v>0</v>
      </c>
      <c r="H98" s="496"/>
      <c r="I98" s="511">
        <f t="shared" si="7"/>
        <v>0</v>
      </c>
      <c r="J98" s="497" t="e">
        <f>SUMIF(#REF!,'Resumo Esquadrias - T1'!$B98,#REF!)</f>
        <v>#REF!</v>
      </c>
      <c r="K98" s="499"/>
      <c r="L98" s="498"/>
    </row>
    <row r="99" spans="1:15" s="143" customFormat="1" ht="12" x14ac:dyDescent="0.2">
      <c r="A99" s="491"/>
      <c r="B99" s="492"/>
      <c r="C99" s="493"/>
      <c r="D99" s="494"/>
      <c r="E99" s="486" t="str">
        <f t="shared" si="8"/>
        <v/>
      </c>
      <c r="F99" s="495"/>
      <c r="G99" s="513">
        <f t="shared" si="6"/>
        <v>0</v>
      </c>
      <c r="H99" s="496"/>
      <c r="I99" s="511">
        <f t="shared" si="7"/>
        <v>0</v>
      </c>
      <c r="J99" s="497" t="e">
        <f>SUMIF(#REF!,'Resumo Esquadrias - T1'!$B99,#REF!)</f>
        <v>#REF!</v>
      </c>
      <c r="K99" s="499"/>
      <c r="L99" s="498"/>
    </row>
    <row r="100" spans="1:15" s="143" customFormat="1" ht="12" x14ac:dyDescent="0.2">
      <c r="A100" s="491"/>
      <c r="B100" s="492"/>
      <c r="C100" s="493"/>
      <c r="D100" s="494"/>
      <c r="E100" s="486" t="str">
        <f t="shared" si="8"/>
        <v/>
      </c>
      <c r="F100" s="495"/>
      <c r="G100" s="513">
        <f t="shared" si="6"/>
        <v>0</v>
      </c>
      <c r="H100" s="496"/>
      <c r="I100" s="511">
        <f t="shared" si="7"/>
        <v>0</v>
      </c>
      <c r="J100" s="497" t="e">
        <f>SUMIF(#REF!,'Resumo Esquadrias - T1'!$B100,#REF!)</f>
        <v>#REF!</v>
      </c>
      <c r="K100" s="499"/>
      <c r="L100" s="498"/>
    </row>
    <row r="101" spans="1:15" s="143" customFormat="1" ht="12" x14ac:dyDescent="0.2">
      <c r="A101" s="491"/>
      <c r="B101" s="492"/>
      <c r="C101" s="493"/>
      <c r="D101" s="494"/>
      <c r="E101" s="486" t="str">
        <f t="shared" si="8"/>
        <v/>
      </c>
      <c r="F101" s="495"/>
      <c r="G101" s="513">
        <f t="shared" si="6"/>
        <v>0</v>
      </c>
      <c r="H101" s="496"/>
      <c r="I101" s="511">
        <f t="shared" si="7"/>
        <v>0</v>
      </c>
      <c r="J101" s="497" t="e">
        <f>SUMIF(#REF!,'Resumo Esquadrias - T1'!$B101,#REF!)</f>
        <v>#REF!</v>
      </c>
      <c r="K101" s="499"/>
      <c r="L101" s="498"/>
    </row>
    <row r="102" spans="1:15" s="143" customFormat="1" ht="12" x14ac:dyDescent="0.2">
      <c r="A102" s="491"/>
      <c r="B102" s="492"/>
      <c r="C102" s="493"/>
      <c r="D102" s="494"/>
      <c r="E102" s="486" t="str">
        <f t="shared" si="8"/>
        <v/>
      </c>
      <c r="F102" s="495"/>
      <c r="G102" s="513">
        <f>IF(F102=0,0,"x")</f>
        <v>0</v>
      </c>
      <c r="H102" s="496"/>
      <c r="I102" s="511">
        <f>IF(H102=0,0,"m")</f>
        <v>0</v>
      </c>
      <c r="J102" s="497" t="e">
        <f>SUMIF(#REF!,'Resumo Esquadrias - T1'!$B102,#REF!)</f>
        <v>#REF!</v>
      </c>
      <c r="K102" s="499"/>
      <c r="L102" s="498"/>
    </row>
    <row r="103" spans="1:15" s="143" customFormat="1" ht="12" x14ac:dyDescent="0.2">
      <c r="A103" s="491"/>
      <c r="B103" s="492"/>
      <c r="C103" s="493"/>
      <c r="D103" s="494"/>
      <c r="E103" s="486" t="str">
        <f t="shared" si="8"/>
        <v/>
      </c>
      <c r="F103" s="495"/>
      <c r="G103" s="513">
        <f>IF(F103=0,0,"x")</f>
        <v>0</v>
      </c>
      <c r="H103" s="496"/>
      <c r="I103" s="511">
        <f>IF(H103=0,0,"m")</f>
        <v>0</v>
      </c>
      <c r="J103" s="497" t="e">
        <f>SUMIF(#REF!,'Resumo Esquadrias - T1'!$B103,#REF!)</f>
        <v>#REF!</v>
      </c>
      <c r="K103" s="499"/>
      <c r="L103" s="498"/>
    </row>
    <row r="104" spans="1:15" s="143" customFormat="1" ht="12" x14ac:dyDescent="0.2">
      <c r="A104" s="491"/>
      <c r="B104" s="492"/>
      <c r="C104" s="493"/>
      <c r="D104" s="494"/>
      <c r="E104" s="486" t="str">
        <f t="shared" si="8"/>
        <v/>
      </c>
      <c r="F104" s="495"/>
      <c r="G104" s="513">
        <f>IF(F104=0,0,"x")</f>
        <v>0</v>
      </c>
      <c r="H104" s="496"/>
      <c r="I104" s="511">
        <f>IF(H104=0,0,"m")</f>
        <v>0</v>
      </c>
      <c r="J104" s="497" t="e">
        <f>SUMIF(#REF!,'Resumo Esquadrias - T1'!$B104,#REF!)</f>
        <v>#REF!</v>
      </c>
      <c r="K104" s="499"/>
      <c r="L104" s="498"/>
    </row>
    <row r="105" spans="1:15" ht="14.25" customHeight="1" x14ac:dyDescent="0.2">
      <c r="A105" s="188" t="s">
        <v>278</v>
      </c>
      <c r="B105" s="185"/>
      <c r="C105" s="186"/>
      <c r="D105" s="186"/>
      <c r="E105" s="187"/>
      <c r="F105" s="183"/>
      <c r="G105" s="184"/>
      <c r="H105" s="182"/>
      <c r="I105" s="523">
        <f>IF(H105=0,0,"m")</f>
        <v>0</v>
      </c>
      <c r="J105" s="526" t="e">
        <f>SUMIF(#REF!,'Resumo Esquadrias - T1'!$B105,#REF!)</f>
        <v>#REF!</v>
      </c>
      <c r="K105" s="177"/>
      <c r="L105" s="527"/>
    </row>
    <row r="106" spans="1:15" s="202" customFormat="1" ht="12" x14ac:dyDescent="0.2">
      <c r="A106" s="205"/>
      <c r="B106" s="206" t="s">
        <v>201</v>
      </c>
      <c r="C106" s="206" t="s">
        <v>204</v>
      </c>
      <c r="D106" s="206"/>
      <c r="E106" s="206"/>
      <c r="F106" s="206"/>
      <c r="G106" s="206"/>
      <c r="H106" s="206"/>
      <c r="I106" s="206"/>
      <c r="J106" s="489"/>
      <c r="K106" s="504"/>
      <c r="L106" s="490"/>
    </row>
    <row r="107" spans="1:15" s="143" customFormat="1" ht="24" x14ac:dyDescent="0.2">
      <c r="A107" s="491"/>
      <c r="B107" s="492" t="s">
        <v>182</v>
      </c>
      <c r="C107" s="493" t="s">
        <v>240</v>
      </c>
      <c r="D107" s="494" t="s">
        <v>241</v>
      </c>
      <c r="E107" s="518" t="str">
        <f t="shared" ref="E107:E115" si="9">IF(B107="","","UN")</f>
        <v>UN</v>
      </c>
      <c r="F107" s="519">
        <v>0.96</v>
      </c>
      <c r="G107" s="520" t="str">
        <f t="shared" ref="G107:G115" si="10">IF(F107=0,0,"x")</f>
        <v>x</v>
      </c>
      <c r="H107" s="521">
        <v>2.21</v>
      </c>
      <c r="I107" s="522" t="str">
        <f t="shared" ref="I107:I115" si="11">IF(H107=0,0,"m")</f>
        <v>m</v>
      </c>
      <c r="J107" s="497" t="e">
        <f>SUMIF(#REF!,'Resumo Esquadrias - T1'!$B107,#REF!)</f>
        <v>#REF!</v>
      </c>
      <c r="K107" s="505"/>
      <c r="L107" s="498"/>
      <c r="M107" s="501"/>
      <c r="O107" s="501"/>
    </row>
    <row r="108" spans="1:15" s="143" customFormat="1" ht="12" x14ac:dyDescent="0.2">
      <c r="A108" s="491"/>
      <c r="B108" s="492" t="s">
        <v>242</v>
      </c>
      <c r="C108" s="493" t="s">
        <v>243</v>
      </c>
      <c r="D108" s="494" t="s">
        <v>92</v>
      </c>
      <c r="E108" s="486" t="str">
        <f t="shared" si="9"/>
        <v>UN</v>
      </c>
      <c r="F108" s="495">
        <v>1</v>
      </c>
      <c r="G108" s="513" t="str">
        <f t="shared" si="10"/>
        <v>x</v>
      </c>
      <c r="H108" s="496">
        <v>1</v>
      </c>
      <c r="I108" s="511" t="str">
        <f t="shared" si="11"/>
        <v>m</v>
      </c>
      <c r="J108" s="497" t="e">
        <f>SUMIF(#REF!,'Resumo Esquadrias - T1'!$B108,#REF!)</f>
        <v>#REF!</v>
      </c>
      <c r="K108" s="505"/>
      <c r="L108" s="498"/>
    </row>
    <row r="109" spans="1:15" s="143" customFormat="1" ht="12" x14ac:dyDescent="0.2">
      <c r="A109" s="491"/>
      <c r="B109" s="492" t="s">
        <v>244</v>
      </c>
      <c r="C109" s="493" t="s">
        <v>245</v>
      </c>
      <c r="D109" s="494" t="s">
        <v>246</v>
      </c>
      <c r="E109" s="486" t="str">
        <f t="shared" si="9"/>
        <v>UN</v>
      </c>
      <c r="F109" s="495">
        <v>0.81</v>
      </c>
      <c r="G109" s="513" t="str">
        <f t="shared" si="10"/>
        <v>x</v>
      </c>
      <c r="H109" s="496">
        <v>0.81</v>
      </c>
      <c r="I109" s="511" t="str">
        <f t="shared" si="11"/>
        <v>m</v>
      </c>
      <c r="J109" s="497" t="e">
        <f>SUMIF(#REF!,'Resumo Esquadrias - T1'!$B109,#REF!)</f>
        <v>#REF!</v>
      </c>
      <c r="K109" s="505"/>
      <c r="L109" s="498"/>
    </row>
    <row r="110" spans="1:15" s="143" customFormat="1" ht="12" x14ac:dyDescent="0.2">
      <c r="A110" s="491"/>
      <c r="B110" s="492" t="s">
        <v>247</v>
      </c>
      <c r="C110" s="493" t="s">
        <v>248</v>
      </c>
      <c r="D110" s="494" t="s">
        <v>249</v>
      </c>
      <c r="E110" s="486" t="str">
        <f t="shared" si="9"/>
        <v>UN</v>
      </c>
      <c r="F110" s="495">
        <v>1</v>
      </c>
      <c r="G110" s="513" t="str">
        <f t="shared" si="10"/>
        <v>x</v>
      </c>
      <c r="H110" s="496">
        <v>0.94</v>
      </c>
      <c r="I110" s="511" t="str">
        <f t="shared" si="11"/>
        <v>m</v>
      </c>
      <c r="J110" s="497" t="e">
        <f>SUMIF(#REF!,'Resumo Esquadrias - T1'!$B110,#REF!)</f>
        <v>#REF!</v>
      </c>
      <c r="K110" s="505"/>
      <c r="L110" s="498"/>
    </row>
    <row r="111" spans="1:15" s="143" customFormat="1" ht="12" x14ac:dyDescent="0.2">
      <c r="A111" s="491"/>
      <c r="B111" s="492" t="s">
        <v>250</v>
      </c>
      <c r="C111" s="493" t="s">
        <v>251</v>
      </c>
      <c r="D111" s="494" t="s">
        <v>105</v>
      </c>
      <c r="E111" s="486" t="str">
        <f t="shared" si="9"/>
        <v>UN</v>
      </c>
      <c r="F111" s="495">
        <v>1</v>
      </c>
      <c r="G111" s="513" t="str">
        <f t="shared" si="10"/>
        <v>x</v>
      </c>
      <c r="H111" s="496">
        <v>1</v>
      </c>
      <c r="I111" s="511" t="str">
        <f t="shared" si="11"/>
        <v>m</v>
      </c>
      <c r="J111" s="497" t="e">
        <f>SUMIF(#REF!,'Resumo Esquadrias - T1'!$B111,#REF!)</f>
        <v>#REF!</v>
      </c>
      <c r="K111" s="505"/>
      <c r="L111" s="498"/>
    </row>
    <row r="112" spans="1:15" s="143" customFormat="1" ht="12" x14ac:dyDescent="0.2">
      <c r="A112" s="491"/>
      <c r="B112" s="492" t="s">
        <v>252</v>
      </c>
      <c r="C112" s="493" t="s">
        <v>253</v>
      </c>
      <c r="D112" s="494" t="s">
        <v>254</v>
      </c>
      <c r="E112" s="486" t="str">
        <f t="shared" si="9"/>
        <v>UN</v>
      </c>
      <c r="F112" s="495">
        <v>1</v>
      </c>
      <c r="G112" s="513" t="str">
        <f t="shared" si="10"/>
        <v>x</v>
      </c>
      <c r="H112" s="496">
        <v>1</v>
      </c>
      <c r="I112" s="511" t="str">
        <f t="shared" si="11"/>
        <v>m</v>
      </c>
      <c r="J112" s="497" t="e">
        <f>SUMIF(#REF!,'Resumo Esquadrias - T1'!$B112,#REF!)</f>
        <v>#REF!</v>
      </c>
      <c r="K112" s="505"/>
      <c r="L112" s="498"/>
    </row>
    <row r="113" spans="1:12" s="143" customFormat="1" ht="12" x14ac:dyDescent="0.2">
      <c r="A113" s="491"/>
      <c r="B113" s="492" t="s">
        <v>255</v>
      </c>
      <c r="C113" s="493" t="s">
        <v>256</v>
      </c>
      <c r="D113" s="494" t="s">
        <v>257</v>
      </c>
      <c r="E113" s="486" t="str">
        <f t="shared" si="9"/>
        <v>UN</v>
      </c>
      <c r="F113" s="495">
        <v>5.15</v>
      </c>
      <c r="G113" s="513" t="str">
        <f t="shared" si="10"/>
        <v>x</v>
      </c>
      <c r="H113" s="496"/>
      <c r="I113" s="511">
        <f t="shared" si="11"/>
        <v>0</v>
      </c>
      <c r="J113" s="497" t="e">
        <f>SUMIF(#REF!,'Resumo Esquadrias - T1'!$B113,#REF!)</f>
        <v>#REF!</v>
      </c>
      <c r="K113" s="505"/>
      <c r="L113" s="498"/>
    </row>
    <row r="114" spans="1:12" s="143" customFormat="1" ht="12" x14ac:dyDescent="0.2">
      <c r="A114" s="491"/>
      <c r="B114" s="492" t="s">
        <v>258</v>
      </c>
      <c r="C114" s="493" t="s">
        <v>259</v>
      </c>
      <c r="D114" s="494" t="s">
        <v>257</v>
      </c>
      <c r="E114" s="486" t="str">
        <f t="shared" si="9"/>
        <v>UN</v>
      </c>
      <c r="F114" s="495"/>
      <c r="G114" s="513">
        <f t="shared" si="10"/>
        <v>0</v>
      </c>
      <c r="H114" s="496"/>
      <c r="I114" s="511">
        <f t="shared" si="11"/>
        <v>0</v>
      </c>
      <c r="J114" s="497" t="e">
        <f>SUMIF(#REF!,'Resumo Esquadrias - T1'!$B114,#REF!)</f>
        <v>#REF!</v>
      </c>
      <c r="K114" s="505"/>
      <c r="L114" s="498"/>
    </row>
    <row r="115" spans="1:12" s="143" customFormat="1" ht="12" x14ac:dyDescent="0.2">
      <c r="A115" s="491"/>
      <c r="B115" s="492" t="s">
        <v>260</v>
      </c>
      <c r="C115" s="493" t="s">
        <v>330</v>
      </c>
      <c r="D115" s="494" t="s">
        <v>257</v>
      </c>
      <c r="E115" s="486" t="str">
        <f t="shared" si="9"/>
        <v>UN</v>
      </c>
      <c r="F115" s="495"/>
      <c r="G115" s="513">
        <f t="shared" si="10"/>
        <v>0</v>
      </c>
      <c r="H115" s="496"/>
      <c r="I115" s="511">
        <f t="shared" si="11"/>
        <v>0</v>
      </c>
      <c r="J115" s="497" t="e">
        <f>SUMIF(#REF!,'Resumo Esquadrias - T1'!$B115,#REF!)</f>
        <v>#REF!</v>
      </c>
      <c r="K115" s="505"/>
      <c r="L115" s="498"/>
    </row>
    <row r="116" spans="1:12" s="143" customFormat="1" ht="12" x14ac:dyDescent="0.2">
      <c r="A116" s="491"/>
      <c r="B116" s="492" t="s">
        <v>261</v>
      </c>
      <c r="C116" s="493" t="s">
        <v>262</v>
      </c>
      <c r="D116" s="494" t="s">
        <v>263</v>
      </c>
      <c r="E116" s="486" t="str">
        <f>IF(B116="","","M2")</f>
        <v>M2</v>
      </c>
      <c r="F116" s="495">
        <v>4.96</v>
      </c>
      <c r="G116" s="513"/>
      <c r="H116" s="496">
        <v>2.5</v>
      </c>
      <c r="I116" s="511"/>
      <c r="J116" s="497" t="e">
        <f>SUMIF(#REF!,'Resumo Esquadrias - T1'!$B116,#REF!)</f>
        <v>#REF!</v>
      </c>
      <c r="K116" s="505"/>
      <c r="L116" s="498"/>
    </row>
    <row r="117" spans="1:12" s="143" customFormat="1" ht="12" x14ac:dyDescent="0.2">
      <c r="A117" s="491"/>
      <c r="B117" s="492" t="s">
        <v>264</v>
      </c>
      <c r="C117" s="493" t="s">
        <v>265</v>
      </c>
      <c r="D117" s="494" t="s">
        <v>266</v>
      </c>
      <c r="E117" s="486" t="str">
        <f>IF(B117="","","M2")</f>
        <v>M2</v>
      </c>
      <c r="F117" s="495"/>
      <c r="G117" s="513"/>
      <c r="H117" s="496"/>
      <c r="I117" s="511"/>
      <c r="J117" s="497" t="e">
        <f>SUMIF(#REF!,'Resumo Esquadrias - T1'!$B117,#REF!)</f>
        <v>#REF!</v>
      </c>
      <c r="K117" s="505"/>
      <c r="L117" s="498"/>
    </row>
    <row r="118" spans="1:12" s="143" customFormat="1" ht="12" x14ac:dyDescent="0.2">
      <c r="A118" s="491"/>
      <c r="B118" s="492" t="s">
        <v>267</v>
      </c>
      <c r="C118" s="493" t="s">
        <v>268</v>
      </c>
      <c r="D118" s="494" t="s">
        <v>269</v>
      </c>
      <c r="E118" s="486" t="str">
        <f>IF(B118="","","M2")</f>
        <v>M2</v>
      </c>
      <c r="F118" s="495"/>
      <c r="G118" s="513"/>
      <c r="H118" s="496"/>
      <c r="I118" s="511"/>
      <c r="J118" s="497" t="e">
        <f>SUMIF(#REF!,'Resumo Esquadrias - T1'!$B118,#REF!)</f>
        <v>#REF!</v>
      </c>
      <c r="K118" s="505"/>
      <c r="L118" s="498"/>
    </row>
    <row r="119" spans="1:12" s="143" customFormat="1" ht="12" x14ac:dyDescent="0.2">
      <c r="A119" s="491"/>
      <c r="B119" s="492" t="s">
        <v>270</v>
      </c>
      <c r="C119" s="493" t="s">
        <v>265</v>
      </c>
      <c r="D119" s="494" t="s">
        <v>271</v>
      </c>
      <c r="E119" s="486" t="str">
        <f>IF(B119="","","UN")</f>
        <v>UN</v>
      </c>
      <c r="F119" s="495"/>
      <c r="G119" s="513"/>
      <c r="H119" s="496"/>
      <c r="I119" s="511"/>
      <c r="J119" s="497" t="e">
        <f>SUMIF(#REF!,'Resumo Esquadrias - T1'!$B119,#REF!)</f>
        <v>#REF!</v>
      </c>
      <c r="K119" s="505"/>
      <c r="L119" s="498"/>
    </row>
    <row r="120" spans="1:12" s="143" customFormat="1" ht="12" x14ac:dyDescent="0.2">
      <c r="A120" s="491"/>
      <c r="B120" s="492"/>
      <c r="C120" s="493"/>
      <c r="D120" s="494"/>
      <c r="E120" s="486" t="str">
        <f>IF(B120="","","UN")</f>
        <v/>
      </c>
      <c r="F120" s="495"/>
      <c r="G120" s="513"/>
      <c r="H120" s="496"/>
      <c r="I120" s="511"/>
      <c r="J120" s="497" t="e">
        <f>SUMIF(#REF!,'Resumo Esquadrias - T1'!$B120,#REF!)</f>
        <v>#REF!</v>
      </c>
      <c r="K120" s="499"/>
      <c r="L120" s="498"/>
    </row>
    <row r="121" spans="1:12" s="143" customFormat="1" ht="12" x14ac:dyDescent="0.2">
      <c r="A121" s="491"/>
      <c r="B121" s="492"/>
      <c r="C121" s="493"/>
      <c r="D121" s="494"/>
      <c r="E121" s="486"/>
      <c r="F121" s="495"/>
      <c r="G121" s="513"/>
      <c r="H121" s="496"/>
      <c r="I121" s="511"/>
      <c r="J121" s="488" t="e">
        <f>SUMIF(#REF!,'Resumo Esquadrias - T1'!$B121,#REF!)</f>
        <v>#REF!</v>
      </c>
      <c r="K121" s="499"/>
      <c r="L121" s="498"/>
    </row>
    <row r="122" spans="1:12" s="143" customFormat="1" ht="12" x14ac:dyDescent="0.2">
      <c r="A122" s="491"/>
      <c r="B122" s="492"/>
      <c r="C122" s="493"/>
      <c r="D122" s="494"/>
      <c r="E122" s="486"/>
      <c r="F122" s="495"/>
      <c r="G122" s="513"/>
      <c r="H122" s="496"/>
      <c r="I122" s="511"/>
      <c r="J122" s="488" t="e">
        <f>SUMIF(#REF!,'Resumo Esquadrias - T1'!$B122,#REF!)</f>
        <v>#REF!</v>
      </c>
      <c r="K122" s="499"/>
      <c r="L122" s="498"/>
    </row>
    <row r="123" spans="1:12" s="143" customFormat="1" ht="12" x14ac:dyDescent="0.2">
      <c r="A123" s="491"/>
      <c r="B123" s="492"/>
      <c r="C123" s="493"/>
      <c r="D123" s="494"/>
      <c r="E123" s="486"/>
      <c r="F123" s="495"/>
      <c r="G123" s="513"/>
      <c r="H123" s="496"/>
      <c r="I123" s="511"/>
      <c r="J123" s="488" t="e">
        <f>SUMIF(#REF!,'Resumo Esquadrias - T1'!$B123,#REF!)</f>
        <v>#REF!</v>
      </c>
      <c r="K123" s="499"/>
      <c r="L123" s="498"/>
    </row>
    <row r="124" spans="1:12" s="143" customFormat="1" ht="12" x14ac:dyDescent="0.2">
      <c r="A124" s="491"/>
      <c r="B124" s="492"/>
      <c r="C124" s="493"/>
      <c r="D124" s="494"/>
      <c r="E124" s="486"/>
      <c r="F124" s="495"/>
      <c r="G124" s="513"/>
      <c r="H124" s="496"/>
      <c r="I124" s="511"/>
      <c r="J124" s="488" t="e">
        <f>SUMIF(#REF!,'Resumo Esquadrias - T1'!$B124,#REF!)</f>
        <v>#REF!</v>
      </c>
      <c r="K124" s="499"/>
      <c r="L124" s="498"/>
    </row>
    <row r="125" spans="1:12" s="143" customFormat="1" ht="12" x14ac:dyDescent="0.2">
      <c r="A125" s="491"/>
      <c r="B125" s="492"/>
      <c r="C125" s="493"/>
      <c r="D125" s="494"/>
      <c r="E125" s="486"/>
      <c r="F125" s="495"/>
      <c r="G125" s="513"/>
      <c r="H125" s="496"/>
      <c r="I125" s="511"/>
      <c r="J125" s="488" t="e">
        <f>SUMIF(#REF!,'Resumo Esquadrias - T1'!$B125,#REF!)</f>
        <v>#REF!</v>
      </c>
      <c r="K125" s="499"/>
      <c r="L125" s="498"/>
    </row>
    <row r="126" spans="1:12" s="143" customFormat="1" ht="12" x14ac:dyDescent="0.2">
      <c r="A126" s="491"/>
      <c r="B126" s="492"/>
      <c r="C126" s="493"/>
      <c r="D126" s="494"/>
      <c r="E126" s="486"/>
      <c r="F126" s="495"/>
      <c r="G126" s="513"/>
      <c r="H126" s="496"/>
      <c r="I126" s="511"/>
      <c r="J126" s="488" t="e">
        <f>SUMIF(#REF!,'Resumo Esquadrias - T1'!$B126,#REF!)</f>
        <v>#REF!</v>
      </c>
      <c r="K126" s="499"/>
      <c r="L126" s="498"/>
    </row>
    <row r="127" spans="1:12" s="143" customFormat="1" ht="12" x14ac:dyDescent="0.2">
      <c r="A127" s="491"/>
      <c r="B127" s="492"/>
      <c r="C127" s="493"/>
      <c r="D127" s="494"/>
      <c r="E127" s="486"/>
      <c r="F127" s="495"/>
      <c r="G127" s="513"/>
      <c r="H127" s="496"/>
      <c r="I127" s="511"/>
      <c r="J127" s="488" t="e">
        <f>SUMIF(#REF!,'Resumo Esquadrias - T1'!$B127,#REF!)</f>
        <v>#REF!</v>
      </c>
      <c r="K127" s="499"/>
      <c r="L127" s="498"/>
    </row>
    <row r="128" spans="1:12" s="143" customFormat="1" ht="12" x14ac:dyDescent="0.2">
      <c r="A128" s="491"/>
      <c r="B128" s="492"/>
      <c r="C128" s="493"/>
      <c r="D128" s="493"/>
      <c r="E128" s="486"/>
      <c r="F128" s="495"/>
      <c r="G128" s="513">
        <f>IF(F128=0,0,"x")</f>
        <v>0</v>
      </c>
      <c r="H128" s="496"/>
      <c r="I128" s="511">
        <f>IF(H128=0,0,"m")</f>
        <v>0</v>
      </c>
      <c r="J128" s="488" t="e">
        <f>SUMIF(#REF!,'Resumo Esquadrias - T1'!$B128,#REF!)</f>
        <v>#REF!</v>
      </c>
      <c r="K128" s="499"/>
      <c r="L128" s="498"/>
    </row>
    <row r="129" spans="1:15" s="143" customFormat="1" ht="12" x14ac:dyDescent="0.2">
      <c r="A129" s="491"/>
      <c r="B129" s="492"/>
      <c r="C129" s="493"/>
      <c r="D129" s="493"/>
      <c r="E129" s="486"/>
      <c r="F129" s="495"/>
      <c r="G129" s="513">
        <f>IF(F129=0,0,"x")</f>
        <v>0</v>
      </c>
      <c r="H129" s="496"/>
      <c r="I129" s="511">
        <f>IF(H129=0,0,"m")</f>
        <v>0</v>
      </c>
      <c r="J129" s="488" t="e">
        <f>SUMIF(#REF!,'Resumo Esquadrias - T1'!$B129,#REF!)</f>
        <v>#REF!</v>
      </c>
      <c r="K129" s="499"/>
      <c r="L129" s="498"/>
      <c r="O129" s="510"/>
    </row>
    <row r="130" spans="1:15" ht="14.25" customHeight="1" x14ac:dyDescent="0.2">
      <c r="A130" s="188" t="s">
        <v>278</v>
      </c>
      <c r="B130" s="185"/>
      <c r="C130" s="186"/>
      <c r="D130" s="186"/>
      <c r="E130" s="187"/>
      <c r="F130" s="183"/>
      <c r="G130" s="184"/>
      <c r="H130" s="183"/>
      <c r="I130" s="193">
        <f>IF(H130=0,0,"m")</f>
        <v>0</v>
      </c>
      <c r="J130" s="526" t="e">
        <f>SUMIF(#REF!,'Resumo Esquadrias - T1'!$B130,#REF!)</f>
        <v>#REF!</v>
      </c>
      <c r="K130" s="177"/>
      <c r="L130" s="527"/>
      <c r="O130" s="337"/>
    </row>
    <row r="131" spans="1:15" s="202" customFormat="1" ht="12" x14ac:dyDescent="0.2">
      <c r="A131" s="205"/>
      <c r="B131" s="206" t="s">
        <v>201</v>
      </c>
      <c r="C131" s="206" t="s">
        <v>273</v>
      </c>
      <c r="D131" s="206"/>
      <c r="E131" s="206"/>
      <c r="F131" s="206"/>
      <c r="G131" s="206"/>
      <c r="H131" s="206"/>
      <c r="I131" s="206"/>
      <c r="J131" s="489" t="e">
        <f>IF(SUM(J132:J137)&lt;&gt;SUM(#REF!),"VERIFICAR","OK")</f>
        <v>#REF!</v>
      </c>
      <c r="K131" s="504"/>
      <c r="L131" s="490"/>
      <c r="O131" s="510"/>
    </row>
    <row r="132" spans="1:15" s="143" customFormat="1" ht="12" x14ac:dyDescent="0.2">
      <c r="A132" s="491"/>
      <c r="B132" s="492">
        <v>1</v>
      </c>
      <c r="C132" s="493" t="s">
        <v>204</v>
      </c>
      <c r="D132" s="494" t="s">
        <v>349</v>
      </c>
      <c r="E132" s="518" t="s">
        <v>17</v>
      </c>
      <c r="F132" s="519"/>
      <c r="G132" s="520"/>
      <c r="H132" s="521"/>
      <c r="I132" s="522"/>
      <c r="J132" s="497" t="e">
        <f>SUMIF(#REF!,'Resumo Esquadrias - T1'!C132,#REF!)</f>
        <v>#REF!</v>
      </c>
      <c r="K132" s="505"/>
      <c r="L132" s="498"/>
      <c r="O132" s="510"/>
    </row>
    <row r="133" spans="1:15" s="143" customFormat="1" ht="12" x14ac:dyDescent="0.2">
      <c r="A133" s="491"/>
      <c r="B133" s="492">
        <v>2</v>
      </c>
      <c r="C133" s="493" t="s">
        <v>106</v>
      </c>
      <c r="D133" s="494"/>
      <c r="E133" s="486" t="s">
        <v>17</v>
      </c>
      <c r="F133" s="495"/>
      <c r="G133" s="513"/>
      <c r="H133" s="496"/>
      <c r="I133" s="511"/>
      <c r="J133" s="497" t="e">
        <f>SUMIF(#REF!,'Resumo Esquadrias - T1'!C133,#REF!)</f>
        <v>#REF!</v>
      </c>
      <c r="K133" s="505"/>
      <c r="L133" s="498"/>
      <c r="O133" s="510"/>
    </row>
    <row r="134" spans="1:15" s="143" customFormat="1" ht="12" x14ac:dyDescent="0.2">
      <c r="A134" s="491"/>
      <c r="B134" s="492"/>
      <c r="C134" s="142"/>
      <c r="D134" s="500"/>
      <c r="E134" s="486"/>
      <c r="F134" s="495"/>
      <c r="G134" s="513"/>
      <c r="H134" s="496"/>
      <c r="I134" s="511"/>
      <c r="J134" s="497" t="e">
        <f>SUMIF(#REF!,'Resumo Esquadrias - T1'!C134,#REF!)</f>
        <v>#REF!</v>
      </c>
      <c r="K134" s="505"/>
      <c r="L134" s="498"/>
      <c r="O134" s="510"/>
    </row>
    <row r="135" spans="1:15" s="143" customFormat="1" ht="12" x14ac:dyDescent="0.2">
      <c r="A135" s="491"/>
      <c r="B135" s="492"/>
      <c r="C135" s="142"/>
      <c r="D135" s="142"/>
      <c r="E135" s="486"/>
      <c r="F135" s="495"/>
      <c r="G135" s="513"/>
      <c r="H135" s="496"/>
      <c r="I135" s="511"/>
      <c r="J135" s="488" t="e">
        <f>SUMIF(#REF!,'Resumo Esquadrias - T1'!C135,#REF!)</f>
        <v>#REF!</v>
      </c>
      <c r="K135" s="505"/>
      <c r="L135" s="498"/>
      <c r="O135" s="510"/>
    </row>
    <row r="136" spans="1:15" s="143" customFormat="1" ht="12" x14ac:dyDescent="0.2">
      <c r="A136" s="491"/>
      <c r="B136" s="492"/>
      <c r="C136" s="142"/>
      <c r="D136" s="142"/>
      <c r="E136" s="486"/>
      <c r="F136" s="495"/>
      <c r="G136" s="513"/>
      <c r="H136" s="496"/>
      <c r="I136" s="511"/>
      <c r="J136" s="488" t="e">
        <f>SUMIF(#REF!,'Resumo Esquadrias - T1'!C136,#REF!)</f>
        <v>#REF!</v>
      </c>
      <c r="K136" s="505"/>
      <c r="L136" s="498"/>
      <c r="O136" s="510"/>
    </row>
    <row r="137" spans="1:15" ht="15" customHeight="1" x14ac:dyDescent="0.2">
      <c r="A137" s="189" t="s">
        <v>278</v>
      </c>
      <c r="B137" s="190"/>
      <c r="C137" s="191"/>
      <c r="D137" s="191"/>
      <c r="E137" s="192"/>
      <c r="F137" s="193"/>
      <c r="G137" s="194"/>
      <c r="H137" s="524"/>
      <c r="I137" s="524"/>
      <c r="J137" s="525" t="e">
        <f>SUMIF(#REF!,'Resumo Esquadrias - T1'!C137,#REF!)</f>
        <v>#REF!</v>
      </c>
      <c r="K137" s="177"/>
      <c r="L137" s="528"/>
      <c r="O137" s="337"/>
    </row>
    <row r="138" spans="1:15" s="202" customFormat="1" ht="12" x14ac:dyDescent="0.2">
      <c r="A138" s="205"/>
      <c r="B138" s="206" t="s">
        <v>201</v>
      </c>
      <c r="C138" s="206" t="s">
        <v>280</v>
      </c>
      <c r="D138" s="206"/>
      <c r="E138" s="206"/>
      <c r="F138" s="206"/>
      <c r="G138" s="206"/>
      <c r="H138" s="206"/>
      <c r="I138" s="206"/>
      <c r="J138" s="489" t="e">
        <f>IF(SUM(J139:J145)&lt;&gt;SUM(J139:J145),"VERIFICAR","OK")</f>
        <v>#REF!</v>
      </c>
      <c r="K138" s="504"/>
      <c r="L138" s="490"/>
      <c r="O138" s="510"/>
    </row>
    <row r="139" spans="1:15" s="143" customFormat="1" ht="12" x14ac:dyDescent="0.2">
      <c r="A139" s="491"/>
      <c r="B139" s="492">
        <v>1</v>
      </c>
      <c r="C139" s="493" t="s">
        <v>280</v>
      </c>
      <c r="D139" s="494"/>
      <c r="E139" s="518" t="s">
        <v>281</v>
      </c>
      <c r="F139" s="519"/>
      <c r="G139" s="520"/>
      <c r="H139" s="521"/>
      <c r="I139" s="522"/>
      <c r="J139" s="497" t="e">
        <f>SUM(#REF!)</f>
        <v>#REF!</v>
      </c>
      <c r="K139" s="505"/>
      <c r="L139" s="498"/>
    </row>
    <row r="140" spans="1:15" s="143" customFormat="1" ht="12" x14ac:dyDescent="0.2">
      <c r="A140" s="491"/>
      <c r="B140" s="492"/>
      <c r="C140" s="493"/>
      <c r="D140" s="494"/>
      <c r="E140" s="486"/>
      <c r="F140" s="495"/>
      <c r="G140" s="513"/>
      <c r="H140" s="496"/>
      <c r="I140" s="511"/>
      <c r="J140" s="497" t="e">
        <f>SUMIF(#REF!,'Resumo Esquadrias - T1'!C140,#REF!)</f>
        <v>#REF!</v>
      </c>
      <c r="K140" s="505"/>
      <c r="L140" s="498"/>
    </row>
    <row r="141" spans="1:15" s="143" customFormat="1" ht="12" x14ac:dyDescent="0.2">
      <c r="A141" s="491"/>
      <c r="B141" s="492"/>
      <c r="C141" s="493"/>
      <c r="D141" s="494"/>
      <c r="E141" s="486"/>
      <c r="F141" s="495"/>
      <c r="G141" s="513"/>
      <c r="H141" s="496"/>
      <c r="I141" s="511"/>
      <c r="J141" s="497" t="e">
        <f>SUMIF(#REF!,'Resumo Esquadrias - T1'!C141,#REF!)</f>
        <v>#REF!</v>
      </c>
      <c r="K141" s="505"/>
      <c r="L141" s="498"/>
    </row>
    <row r="142" spans="1:15" s="143" customFormat="1" ht="12" x14ac:dyDescent="0.2">
      <c r="A142" s="491"/>
      <c r="B142" s="492"/>
      <c r="C142" s="142"/>
      <c r="D142" s="500"/>
      <c r="E142" s="486"/>
      <c r="F142" s="495"/>
      <c r="G142" s="513"/>
      <c r="H142" s="496"/>
      <c r="I142" s="511"/>
      <c r="J142" s="497" t="e">
        <f>SUMIF(#REF!,'Resumo Esquadrias - T1'!C142,#REF!)</f>
        <v>#REF!</v>
      </c>
      <c r="K142" s="505"/>
      <c r="L142" s="498"/>
    </row>
    <row r="143" spans="1:15" s="143" customFormat="1" ht="12" x14ac:dyDescent="0.2">
      <c r="A143" s="491"/>
      <c r="B143" s="492"/>
      <c r="C143" s="142"/>
      <c r="D143" s="142"/>
      <c r="E143" s="486"/>
      <c r="F143" s="495"/>
      <c r="G143" s="513"/>
      <c r="H143" s="496"/>
      <c r="I143" s="511"/>
      <c r="J143" s="488" t="e">
        <f>SUMIF(#REF!,'Resumo Esquadrias - T1'!C143,#REF!)</f>
        <v>#REF!</v>
      </c>
      <c r="K143" s="505"/>
      <c r="L143" s="498"/>
    </row>
    <row r="144" spans="1:15" s="143" customFormat="1" ht="12" x14ac:dyDescent="0.2">
      <c r="A144" s="491"/>
      <c r="B144" s="492"/>
      <c r="C144" s="142"/>
      <c r="D144" s="142"/>
      <c r="E144" s="486"/>
      <c r="F144" s="495"/>
      <c r="G144" s="513"/>
      <c r="H144" s="496"/>
      <c r="I144" s="511"/>
      <c r="J144" s="488" t="e">
        <f>SUMIF(#REF!,'Resumo Esquadrias - T1'!C144,#REF!)</f>
        <v>#REF!</v>
      </c>
      <c r="K144" s="505"/>
      <c r="L144" s="498"/>
    </row>
    <row r="145" spans="1:12" ht="15" customHeight="1" x14ac:dyDescent="0.2">
      <c r="A145" s="189" t="s">
        <v>278</v>
      </c>
      <c r="B145" s="190"/>
      <c r="C145" s="191"/>
      <c r="D145" s="191"/>
      <c r="E145" s="192"/>
      <c r="F145" s="193"/>
      <c r="G145" s="194"/>
      <c r="H145" s="193"/>
      <c r="I145" s="193"/>
      <c r="J145" s="525" t="e">
        <f>SUMIF(#REF!,'Resumo Esquadrias - T1'!C145,#REF!)</f>
        <v>#REF!</v>
      </c>
      <c r="K145" s="177"/>
      <c r="L145" s="528"/>
    </row>
    <row r="146" spans="1:12" ht="13.5" thickBot="1" x14ac:dyDescent="0.25">
      <c r="B146" s="144" t="s">
        <v>201</v>
      </c>
      <c r="K146" s="141"/>
    </row>
    <row r="147" spans="1:12" ht="13.5" thickTop="1" x14ac:dyDescent="0.2">
      <c r="A147" s="160"/>
      <c r="B147" s="161" t="s">
        <v>205</v>
      </c>
      <c r="C147" s="160"/>
      <c r="D147" s="160"/>
      <c r="E147" s="160"/>
      <c r="F147" s="160"/>
      <c r="G147" s="160"/>
      <c r="H147" s="160"/>
      <c r="I147" s="160"/>
      <c r="J147" s="171"/>
      <c r="K147" s="171"/>
      <c r="L147" s="171"/>
    </row>
    <row r="148" spans="1:12" x14ac:dyDescent="0.2">
      <c r="K148" s="141"/>
    </row>
    <row r="149" spans="1:12" x14ac:dyDescent="0.2">
      <c r="B149" s="76" t="s">
        <v>206</v>
      </c>
      <c r="K149" s="141"/>
    </row>
    <row r="150" spans="1:12" x14ac:dyDescent="0.2">
      <c r="B150" s="76" t="s">
        <v>207</v>
      </c>
      <c r="K150" s="141"/>
    </row>
    <row r="151" spans="1:12" ht="13.5" thickBot="1" x14ac:dyDescent="0.25">
      <c r="A151" s="338"/>
      <c r="B151" s="338"/>
      <c r="C151" s="338"/>
      <c r="D151" s="338"/>
      <c r="E151" s="338"/>
      <c r="F151" s="338"/>
      <c r="G151" s="338"/>
      <c r="H151" s="338"/>
      <c r="I151" s="338"/>
      <c r="J151" s="339"/>
      <c r="K151" s="339"/>
      <c r="L151" s="339"/>
    </row>
    <row r="152" spans="1:12" ht="13.5" thickTop="1" x14ac:dyDescent="0.2"/>
  </sheetData>
  <autoFilter ref="A5:J147" xr:uid="{00000000-0009-0000-0000-000041000000}"/>
  <phoneticPr fontId="36" type="noConversion"/>
  <conditionalFormatting sqref="E7:E33 G7:G33 I7:I33 E43:E104 G43:G104 I43:I104 E107:E129 G107:G129 I107:I129 E132:E136 G132:G136 I132:I136 E139:E144 G139:G144 I139:I144">
    <cfRule type="containsText" dxfId="2064" priority="2" operator="containsText" text="VERIFICAR">
      <formula>NOT(ISERROR(SEARCH("VERIFICAR",E7)))</formula>
    </cfRule>
  </conditionalFormatting>
  <conditionalFormatting sqref="E36:E40 G36:G40 I36:I40">
    <cfRule type="containsText" dxfId="2063" priority="1" operator="containsText" text="VERIFICAR">
      <formula>NOT(ISERROR(SEARCH("VERIFICAR",E36)))</formula>
    </cfRule>
  </conditionalFormatting>
  <conditionalFormatting sqref="J1:J1048576">
    <cfRule type="containsText" dxfId="2062" priority="12" operator="containsText" text="VERIFICAR">
      <formula>NOT(ISERROR(SEARCH("VERIFICAR",J1)))</formula>
    </cfRule>
  </conditionalFormatting>
  <conditionalFormatting sqref="K146:K151">
    <cfRule type="containsText" dxfId="2061" priority="23" operator="containsText" text="VERIFICAR">
      <formula>NOT(ISERROR(SEARCH("VERIFICAR",K146)))</formula>
    </cfRule>
  </conditionalFormatting>
  <conditionalFormatting sqref="L1:L1048576">
    <cfRule type="containsText" dxfId="2060" priority="4" operator="containsText" text="VERIFICAR">
      <formula>NOT(ISERROR(SEARCH("VERIFICAR",L1)))</formula>
    </cfRule>
  </conditionalFormatting>
  <pageMargins left="0.39370078740157483" right="0" top="0.59055118110236227" bottom="0.78740157480314965" header="0.19685039370078741" footer="0.19685039370078741"/>
  <pageSetup paperSize="9" scale="36" orientation="portrait" horizontalDpi="300" verticalDpi="300" r:id="rId1"/>
  <headerFooter alignWithMargins="0">
    <oddFooter>&amp;L&amp;8&amp;F - &amp;A&amp;R&amp;8&amp;P / &amp;N</oddFooter>
  </headerFooter>
  <ignoredErrors>
    <ignoredError sqref="A12:A1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14</vt:i4>
      </vt:variant>
    </vt:vector>
  </HeadingPairs>
  <TitlesOfParts>
    <vt:vector size="44" baseType="lpstr">
      <vt:lpstr>Obra </vt:lpstr>
      <vt:lpstr>EAP Análise</vt:lpstr>
      <vt:lpstr>Ensaios </vt:lpstr>
      <vt:lpstr>CANTEIRO</vt:lpstr>
      <vt:lpstr>Ger_Tec e Adm</vt:lpstr>
      <vt:lpstr>Ger_Executivo</vt:lpstr>
      <vt:lpstr>ARQUITETURA</vt:lpstr>
      <vt:lpstr>CPU</vt:lpstr>
      <vt:lpstr>Insumos</vt:lpstr>
      <vt:lpstr>Fundação Rasa</vt:lpstr>
      <vt:lpstr>Aço_Infraestrutura</vt:lpstr>
      <vt:lpstr>Supraestrutura</vt:lpstr>
      <vt:lpstr>LAJE_TRELIÇADA</vt:lpstr>
      <vt:lpstr>Tijolos refratários</vt:lpstr>
      <vt:lpstr>COMUNICAÇÃO</vt:lpstr>
      <vt:lpstr>INSTALAÇÕES</vt:lpstr>
      <vt:lpstr>Louças e metais</vt:lpstr>
      <vt:lpstr>MO Infra</vt:lpstr>
      <vt:lpstr>Cotações</vt:lpstr>
      <vt:lpstr>Estacas</vt:lpstr>
      <vt:lpstr>Arm. Cortina</vt:lpstr>
      <vt:lpstr>Cortina</vt:lpstr>
      <vt:lpstr>Tabela de Aço</vt:lpstr>
      <vt:lpstr>Piso Arm.Térreo</vt:lpstr>
      <vt:lpstr>Pilares</vt:lpstr>
      <vt:lpstr>Vigas - T1 </vt:lpstr>
      <vt:lpstr>Lajes - T1 </vt:lpstr>
      <vt:lpstr>Escada - T1</vt:lpstr>
      <vt:lpstr>Indices de Bloco</vt:lpstr>
      <vt:lpstr>Resumo Esquadrias - T1</vt:lpstr>
      <vt:lpstr>CANTEIRO!Area_de_impressao</vt:lpstr>
      <vt:lpstr>'Escada - T1'!Area_de_impressao</vt:lpstr>
      <vt:lpstr>'Fundação Rasa'!Area_de_impressao</vt:lpstr>
      <vt:lpstr>'Lajes - T1 '!Area_de_impressao</vt:lpstr>
      <vt:lpstr>'Obra '!Area_de_impressao</vt:lpstr>
      <vt:lpstr>Pilares!Area_de_impressao</vt:lpstr>
      <vt:lpstr>'Piso Arm.Térreo'!Area_de_impressao</vt:lpstr>
      <vt:lpstr>'Resumo Esquadrias - T1'!Area_de_impressao</vt:lpstr>
      <vt:lpstr>'Vigas - T1 '!Area_de_impressao</vt:lpstr>
      <vt:lpstr>'Escada - T1'!Titulos_de_impressao</vt:lpstr>
      <vt:lpstr>'Lajes - T1 '!Titulos_de_impressao</vt:lpstr>
      <vt:lpstr>'Piso Arm.Térreo'!Titulos_de_impressao</vt:lpstr>
      <vt:lpstr>'Resumo Esquadrias - T1'!Titulos_de_impressao</vt:lpstr>
      <vt:lpstr>'Vigas - T1 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Patricia Bragatto</cp:lastModifiedBy>
  <cp:lastPrinted>2024-02-16T20:24:40Z</cp:lastPrinted>
  <dcterms:created xsi:type="dcterms:W3CDTF">2011-02-08T17:53:57Z</dcterms:created>
  <dcterms:modified xsi:type="dcterms:W3CDTF">2025-09-11T10:53:40Z</dcterms:modified>
</cp:coreProperties>
</file>